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7 JULI\"/>
    </mc:Choice>
  </mc:AlternateContent>
  <xr:revisionPtr revIDLastSave="0" documentId="13_ncr:1_{CB37E226-F622-44BA-85CF-076810B6747D}" xr6:coauthVersionLast="47" xr6:coauthVersionMax="47" xr10:uidLastSave="{00000000-0000-0000-0000-000000000000}"/>
  <bookViews>
    <workbookView xWindow="-105" yWindow="0" windowWidth="10455" windowHeight="10905" tabRatio="548" activeTab="1" xr2:uid="{00000000-000D-0000-FFFF-FFFF00000000}"/>
  </bookViews>
  <sheets>
    <sheet name="NOTA" sheetId="1" r:id="rId1"/>
    <sheet name="Sheet1" sheetId="22" r:id="rId2"/>
    <sheet name="Sheet2" sheetId="23" r:id="rId3"/>
  </sheets>
  <externalReferences>
    <externalReference r:id="rId4"/>
    <externalReference r:id="rId5"/>
    <externalReference r:id="rId6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#REF!</definedName>
    <definedName name="JML_NOTA_MSK">#REF!</definedName>
    <definedName name="MAX_ROW">#REF!</definedName>
    <definedName name="MONTH">[2]var!$F$5</definedName>
    <definedName name="NM_FAKTUR">#REF!</definedName>
    <definedName name="PATH">[2]var!$F$3</definedName>
    <definedName name="POINTER_ROW">'[2]1'!$2:$2</definedName>
    <definedName name="PPN">#REF!</definedName>
    <definedName name="YEAR">[2]var!$F$4</definedName>
  </definedNames>
  <calcPr calcId="191029" calcMode="manual"/>
  <pivotCaches>
    <pivotCache cacheId="7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199" i="22" l="1"/>
  <c r="J180" i="22"/>
  <c r="J181" i="22"/>
  <c r="J182" i="22"/>
  <c r="J183" i="22"/>
  <c r="J184" i="22"/>
  <c r="J185" i="22"/>
  <c r="J186" i="22"/>
  <c r="J187" i="22"/>
  <c r="J188" i="22"/>
  <c r="J189" i="22"/>
  <c r="J190" i="22"/>
  <c r="J191" i="22"/>
  <c r="J192" i="22"/>
  <c r="J193" i="22"/>
  <c r="J194" i="22"/>
  <c r="J195" i="22"/>
  <c r="J196" i="22"/>
  <c r="J197" i="22"/>
  <c r="J198" i="22"/>
  <c r="J199" i="22"/>
  <c r="J200" i="22"/>
  <c r="J201" i="22"/>
  <c r="J202" i="22"/>
  <c r="J203" i="22"/>
  <c r="J204" i="22"/>
  <c r="K180" i="22"/>
  <c r="K181" i="22"/>
  <c r="K182" i="22"/>
  <c r="K183" i="22"/>
  <c r="K184" i="22"/>
  <c r="K185" i="22"/>
  <c r="K186" i="22"/>
  <c r="K187" i="22"/>
  <c r="K188" i="22"/>
  <c r="K189" i="22"/>
  <c r="K190" i="22"/>
  <c r="K191" i="22"/>
  <c r="K192" i="22"/>
  <c r="K193" i="22"/>
  <c r="K194" i="22"/>
  <c r="K195" i="22"/>
  <c r="K196" i="22"/>
  <c r="K197" i="22"/>
  <c r="K198" i="22"/>
  <c r="K199" i="22"/>
  <c r="K200" i="22"/>
  <c r="K201" i="22"/>
  <c r="K202" i="22"/>
  <c r="K203" i="22"/>
  <c r="K204" i="22"/>
  <c r="AB180" i="22"/>
  <c r="AB181" i="22"/>
  <c r="AB182" i="22"/>
  <c r="AB183" i="22"/>
  <c r="AB184" i="22"/>
  <c r="AB185" i="22"/>
  <c r="AB186" i="22"/>
  <c r="AB187" i="22"/>
  <c r="AB188" i="22"/>
  <c r="AB189" i="22"/>
  <c r="AB190" i="22"/>
  <c r="AB191" i="22"/>
  <c r="AB192" i="22"/>
  <c r="AB193" i="22"/>
  <c r="AB194" i="22"/>
  <c r="AB195" i="22"/>
  <c r="AB196" i="22"/>
  <c r="AB197" i="22"/>
  <c r="AB198" i="22"/>
  <c r="AB199" i="22"/>
  <c r="AB200" i="22"/>
  <c r="AB201" i="22"/>
  <c r="AB202" i="22"/>
  <c r="AB203" i="22"/>
  <c r="AB204" i="22"/>
  <c r="AE180" i="22"/>
  <c r="AE181" i="22"/>
  <c r="AE182" i="22"/>
  <c r="AE183" i="22"/>
  <c r="AE184" i="22"/>
  <c r="AE185" i="22"/>
  <c r="AE186" i="22"/>
  <c r="AE187" i="22"/>
  <c r="AE188" i="22"/>
  <c r="AE189" i="22"/>
  <c r="AE190" i="22"/>
  <c r="AE191" i="22"/>
  <c r="AE192" i="22"/>
  <c r="AE193" i="22"/>
  <c r="AE194" i="22"/>
  <c r="AE195" i="22"/>
  <c r="AE196" i="22"/>
  <c r="AE197" i="22"/>
  <c r="AE198" i="22"/>
  <c r="AE199" i="22"/>
  <c r="AE200" i="22"/>
  <c r="AE201" i="22"/>
  <c r="AE202" i="22"/>
  <c r="AE203" i="22"/>
  <c r="AE204" i="22"/>
  <c r="AF180" i="22"/>
  <c r="AF181" i="22"/>
  <c r="AF182" i="22"/>
  <c r="AF183" i="22"/>
  <c r="AF184" i="22"/>
  <c r="AF185" i="22"/>
  <c r="AF186" i="22"/>
  <c r="AF187" i="22"/>
  <c r="AF188" i="22"/>
  <c r="AF189" i="22"/>
  <c r="AF190" i="22"/>
  <c r="AF191" i="22"/>
  <c r="AF192" i="22"/>
  <c r="AF193" i="22"/>
  <c r="AF194" i="22"/>
  <c r="AF195" i="22"/>
  <c r="AF196" i="22"/>
  <c r="AF197" i="22"/>
  <c r="AF198" i="22"/>
  <c r="AF199" i="22"/>
  <c r="AF200" i="22"/>
  <c r="AF201" i="22"/>
  <c r="AF202" i="22"/>
  <c r="AF203" i="22"/>
  <c r="AF204" i="22"/>
  <c r="AG180" i="22"/>
  <c r="AG181" i="22"/>
  <c r="AG182" i="22"/>
  <c r="AG183" i="22"/>
  <c r="AG184" i="22"/>
  <c r="AG185" i="22"/>
  <c r="AG186" i="22"/>
  <c r="AG187" i="22"/>
  <c r="AG188" i="22"/>
  <c r="AG189" i="22"/>
  <c r="AG190" i="22"/>
  <c r="AG191" i="22"/>
  <c r="AG192" i="22"/>
  <c r="AG193" i="22"/>
  <c r="AG194" i="22"/>
  <c r="AG195" i="22"/>
  <c r="AG196" i="22"/>
  <c r="AG197" i="22"/>
  <c r="AG198" i="22"/>
  <c r="AG199" i="22"/>
  <c r="AG200" i="22"/>
  <c r="AG201" i="22"/>
  <c r="AG202" i="22"/>
  <c r="AG203" i="22"/>
  <c r="AG204" i="22"/>
  <c r="AH180" i="22"/>
  <c r="AH181" i="22"/>
  <c r="AH182" i="22"/>
  <c r="AH183" i="22"/>
  <c r="AH184" i="22"/>
  <c r="AH185" i="22"/>
  <c r="AH186" i="22"/>
  <c r="AH187" i="22"/>
  <c r="AH188" i="22"/>
  <c r="AH189" i="22"/>
  <c r="AH190" i="22"/>
  <c r="AH191" i="22"/>
  <c r="AH192" i="22"/>
  <c r="AH193" i="22"/>
  <c r="AH195" i="22"/>
  <c r="AH196" i="22"/>
  <c r="AH197" i="22"/>
  <c r="AH198" i="22"/>
  <c r="AH200" i="22"/>
  <c r="AH201" i="22"/>
  <c r="AH202" i="22"/>
  <c r="AH203" i="22"/>
  <c r="AH204" i="22"/>
  <c r="AI180" i="22"/>
  <c r="AI181" i="22"/>
  <c r="AI182" i="22"/>
  <c r="AI183" i="22"/>
  <c r="AI184" i="22"/>
  <c r="AI185" i="22"/>
  <c r="AI186" i="22"/>
  <c r="AI187" i="22"/>
  <c r="AI188" i="22"/>
  <c r="AI189" i="22"/>
  <c r="AI190" i="22"/>
  <c r="AI191" i="22"/>
  <c r="AI192" i="22"/>
  <c r="AI193" i="22"/>
  <c r="AI195" i="22"/>
  <c r="AI196" i="22"/>
  <c r="AI197" i="22"/>
  <c r="AI198" i="22"/>
  <c r="AI200" i="22"/>
  <c r="AI201" i="22"/>
  <c r="AI202" i="22"/>
  <c r="AI203" i="22"/>
  <c r="AI204" i="22"/>
  <c r="AJ180" i="22"/>
  <c r="AJ181" i="22"/>
  <c r="AJ182" i="22"/>
  <c r="AJ183" i="22"/>
  <c r="AJ184" i="22"/>
  <c r="AJ185" i="22"/>
  <c r="AJ186" i="22"/>
  <c r="AJ187" i="22"/>
  <c r="AJ188" i="22"/>
  <c r="AJ189" i="22"/>
  <c r="AJ190" i="22"/>
  <c r="AJ191" i="22"/>
  <c r="AJ192" i="22"/>
  <c r="AJ193" i="22"/>
  <c r="AJ194" i="22"/>
  <c r="AJ195" i="22"/>
  <c r="AJ196" i="22"/>
  <c r="AJ197" i="22"/>
  <c r="AJ198" i="22"/>
  <c r="AJ199" i="22"/>
  <c r="AJ200" i="22"/>
  <c r="AJ201" i="22"/>
  <c r="AJ202" i="22"/>
  <c r="AJ203" i="22"/>
  <c r="AJ204" i="22"/>
  <c r="AO180" i="22"/>
  <c r="AO181" i="22"/>
  <c r="AO182" i="22"/>
  <c r="AO183" i="22"/>
  <c r="AO184" i="22"/>
  <c r="AO185" i="22"/>
  <c r="AO186" i="22"/>
  <c r="AO187" i="22"/>
  <c r="AO188" i="22"/>
  <c r="AO189" i="22"/>
  <c r="AO190" i="22"/>
  <c r="AO191" i="22"/>
  <c r="AO192" i="22"/>
  <c r="AO193" i="22"/>
  <c r="AO194" i="22"/>
  <c r="AO195" i="22"/>
  <c r="AO196" i="22"/>
  <c r="AO197" i="22"/>
  <c r="AO198" i="22"/>
  <c r="AO199" i="22"/>
  <c r="AO200" i="22"/>
  <c r="AO201" i="22"/>
  <c r="AO202" i="22"/>
  <c r="AO203" i="22"/>
  <c r="AO204" i="22"/>
  <c r="AQ180" i="22"/>
  <c r="AQ181" i="22"/>
  <c r="AQ182" i="22"/>
  <c r="AQ183" i="22"/>
  <c r="AQ184" i="22"/>
  <c r="AQ185" i="22"/>
  <c r="AQ186" i="22"/>
  <c r="AQ187" i="22"/>
  <c r="AQ188" i="22"/>
  <c r="AQ189" i="22"/>
  <c r="AQ190" i="22"/>
  <c r="AQ191" i="22"/>
  <c r="AQ192" i="22"/>
  <c r="AQ193" i="22"/>
  <c r="AQ194" i="22"/>
  <c r="AQ195" i="22"/>
  <c r="AQ196" i="22"/>
  <c r="AQ197" i="22"/>
  <c r="AQ198" i="22"/>
  <c r="AQ199" i="22"/>
  <c r="AQ200" i="22"/>
  <c r="AQ201" i="22"/>
  <c r="AQ202" i="22"/>
  <c r="AQ203" i="22"/>
  <c r="AQ204" i="22"/>
  <c r="AY180" i="22"/>
  <c r="AY181" i="22"/>
  <c r="AY182" i="22"/>
  <c r="AY183" i="22"/>
  <c r="AY184" i="22"/>
  <c r="AY185" i="22"/>
  <c r="AY186" i="22"/>
  <c r="AY187" i="22"/>
  <c r="AY188" i="22"/>
  <c r="AY189" i="22"/>
  <c r="AY190" i="22"/>
  <c r="AY191" i="22"/>
  <c r="AY192" i="22"/>
  <c r="AY193" i="22"/>
  <c r="AY194" i="22"/>
  <c r="AY195" i="22"/>
  <c r="AY196" i="22"/>
  <c r="AY197" i="22"/>
  <c r="AY198" i="22"/>
  <c r="AY199" i="22"/>
  <c r="AY200" i="22"/>
  <c r="AY201" i="22"/>
  <c r="AY202" i="22"/>
  <c r="AY203" i="22"/>
  <c r="AY204" i="22"/>
  <c r="BC180" i="22"/>
  <c r="BC181" i="22"/>
  <c r="BC182" i="22"/>
  <c r="BC183" i="22"/>
  <c r="BC184" i="22"/>
  <c r="BC185" i="22"/>
  <c r="BC186" i="22"/>
  <c r="BC187" i="22"/>
  <c r="BC188" i="22"/>
  <c r="BC189" i="22"/>
  <c r="BC190" i="22"/>
  <c r="BC191" i="22"/>
  <c r="BC192" i="22"/>
  <c r="BC193" i="22"/>
  <c r="BC194" i="22"/>
  <c r="BC195" i="22"/>
  <c r="BC196" i="22"/>
  <c r="BC197" i="22"/>
  <c r="BC198" i="22"/>
  <c r="BC199" i="22"/>
  <c r="BC200" i="22"/>
  <c r="BC201" i="22"/>
  <c r="BC202" i="22"/>
  <c r="BC203" i="22"/>
  <c r="BC204" i="22"/>
  <c r="J173" i="22"/>
  <c r="J174" i="22"/>
  <c r="J175" i="22"/>
  <c r="J176" i="22"/>
  <c r="J177" i="22"/>
  <c r="J178" i="22"/>
  <c r="J179" i="22"/>
  <c r="K173" i="22"/>
  <c r="K174" i="22"/>
  <c r="K175" i="22"/>
  <c r="K176" i="22"/>
  <c r="K177" i="22"/>
  <c r="K178" i="22"/>
  <c r="K179" i="22"/>
  <c r="AB173" i="22"/>
  <c r="AB174" i="22"/>
  <c r="AB175" i="22"/>
  <c r="AB176" i="22"/>
  <c r="AB177" i="22"/>
  <c r="AB178" i="22"/>
  <c r="AB179" i="22"/>
  <c r="AE173" i="22"/>
  <c r="AE174" i="22"/>
  <c r="AE175" i="22"/>
  <c r="AE176" i="22"/>
  <c r="AE177" i="22"/>
  <c r="AE178" i="22"/>
  <c r="AE179" i="22"/>
  <c r="AF173" i="22"/>
  <c r="AF174" i="22"/>
  <c r="AF175" i="22"/>
  <c r="AF176" i="22"/>
  <c r="AF177" i="22"/>
  <c r="AF178" i="22"/>
  <c r="AF179" i="22"/>
  <c r="AG173" i="22"/>
  <c r="AG174" i="22"/>
  <c r="AG175" i="22"/>
  <c r="AG176" i="22"/>
  <c r="AG177" i="22"/>
  <c r="AG178" i="22"/>
  <c r="AG179" i="22"/>
  <c r="AJ173" i="22"/>
  <c r="AJ174" i="22"/>
  <c r="AJ175" i="22"/>
  <c r="AJ176" i="22"/>
  <c r="AJ177" i="22"/>
  <c r="AJ178" i="22"/>
  <c r="AJ179" i="22"/>
  <c r="AO173" i="22"/>
  <c r="AO174" i="22"/>
  <c r="AO175" i="22"/>
  <c r="AO176" i="22"/>
  <c r="AO177" i="22"/>
  <c r="AO178" i="22"/>
  <c r="AO179" i="22"/>
  <c r="AQ173" i="22"/>
  <c r="AQ174" i="22"/>
  <c r="AQ175" i="22"/>
  <c r="AQ176" i="22"/>
  <c r="AQ177" i="22"/>
  <c r="AQ178" i="22"/>
  <c r="AQ179" i="22"/>
  <c r="AY173" i="22"/>
  <c r="AY174" i="22"/>
  <c r="AY175" i="22"/>
  <c r="AY176" i="22"/>
  <c r="AY177" i="22"/>
  <c r="AY178" i="22"/>
  <c r="AY179" i="22"/>
  <c r="BC173" i="22"/>
  <c r="BC174" i="22"/>
  <c r="BC175" i="22"/>
  <c r="BC176" i="22"/>
  <c r="BC177" i="22"/>
  <c r="BC178" i="22"/>
  <c r="BC179" i="22"/>
  <c r="D62" i="23"/>
  <c r="D61" i="23"/>
  <c r="J56" i="22"/>
  <c r="J57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J151" i="22"/>
  <c r="J152" i="22"/>
  <c r="J153" i="22"/>
  <c r="J154" i="22"/>
  <c r="J155" i="22"/>
  <c r="J156" i="22"/>
  <c r="J157" i="22"/>
  <c r="J158" i="22"/>
  <c r="J159" i="22"/>
  <c r="J160" i="22"/>
  <c r="J161" i="22"/>
  <c r="J162" i="22"/>
  <c r="J163" i="22"/>
  <c r="J164" i="22"/>
  <c r="J165" i="22"/>
  <c r="J166" i="22"/>
  <c r="J167" i="22"/>
  <c r="J168" i="22"/>
  <c r="J169" i="22"/>
  <c r="J170" i="22"/>
  <c r="J171" i="22"/>
  <c r="J172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B74" i="22"/>
  <c r="AB75" i="22"/>
  <c r="AB76" i="22"/>
  <c r="AB77" i="22"/>
  <c r="AB78" i="22"/>
  <c r="AB79" i="22"/>
  <c r="AB80" i="22"/>
  <c r="AB81" i="22"/>
  <c r="AB82" i="22"/>
  <c r="AB83" i="22"/>
  <c r="AB84" i="22"/>
  <c r="AB8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B123" i="22"/>
  <c r="AB124" i="22"/>
  <c r="AB125" i="22"/>
  <c r="AB126" i="22"/>
  <c r="AB127" i="22"/>
  <c r="AB128" i="22"/>
  <c r="AB129" i="22"/>
  <c r="AB130" i="22"/>
  <c r="AB131" i="22"/>
  <c r="AB132" i="22"/>
  <c r="AB133" i="22"/>
  <c r="AB134" i="22"/>
  <c r="AB135" i="22"/>
  <c r="AB136" i="22"/>
  <c r="AB137" i="22"/>
  <c r="AB138" i="22"/>
  <c r="AB139" i="22"/>
  <c r="AB140" i="22"/>
  <c r="AB141" i="22"/>
  <c r="AB142" i="22"/>
  <c r="AB143" i="22"/>
  <c r="AB144" i="22"/>
  <c r="AB145" i="22"/>
  <c r="AB146" i="22"/>
  <c r="AB147" i="22"/>
  <c r="AB148" i="22"/>
  <c r="AB149" i="22"/>
  <c r="AB150" i="22"/>
  <c r="AB151" i="22"/>
  <c r="AB152" i="22"/>
  <c r="AB153" i="22"/>
  <c r="AB154" i="22"/>
  <c r="AB155" i="22"/>
  <c r="AB156" i="22"/>
  <c r="AB157" i="22"/>
  <c r="AB158" i="22"/>
  <c r="AB159" i="22"/>
  <c r="AB160" i="22"/>
  <c r="AB161" i="22"/>
  <c r="AB162" i="22"/>
  <c r="AB163" i="22"/>
  <c r="AB164" i="22"/>
  <c r="AB165" i="22"/>
  <c r="AB166" i="22"/>
  <c r="AB167" i="22"/>
  <c r="AB168" i="22"/>
  <c r="AB169" i="22"/>
  <c r="AB170" i="22"/>
  <c r="AB171" i="22"/>
  <c r="AB172" i="22"/>
  <c r="AE56" i="22"/>
  <c r="AE57" i="22"/>
  <c r="AE58" i="22"/>
  <c r="AE59" i="22"/>
  <c r="AE60" i="22"/>
  <c r="AE61" i="22"/>
  <c r="AE62" i="22"/>
  <c r="AE63" i="22"/>
  <c r="AE64" i="22"/>
  <c r="AE65" i="22"/>
  <c r="AE66" i="22"/>
  <c r="AE67" i="22"/>
  <c r="AE68" i="22"/>
  <c r="AE69" i="22"/>
  <c r="AE70" i="22"/>
  <c r="AE71" i="22"/>
  <c r="AE72" i="22"/>
  <c r="AE73" i="22"/>
  <c r="AE74" i="22"/>
  <c r="AE75" i="22"/>
  <c r="AE76" i="22"/>
  <c r="AE77" i="22"/>
  <c r="AE78" i="22"/>
  <c r="AE79" i="22"/>
  <c r="AE80" i="22"/>
  <c r="AE81" i="22"/>
  <c r="AE82" i="22"/>
  <c r="AE83" i="22"/>
  <c r="AE84" i="22"/>
  <c r="AE85" i="22"/>
  <c r="AE86" i="22"/>
  <c r="AE87" i="22"/>
  <c r="AE88" i="22"/>
  <c r="AE89" i="22"/>
  <c r="AE90" i="22"/>
  <c r="AE91" i="22"/>
  <c r="AE92" i="22"/>
  <c r="AE93" i="22"/>
  <c r="AE94" i="22"/>
  <c r="AE95" i="22"/>
  <c r="AE96" i="22"/>
  <c r="AE97" i="22"/>
  <c r="AE98" i="22"/>
  <c r="AE99" i="22"/>
  <c r="AE100" i="22"/>
  <c r="AE101" i="22"/>
  <c r="AE102" i="22"/>
  <c r="AE103" i="22"/>
  <c r="AE104" i="22"/>
  <c r="AE105" i="22"/>
  <c r="AE106" i="22"/>
  <c r="AE107" i="22"/>
  <c r="AE108" i="22"/>
  <c r="AE109" i="22"/>
  <c r="AE110" i="22"/>
  <c r="AE111" i="22"/>
  <c r="AE112" i="22"/>
  <c r="AE113" i="22"/>
  <c r="AE114" i="22"/>
  <c r="AE115" i="22"/>
  <c r="AE116" i="22"/>
  <c r="AE117" i="22"/>
  <c r="AE118" i="22"/>
  <c r="AE119" i="22"/>
  <c r="AE120" i="22"/>
  <c r="AE121" i="22"/>
  <c r="AE122" i="22"/>
  <c r="AE123" i="22"/>
  <c r="AE124" i="22"/>
  <c r="AE125" i="22"/>
  <c r="AE126" i="22"/>
  <c r="AE127" i="22"/>
  <c r="AE128" i="22"/>
  <c r="AE129" i="22"/>
  <c r="AE130" i="22"/>
  <c r="AE131" i="22"/>
  <c r="AE132" i="22"/>
  <c r="AE133" i="22"/>
  <c r="AE134" i="22"/>
  <c r="AE135" i="22"/>
  <c r="AE136" i="22"/>
  <c r="AE137" i="22"/>
  <c r="AE138" i="22"/>
  <c r="AE139" i="22"/>
  <c r="AE140" i="22"/>
  <c r="AE141" i="22"/>
  <c r="AE142" i="22"/>
  <c r="AE143" i="22"/>
  <c r="AE144" i="22"/>
  <c r="AE145" i="22"/>
  <c r="AE146" i="22"/>
  <c r="AE147" i="22"/>
  <c r="AE148" i="22"/>
  <c r="AE149" i="22"/>
  <c r="AE150" i="22"/>
  <c r="AE151" i="22"/>
  <c r="AE152" i="22"/>
  <c r="AE153" i="22"/>
  <c r="AE154" i="22"/>
  <c r="AE155" i="22"/>
  <c r="AE156" i="22"/>
  <c r="AE157" i="22"/>
  <c r="AE158" i="22"/>
  <c r="AE159" i="22"/>
  <c r="AE160" i="22"/>
  <c r="AE161" i="22"/>
  <c r="AE162" i="22"/>
  <c r="AE163" i="22"/>
  <c r="AE164" i="22"/>
  <c r="AE165" i="22"/>
  <c r="AE166" i="22"/>
  <c r="AE167" i="22"/>
  <c r="AE168" i="22"/>
  <c r="AE169" i="22"/>
  <c r="AE170" i="22"/>
  <c r="AE171" i="22"/>
  <c r="AE172" i="22"/>
  <c r="AF56" i="22"/>
  <c r="AF57" i="22"/>
  <c r="AF58" i="22"/>
  <c r="AF59" i="22"/>
  <c r="AF60" i="22"/>
  <c r="AF61" i="22"/>
  <c r="AF62" i="22"/>
  <c r="AF63" i="22"/>
  <c r="AF64" i="22"/>
  <c r="AF65" i="22"/>
  <c r="AF66" i="22"/>
  <c r="AF67" i="22"/>
  <c r="AF68" i="22"/>
  <c r="AF69" i="22"/>
  <c r="AF70" i="22"/>
  <c r="AF71" i="22"/>
  <c r="AF72" i="22"/>
  <c r="AF73" i="22"/>
  <c r="AF74" i="22"/>
  <c r="AF75" i="22"/>
  <c r="AF76" i="22"/>
  <c r="AF77" i="22"/>
  <c r="AF78" i="22"/>
  <c r="AF79" i="22"/>
  <c r="AF80" i="22"/>
  <c r="AF81" i="22"/>
  <c r="AF82" i="22"/>
  <c r="AF83" i="22"/>
  <c r="AF84" i="22"/>
  <c r="AF85" i="22"/>
  <c r="AF86" i="22"/>
  <c r="AF87" i="22"/>
  <c r="AF88" i="22"/>
  <c r="AF89" i="22"/>
  <c r="AF90" i="22"/>
  <c r="AF91" i="22"/>
  <c r="AF92" i="22"/>
  <c r="AF93" i="22"/>
  <c r="AF94" i="22"/>
  <c r="AF95" i="22"/>
  <c r="AF96" i="22"/>
  <c r="AF97" i="22"/>
  <c r="AF98" i="22"/>
  <c r="AF99" i="22"/>
  <c r="AF100" i="22"/>
  <c r="AF101" i="22"/>
  <c r="AF102" i="22"/>
  <c r="AF103" i="22"/>
  <c r="AF104" i="22"/>
  <c r="AF105" i="22"/>
  <c r="AF106" i="22"/>
  <c r="AF107" i="22"/>
  <c r="AF108" i="22"/>
  <c r="AF109" i="22"/>
  <c r="AF110" i="22"/>
  <c r="AF111" i="22"/>
  <c r="AF112" i="22"/>
  <c r="AF113" i="22"/>
  <c r="AF114" i="22"/>
  <c r="AF115" i="22"/>
  <c r="AF116" i="22"/>
  <c r="AF117" i="22"/>
  <c r="AF118" i="22"/>
  <c r="AF119" i="22"/>
  <c r="AF120" i="22"/>
  <c r="AF121" i="22"/>
  <c r="AF122" i="22"/>
  <c r="AF123" i="22"/>
  <c r="AF124" i="22"/>
  <c r="AF125" i="22"/>
  <c r="AF126" i="22"/>
  <c r="AF127" i="22"/>
  <c r="AF128" i="22"/>
  <c r="AF129" i="22"/>
  <c r="AF130" i="22"/>
  <c r="AF131" i="22"/>
  <c r="AF132" i="22"/>
  <c r="AF133" i="22"/>
  <c r="AF134" i="22"/>
  <c r="AF135" i="22"/>
  <c r="AF136" i="22"/>
  <c r="AF137" i="22"/>
  <c r="AF138" i="22"/>
  <c r="AF139" i="22"/>
  <c r="AF140" i="22"/>
  <c r="AF141" i="22"/>
  <c r="AF142" i="22"/>
  <c r="AF143" i="22"/>
  <c r="AF144" i="22"/>
  <c r="AF145" i="22"/>
  <c r="AF146" i="22"/>
  <c r="AF147" i="22"/>
  <c r="AF148" i="22"/>
  <c r="AF149" i="22"/>
  <c r="AF150" i="22"/>
  <c r="AF151" i="22"/>
  <c r="AF152" i="22"/>
  <c r="AF153" i="22"/>
  <c r="AF154" i="22"/>
  <c r="AF155" i="22"/>
  <c r="AF156" i="22"/>
  <c r="AF157" i="22"/>
  <c r="AF158" i="22"/>
  <c r="AF159" i="22"/>
  <c r="AF160" i="22"/>
  <c r="AF161" i="22"/>
  <c r="AF162" i="22"/>
  <c r="AF163" i="22"/>
  <c r="AF164" i="22"/>
  <c r="AF165" i="22"/>
  <c r="AF166" i="22"/>
  <c r="AF167" i="22"/>
  <c r="AF168" i="22"/>
  <c r="AF169" i="22"/>
  <c r="AF170" i="22"/>
  <c r="AF171" i="22"/>
  <c r="AF172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AG149" i="22"/>
  <c r="AG150" i="22"/>
  <c r="AG151" i="22"/>
  <c r="AG152" i="22"/>
  <c r="AG153" i="22"/>
  <c r="AG154" i="22"/>
  <c r="AG155" i="22"/>
  <c r="AG156" i="22"/>
  <c r="AG157" i="22"/>
  <c r="AG158" i="22"/>
  <c r="AG159" i="22"/>
  <c r="AG160" i="22"/>
  <c r="AG161" i="22"/>
  <c r="AG162" i="22"/>
  <c r="AG163" i="22"/>
  <c r="AG164" i="22"/>
  <c r="AG165" i="22"/>
  <c r="AG166" i="22"/>
  <c r="AG167" i="22"/>
  <c r="AG168" i="22"/>
  <c r="AG169" i="22"/>
  <c r="AG170" i="22"/>
  <c r="AG171" i="22"/>
  <c r="AG172" i="22"/>
  <c r="AJ56" i="22"/>
  <c r="AJ57" i="22"/>
  <c r="AJ58" i="22"/>
  <c r="AJ59" i="22"/>
  <c r="AJ60" i="22"/>
  <c r="AJ61" i="22"/>
  <c r="AJ62" i="22"/>
  <c r="AJ63" i="22"/>
  <c r="AJ64" i="22"/>
  <c r="AJ65" i="22"/>
  <c r="AJ66" i="22"/>
  <c r="AJ67" i="22"/>
  <c r="AJ68" i="22"/>
  <c r="AJ69" i="22"/>
  <c r="AJ70" i="22"/>
  <c r="AJ71" i="22"/>
  <c r="AJ72" i="22"/>
  <c r="AJ73" i="22"/>
  <c r="AJ74" i="22"/>
  <c r="AJ75" i="22"/>
  <c r="AJ76" i="22"/>
  <c r="AJ77" i="22"/>
  <c r="AJ78" i="22"/>
  <c r="AJ79" i="22"/>
  <c r="AJ80" i="22"/>
  <c r="AJ81" i="22"/>
  <c r="AJ82" i="22"/>
  <c r="AJ83" i="22"/>
  <c r="AJ84" i="22"/>
  <c r="AJ85" i="22"/>
  <c r="AJ86" i="22"/>
  <c r="AJ87" i="22"/>
  <c r="AJ88" i="22"/>
  <c r="AJ89" i="22"/>
  <c r="AJ90" i="22"/>
  <c r="AJ91" i="22"/>
  <c r="AJ92" i="22"/>
  <c r="AJ93" i="22"/>
  <c r="AJ94" i="22"/>
  <c r="AJ95" i="22"/>
  <c r="AJ96" i="22"/>
  <c r="AJ97" i="22"/>
  <c r="AJ98" i="22"/>
  <c r="AJ99" i="22"/>
  <c r="AJ100" i="22"/>
  <c r="AJ101" i="22"/>
  <c r="AJ102" i="22"/>
  <c r="AJ103" i="22"/>
  <c r="AJ104" i="22"/>
  <c r="AJ105" i="22"/>
  <c r="AJ106" i="22"/>
  <c r="AJ107" i="22"/>
  <c r="AJ108" i="22"/>
  <c r="AJ109" i="22"/>
  <c r="AJ110" i="22"/>
  <c r="AJ111" i="22"/>
  <c r="AJ112" i="22"/>
  <c r="AJ113" i="22"/>
  <c r="AJ114" i="22"/>
  <c r="AJ115" i="22"/>
  <c r="AJ116" i="22"/>
  <c r="AJ117" i="22"/>
  <c r="AJ118" i="22"/>
  <c r="AJ119" i="22"/>
  <c r="AJ120" i="22"/>
  <c r="AJ121" i="22"/>
  <c r="AJ122" i="22"/>
  <c r="AJ123" i="22"/>
  <c r="AJ124" i="22"/>
  <c r="AJ125" i="22"/>
  <c r="AJ126" i="22"/>
  <c r="AJ127" i="22"/>
  <c r="AJ128" i="22"/>
  <c r="AJ129" i="22"/>
  <c r="AJ130" i="22"/>
  <c r="AJ131" i="22"/>
  <c r="AJ132" i="22"/>
  <c r="AJ133" i="22"/>
  <c r="AJ134" i="22"/>
  <c r="AJ135" i="22"/>
  <c r="AJ136" i="22"/>
  <c r="AJ137" i="22"/>
  <c r="AJ138" i="22"/>
  <c r="AJ139" i="22"/>
  <c r="AJ140" i="22"/>
  <c r="AJ141" i="22"/>
  <c r="AJ142" i="22"/>
  <c r="AJ143" i="22"/>
  <c r="AJ144" i="22"/>
  <c r="AJ145" i="22"/>
  <c r="AJ146" i="22"/>
  <c r="AJ147" i="22"/>
  <c r="AJ148" i="22"/>
  <c r="AJ149" i="22"/>
  <c r="AJ150" i="22"/>
  <c r="AJ151" i="22"/>
  <c r="AJ152" i="22"/>
  <c r="AJ153" i="22"/>
  <c r="AJ154" i="22"/>
  <c r="AJ155" i="22"/>
  <c r="AJ156" i="22"/>
  <c r="AJ157" i="22"/>
  <c r="AJ158" i="22"/>
  <c r="AJ159" i="22"/>
  <c r="AJ160" i="22"/>
  <c r="AJ161" i="22"/>
  <c r="AJ162" i="22"/>
  <c r="AJ163" i="22"/>
  <c r="AJ164" i="22"/>
  <c r="AJ165" i="22"/>
  <c r="AJ166" i="22"/>
  <c r="AJ167" i="22"/>
  <c r="AJ168" i="22"/>
  <c r="AJ169" i="22"/>
  <c r="AJ170" i="22"/>
  <c r="AJ171" i="22"/>
  <c r="AJ172" i="22"/>
  <c r="AO56" i="22"/>
  <c r="AO57" i="22"/>
  <c r="AO58" i="22"/>
  <c r="AO59" i="22"/>
  <c r="AO60" i="22"/>
  <c r="AO61" i="22"/>
  <c r="AO62" i="22"/>
  <c r="AO63" i="22"/>
  <c r="AO64" i="22"/>
  <c r="AO65" i="22"/>
  <c r="AO66" i="22"/>
  <c r="AO67" i="22"/>
  <c r="AO68" i="22"/>
  <c r="AO69" i="22"/>
  <c r="AO70" i="22"/>
  <c r="AO71" i="22"/>
  <c r="AO72" i="22"/>
  <c r="AO73" i="22"/>
  <c r="AO74" i="22"/>
  <c r="AO75" i="22"/>
  <c r="AO76" i="22"/>
  <c r="AO77" i="22"/>
  <c r="AO78" i="22"/>
  <c r="AO79" i="22"/>
  <c r="AO80" i="22"/>
  <c r="AO81" i="22"/>
  <c r="AO82" i="22"/>
  <c r="AO83" i="22"/>
  <c r="AO84" i="22"/>
  <c r="AO85" i="22"/>
  <c r="AO86" i="22"/>
  <c r="AO87" i="22"/>
  <c r="AO88" i="22"/>
  <c r="AO89" i="22"/>
  <c r="AO90" i="22"/>
  <c r="AO91" i="22"/>
  <c r="AO92" i="22"/>
  <c r="AO93" i="22"/>
  <c r="AO94" i="22"/>
  <c r="AO95" i="22"/>
  <c r="AO96" i="22"/>
  <c r="AO97" i="22"/>
  <c r="AO98" i="22"/>
  <c r="AO99" i="22"/>
  <c r="AO100" i="22"/>
  <c r="AO101" i="22"/>
  <c r="AO102" i="22"/>
  <c r="AO103" i="22"/>
  <c r="AO104" i="22"/>
  <c r="AO105" i="22"/>
  <c r="AO106" i="22"/>
  <c r="AO107" i="22"/>
  <c r="AO108" i="22"/>
  <c r="AO109" i="22"/>
  <c r="AO110" i="22"/>
  <c r="AO111" i="22"/>
  <c r="AO112" i="22"/>
  <c r="AO113" i="22"/>
  <c r="AO114" i="22"/>
  <c r="AO115" i="22"/>
  <c r="AO116" i="22"/>
  <c r="AO117" i="22"/>
  <c r="AO118" i="22"/>
  <c r="AO119" i="22"/>
  <c r="AO120" i="22"/>
  <c r="AO121" i="22"/>
  <c r="AO122" i="22"/>
  <c r="AO123" i="22"/>
  <c r="AO124" i="22"/>
  <c r="AO125" i="22"/>
  <c r="AO126" i="22"/>
  <c r="AO127" i="22"/>
  <c r="AO128" i="22"/>
  <c r="AO129" i="22"/>
  <c r="AO130" i="22"/>
  <c r="AO131" i="22"/>
  <c r="AO132" i="22"/>
  <c r="AO133" i="22"/>
  <c r="AO134" i="22"/>
  <c r="AO135" i="22"/>
  <c r="AO136" i="22"/>
  <c r="AO137" i="22"/>
  <c r="AO138" i="22"/>
  <c r="AO139" i="22"/>
  <c r="AO140" i="22"/>
  <c r="AO141" i="22"/>
  <c r="AO142" i="22"/>
  <c r="AO143" i="22"/>
  <c r="AO144" i="22"/>
  <c r="AO145" i="22"/>
  <c r="AO146" i="22"/>
  <c r="AO147" i="22"/>
  <c r="AO148" i="22"/>
  <c r="AO149" i="22"/>
  <c r="AO150" i="22"/>
  <c r="AO151" i="22"/>
  <c r="AO152" i="22"/>
  <c r="AO153" i="22"/>
  <c r="AO154" i="22"/>
  <c r="AO155" i="22"/>
  <c r="AO156" i="22"/>
  <c r="AO157" i="22"/>
  <c r="AO158" i="22"/>
  <c r="AO159" i="22"/>
  <c r="AO160" i="22"/>
  <c r="AO161" i="22"/>
  <c r="AO162" i="22"/>
  <c r="AO163" i="22"/>
  <c r="AO164" i="22"/>
  <c r="AO165" i="22"/>
  <c r="AO166" i="22"/>
  <c r="AO167" i="22"/>
  <c r="AO168" i="22"/>
  <c r="AO169" i="22"/>
  <c r="AO170" i="22"/>
  <c r="AO171" i="22"/>
  <c r="AO172" i="22"/>
  <c r="AQ56" i="22"/>
  <c r="AQ57" i="22"/>
  <c r="AQ58" i="22"/>
  <c r="AQ59" i="22"/>
  <c r="AQ60" i="22"/>
  <c r="AQ61" i="22"/>
  <c r="AQ62" i="22"/>
  <c r="AQ63" i="22"/>
  <c r="AQ64" i="22"/>
  <c r="AQ65" i="22"/>
  <c r="AQ66" i="22"/>
  <c r="AQ67" i="22"/>
  <c r="AQ68" i="22"/>
  <c r="AQ69" i="22"/>
  <c r="AQ70" i="22"/>
  <c r="AQ71" i="22"/>
  <c r="AQ72" i="22"/>
  <c r="AQ73" i="22"/>
  <c r="AQ74" i="22"/>
  <c r="AQ75" i="22"/>
  <c r="AQ76" i="22"/>
  <c r="AQ77" i="22"/>
  <c r="AQ78" i="22"/>
  <c r="AQ79" i="22"/>
  <c r="AQ80" i="22"/>
  <c r="AQ81" i="22"/>
  <c r="AQ82" i="22"/>
  <c r="AQ83" i="22"/>
  <c r="AQ84" i="22"/>
  <c r="AQ85" i="22"/>
  <c r="AQ86" i="22"/>
  <c r="AQ87" i="22"/>
  <c r="AQ88" i="22"/>
  <c r="AQ89" i="22"/>
  <c r="AQ90" i="22"/>
  <c r="AQ91" i="22"/>
  <c r="AQ92" i="22"/>
  <c r="AQ93" i="22"/>
  <c r="AQ94" i="22"/>
  <c r="AQ95" i="22"/>
  <c r="AQ96" i="22"/>
  <c r="AQ97" i="22"/>
  <c r="AQ98" i="22"/>
  <c r="AQ99" i="22"/>
  <c r="AQ100" i="22"/>
  <c r="AQ101" i="22"/>
  <c r="AQ102" i="22"/>
  <c r="AQ103" i="22"/>
  <c r="AQ104" i="22"/>
  <c r="AQ105" i="22"/>
  <c r="AQ106" i="22"/>
  <c r="AQ107" i="22"/>
  <c r="AQ108" i="22"/>
  <c r="AQ109" i="22"/>
  <c r="AQ110" i="22"/>
  <c r="AQ111" i="22"/>
  <c r="AQ112" i="22"/>
  <c r="AQ113" i="22"/>
  <c r="AQ114" i="22"/>
  <c r="AQ115" i="22"/>
  <c r="AQ116" i="22"/>
  <c r="AQ117" i="22"/>
  <c r="AQ118" i="22"/>
  <c r="AQ119" i="22"/>
  <c r="AQ120" i="22"/>
  <c r="AQ121" i="22"/>
  <c r="AQ122" i="22"/>
  <c r="AQ123" i="22"/>
  <c r="AQ124" i="22"/>
  <c r="AQ125" i="22"/>
  <c r="AQ126" i="22"/>
  <c r="AQ127" i="22"/>
  <c r="AQ128" i="22"/>
  <c r="AQ129" i="22"/>
  <c r="AQ130" i="22"/>
  <c r="AQ131" i="22"/>
  <c r="AQ132" i="22"/>
  <c r="AQ133" i="22"/>
  <c r="AQ134" i="22"/>
  <c r="AQ135" i="22"/>
  <c r="AQ136" i="22"/>
  <c r="AQ137" i="22"/>
  <c r="AQ138" i="22"/>
  <c r="AQ139" i="22"/>
  <c r="AQ140" i="22"/>
  <c r="AQ141" i="22"/>
  <c r="AQ142" i="22"/>
  <c r="AQ143" i="22"/>
  <c r="AQ144" i="22"/>
  <c r="AQ145" i="22"/>
  <c r="AQ146" i="22"/>
  <c r="AQ147" i="22"/>
  <c r="AQ148" i="22"/>
  <c r="AQ149" i="22"/>
  <c r="AQ150" i="22"/>
  <c r="AQ151" i="22"/>
  <c r="AQ152" i="22"/>
  <c r="AQ153" i="22"/>
  <c r="AQ154" i="22"/>
  <c r="AQ155" i="22"/>
  <c r="AQ156" i="22"/>
  <c r="AQ157" i="22"/>
  <c r="AQ158" i="22"/>
  <c r="AQ159" i="22"/>
  <c r="AQ160" i="22"/>
  <c r="AQ161" i="22"/>
  <c r="AQ162" i="22"/>
  <c r="AQ163" i="22"/>
  <c r="AQ164" i="22"/>
  <c r="AQ165" i="22"/>
  <c r="AQ166" i="22"/>
  <c r="AQ167" i="22"/>
  <c r="AQ168" i="22"/>
  <c r="AQ169" i="22"/>
  <c r="AQ170" i="22"/>
  <c r="AQ171" i="22"/>
  <c r="AQ172" i="22"/>
  <c r="AY56" i="22"/>
  <c r="AY57" i="22"/>
  <c r="AY58" i="22"/>
  <c r="AY59" i="22"/>
  <c r="AY60" i="22"/>
  <c r="AY61" i="22"/>
  <c r="AY62" i="22"/>
  <c r="AY63" i="22"/>
  <c r="AY64" i="22"/>
  <c r="AY65" i="22"/>
  <c r="AY66" i="22"/>
  <c r="AY67" i="22"/>
  <c r="AY68" i="22"/>
  <c r="AY69" i="22"/>
  <c r="AY70" i="22"/>
  <c r="AY71" i="22"/>
  <c r="AY72" i="22"/>
  <c r="AY73" i="22"/>
  <c r="AY74" i="22"/>
  <c r="AY75" i="22"/>
  <c r="AY76" i="22"/>
  <c r="AY77" i="22"/>
  <c r="AY78" i="22"/>
  <c r="AY79" i="22"/>
  <c r="AY80" i="22"/>
  <c r="AY81" i="22"/>
  <c r="AY82" i="22"/>
  <c r="AY83" i="22"/>
  <c r="AY84" i="22"/>
  <c r="AY85" i="22"/>
  <c r="AY86" i="22"/>
  <c r="AY87" i="22"/>
  <c r="AY88" i="22"/>
  <c r="AY89" i="22"/>
  <c r="AY90" i="22"/>
  <c r="AY91" i="22"/>
  <c r="AY92" i="22"/>
  <c r="AY93" i="22"/>
  <c r="AY94" i="22"/>
  <c r="AY95" i="22"/>
  <c r="AY96" i="22"/>
  <c r="AY97" i="22"/>
  <c r="AY98" i="22"/>
  <c r="AY99" i="22"/>
  <c r="AY100" i="22"/>
  <c r="AY101" i="22"/>
  <c r="AY102" i="22"/>
  <c r="AY103" i="22"/>
  <c r="AY104" i="22"/>
  <c r="AY105" i="22"/>
  <c r="AY106" i="22"/>
  <c r="AY107" i="22"/>
  <c r="AY108" i="22"/>
  <c r="AY109" i="22"/>
  <c r="AY110" i="22"/>
  <c r="AY111" i="22"/>
  <c r="AY112" i="22"/>
  <c r="AY113" i="22"/>
  <c r="AY114" i="22"/>
  <c r="AY115" i="22"/>
  <c r="AY116" i="22"/>
  <c r="AY117" i="22"/>
  <c r="AY118" i="22"/>
  <c r="AY119" i="22"/>
  <c r="AY120" i="22"/>
  <c r="AY121" i="22"/>
  <c r="AY122" i="22"/>
  <c r="AY123" i="22"/>
  <c r="AY124" i="22"/>
  <c r="AY125" i="22"/>
  <c r="AY126" i="22"/>
  <c r="AY127" i="22"/>
  <c r="AY128" i="22"/>
  <c r="AY129" i="22"/>
  <c r="AY130" i="22"/>
  <c r="AY131" i="22"/>
  <c r="AY132" i="22"/>
  <c r="AY133" i="22"/>
  <c r="AY134" i="22"/>
  <c r="AY135" i="22"/>
  <c r="AY136" i="22"/>
  <c r="AY137" i="22"/>
  <c r="AY138" i="22"/>
  <c r="AY139" i="22"/>
  <c r="AY140" i="22"/>
  <c r="AY141" i="22"/>
  <c r="AY142" i="22"/>
  <c r="AY143" i="22"/>
  <c r="AY144" i="22"/>
  <c r="AY145" i="22"/>
  <c r="AY146" i="22"/>
  <c r="AY147" i="22"/>
  <c r="AY148" i="22"/>
  <c r="AY149" i="22"/>
  <c r="AY150" i="22"/>
  <c r="AY151" i="22"/>
  <c r="AY152" i="22"/>
  <c r="AY153" i="22"/>
  <c r="AY154" i="22"/>
  <c r="AY155" i="22"/>
  <c r="AY156" i="22"/>
  <c r="AY157" i="22"/>
  <c r="AY158" i="22"/>
  <c r="AY159" i="22"/>
  <c r="AY160" i="22"/>
  <c r="AY161" i="22"/>
  <c r="AY162" i="22"/>
  <c r="AY163" i="22"/>
  <c r="AY164" i="22"/>
  <c r="AY165" i="22"/>
  <c r="AY166" i="22"/>
  <c r="AY167" i="22"/>
  <c r="AY168" i="22"/>
  <c r="AY169" i="22"/>
  <c r="AY170" i="22"/>
  <c r="AY171" i="22"/>
  <c r="AY172" i="22"/>
  <c r="BC56" i="22"/>
  <c r="BC57" i="22"/>
  <c r="BC58" i="22"/>
  <c r="BC59" i="22"/>
  <c r="BC60" i="22"/>
  <c r="BC61" i="22"/>
  <c r="BC62" i="22"/>
  <c r="BC63" i="22"/>
  <c r="BC64" i="22"/>
  <c r="BC65" i="22"/>
  <c r="BC66" i="22"/>
  <c r="BC67" i="22"/>
  <c r="BC68" i="22"/>
  <c r="BC69" i="22"/>
  <c r="BC70" i="22"/>
  <c r="BC71" i="22"/>
  <c r="BC72" i="22"/>
  <c r="BC73" i="22"/>
  <c r="BC74" i="22"/>
  <c r="BC75" i="22"/>
  <c r="BC76" i="22"/>
  <c r="BC77" i="22"/>
  <c r="BC78" i="22"/>
  <c r="BC79" i="22"/>
  <c r="BC80" i="22"/>
  <c r="BC81" i="22"/>
  <c r="BC82" i="22"/>
  <c r="BC83" i="22"/>
  <c r="BC84" i="22"/>
  <c r="BC85" i="22"/>
  <c r="BC86" i="22"/>
  <c r="BC87" i="22"/>
  <c r="BC88" i="22"/>
  <c r="BC89" i="22"/>
  <c r="BC90" i="22"/>
  <c r="BC91" i="22"/>
  <c r="BC92" i="22"/>
  <c r="BC93" i="22"/>
  <c r="BC94" i="22"/>
  <c r="BC95" i="22"/>
  <c r="BC96" i="22"/>
  <c r="BC97" i="22"/>
  <c r="BC98" i="22"/>
  <c r="BC99" i="22"/>
  <c r="BC100" i="22"/>
  <c r="BC101" i="22"/>
  <c r="BC102" i="22"/>
  <c r="BC103" i="22"/>
  <c r="BC104" i="22"/>
  <c r="BC105" i="22"/>
  <c r="BC106" i="22"/>
  <c r="BC107" i="22"/>
  <c r="BC108" i="22"/>
  <c r="BC109" i="22"/>
  <c r="BC110" i="22"/>
  <c r="BC111" i="22"/>
  <c r="BC112" i="22"/>
  <c r="BC113" i="22"/>
  <c r="BC114" i="22"/>
  <c r="BC115" i="22"/>
  <c r="BC116" i="22"/>
  <c r="BC117" i="22"/>
  <c r="BC118" i="22"/>
  <c r="BC119" i="22"/>
  <c r="BC120" i="22"/>
  <c r="BC121" i="22"/>
  <c r="BC122" i="22"/>
  <c r="BC123" i="22"/>
  <c r="BC124" i="22"/>
  <c r="BC125" i="22"/>
  <c r="BC126" i="22"/>
  <c r="BC127" i="22"/>
  <c r="BC128" i="22"/>
  <c r="BC129" i="22"/>
  <c r="BC130" i="22"/>
  <c r="BC131" i="22"/>
  <c r="BC132" i="22"/>
  <c r="BC133" i="22"/>
  <c r="BC134" i="22"/>
  <c r="BC135" i="22"/>
  <c r="BC136" i="22"/>
  <c r="BC137" i="22"/>
  <c r="BC138" i="22"/>
  <c r="BC139" i="22"/>
  <c r="BC140" i="22"/>
  <c r="BC141" i="22"/>
  <c r="BC142" i="22"/>
  <c r="BC143" i="22"/>
  <c r="BC144" i="22"/>
  <c r="BC145" i="22"/>
  <c r="BC146" i="22"/>
  <c r="BC147" i="22"/>
  <c r="BC148" i="22"/>
  <c r="BC149" i="22"/>
  <c r="BC150" i="22"/>
  <c r="BC151" i="22"/>
  <c r="BC152" i="22"/>
  <c r="BC153" i="22"/>
  <c r="BC154" i="22"/>
  <c r="BC155" i="22"/>
  <c r="BC156" i="22"/>
  <c r="BC157" i="22"/>
  <c r="BC158" i="22"/>
  <c r="BC159" i="22"/>
  <c r="BC160" i="22"/>
  <c r="BC161" i="22"/>
  <c r="BC162" i="22"/>
  <c r="BC163" i="22"/>
  <c r="BC164" i="22"/>
  <c r="BC165" i="22"/>
  <c r="BC166" i="22"/>
  <c r="BC167" i="22"/>
  <c r="BC168" i="22"/>
  <c r="BC169" i="22"/>
  <c r="BC170" i="22"/>
  <c r="BC171" i="22"/>
  <c r="BC172" i="22"/>
  <c r="J47" i="22"/>
  <c r="J48" i="22"/>
  <c r="J49" i="22"/>
  <c r="J50" i="22"/>
  <c r="J51" i="22"/>
  <c r="J52" i="22"/>
  <c r="J53" i="22"/>
  <c r="J54" i="22"/>
  <c r="J55" i="22"/>
  <c r="K47" i="22"/>
  <c r="K48" i="22"/>
  <c r="K49" i="22"/>
  <c r="K50" i="22"/>
  <c r="K51" i="22"/>
  <c r="K52" i="22"/>
  <c r="K53" i="22"/>
  <c r="K54" i="22"/>
  <c r="K55" i="22"/>
  <c r="AB47" i="22"/>
  <c r="AB48" i="22"/>
  <c r="AB49" i="22"/>
  <c r="AB50" i="22"/>
  <c r="AB51" i="22"/>
  <c r="AB52" i="22"/>
  <c r="AB53" i="22"/>
  <c r="AB54" i="22"/>
  <c r="AB55" i="22"/>
  <c r="AE47" i="22"/>
  <c r="AE48" i="22"/>
  <c r="AE49" i="22"/>
  <c r="AE50" i="22"/>
  <c r="AE51" i="22"/>
  <c r="AE52" i="22"/>
  <c r="AE53" i="22"/>
  <c r="AE54" i="22"/>
  <c r="AE55" i="22"/>
  <c r="AF47" i="22"/>
  <c r="AF48" i="22"/>
  <c r="AF49" i="22"/>
  <c r="AF50" i="22"/>
  <c r="AF51" i="22"/>
  <c r="AF52" i="22"/>
  <c r="AF53" i="22"/>
  <c r="AF54" i="22"/>
  <c r="AF55" i="22"/>
  <c r="AG47" i="22"/>
  <c r="AG48" i="22"/>
  <c r="AG49" i="22"/>
  <c r="AG50" i="22"/>
  <c r="AG51" i="22"/>
  <c r="AG52" i="22"/>
  <c r="AG53" i="22"/>
  <c r="AG54" i="22"/>
  <c r="AG55" i="22"/>
  <c r="AJ47" i="22"/>
  <c r="AJ48" i="22"/>
  <c r="AJ49" i="22"/>
  <c r="AJ50" i="22"/>
  <c r="AJ51" i="22"/>
  <c r="AJ52" i="22"/>
  <c r="AJ53" i="22"/>
  <c r="AJ54" i="22"/>
  <c r="AJ55" i="22"/>
  <c r="AO47" i="22"/>
  <c r="AO48" i="22"/>
  <c r="AO49" i="22"/>
  <c r="AO50" i="22"/>
  <c r="AO51" i="22"/>
  <c r="AO52" i="22"/>
  <c r="AO53" i="22"/>
  <c r="AO54" i="22"/>
  <c r="AO55" i="22"/>
  <c r="AQ47" i="22"/>
  <c r="AQ48" i="22"/>
  <c r="AQ49" i="22"/>
  <c r="AQ50" i="22"/>
  <c r="AQ51" i="22"/>
  <c r="AQ52" i="22"/>
  <c r="AQ53" i="22"/>
  <c r="AQ54" i="22"/>
  <c r="AQ55" i="22"/>
  <c r="AY47" i="22"/>
  <c r="AY48" i="22"/>
  <c r="AY49" i="22"/>
  <c r="AY50" i="22"/>
  <c r="AY51" i="22"/>
  <c r="AY52" i="22"/>
  <c r="AY53" i="22"/>
  <c r="AY54" i="22"/>
  <c r="AY55" i="22"/>
  <c r="BC47" i="22"/>
  <c r="BC48" i="22"/>
  <c r="BC49" i="22"/>
  <c r="BC50" i="22"/>
  <c r="BC51" i="22"/>
  <c r="BC52" i="22"/>
  <c r="BC53" i="22"/>
  <c r="BC54" i="22"/>
  <c r="BC55" i="22"/>
  <c r="B7" i="1"/>
  <c r="B12" i="1"/>
  <c r="B14" i="1"/>
  <c r="B16" i="1"/>
  <c r="B20" i="1"/>
  <c r="B23" i="1"/>
  <c r="B26" i="1"/>
  <c r="B33" i="1"/>
  <c r="B36" i="1"/>
  <c r="B38" i="1"/>
  <c r="B40" i="1"/>
  <c r="B42" i="1"/>
  <c r="B44" i="1"/>
  <c r="B46" i="1"/>
  <c r="B48" i="1"/>
  <c r="B50" i="1"/>
  <c r="B61" i="1"/>
  <c r="B63" i="1"/>
  <c r="B74" i="1"/>
  <c r="B76" i="1"/>
  <c r="B78" i="1"/>
  <c r="B80" i="1"/>
  <c r="B84" i="1"/>
  <c r="B86" i="1"/>
  <c r="B90" i="1"/>
  <c r="B92" i="1"/>
  <c r="B94" i="1"/>
  <c r="B98" i="1"/>
  <c r="B101" i="1"/>
  <c r="B103" i="1"/>
  <c r="B105" i="1"/>
  <c r="B110" i="1"/>
  <c r="B115" i="1"/>
  <c r="B128" i="1"/>
  <c r="B138" i="1"/>
  <c r="B141" i="1"/>
  <c r="B143" i="1"/>
  <c r="B147" i="1"/>
  <c r="B157" i="1"/>
  <c r="B159" i="1"/>
  <c r="B162" i="1"/>
  <c r="B165" i="1"/>
  <c r="B169" i="1"/>
  <c r="B171" i="1"/>
  <c r="B184" i="1"/>
  <c r="B187" i="1"/>
  <c r="B190" i="1"/>
  <c r="B193" i="1"/>
  <c r="B196" i="1"/>
  <c r="B198" i="1"/>
  <c r="B201" i="1"/>
  <c r="B203" i="1"/>
  <c r="B206" i="1"/>
  <c r="B208" i="1"/>
  <c r="B212" i="1"/>
  <c r="B224" i="1"/>
  <c r="B226" i="1"/>
  <c r="B228" i="1"/>
  <c r="B234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L161" i="1"/>
  <c r="J123" i="22" s="1"/>
  <c r="L160" i="1"/>
  <c r="J122" i="22" s="1"/>
  <c r="J37" i="22"/>
  <c r="J38" i="22"/>
  <c r="J39" i="22"/>
  <c r="J40" i="22"/>
  <c r="J41" i="22"/>
  <c r="J42" i="22"/>
  <c r="J43" i="22"/>
  <c r="J44" i="22"/>
  <c r="J45" i="22"/>
  <c r="J46" i="22"/>
  <c r="K37" i="22"/>
  <c r="K38" i="22"/>
  <c r="K39" i="22"/>
  <c r="K40" i="22"/>
  <c r="K41" i="22"/>
  <c r="K42" i="22"/>
  <c r="K43" i="22"/>
  <c r="K44" i="22"/>
  <c r="K45" i="22"/>
  <c r="K46" i="22"/>
  <c r="AB37" i="22"/>
  <c r="AB38" i="22"/>
  <c r="AB39" i="22"/>
  <c r="AB40" i="22"/>
  <c r="AB41" i="22"/>
  <c r="AB42" i="22"/>
  <c r="AB43" i="22"/>
  <c r="AB44" i="22"/>
  <c r="AB45" i="22"/>
  <c r="AB46" i="22"/>
  <c r="AE37" i="22"/>
  <c r="AE38" i="22"/>
  <c r="AE39" i="22"/>
  <c r="AE40" i="22"/>
  <c r="AE41" i="22"/>
  <c r="AE42" i="22"/>
  <c r="AE43" i="22"/>
  <c r="AE44" i="22"/>
  <c r="AE45" i="22"/>
  <c r="AE46" i="22"/>
  <c r="AF37" i="22"/>
  <c r="AF38" i="22"/>
  <c r="AF39" i="22"/>
  <c r="AF40" i="22"/>
  <c r="AF41" i="22"/>
  <c r="AF42" i="22"/>
  <c r="AF43" i="22"/>
  <c r="AF44" i="22"/>
  <c r="AF45" i="22"/>
  <c r="AF46" i="22"/>
  <c r="AG37" i="22"/>
  <c r="AG38" i="22"/>
  <c r="AG39" i="22"/>
  <c r="AG40" i="22"/>
  <c r="AG41" i="22"/>
  <c r="AG42" i="22"/>
  <c r="AG43" i="22"/>
  <c r="AG44" i="22"/>
  <c r="AG45" i="22"/>
  <c r="AG46" i="22"/>
  <c r="AJ37" i="22"/>
  <c r="AJ38" i="22"/>
  <c r="AJ39" i="22"/>
  <c r="AJ40" i="22"/>
  <c r="AJ41" i="22"/>
  <c r="AJ42" i="22"/>
  <c r="AJ43" i="22"/>
  <c r="AJ44" i="22"/>
  <c r="AJ45" i="22"/>
  <c r="AJ46" i="22"/>
  <c r="AO37" i="22"/>
  <c r="AO38" i="22"/>
  <c r="AO39" i="22"/>
  <c r="AO40" i="22"/>
  <c r="AO41" i="22"/>
  <c r="AO42" i="22"/>
  <c r="AO43" i="22"/>
  <c r="AO44" i="22"/>
  <c r="AO45" i="22"/>
  <c r="AO46" i="22"/>
  <c r="AQ37" i="22"/>
  <c r="AQ38" i="22"/>
  <c r="AQ39" i="22"/>
  <c r="AQ40" i="22"/>
  <c r="AQ41" i="22"/>
  <c r="AQ42" i="22"/>
  <c r="AQ43" i="22"/>
  <c r="AQ44" i="22"/>
  <c r="AQ45" i="22"/>
  <c r="AQ46" i="22"/>
  <c r="AY37" i="22"/>
  <c r="AY38" i="22"/>
  <c r="AY39" i="22"/>
  <c r="AY40" i="22"/>
  <c r="AY41" i="22"/>
  <c r="AY42" i="22"/>
  <c r="AY43" i="22"/>
  <c r="AY44" i="22"/>
  <c r="AY45" i="22"/>
  <c r="AY46" i="22"/>
  <c r="BC37" i="22"/>
  <c r="BC38" i="22"/>
  <c r="BC39" i="22"/>
  <c r="BC40" i="22"/>
  <c r="BC41" i="22"/>
  <c r="BC42" i="22"/>
  <c r="BC43" i="22"/>
  <c r="BC44" i="22"/>
  <c r="BC45" i="22"/>
  <c r="BC46" i="22"/>
  <c r="L99" i="1" l="1"/>
  <c r="J73" i="22" s="1"/>
  <c r="L75" i="1"/>
  <c r="J58" i="22" s="1"/>
  <c r="J31" i="22"/>
  <c r="J32" i="22"/>
  <c r="J33" i="22"/>
  <c r="J34" i="22"/>
  <c r="J35" i="22"/>
  <c r="J36" i="22"/>
  <c r="K31" i="22"/>
  <c r="K32" i="22"/>
  <c r="K33" i="22"/>
  <c r="K34" i="22"/>
  <c r="K35" i="22"/>
  <c r="K36" i="22"/>
  <c r="AB31" i="22"/>
  <c r="AB32" i="22"/>
  <c r="AB33" i="22"/>
  <c r="AB34" i="22"/>
  <c r="AB35" i="22"/>
  <c r="AB36" i="22"/>
  <c r="AE31" i="22"/>
  <c r="AE32" i="22"/>
  <c r="AE33" i="22"/>
  <c r="AE34" i="22"/>
  <c r="AE35" i="22"/>
  <c r="AE36" i="22"/>
  <c r="AF31" i="22"/>
  <c r="AF32" i="22"/>
  <c r="AF33" i="22"/>
  <c r="AF34" i="22"/>
  <c r="AF35" i="22"/>
  <c r="AF36" i="22"/>
  <c r="AG31" i="22"/>
  <c r="AG32" i="22"/>
  <c r="AG33" i="22"/>
  <c r="AG34" i="22"/>
  <c r="AG35" i="22"/>
  <c r="AG36" i="22"/>
  <c r="AJ31" i="22"/>
  <c r="AJ32" i="22"/>
  <c r="AJ33" i="22"/>
  <c r="AJ34" i="22"/>
  <c r="AJ35" i="22"/>
  <c r="AJ36" i="22"/>
  <c r="AO31" i="22"/>
  <c r="AO32" i="22"/>
  <c r="AO33" i="22"/>
  <c r="AO34" i="22"/>
  <c r="AO35" i="22"/>
  <c r="AO36" i="22"/>
  <c r="AQ31" i="22"/>
  <c r="AQ32" i="22"/>
  <c r="AQ33" i="22"/>
  <c r="AQ34" i="22"/>
  <c r="AQ35" i="22"/>
  <c r="AQ36" i="22"/>
  <c r="AY31" i="22"/>
  <c r="AY32" i="22"/>
  <c r="AY33" i="22"/>
  <c r="AY34" i="22"/>
  <c r="AY35" i="22"/>
  <c r="AY36" i="22"/>
  <c r="BC31" i="22"/>
  <c r="BC32" i="22"/>
  <c r="BC33" i="22"/>
  <c r="BC34" i="22"/>
  <c r="BC35" i="22"/>
  <c r="BC36" i="22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J30" i="22"/>
  <c r="K30" i="22"/>
  <c r="AE30" i="22"/>
  <c r="AF30" i="22"/>
  <c r="AG30" i="22"/>
  <c r="AY30" i="22" s="1"/>
  <c r="AJ30" i="22"/>
  <c r="AO30" i="22"/>
  <c r="BC30" i="22" s="1"/>
  <c r="AQ30" i="22"/>
  <c r="AS15" i="1"/>
  <c r="AN15" i="1"/>
  <c r="AM15" i="1"/>
  <c r="AF15" i="1"/>
  <c r="AE15" i="1"/>
  <c r="V15" i="1"/>
  <c r="AC14" i="1"/>
  <c r="AD14" i="1"/>
  <c r="AE14" i="1"/>
  <c r="AF14" i="1"/>
  <c r="V14" i="1" s="1"/>
  <c r="AG14" i="1"/>
  <c r="AH14" i="1"/>
  <c r="AI14" i="1"/>
  <c r="AJ14" i="1"/>
  <c r="AK14" i="1"/>
  <c r="AM14" i="1"/>
  <c r="AN14" i="1"/>
  <c r="AO14" i="1"/>
  <c r="AP14" i="1"/>
  <c r="AQ14" i="1"/>
  <c r="AR14" i="1"/>
  <c r="AS14" i="1"/>
  <c r="AT14" i="1"/>
  <c r="AU14" i="1"/>
  <c r="AV14" i="1"/>
  <c r="AW14" i="1"/>
  <c r="D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C57" i="23"/>
  <c r="C50" i="23"/>
  <c r="C40" i="23"/>
  <c r="C39" i="23"/>
  <c r="C38" i="23"/>
  <c r="C37" i="23"/>
  <c r="C8" i="23"/>
  <c r="C6" i="23"/>
  <c r="C3" i="23"/>
  <c r="W15" i="1" l="1"/>
  <c r="AQ15" i="1"/>
  <c r="AP15" i="1"/>
  <c r="AO15" i="1"/>
  <c r="W14" i="1"/>
  <c r="X14" i="1"/>
  <c r="Y14" i="1"/>
  <c r="Z14" i="1"/>
  <c r="AA14" i="1"/>
  <c r="X15" i="1" l="1"/>
  <c r="Y15" i="1" l="1"/>
  <c r="Z15" i="1" s="1"/>
  <c r="AA15" i="1" s="1"/>
  <c r="AE29" i="22" l="1"/>
  <c r="AF29" i="22"/>
  <c r="AG29" i="22"/>
  <c r="AY29" i="22" s="1"/>
  <c r="AO29" i="22"/>
  <c r="BC29" i="22" s="1"/>
  <c r="AQ29" i="22"/>
  <c r="AF153" i="1"/>
  <c r="AN153" i="1"/>
  <c r="AQ153" i="1"/>
  <c r="AF89" i="1"/>
  <c r="AF90" i="1"/>
  <c r="AF91" i="1"/>
  <c r="AN89" i="1"/>
  <c r="AN90" i="1"/>
  <c r="AN91" i="1"/>
  <c r="AQ89" i="1"/>
  <c r="AQ90" i="1"/>
  <c r="AQ91" i="1"/>
  <c r="AS89" i="1"/>
  <c r="AS90" i="1"/>
  <c r="AS91" i="1"/>
  <c r="AF77" i="1"/>
  <c r="AF78" i="1"/>
  <c r="AN77" i="1"/>
  <c r="AN78" i="1"/>
  <c r="AQ77" i="1"/>
  <c r="AQ78" i="1"/>
  <c r="AS77" i="1"/>
  <c r="AS78" i="1"/>
  <c r="AC76" i="1"/>
  <c r="AD76" i="1"/>
  <c r="AE76" i="1"/>
  <c r="AF75" i="1"/>
  <c r="AF76" i="1"/>
  <c r="V76" i="1" s="1"/>
  <c r="AF79" i="1"/>
  <c r="AG76" i="1"/>
  <c r="AH76" i="1"/>
  <c r="AI76" i="1"/>
  <c r="AJ76" i="1"/>
  <c r="AK76" i="1"/>
  <c r="AM76" i="1"/>
  <c r="AM79" i="1"/>
  <c r="AN75" i="1"/>
  <c r="AN76" i="1"/>
  <c r="AN79" i="1"/>
  <c r="AO76" i="1"/>
  <c r="AP76" i="1"/>
  <c r="AQ75" i="1"/>
  <c r="AQ76" i="1"/>
  <c r="AQ79" i="1"/>
  <c r="AR76" i="1"/>
  <c r="AS75" i="1"/>
  <c r="AS76" i="1"/>
  <c r="AS79" i="1"/>
  <c r="AT76" i="1"/>
  <c r="AU76" i="1"/>
  <c r="AV76" i="1"/>
  <c r="AW76" i="1"/>
  <c r="AC74" i="1"/>
  <c r="AD74" i="1"/>
  <c r="AE74" i="1"/>
  <c r="AF74" i="1"/>
  <c r="V74" i="1" s="1"/>
  <c r="AG74" i="1"/>
  <c r="AH74" i="1"/>
  <c r="AI74" i="1"/>
  <c r="AJ74" i="1"/>
  <c r="AK74" i="1"/>
  <c r="AM74" i="1"/>
  <c r="AN74" i="1"/>
  <c r="AO74" i="1"/>
  <c r="AP74" i="1"/>
  <c r="AQ74" i="1"/>
  <c r="AR74" i="1"/>
  <c r="AS74" i="1"/>
  <c r="AT74" i="1"/>
  <c r="AU74" i="1"/>
  <c r="AV74" i="1"/>
  <c r="AW74" i="1"/>
  <c r="AF71" i="1"/>
  <c r="AF72" i="1"/>
  <c r="AF73" i="1"/>
  <c r="AN71" i="1"/>
  <c r="AN72" i="1"/>
  <c r="AN73" i="1"/>
  <c r="AQ71" i="1"/>
  <c r="AQ72" i="1"/>
  <c r="AQ73" i="1"/>
  <c r="AS71" i="1"/>
  <c r="AS72" i="1"/>
  <c r="AS73" i="1"/>
  <c r="AC193" i="1"/>
  <c r="AC228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D193" i="1"/>
  <c r="AD228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E193" i="1"/>
  <c r="AE228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F62" i="1"/>
  <c r="AF63" i="1"/>
  <c r="AF64" i="1"/>
  <c r="AF65" i="1"/>
  <c r="AF66" i="1"/>
  <c r="AF67" i="1"/>
  <c r="AF68" i="1"/>
  <c r="AF69" i="1"/>
  <c r="AF70" i="1"/>
  <c r="AF80" i="1"/>
  <c r="AF81" i="1"/>
  <c r="AF82" i="1"/>
  <c r="AF83" i="1"/>
  <c r="AF84" i="1"/>
  <c r="AF85" i="1"/>
  <c r="AF86" i="1"/>
  <c r="AF87" i="1"/>
  <c r="AF88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V193" i="1" s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V228" i="1" s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V268" i="1" s="1"/>
  <c r="AF269" i="1"/>
  <c r="V269" i="1" s="1"/>
  <c r="AF270" i="1"/>
  <c r="V270" i="1" s="1"/>
  <c r="AF271" i="1"/>
  <c r="V271" i="1" s="1"/>
  <c r="AF272" i="1"/>
  <c r="V272" i="1" s="1"/>
  <c r="AF273" i="1"/>
  <c r="V273" i="1" s="1"/>
  <c r="AF274" i="1"/>
  <c r="V274" i="1" s="1"/>
  <c r="AF275" i="1"/>
  <c r="V275" i="1" s="1"/>
  <c r="AF276" i="1"/>
  <c r="V276" i="1" s="1"/>
  <c r="AF277" i="1"/>
  <c r="V277" i="1" s="1"/>
  <c r="AF278" i="1"/>
  <c r="V278" i="1" s="1"/>
  <c r="AF279" i="1"/>
  <c r="V279" i="1" s="1"/>
  <c r="AF280" i="1"/>
  <c r="V280" i="1" s="1"/>
  <c r="AF281" i="1"/>
  <c r="V281" i="1" s="1"/>
  <c r="AF282" i="1"/>
  <c r="V282" i="1" s="1"/>
  <c r="AF283" i="1"/>
  <c r="V283" i="1" s="1"/>
  <c r="AF284" i="1"/>
  <c r="V284" i="1" s="1"/>
  <c r="AF285" i="1"/>
  <c r="V285" i="1" s="1"/>
  <c r="AF286" i="1"/>
  <c r="V286" i="1" s="1"/>
  <c r="AF287" i="1"/>
  <c r="V287" i="1" s="1"/>
  <c r="AF288" i="1"/>
  <c r="V288" i="1" s="1"/>
  <c r="AF289" i="1"/>
  <c r="V289" i="1" s="1"/>
  <c r="AF290" i="1"/>
  <c r="V290" i="1" s="1"/>
  <c r="AF291" i="1"/>
  <c r="V291" i="1" s="1"/>
  <c r="AF292" i="1"/>
  <c r="V292" i="1" s="1"/>
  <c r="AF293" i="1"/>
  <c r="V293" i="1" s="1"/>
  <c r="AF294" i="1"/>
  <c r="V294" i="1" s="1"/>
  <c r="AF295" i="1"/>
  <c r="V295" i="1" s="1"/>
  <c r="AF296" i="1"/>
  <c r="V296" i="1" s="1"/>
  <c r="AF297" i="1"/>
  <c r="V297" i="1" s="1"/>
  <c r="AF298" i="1"/>
  <c r="V298" i="1" s="1"/>
  <c r="AF299" i="1"/>
  <c r="V299" i="1" s="1"/>
  <c r="AF300" i="1"/>
  <c r="V300" i="1" s="1"/>
  <c r="AF301" i="1"/>
  <c r="V301" i="1" s="1"/>
  <c r="AF302" i="1"/>
  <c r="V302" i="1" s="1"/>
  <c r="AF303" i="1"/>
  <c r="V303" i="1" s="1"/>
  <c r="AF304" i="1"/>
  <c r="V304" i="1" s="1"/>
  <c r="AF305" i="1"/>
  <c r="V305" i="1" s="1"/>
  <c r="AF306" i="1"/>
  <c r="V306" i="1" s="1"/>
  <c r="AF307" i="1"/>
  <c r="V307" i="1" s="1"/>
  <c r="AF308" i="1"/>
  <c r="V308" i="1" s="1"/>
  <c r="AF309" i="1"/>
  <c r="V309" i="1" s="1"/>
  <c r="AF310" i="1"/>
  <c r="V310" i="1" s="1"/>
  <c r="AF311" i="1"/>
  <c r="V311" i="1" s="1"/>
  <c r="AF312" i="1"/>
  <c r="V312" i="1" s="1"/>
  <c r="AF313" i="1"/>
  <c r="V313" i="1" s="1"/>
  <c r="AF314" i="1"/>
  <c r="V314" i="1" s="1"/>
  <c r="AF315" i="1"/>
  <c r="V315" i="1" s="1"/>
  <c r="AF316" i="1"/>
  <c r="V316" i="1" s="1"/>
  <c r="AF317" i="1"/>
  <c r="V317" i="1" s="1"/>
  <c r="AF318" i="1"/>
  <c r="V318" i="1" s="1"/>
  <c r="AF319" i="1"/>
  <c r="V319" i="1" s="1"/>
  <c r="AF320" i="1"/>
  <c r="V320" i="1" s="1"/>
  <c r="AF321" i="1"/>
  <c r="V321" i="1" s="1"/>
  <c r="AF322" i="1"/>
  <c r="V322" i="1" s="1"/>
  <c r="AF323" i="1"/>
  <c r="V323" i="1" s="1"/>
  <c r="AF324" i="1"/>
  <c r="V324" i="1" s="1"/>
  <c r="AF325" i="1"/>
  <c r="V325" i="1" s="1"/>
  <c r="AF326" i="1"/>
  <c r="V326" i="1" s="1"/>
  <c r="AF327" i="1"/>
  <c r="V327" i="1" s="1"/>
  <c r="AF328" i="1"/>
  <c r="V328" i="1" s="1"/>
  <c r="AF329" i="1"/>
  <c r="V329" i="1" s="1"/>
  <c r="AF330" i="1"/>
  <c r="V330" i="1" s="1"/>
  <c r="AF331" i="1"/>
  <c r="V331" i="1" s="1"/>
  <c r="AF332" i="1"/>
  <c r="V332" i="1" s="1"/>
  <c r="AF333" i="1"/>
  <c r="V333" i="1" s="1"/>
  <c r="AF334" i="1"/>
  <c r="V334" i="1" s="1"/>
  <c r="AF335" i="1"/>
  <c r="V335" i="1" s="1"/>
  <c r="AF336" i="1"/>
  <c r="V336" i="1" s="1"/>
  <c r="AF337" i="1"/>
  <c r="V337" i="1" s="1"/>
  <c r="AF338" i="1"/>
  <c r="V338" i="1" s="1"/>
  <c r="AF339" i="1"/>
  <c r="V339" i="1" s="1"/>
  <c r="AF340" i="1"/>
  <c r="V340" i="1" s="1"/>
  <c r="AF341" i="1"/>
  <c r="V341" i="1" s="1"/>
  <c r="AF342" i="1"/>
  <c r="V342" i="1" s="1"/>
  <c r="AF343" i="1"/>
  <c r="V343" i="1" s="1"/>
  <c r="AF344" i="1"/>
  <c r="V344" i="1" s="1"/>
  <c r="AF345" i="1"/>
  <c r="V345" i="1" s="1"/>
  <c r="AF346" i="1"/>
  <c r="V346" i="1" s="1"/>
  <c r="AF347" i="1"/>
  <c r="V347" i="1" s="1"/>
  <c r="AF348" i="1"/>
  <c r="V348" i="1" s="1"/>
  <c r="AF349" i="1"/>
  <c r="V349" i="1" s="1"/>
  <c r="AF350" i="1"/>
  <c r="V350" i="1" s="1"/>
  <c r="AF351" i="1"/>
  <c r="V351" i="1" s="1"/>
  <c r="AF352" i="1"/>
  <c r="V352" i="1" s="1"/>
  <c r="AF353" i="1"/>
  <c r="V353" i="1" s="1"/>
  <c r="AF354" i="1"/>
  <c r="V354" i="1" s="1"/>
  <c r="AF355" i="1"/>
  <c r="V355" i="1" s="1"/>
  <c r="AF356" i="1"/>
  <c r="V356" i="1" s="1"/>
  <c r="AF357" i="1"/>
  <c r="V357" i="1" s="1"/>
  <c r="AF358" i="1"/>
  <c r="V358" i="1" s="1"/>
  <c r="AF359" i="1"/>
  <c r="V359" i="1" s="1"/>
  <c r="AF360" i="1"/>
  <c r="V360" i="1" s="1"/>
  <c r="AF361" i="1"/>
  <c r="V361" i="1" s="1"/>
  <c r="AF362" i="1"/>
  <c r="V362" i="1" s="1"/>
  <c r="AF363" i="1"/>
  <c r="V363" i="1" s="1"/>
  <c r="AF364" i="1"/>
  <c r="V364" i="1" s="1"/>
  <c r="AF365" i="1"/>
  <c r="V365" i="1" s="1"/>
  <c r="AF366" i="1"/>
  <c r="V366" i="1" s="1"/>
  <c r="AF367" i="1"/>
  <c r="V367" i="1" s="1"/>
  <c r="AF368" i="1"/>
  <c r="V368" i="1" s="1"/>
  <c r="AF369" i="1"/>
  <c r="V369" i="1" s="1"/>
  <c r="AF370" i="1"/>
  <c r="V370" i="1" s="1"/>
  <c r="AF371" i="1"/>
  <c r="V371" i="1" s="1"/>
  <c r="AF372" i="1"/>
  <c r="V372" i="1" s="1"/>
  <c r="AF373" i="1"/>
  <c r="V373" i="1" s="1"/>
  <c r="AF374" i="1"/>
  <c r="V374" i="1" s="1"/>
  <c r="AF375" i="1"/>
  <c r="V375" i="1" s="1"/>
  <c r="AF376" i="1"/>
  <c r="V376" i="1" s="1"/>
  <c r="AF377" i="1"/>
  <c r="V377" i="1" s="1"/>
  <c r="AF378" i="1"/>
  <c r="V378" i="1" s="1"/>
  <c r="AF379" i="1"/>
  <c r="V379" i="1" s="1"/>
  <c r="AF380" i="1"/>
  <c r="V380" i="1" s="1"/>
  <c r="AF381" i="1"/>
  <c r="V381" i="1" s="1"/>
  <c r="AF382" i="1"/>
  <c r="V382" i="1" s="1"/>
  <c r="AF383" i="1"/>
  <c r="V383" i="1" s="1"/>
  <c r="AF384" i="1"/>
  <c r="V384" i="1" s="1"/>
  <c r="AF385" i="1"/>
  <c r="V385" i="1" s="1"/>
  <c r="AF386" i="1"/>
  <c r="V386" i="1" s="1"/>
  <c r="AF387" i="1"/>
  <c r="V387" i="1" s="1"/>
  <c r="AF388" i="1"/>
  <c r="V388" i="1" s="1"/>
  <c r="AF389" i="1"/>
  <c r="V389" i="1" s="1"/>
  <c r="AF390" i="1"/>
  <c r="V390" i="1" s="1"/>
  <c r="AF391" i="1"/>
  <c r="V391" i="1" s="1"/>
  <c r="AF392" i="1"/>
  <c r="V392" i="1" s="1"/>
  <c r="AF393" i="1"/>
  <c r="V393" i="1" s="1"/>
  <c r="AF394" i="1"/>
  <c r="V394" i="1" s="1"/>
  <c r="AF395" i="1"/>
  <c r="V395" i="1" s="1"/>
  <c r="AF396" i="1"/>
  <c r="V396" i="1" s="1"/>
  <c r="AF397" i="1"/>
  <c r="V397" i="1" s="1"/>
  <c r="AF398" i="1"/>
  <c r="V398" i="1" s="1"/>
  <c r="AF399" i="1"/>
  <c r="V399" i="1" s="1"/>
  <c r="AF400" i="1"/>
  <c r="V400" i="1" s="1"/>
  <c r="AF401" i="1"/>
  <c r="V401" i="1" s="1"/>
  <c r="AF402" i="1"/>
  <c r="V402" i="1" s="1"/>
  <c r="AF403" i="1"/>
  <c r="V403" i="1" s="1"/>
  <c r="AF404" i="1"/>
  <c r="V404" i="1" s="1"/>
  <c r="AF405" i="1"/>
  <c r="V405" i="1" s="1"/>
  <c r="AF406" i="1"/>
  <c r="V406" i="1" s="1"/>
  <c r="AF407" i="1"/>
  <c r="V407" i="1" s="1"/>
  <c r="AF408" i="1"/>
  <c r="V408" i="1" s="1"/>
  <c r="AF409" i="1"/>
  <c r="V409" i="1" s="1"/>
  <c r="AF410" i="1"/>
  <c r="V410" i="1" s="1"/>
  <c r="AF411" i="1"/>
  <c r="V411" i="1" s="1"/>
  <c r="AF412" i="1"/>
  <c r="V412" i="1" s="1"/>
  <c r="AF413" i="1"/>
  <c r="V413" i="1" s="1"/>
  <c r="AF414" i="1"/>
  <c r="V414" i="1" s="1"/>
  <c r="AF415" i="1"/>
  <c r="V415" i="1" s="1"/>
  <c r="AF416" i="1"/>
  <c r="V416" i="1" s="1"/>
  <c r="AF417" i="1"/>
  <c r="V417" i="1" s="1"/>
  <c r="AF418" i="1"/>
  <c r="V418" i="1" s="1"/>
  <c r="AF419" i="1"/>
  <c r="V419" i="1" s="1"/>
  <c r="AF420" i="1"/>
  <c r="V420" i="1" s="1"/>
  <c r="AF421" i="1"/>
  <c r="V421" i="1" s="1"/>
  <c r="AF422" i="1"/>
  <c r="V422" i="1" s="1"/>
  <c r="AF423" i="1"/>
  <c r="V423" i="1" s="1"/>
  <c r="AF424" i="1"/>
  <c r="V424" i="1" s="1"/>
  <c r="AF425" i="1"/>
  <c r="V425" i="1" s="1"/>
  <c r="AF426" i="1"/>
  <c r="V426" i="1" s="1"/>
  <c r="AF427" i="1"/>
  <c r="V427" i="1" s="1"/>
  <c r="AF428" i="1"/>
  <c r="V428" i="1" s="1"/>
  <c r="AF429" i="1"/>
  <c r="V429" i="1" s="1"/>
  <c r="AF430" i="1"/>
  <c r="V430" i="1" s="1"/>
  <c r="AF431" i="1"/>
  <c r="V431" i="1" s="1"/>
  <c r="AF432" i="1"/>
  <c r="V432" i="1" s="1"/>
  <c r="AF433" i="1"/>
  <c r="V433" i="1" s="1"/>
  <c r="AF434" i="1"/>
  <c r="V434" i="1" s="1"/>
  <c r="AF435" i="1"/>
  <c r="V435" i="1" s="1"/>
  <c r="AF436" i="1"/>
  <c r="V436" i="1" s="1"/>
  <c r="AF437" i="1"/>
  <c r="V437" i="1" s="1"/>
  <c r="AF438" i="1"/>
  <c r="V438" i="1" s="1"/>
  <c r="AF439" i="1"/>
  <c r="V439" i="1" s="1"/>
  <c r="AF440" i="1"/>
  <c r="V440" i="1" s="1"/>
  <c r="AF441" i="1"/>
  <c r="V441" i="1" s="1"/>
  <c r="AF442" i="1"/>
  <c r="V442" i="1" s="1"/>
  <c r="AF443" i="1"/>
  <c r="V443" i="1" s="1"/>
  <c r="AF444" i="1"/>
  <c r="V444" i="1" s="1"/>
  <c r="AF445" i="1"/>
  <c r="V445" i="1" s="1"/>
  <c r="AF446" i="1"/>
  <c r="V446" i="1" s="1"/>
  <c r="AF447" i="1"/>
  <c r="V447" i="1" s="1"/>
  <c r="AF448" i="1"/>
  <c r="V448" i="1" s="1"/>
  <c r="AF449" i="1"/>
  <c r="V449" i="1" s="1"/>
  <c r="AF450" i="1"/>
  <c r="V450" i="1" s="1"/>
  <c r="AF451" i="1"/>
  <c r="V451" i="1" s="1"/>
  <c r="AF452" i="1"/>
  <c r="V452" i="1" s="1"/>
  <c r="AF453" i="1"/>
  <c r="V453" i="1" s="1"/>
  <c r="AF454" i="1"/>
  <c r="V454" i="1" s="1"/>
  <c r="AF455" i="1"/>
  <c r="V455" i="1" s="1"/>
  <c r="AF456" i="1"/>
  <c r="V456" i="1" s="1"/>
  <c r="AF457" i="1"/>
  <c r="V457" i="1" s="1"/>
  <c r="AF458" i="1"/>
  <c r="V458" i="1" s="1"/>
  <c r="AF459" i="1"/>
  <c r="V459" i="1" s="1"/>
  <c r="AF460" i="1"/>
  <c r="V460" i="1" s="1"/>
  <c r="AF461" i="1"/>
  <c r="V461" i="1" s="1"/>
  <c r="AF462" i="1"/>
  <c r="V462" i="1" s="1"/>
  <c r="AF463" i="1"/>
  <c r="V463" i="1" s="1"/>
  <c r="AF464" i="1"/>
  <c r="V464" i="1" s="1"/>
  <c r="AF465" i="1"/>
  <c r="V465" i="1" s="1"/>
  <c r="AF466" i="1"/>
  <c r="V466" i="1" s="1"/>
  <c r="AF467" i="1"/>
  <c r="V467" i="1" s="1"/>
  <c r="AF468" i="1"/>
  <c r="V468" i="1" s="1"/>
  <c r="AF469" i="1"/>
  <c r="V469" i="1" s="1"/>
  <c r="AF470" i="1"/>
  <c r="V470" i="1" s="1"/>
  <c r="AF471" i="1"/>
  <c r="V471" i="1" s="1"/>
  <c r="AF472" i="1"/>
  <c r="V472" i="1" s="1"/>
  <c r="AF473" i="1"/>
  <c r="V473" i="1" s="1"/>
  <c r="AF474" i="1"/>
  <c r="V474" i="1" s="1"/>
  <c r="AF475" i="1"/>
  <c r="V475" i="1" s="1"/>
  <c r="AF476" i="1"/>
  <c r="V476" i="1" s="1"/>
  <c r="AF477" i="1"/>
  <c r="V477" i="1" s="1"/>
  <c r="AF478" i="1"/>
  <c r="V478" i="1" s="1"/>
  <c r="AF479" i="1"/>
  <c r="V479" i="1" s="1"/>
  <c r="AF480" i="1"/>
  <c r="V480" i="1" s="1"/>
  <c r="AF481" i="1"/>
  <c r="V481" i="1" s="1"/>
  <c r="AF482" i="1"/>
  <c r="V482" i="1" s="1"/>
  <c r="AF483" i="1"/>
  <c r="V483" i="1" s="1"/>
  <c r="AF484" i="1"/>
  <c r="V484" i="1" s="1"/>
  <c r="AF485" i="1"/>
  <c r="V485" i="1" s="1"/>
  <c r="AF486" i="1"/>
  <c r="V486" i="1" s="1"/>
  <c r="AF487" i="1"/>
  <c r="V487" i="1" s="1"/>
  <c r="AF488" i="1"/>
  <c r="V488" i="1" s="1"/>
  <c r="AF489" i="1"/>
  <c r="V489" i="1" s="1"/>
  <c r="AF490" i="1"/>
  <c r="V490" i="1" s="1"/>
  <c r="AF491" i="1"/>
  <c r="V491" i="1" s="1"/>
  <c r="AF492" i="1"/>
  <c r="V492" i="1" s="1"/>
  <c r="AF493" i="1"/>
  <c r="V493" i="1" s="1"/>
  <c r="AF494" i="1"/>
  <c r="V494" i="1" s="1"/>
  <c r="AF495" i="1"/>
  <c r="V495" i="1" s="1"/>
  <c r="AF496" i="1"/>
  <c r="V496" i="1" s="1"/>
  <c r="AF497" i="1"/>
  <c r="V497" i="1" s="1"/>
  <c r="AF498" i="1"/>
  <c r="V498" i="1" s="1"/>
  <c r="AF499" i="1"/>
  <c r="V499" i="1" s="1"/>
  <c r="AF500" i="1"/>
  <c r="V500" i="1" s="1"/>
  <c r="AF501" i="1"/>
  <c r="V501" i="1" s="1"/>
  <c r="AF502" i="1"/>
  <c r="V502" i="1" s="1"/>
  <c r="AF503" i="1"/>
  <c r="V503" i="1" s="1"/>
  <c r="AF504" i="1"/>
  <c r="V504" i="1" s="1"/>
  <c r="AF505" i="1"/>
  <c r="V505" i="1" s="1"/>
  <c r="AF506" i="1"/>
  <c r="V506" i="1" s="1"/>
  <c r="AF507" i="1"/>
  <c r="V507" i="1" s="1"/>
  <c r="AF508" i="1"/>
  <c r="V508" i="1" s="1"/>
  <c r="AF509" i="1"/>
  <c r="V509" i="1" s="1"/>
  <c r="AF510" i="1"/>
  <c r="V510" i="1" s="1"/>
  <c r="AF511" i="1"/>
  <c r="V511" i="1" s="1"/>
  <c r="AF512" i="1"/>
  <c r="V512" i="1" s="1"/>
  <c r="AF513" i="1"/>
  <c r="V513" i="1" s="1"/>
  <c r="AF514" i="1"/>
  <c r="V514" i="1" s="1"/>
  <c r="AF515" i="1"/>
  <c r="V515" i="1" s="1"/>
  <c r="AF516" i="1"/>
  <c r="V516" i="1" s="1"/>
  <c r="AF517" i="1"/>
  <c r="V517" i="1" s="1"/>
  <c r="AF518" i="1"/>
  <c r="V518" i="1" s="1"/>
  <c r="AF519" i="1"/>
  <c r="V519" i="1" s="1"/>
  <c r="AF520" i="1"/>
  <c r="V520" i="1" s="1"/>
  <c r="AF521" i="1"/>
  <c r="V521" i="1" s="1"/>
  <c r="AF522" i="1"/>
  <c r="V522" i="1" s="1"/>
  <c r="AF523" i="1"/>
  <c r="V523" i="1" s="1"/>
  <c r="AF524" i="1"/>
  <c r="V524" i="1" s="1"/>
  <c r="AF525" i="1"/>
  <c r="V525" i="1" s="1"/>
  <c r="AF526" i="1"/>
  <c r="V526" i="1" s="1"/>
  <c r="AF527" i="1"/>
  <c r="V527" i="1" s="1"/>
  <c r="AF528" i="1"/>
  <c r="V528" i="1" s="1"/>
  <c r="AF529" i="1"/>
  <c r="V529" i="1" s="1"/>
  <c r="AF530" i="1"/>
  <c r="V530" i="1" s="1"/>
  <c r="AF531" i="1"/>
  <c r="V531" i="1" s="1"/>
  <c r="AF532" i="1"/>
  <c r="V532" i="1" s="1"/>
  <c r="AF533" i="1"/>
  <c r="V533" i="1" s="1"/>
  <c r="AF534" i="1"/>
  <c r="V534" i="1" s="1"/>
  <c r="AF535" i="1"/>
  <c r="V535" i="1" s="1"/>
  <c r="AF536" i="1"/>
  <c r="V536" i="1" s="1"/>
  <c r="AF537" i="1"/>
  <c r="V537" i="1" s="1"/>
  <c r="AF538" i="1"/>
  <c r="V538" i="1" s="1"/>
  <c r="AF539" i="1"/>
  <c r="V539" i="1" s="1"/>
  <c r="AF540" i="1"/>
  <c r="V540" i="1" s="1"/>
  <c r="AF541" i="1"/>
  <c r="V541" i="1" s="1"/>
  <c r="AF542" i="1"/>
  <c r="V542" i="1" s="1"/>
  <c r="AF543" i="1"/>
  <c r="V543" i="1" s="1"/>
  <c r="AF544" i="1"/>
  <c r="V544" i="1" s="1"/>
  <c r="AF545" i="1"/>
  <c r="V545" i="1" s="1"/>
  <c r="AF546" i="1"/>
  <c r="V546" i="1" s="1"/>
  <c r="AF547" i="1"/>
  <c r="V547" i="1" s="1"/>
  <c r="AF548" i="1"/>
  <c r="V548" i="1" s="1"/>
  <c r="AF549" i="1"/>
  <c r="V549" i="1" s="1"/>
  <c r="AF550" i="1"/>
  <c r="V550" i="1" s="1"/>
  <c r="AF551" i="1"/>
  <c r="V551" i="1" s="1"/>
  <c r="AF552" i="1"/>
  <c r="V552" i="1" s="1"/>
  <c r="AF553" i="1"/>
  <c r="V553" i="1" s="1"/>
  <c r="AF554" i="1"/>
  <c r="V554" i="1" s="1"/>
  <c r="AF555" i="1"/>
  <c r="V555" i="1" s="1"/>
  <c r="AF556" i="1"/>
  <c r="V556" i="1" s="1"/>
  <c r="AF557" i="1"/>
  <c r="V557" i="1" s="1"/>
  <c r="AF558" i="1"/>
  <c r="V558" i="1" s="1"/>
  <c r="AF559" i="1"/>
  <c r="V559" i="1" s="1"/>
  <c r="AF560" i="1"/>
  <c r="V560" i="1" s="1"/>
  <c r="AF561" i="1"/>
  <c r="V561" i="1" s="1"/>
  <c r="AF562" i="1"/>
  <c r="V562" i="1" s="1"/>
  <c r="AF563" i="1"/>
  <c r="V563" i="1" s="1"/>
  <c r="AF564" i="1"/>
  <c r="V564" i="1" s="1"/>
  <c r="AF565" i="1"/>
  <c r="V565" i="1" s="1"/>
  <c r="AF566" i="1"/>
  <c r="V566" i="1" s="1"/>
  <c r="AF567" i="1"/>
  <c r="V567" i="1" s="1"/>
  <c r="AF568" i="1"/>
  <c r="V568" i="1" s="1"/>
  <c r="AF569" i="1"/>
  <c r="V569" i="1" s="1"/>
  <c r="AF570" i="1"/>
  <c r="V570" i="1" s="1"/>
  <c r="AF571" i="1"/>
  <c r="V571" i="1" s="1"/>
  <c r="AF572" i="1"/>
  <c r="V572" i="1" s="1"/>
  <c r="AF573" i="1"/>
  <c r="V573" i="1" s="1"/>
  <c r="AF574" i="1"/>
  <c r="V574" i="1" s="1"/>
  <c r="AF575" i="1"/>
  <c r="V575" i="1" s="1"/>
  <c r="AF576" i="1"/>
  <c r="V576" i="1" s="1"/>
  <c r="AF577" i="1"/>
  <c r="V577" i="1" s="1"/>
  <c r="AF578" i="1"/>
  <c r="V578" i="1" s="1"/>
  <c r="AF579" i="1"/>
  <c r="V579" i="1" s="1"/>
  <c r="AF580" i="1"/>
  <c r="V580" i="1" s="1"/>
  <c r="AF581" i="1"/>
  <c r="V581" i="1" s="1"/>
  <c r="AF582" i="1"/>
  <c r="V582" i="1" s="1"/>
  <c r="AF583" i="1"/>
  <c r="V583" i="1" s="1"/>
  <c r="AF584" i="1"/>
  <c r="V584" i="1" s="1"/>
  <c r="AF585" i="1"/>
  <c r="V585" i="1" s="1"/>
  <c r="AF586" i="1"/>
  <c r="V586" i="1" s="1"/>
  <c r="AF587" i="1"/>
  <c r="V587" i="1" s="1"/>
  <c r="AF588" i="1"/>
  <c r="V588" i="1" s="1"/>
  <c r="AF589" i="1"/>
  <c r="V589" i="1" s="1"/>
  <c r="AF590" i="1"/>
  <c r="V590" i="1" s="1"/>
  <c r="AF591" i="1"/>
  <c r="V591" i="1" s="1"/>
  <c r="AF592" i="1"/>
  <c r="V592" i="1" s="1"/>
  <c r="AF593" i="1"/>
  <c r="V593" i="1" s="1"/>
  <c r="AF594" i="1"/>
  <c r="V594" i="1" s="1"/>
  <c r="AF595" i="1"/>
  <c r="V595" i="1" s="1"/>
  <c r="AF596" i="1"/>
  <c r="V596" i="1" s="1"/>
  <c r="AF597" i="1"/>
  <c r="V597" i="1" s="1"/>
  <c r="AF598" i="1"/>
  <c r="V598" i="1" s="1"/>
  <c r="AF599" i="1"/>
  <c r="V599" i="1" s="1"/>
  <c r="AF600" i="1"/>
  <c r="V600" i="1" s="1"/>
  <c r="AF601" i="1"/>
  <c r="V601" i="1" s="1"/>
  <c r="AF602" i="1"/>
  <c r="V602" i="1" s="1"/>
  <c r="AF603" i="1"/>
  <c r="V603" i="1" s="1"/>
  <c r="AF604" i="1"/>
  <c r="V604" i="1" s="1"/>
  <c r="AF605" i="1"/>
  <c r="V605" i="1" s="1"/>
  <c r="AF606" i="1"/>
  <c r="V606" i="1" s="1"/>
  <c r="AF607" i="1"/>
  <c r="V607" i="1" s="1"/>
  <c r="AF608" i="1"/>
  <c r="V608" i="1" s="1"/>
  <c r="AF609" i="1"/>
  <c r="V609" i="1" s="1"/>
  <c r="AF610" i="1"/>
  <c r="V610" i="1" s="1"/>
  <c r="AF611" i="1"/>
  <c r="V611" i="1" s="1"/>
  <c r="AF612" i="1"/>
  <c r="V612" i="1" s="1"/>
  <c r="AF613" i="1"/>
  <c r="V613" i="1" s="1"/>
  <c r="AF614" i="1"/>
  <c r="V614" i="1" s="1"/>
  <c r="AF615" i="1"/>
  <c r="V615" i="1" s="1"/>
  <c r="AF616" i="1"/>
  <c r="V616" i="1" s="1"/>
  <c r="AF617" i="1"/>
  <c r="V617" i="1" s="1"/>
  <c r="AF618" i="1"/>
  <c r="V618" i="1" s="1"/>
  <c r="AF619" i="1"/>
  <c r="V619" i="1" s="1"/>
  <c r="AF620" i="1"/>
  <c r="V620" i="1" s="1"/>
  <c r="AF621" i="1"/>
  <c r="V621" i="1" s="1"/>
  <c r="AF622" i="1"/>
  <c r="V622" i="1" s="1"/>
  <c r="AF623" i="1"/>
  <c r="V623" i="1" s="1"/>
  <c r="AF624" i="1"/>
  <c r="V624" i="1" s="1"/>
  <c r="AF625" i="1"/>
  <c r="V625" i="1" s="1"/>
  <c r="AF626" i="1"/>
  <c r="V626" i="1" s="1"/>
  <c r="AF627" i="1"/>
  <c r="V627" i="1" s="1"/>
  <c r="AF628" i="1"/>
  <c r="V628" i="1" s="1"/>
  <c r="AF629" i="1"/>
  <c r="V629" i="1" s="1"/>
  <c r="AF630" i="1"/>
  <c r="V630" i="1" s="1"/>
  <c r="AF631" i="1"/>
  <c r="V631" i="1" s="1"/>
  <c r="AF632" i="1"/>
  <c r="V632" i="1" s="1"/>
  <c r="AF633" i="1"/>
  <c r="V633" i="1" s="1"/>
  <c r="AF634" i="1"/>
  <c r="V634" i="1" s="1"/>
  <c r="AF635" i="1"/>
  <c r="V635" i="1" s="1"/>
  <c r="AF636" i="1"/>
  <c r="V636" i="1" s="1"/>
  <c r="AF637" i="1"/>
  <c r="V637" i="1" s="1"/>
  <c r="AF638" i="1"/>
  <c r="V638" i="1" s="1"/>
  <c r="AF639" i="1"/>
  <c r="V639" i="1" s="1"/>
  <c r="AF640" i="1"/>
  <c r="V640" i="1" s="1"/>
  <c r="AF641" i="1"/>
  <c r="V641" i="1" s="1"/>
  <c r="AF642" i="1"/>
  <c r="V642" i="1" s="1"/>
  <c r="AF643" i="1"/>
  <c r="V643" i="1" s="1"/>
  <c r="AF644" i="1"/>
  <c r="V644" i="1" s="1"/>
  <c r="AF645" i="1"/>
  <c r="V645" i="1" s="1"/>
  <c r="AF646" i="1"/>
  <c r="V646" i="1" s="1"/>
  <c r="AF647" i="1"/>
  <c r="V647" i="1" s="1"/>
  <c r="AF648" i="1"/>
  <c r="V648" i="1" s="1"/>
  <c r="AF649" i="1"/>
  <c r="V649" i="1" s="1"/>
  <c r="AF650" i="1"/>
  <c r="V650" i="1" s="1"/>
  <c r="AF651" i="1"/>
  <c r="V651" i="1" s="1"/>
  <c r="AF652" i="1"/>
  <c r="V652" i="1" s="1"/>
  <c r="AF653" i="1"/>
  <c r="V653" i="1" s="1"/>
  <c r="AF654" i="1"/>
  <c r="V654" i="1" s="1"/>
  <c r="AF655" i="1"/>
  <c r="V655" i="1" s="1"/>
  <c r="AF656" i="1"/>
  <c r="V656" i="1" s="1"/>
  <c r="AF657" i="1"/>
  <c r="V657" i="1" s="1"/>
  <c r="AF658" i="1"/>
  <c r="V658" i="1" s="1"/>
  <c r="AF659" i="1"/>
  <c r="V659" i="1" s="1"/>
  <c r="AF660" i="1"/>
  <c r="V660" i="1" s="1"/>
  <c r="AF661" i="1"/>
  <c r="V661" i="1" s="1"/>
  <c r="AF662" i="1"/>
  <c r="V662" i="1" s="1"/>
  <c r="AF663" i="1"/>
  <c r="V663" i="1" s="1"/>
  <c r="AF664" i="1"/>
  <c r="V664" i="1" s="1"/>
  <c r="AF665" i="1"/>
  <c r="V665" i="1" s="1"/>
  <c r="AF666" i="1"/>
  <c r="V666" i="1" s="1"/>
  <c r="AF667" i="1"/>
  <c r="V667" i="1" s="1"/>
  <c r="AF668" i="1"/>
  <c r="V668" i="1" s="1"/>
  <c r="AF669" i="1"/>
  <c r="V669" i="1" s="1"/>
  <c r="AF670" i="1"/>
  <c r="V670" i="1" s="1"/>
  <c r="AF671" i="1"/>
  <c r="V671" i="1" s="1"/>
  <c r="AF672" i="1"/>
  <c r="V672" i="1" s="1"/>
  <c r="AF673" i="1"/>
  <c r="V673" i="1" s="1"/>
  <c r="AF674" i="1"/>
  <c r="V674" i="1" s="1"/>
  <c r="AF675" i="1"/>
  <c r="V675" i="1" s="1"/>
  <c r="AF676" i="1"/>
  <c r="V676" i="1" s="1"/>
  <c r="AF677" i="1"/>
  <c r="V677" i="1" s="1"/>
  <c r="AF678" i="1"/>
  <c r="V678" i="1" s="1"/>
  <c r="AF679" i="1"/>
  <c r="V679" i="1" s="1"/>
  <c r="AF680" i="1"/>
  <c r="V680" i="1" s="1"/>
  <c r="AF681" i="1"/>
  <c r="V681" i="1" s="1"/>
  <c r="AF682" i="1"/>
  <c r="V682" i="1" s="1"/>
  <c r="AF683" i="1"/>
  <c r="V683" i="1" s="1"/>
  <c r="AF684" i="1"/>
  <c r="V684" i="1" s="1"/>
  <c r="AF685" i="1"/>
  <c r="V685" i="1" s="1"/>
  <c r="AF686" i="1"/>
  <c r="V686" i="1" s="1"/>
  <c r="AF687" i="1"/>
  <c r="V687" i="1" s="1"/>
  <c r="AF688" i="1"/>
  <c r="V688" i="1" s="1"/>
  <c r="AF689" i="1"/>
  <c r="V689" i="1" s="1"/>
  <c r="AF690" i="1"/>
  <c r="V690" i="1" s="1"/>
  <c r="AF691" i="1"/>
  <c r="V691" i="1" s="1"/>
  <c r="AF692" i="1"/>
  <c r="V692" i="1" s="1"/>
  <c r="AF693" i="1"/>
  <c r="V693" i="1" s="1"/>
  <c r="AF694" i="1"/>
  <c r="V694" i="1" s="1"/>
  <c r="AF695" i="1"/>
  <c r="V695" i="1" s="1"/>
  <c r="AF696" i="1"/>
  <c r="V696" i="1" s="1"/>
  <c r="AF697" i="1"/>
  <c r="V697" i="1" s="1"/>
  <c r="AF698" i="1"/>
  <c r="V698" i="1" s="1"/>
  <c r="AF699" i="1"/>
  <c r="V699" i="1" s="1"/>
  <c r="AF700" i="1"/>
  <c r="V700" i="1" s="1"/>
  <c r="AF701" i="1"/>
  <c r="V701" i="1" s="1"/>
  <c r="AF702" i="1"/>
  <c r="V702" i="1" s="1"/>
  <c r="AF703" i="1"/>
  <c r="V703" i="1" s="1"/>
  <c r="AF704" i="1"/>
  <c r="V704" i="1" s="1"/>
  <c r="AF705" i="1"/>
  <c r="V705" i="1" s="1"/>
  <c r="AF706" i="1"/>
  <c r="V706" i="1" s="1"/>
  <c r="AF707" i="1"/>
  <c r="V707" i="1" s="1"/>
  <c r="AF708" i="1"/>
  <c r="V708" i="1" s="1"/>
  <c r="AF709" i="1"/>
  <c r="V709" i="1" s="1"/>
  <c r="AF710" i="1"/>
  <c r="V710" i="1" s="1"/>
  <c r="AF711" i="1"/>
  <c r="V711" i="1" s="1"/>
  <c r="AF712" i="1"/>
  <c r="V712" i="1" s="1"/>
  <c r="AF713" i="1"/>
  <c r="V713" i="1" s="1"/>
  <c r="AF714" i="1"/>
  <c r="V714" i="1" s="1"/>
  <c r="AF715" i="1"/>
  <c r="V715" i="1" s="1"/>
  <c r="AF716" i="1"/>
  <c r="V716" i="1" s="1"/>
  <c r="AF717" i="1"/>
  <c r="V717" i="1" s="1"/>
  <c r="AF718" i="1"/>
  <c r="V718" i="1" s="1"/>
  <c r="AF719" i="1"/>
  <c r="V719" i="1" s="1"/>
  <c r="AF720" i="1"/>
  <c r="V720" i="1" s="1"/>
  <c r="AF721" i="1"/>
  <c r="V721" i="1" s="1"/>
  <c r="AF722" i="1"/>
  <c r="V722" i="1" s="1"/>
  <c r="AF723" i="1"/>
  <c r="V723" i="1" s="1"/>
  <c r="AF724" i="1"/>
  <c r="V724" i="1" s="1"/>
  <c r="AF725" i="1"/>
  <c r="V725" i="1" s="1"/>
  <c r="AF726" i="1"/>
  <c r="V726" i="1" s="1"/>
  <c r="AF727" i="1"/>
  <c r="V727" i="1" s="1"/>
  <c r="AF728" i="1"/>
  <c r="V728" i="1" s="1"/>
  <c r="AF729" i="1"/>
  <c r="V729" i="1" s="1"/>
  <c r="AF730" i="1"/>
  <c r="V730" i="1" s="1"/>
  <c r="AF731" i="1"/>
  <c r="V731" i="1" s="1"/>
  <c r="AF732" i="1"/>
  <c r="V732" i="1" s="1"/>
  <c r="AF733" i="1"/>
  <c r="V733" i="1" s="1"/>
  <c r="AF734" i="1"/>
  <c r="V734" i="1" s="1"/>
  <c r="AF735" i="1"/>
  <c r="V735" i="1" s="1"/>
  <c r="AF736" i="1"/>
  <c r="V736" i="1" s="1"/>
  <c r="AF737" i="1"/>
  <c r="V737" i="1" s="1"/>
  <c r="AF738" i="1"/>
  <c r="V738" i="1" s="1"/>
  <c r="AF739" i="1"/>
  <c r="V739" i="1" s="1"/>
  <c r="AF740" i="1"/>
  <c r="V740" i="1" s="1"/>
  <c r="AF741" i="1"/>
  <c r="V741" i="1" s="1"/>
  <c r="AF742" i="1"/>
  <c r="V742" i="1" s="1"/>
  <c r="AF743" i="1"/>
  <c r="V743" i="1" s="1"/>
  <c r="AF744" i="1"/>
  <c r="V744" i="1" s="1"/>
  <c r="AF745" i="1"/>
  <c r="V745" i="1" s="1"/>
  <c r="AF746" i="1"/>
  <c r="V746" i="1" s="1"/>
  <c r="AF747" i="1"/>
  <c r="V747" i="1" s="1"/>
  <c r="AF748" i="1"/>
  <c r="V748" i="1" s="1"/>
  <c r="AF749" i="1"/>
  <c r="V749" i="1" s="1"/>
  <c r="AF750" i="1"/>
  <c r="V750" i="1" s="1"/>
  <c r="AF751" i="1"/>
  <c r="V751" i="1" s="1"/>
  <c r="AF752" i="1"/>
  <c r="V752" i="1" s="1"/>
  <c r="AF753" i="1"/>
  <c r="V753" i="1" s="1"/>
  <c r="AF754" i="1"/>
  <c r="V754" i="1" s="1"/>
  <c r="AF755" i="1"/>
  <c r="V755" i="1" s="1"/>
  <c r="AF756" i="1"/>
  <c r="V756" i="1" s="1"/>
  <c r="AF757" i="1"/>
  <c r="V757" i="1" s="1"/>
  <c r="AF758" i="1"/>
  <c r="V758" i="1" s="1"/>
  <c r="AF759" i="1"/>
  <c r="V759" i="1" s="1"/>
  <c r="AF760" i="1"/>
  <c r="V760" i="1" s="1"/>
  <c r="AF761" i="1"/>
  <c r="V761" i="1" s="1"/>
  <c r="AF762" i="1"/>
  <c r="V762" i="1" s="1"/>
  <c r="AF763" i="1"/>
  <c r="V763" i="1" s="1"/>
  <c r="AF764" i="1"/>
  <c r="V764" i="1" s="1"/>
  <c r="AF765" i="1"/>
  <c r="V765" i="1" s="1"/>
  <c r="AF766" i="1"/>
  <c r="V766" i="1" s="1"/>
  <c r="AF767" i="1"/>
  <c r="V767" i="1" s="1"/>
  <c r="AF768" i="1"/>
  <c r="V768" i="1" s="1"/>
  <c r="AF769" i="1"/>
  <c r="V769" i="1" s="1"/>
  <c r="AF770" i="1"/>
  <c r="V770" i="1" s="1"/>
  <c r="AF771" i="1"/>
  <c r="V771" i="1" s="1"/>
  <c r="AF772" i="1"/>
  <c r="V772" i="1" s="1"/>
  <c r="AF773" i="1"/>
  <c r="V773" i="1" s="1"/>
  <c r="AF774" i="1"/>
  <c r="V774" i="1" s="1"/>
  <c r="AF775" i="1"/>
  <c r="V775" i="1" s="1"/>
  <c r="AF776" i="1"/>
  <c r="V776" i="1" s="1"/>
  <c r="AF777" i="1"/>
  <c r="V777" i="1" s="1"/>
  <c r="AF778" i="1"/>
  <c r="V778" i="1" s="1"/>
  <c r="AF779" i="1"/>
  <c r="V779" i="1" s="1"/>
  <c r="AF780" i="1"/>
  <c r="V780" i="1" s="1"/>
  <c r="AF781" i="1"/>
  <c r="V781" i="1" s="1"/>
  <c r="AF782" i="1"/>
  <c r="V782" i="1" s="1"/>
  <c r="AF783" i="1"/>
  <c r="V783" i="1" s="1"/>
  <c r="AF784" i="1"/>
  <c r="V784" i="1" s="1"/>
  <c r="AF785" i="1"/>
  <c r="V785" i="1" s="1"/>
  <c r="AF786" i="1"/>
  <c r="V786" i="1" s="1"/>
  <c r="AF787" i="1"/>
  <c r="V787" i="1" s="1"/>
  <c r="AF788" i="1"/>
  <c r="V788" i="1" s="1"/>
  <c r="AF789" i="1"/>
  <c r="V789" i="1" s="1"/>
  <c r="AF790" i="1"/>
  <c r="V790" i="1" s="1"/>
  <c r="AF791" i="1"/>
  <c r="V791" i="1" s="1"/>
  <c r="AF792" i="1"/>
  <c r="V792" i="1" s="1"/>
  <c r="AF793" i="1"/>
  <c r="V793" i="1" s="1"/>
  <c r="AF794" i="1"/>
  <c r="V794" i="1" s="1"/>
  <c r="AF795" i="1"/>
  <c r="V795" i="1" s="1"/>
  <c r="AF796" i="1"/>
  <c r="V796" i="1" s="1"/>
  <c r="AF797" i="1"/>
  <c r="V797" i="1" s="1"/>
  <c r="AF798" i="1"/>
  <c r="V798" i="1" s="1"/>
  <c r="AF799" i="1"/>
  <c r="V799" i="1" s="1"/>
  <c r="AF800" i="1"/>
  <c r="V800" i="1" s="1"/>
  <c r="AF801" i="1"/>
  <c r="V801" i="1" s="1"/>
  <c r="AF802" i="1"/>
  <c r="V802" i="1" s="1"/>
  <c r="AF803" i="1"/>
  <c r="V803" i="1" s="1"/>
  <c r="AF804" i="1"/>
  <c r="V804" i="1" s="1"/>
  <c r="AF805" i="1"/>
  <c r="V805" i="1" s="1"/>
  <c r="AF806" i="1"/>
  <c r="V806" i="1" s="1"/>
  <c r="AF807" i="1"/>
  <c r="V807" i="1" s="1"/>
  <c r="AF808" i="1"/>
  <c r="V808" i="1" s="1"/>
  <c r="AF809" i="1"/>
  <c r="V809" i="1" s="1"/>
  <c r="AF810" i="1"/>
  <c r="V810" i="1" s="1"/>
  <c r="AF811" i="1"/>
  <c r="V811" i="1" s="1"/>
  <c r="AF812" i="1"/>
  <c r="V812" i="1" s="1"/>
  <c r="AF813" i="1"/>
  <c r="V813" i="1" s="1"/>
  <c r="AF814" i="1"/>
  <c r="V814" i="1" s="1"/>
  <c r="AF815" i="1"/>
  <c r="V815" i="1" s="1"/>
  <c r="AF816" i="1"/>
  <c r="V816" i="1" s="1"/>
  <c r="AF817" i="1"/>
  <c r="V817" i="1" s="1"/>
  <c r="AF818" i="1"/>
  <c r="V818" i="1" s="1"/>
  <c r="AF819" i="1"/>
  <c r="V819" i="1" s="1"/>
  <c r="AF820" i="1"/>
  <c r="V820" i="1" s="1"/>
  <c r="AF821" i="1"/>
  <c r="V821" i="1" s="1"/>
  <c r="AF822" i="1"/>
  <c r="V822" i="1" s="1"/>
  <c r="AF823" i="1"/>
  <c r="V823" i="1" s="1"/>
  <c r="AF824" i="1"/>
  <c r="V824" i="1" s="1"/>
  <c r="AF825" i="1"/>
  <c r="V825" i="1" s="1"/>
  <c r="AF826" i="1"/>
  <c r="V826" i="1" s="1"/>
  <c r="AF827" i="1"/>
  <c r="V827" i="1" s="1"/>
  <c r="AF828" i="1"/>
  <c r="V828" i="1" s="1"/>
  <c r="AF829" i="1"/>
  <c r="V829" i="1" s="1"/>
  <c r="AF830" i="1"/>
  <c r="V830" i="1" s="1"/>
  <c r="AF831" i="1"/>
  <c r="V831" i="1" s="1"/>
  <c r="AF832" i="1"/>
  <c r="V832" i="1" s="1"/>
  <c r="AF833" i="1"/>
  <c r="V833" i="1" s="1"/>
  <c r="AF834" i="1"/>
  <c r="V834" i="1" s="1"/>
  <c r="AF835" i="1"/>
  <c r="V835" i="1" s="1"/>
  <c r="AF836" i="1"/>
  <c r="V836" i="1" s="1"/>
  <c r="AF837" i="1"/>
  <c r="V837" i="1" s="1"/>
  <c r="AF838" i="1"/>
  <c r="V838" i="1" s="1"/>
  <c r="AF839" i="1"/>
  <c r="V839" i="1" s="1"/>
  <c r="AF840" i="1"/>
  <c r="V840" i="1" s="1"/>
  <c r="AF841" i="1"/>
  <c r="V841" i="1" s="1"/>
  <c r="AF842" i="1"/>
  <c r="V842" i="1" s="1"/>
  <c r="AF843" i="1"/>
  <c r="V843" i="1" s="1"/>
  <c r="AF844" i="1"/>
  <c r="V844" i="1" s="1"/>
  <c r="AF845" i="1"/>
  <c r="V845" i="1" s="1"/>
  <c r="AF846" i="1"/>
  <c r="V846" i="1" s="1"/>
  <c r="AF847" i="1"/>
  <c r="V847" i="1" s="1"/>
  <c r="AF848" i="1"/>
  <c r="V848" i="1" s="1"/>
  <c r="AF849" i="1"/>
  <c r="V849" i="1" s="1"/>
  <c r="AF850" i="1"/>
  <c r="V850" i="1" s="1"/>
  <c r="AF851" i="1"/>
  <c r="V851" i="1" s="1"/>
  <c r="AF852" i="1"/>
  <c r="V852" i="1" s="1"/>
  <c r="AF853" i="1"/>
  <c r="V853" i="1" s="1"/>
  <c r="AF854" i="1"/>
  <c r="V854" i="1" s="1"/>
  <c r="AF855" i="1"/>
  <c r="V855" i="1" s="1"/>
  <c r="AF856" i="1"/>
  <c r="V856" i="1" s="1"/>
  <c r="AF857" i="1"/>
  <c r="V857" i="1" s="1"/>
  <c r="AF858" i="1"/>
  <c r="V858" i="1" s="1"/>
  <c r="AF859" i="1"/>
  <c r="V859" i="1" s="1"/>
  <c r="AF860" i="1"/>
  <c r="V860" i="1" s="1"/>
  <c r="AF861" i="1"/>
  <c r="V861" i="1" s="1"/>
  <c r="AF862" i="1"/>
  <c r="V862" i="1" s="1"/>
  <c r="AF863" i="1"/>
  <c r="V863" i="1" s="1"/>
  <c r="AF864" i="1"/>
  <c r="V864" i="1" s="1"/>
  <c r="AF865" i="1"/>
  <c r="V865" i="1" s="1"/>
  <c r="AF866" i="1"/>
  <c r="V866" i="1" s="1"/>
  <c r="AF867" i="1"/>
  <c r="V867" i="1" s="1"/>
  <c r="AF868" i="1"/>
  <c r="V868" i="1" s="1"/>
  <c r="AF869" i="1"/>
  <c r="V869" i="1" s="1"/>
  <c r="AF870" i="1"/>
  <c r="V870" i="1" s="1"/>
  <c r="AF871" i="1"/>
  <c r="V871" i="1" s="1"/>
  <c r="AF872" i="1"/>
  <c r="V872" i="1" s="1"/>
  <c r="AF873" i="1"/>
  <c r="V873" i="1" s="1"/>
  <c r="AF874" i="1"/>
  <c r="V874" i="1" s="1"/>
  <c r="AF875" i="1"/>
  <c r="V875" i="1" s="1"/>
  <c r="AF876" i="1"/>
  <c r="V876" i="1" s="1"/>
  <c r="AF877" i="1"/>
  <c r="V877" i="1" s="1"/>
  <c r="AF878" i="1"/>
  <c r="V878" i="1" s="1"/>
  <c r="AF879" i="1"/>
  <c r="V879" i="1" s="1"/>
  <c r="AF880" i="1"/>
  <c r="V880" i="1" s="1"/>
  <c r="AF881" i="1"/>
  <c r="V881" i="1" s="1"/>
  <c r="AF882" i="1"/>
  <c r="V882" i="1" s="1"/>
  <c r="AF883" i="1"/>
  <c r="V883" i="1" s="1"/>
  <c r="AF884" i="1"/>
  <c r="V884" i="1" s="1"/>
  <c r="AF885" i="1"/>
  <c r="V885" i="1" s="1"/>
  <c r="AF886" i="1"/>
  <c r="V886" i="1" s="1"/>
  <c r="AF887" i="1"/>
  <c r="V887" i="1" s="1"/>
  <c r="AF888" i="1"/>
  <c r="V888" i="1" s="1"/>
  <c r="AF889" i="1"/>
  <c r="V889" i="1" s="1"/>
  <c r="AF890" i="1"/>
  <c r="V890" i="1" s="1"/>
  <c r="AF891" i="1"/>
  <c r="V891" i="1" s="1"/>
  <c r="AF892" i="1"/>
  <c r="V892" i="1" s="1"/>
  <c r="AF893" i="1"/>
  <c r="V893" i="1" s="1"/>
  <c r="AF894" i="1"/>
  <c r="V894" i="1" s="1"/>
  <c r="AF895" i="1"/>
  <c r="V895" i="1" s="1"/>
  <c r="AF896" i="1"/>
  <c r="V896" i="1" s="1"/>
  <c r="AF897" i="1"/>
  <c r="V897" i="1" s="1"/>
  <c r="AF898" i="1"/>
  <c r="V898" i="1" s="1"/>
  <c r="AF899" i="1"/>
  <c r="V899" i="1" s="1"/>
  <c r="AF900" i="1"/>
  <c r="V900" i="1" s="1"/>
  <c r="AF901" i="1"/>
  <c r="V901" i="1" s="1"/>
  <c r="AF902" i="1"/>
  <c r="V902" i="1" s="1"/>
  <c r="AF903" i="1"/>
  <c r="V903" i="1" s="1"/>
  <c r="AF904" i="1"/>
  <c r="V904" i="1" s="1"/>
  <c r="AF905" i="1"/>
  <c r="V905" i="1" s="1"/>
  <c r="AF906" i="1"/>
  <c r="V906" i="1" s="1"/>
  <c r="AF907" i="1"/>
  <c r="V907" i="1" s="1"/>
  <c r="AF908" i="1"/>
  <c r="V908" i="1" s="1"/>
  <c r="AF909" i="1"/>
  <c r="V909" i="1" s="1"/>
  <c r="AF910" i="1"/>
  <c r="V910" i="1" s="1"/>
  <c r="AF911" i="1"/>
  <c r="V911" i="1" s="1"/>
  <c r="AF912" i="1"/>
  <c r="V912" i="1" s="1"/>
  <c r="AF913" i="1"/>
  <c r="V913" i="1" s="1"/>
  <c r="AF914" i="1"/>
  <c r="V914" i="1" s="1"/>
  <c r="AF915" i="1"/>
  <c r="V915" i="1" s="1"/>
  <c r="AF916" i="1"/>
  <c r="V916" i="1" s="1"/>
  <c r="AF917" i="1"/>
  <c r="V917" i="1" s="1"/>
  <c r="AF918" i="1"/>
  <c r="V918" i="1" s="1"/>
  <c r="AF919" i="1"/>
  <c r="V919" i="1" s="1"/>
  <c r="AF920" i="1"/>
  <c r="V920" i="1" s="1"/>
  <c r="AF921" i="1"/>
  <c r="V921" i="1" s="1"/>
  <c r="AF922" i="1"/>
  <c r="V922" i="1" s="1"/>
  <c r="AF923" i="1"/>
  <c r="V923" i="1" s="1"/>
  <c r="AF924" i="1"/>
  <c r="V924" i="1" s="1"/>
  <c r="AF925" i="1"/>
  <c r="V925" i="1" s="1"/>
  <c r="AF926" i="1"/>
  <c r="V926" i="1" s="1"/>
  <c r="AF927" i="1"/>
  <c r="V927" i="1" s="1"/>
  <c r="AF928" i="1"/>
  <c r="V928" i="1" s="1"/>
  <c r="AF929" i="1"/>
  <c r="V929" i="1" s="1"/>
  <c r="AF930" i="1"/>
  <c r="V930" i="1" s="1"/>
  <c r="AF931" i="1"/>
  <c r="V931" i="1" s="1"/>
  <c r="AF932" i="1"/>
  <c r="V932" i="1" s="1"/>
  <c r="AF933" i="1"/>
  <c r="V933" i="1" s="1"/>
  <c r="AF934" i="1"/>
  <c r="V934" i="1" s="1"/>
  <c r="AF935" i="1"/>
  <c r="V935" i="1" s="1"/>
  <c r="AF936" i="1"/>
  <c r="V936" i="1" s="1"/>
  <c r="AF937" i="1"/>
  <c r="V937" i="1" s="1"/>
  <c r="AF938" i="1"/>
  <c r="V938" i="1" s="1"/>
  <c r="AF939" i="1"/>
  <c r="V939" i="1" s="1"/>
  <c r="AF940" i="1"/>
  <c r="V940" i="1" s="1"/>
  <c r="AF941" i="1"/>
  <c r="V941" i="1" s="1"/>
  <c r="AF942" i="1"/>
  <c r="V942" i="1" s="1"/>
  <c r="AF943" i="1"/>
  <c r="V943" i="1" s="1"/>
  <c r="AF944" i="1"/>
  <c r="V944" i="1" s="1"/>
  <c r="AF945" i="1"/>
  <c r="V945" i="1" s="1"/>
  <c r="AF946" i="1"/>
  <c r="V946" i="1" s="1"/>
  <c r="AF947" i="1"/>
  <c r="V947" i="1" s="1"/>
  <c r="AF948" i="1"/>
  <c r="V948" i="1" s="1"/>
  <c r="AF949" i="1"/>
  <c r="V949" i="1" s="1"/>
  <c r="AF950" i="1"/>
  <c r="V950" i="1" s="1"/>
  <c r="AF951" i="1"/>
  <c r="V951" i="1" s="1"/>
  <c r="AF952" i="1"/>
  <c r="V952" i="1" s="1"/>
  <c r="AF953" i="1"/>
  <c r="V953" i="1" s="1"/>
  <c r="AF954" i="1"/>
  <c r="V954" i="1" s="1"/>
  <c r="AF955" i="1"/>
  <c r="V955" i="1" s="1"/>
  <c r="AF956" i="1"/>
  <c r="V956" i="1" s="1"/>
  <c r="AF957" i="1"/>
  <c r="V957" i="1" s="1"/>
  <c r="AF958" i="1"/>
  <c r="V958" i="1" s="1"/>
  <c r="AF959" i="1"/>
  <c r="V959" i="1" s="1"/>
  <c r="AF960" i="1"/>
  <c r="V960" i="1" s="1"/>
  <c r="AF961" i="1"/>
  <c r="V961" i="1" s="1"/>
  <c r="AF962" i="1"/>
  <c r="V962" i="1" s="1"/>
  <c r="AF963" i="1"/>
  <c r="V963" i="1" s="1"/>
  <c r="AF964" i="1"/>
  <c r="V964" i="1" s="1"/>
  <c r="AF965" i="1"/>
  <c r="V965" i="1" s="1"/>
  <c r="AF966" i="1"/>
  <c r="V966" i="1" s="1"/>
  <c r="AF967" i="1"/>
  <c r="V967" i="1" s="1"/>
  <c r="AF968" i="1"/>
  <c r="V968" i="1" s="1"/>
  <c r="AF969" i="1"/>
  <c r="V969" i="1" s="1"/>
  <c r="AF970" i="1"/>
  <c r="V970" i="1" s="1"/>
  <c r="AF971" i="1"/>
  <c r="V971" i="1" s="1"/>
  <c r="AF972" i="1"/>
  <c r="V972" i="1" s="1"/>
  <c r="AF973" i="1"/>
  <c r="V973" i="1" s="1"/>
  <c r="AF974" i="1"/>
  <c r="V974" i="1" s="1"/>
  <c r="AF975" i="1"/>
  <c r="V975" i="1" s="1"/>
  <c r="AF976" i="1"/>
  <c r="V976" i="1" s="1"/>
  <c r="AF977" i="1"/>
  <c r="V977" i="1" s="1"/>
  <c r="AF978" i="1"/>
  <c r="V978" i="1" s="1"/>
  <c r="AF979" i="1"/>
  <c r="V979" i="1" s="1"/>
  <c r="AF980" i="1"/>
  <c r="V980" i="1" s="1"/>
  <c r="AF981" i="1"/>
  <c r="V981" i="1" s="1"/>
  <c r="AF982" i="1"/>
  <c r="V982" i="1" s="1"/>
  <c r="AF983" i="1"/>
  <c r="V983" i="1" s="1"/>
  <c r="AF984" i="1"/>
  <c r="V984" i="1" s="1"/>
  <c r="AF985" i="1"/>
  <c r="V985" i="1" s="1"/>
  <c r="AF986" i="1"/>
  <c r="V986" i="1" s="1"/>
  <c r="AF987" i="1"/>
  <c r="V987" i="1" s="1"/>
  <c r="AF988" i="1"/>
  <c r="V988" i="1" s="1"/>
  <c r="AF989" i="1"/>
  <c r="V989" i="1" s="1"/>
  <c r="AF990" i="1"/>
  <c r="V990" i="1" s="1"/>
  <c r="AF991" i="1"/>
  <c r="V991" i="1" s="1"/>
  <c r="AF992" i="1"/>
  <c r="V992" i="1" s="1"/>
  <c r="AF993" i="1"/>
  <c r="V993" i="1" s="1"/>
  <c r="AF994" i="1"/>
  <c r="V994" i="1" s="1"/>
  <c r="AF995" i="1"/>
  <c r="V995" i="1" s="1"/>
  <c r="AF996" i="1"/>
  <c r="V996" i="1" s="1"/>
  <c r="AF997" i="1"/>
  <c r="V997" i="1" s="1"/>
  <c r="AF998" i="1"/>
  <c r="V998" i="1" s="1"/>
  <c r="AF999" i="1"/>
  <c r="V999" i="1" s="1"/>
  <c r="AF1000" i="1"/>
  <c r="V1000" i="1" s="1"/>
  <c r="AF1001" i="1"/>
  <c r="V1001" i="1" s="1"/>
  <c r="AF1002" i="1"/>
  <c r="V1002" i="1" s="1"/>
  <c r="AF1003" i="1"/>
  <c r="V1003" i="1" s="1"/>
  <c r="AF1004" i="1"/>
  <c r="V1004" i="1" s="1"/>
  <c r="AF1005" i="1"/>
  <c r="V1005" i="1" s="1"/>
  <c r="AF1006" i="1"/>
  <c r="V1006" i="1" s="1"/>
  <c r="AF1007" i="1"/>
  <c r="V1007" i="1" s="1"/>
  <c r="AF1008" i="1"/>
  <c r="V1008" i="1" s="1"/>
  <c r="AF1009" i="1"/>
  <c r="V1009" i="1" s="1"/>
  <c r="AF1010" i="1"/>
  <c r="V1010" i="1" s="1"/>
  <c r="AF1011" i="1"/>
  <c r="V1011" i="1" s="1"/>
  <c r="AF1012" i="1"/>
  <c r="V1012" i="1" s="1"/>
  <c r="AG193" i="1"/>
  <c r="AG228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H193" i="1"/>
  <c r="AH228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I193" i="1"/>
  <c r="AI228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J193" i="1"/>
  <c r="AJ228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K193" i="1"/>
  <c r="AK228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M62" i="1"/>
  <c r="AM64" i="1"/>
  <c r="AM99" i="1"/>
  <c r="AM104" i="1"/>
  <c r="AM106" i="1"/>
  <c r="AM144" i="1"/>
  <c r="AM148" i="1"/>
  <c r="AM193" i="1"/>
  <c r="AM228" i="1"/>
  <c r="AM235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N62" i="1"/>
  <c r="AN63" i="1"/>
  <c r="AN64" i="1"/>
  <c r="AN65" i="1"/>
  <c r="AN66" i="1"/>
  <c r="AN67" i="1"/>
  <c r="AN68" i="1"/>
  <c r="AN69" i="1"/>
  <c r="AN70" i="1"/>
  <c r="AN80" i="1"/>
  <c r="AN81" i="1"/>
  <c r="AN82" i="1"/>
  <c r="AN83" i="1"/>
  <c r="AN84" i="1"/>
  <c r="AN85" i="1"/>
  <c r="AN86" i="1"/>
  <c r="AN87" i="1"/>
  <c r="AN88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O193" i="1"/>
  <c r="AO228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P193" i="1"/>
  <c r="AP228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Q62" i="1"/>
  <c r="AQ63" i="1"/>
  <c r="AQ64" i="1"/>
  <c r="AQ65" i="1"/>
  <c r="AQ66" i="1"/>
  <c r="AQ67" i="1"/>
  <c r="AQ68" i="1"/>
  <c r="AQ69" i="1"/>
  <c r="AQ70" i="1"/>
  <c r="AQ80" i="1"/>
  <c r="AQ81" i="1"/>
  <c r="AQ82" i="1"/>
  <c r="AQ83" i="1"/>
  <c r="AQ84" i="1"/>
  <c r="AQ85" i="1"/>
  <c r="AQ86" i="1"/>
  <c r="AQ87" i="1"/>
  <c r="AQ88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R193" i="1"/>
  <c r="AR228" i="1"/>
  <c r="AR250" i="1"/>
  <c r="AR253" i="1"/>
  <c r="AR25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S62" i="1"/>
  <c r="AS63" i="1"/>
  <c r="AS64" i="1"/>
  <c r="AS65" i="1"/>
  <c r="AS66" i="1"/>
  <c r="AS67" i="1"/>
  <c r="AS68" i="1"/>
  <c r="AS69" i="1"/>
  <c r="AS70" i="1"/>
  <c r="AS80" i="1"/>
  <c r="AS81" i="1"/>
  <c r="AS82" i="1"/>
  <c r="AS83" i="1"/>
  <c r="AS84" i="1"/>
  <c r="AS85" i="1"/>
  <c r="AS86" i="1"/>
  <c r="AS87" i="1"/>
  <c r="AS88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T193" i="1"/>
  <c r="AT228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U193" i="1"/>
  <c r="AU228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V193" i="1"/>
  <c r="AV228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W193" i="1"/>
  <c r="AW228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F61" i="1"/>
  <c r="AN61" i="1"/>
  <c r="AQ61" i="1"/>
  <c r="AS61" i="1"/>
  <c r="AF60" i="1"/>
  <c r="AN60" i="1"/>
  <c r="AQ60" i="1"/>
  <c r="AS60" i="1"/>
  <c r="AF59" i="1"/>
  <c r="AN59" i="1"/>
  <c r="AQ59" i="1"/>
  <c r="AS59" i="1"/>
  <c r="AF58" i="1"/>
  <c r="AN58" i="1"/>
  <c r="AQ58" i="1"/>
  <c r="AS58" i="1"/>
  <c r="AF57" i="1"/>
  <c r="AN57" i="1"/>
  <c r="AQ57" i="1"/>
  <c r="AS57" i="1"/>
  <c r="AF56" i="1"/>
  <c r="AN56" i="1"/>
  <c r="AQ56" i="1"/>
  <c r="AS56" i="1"/>
  <c r="AF55" i="1"/>
  <c r="AN55" i="1"/>
  <c r="AQ55" i="1"/>
  <c r="AS55" i="1"/>
  <c r="AF54" i="1"/>
  <c r="AN54" i="1"/>
  <c r="AQ54" i="1"/>
  <c r="AS54" i="1"/>
  <c r="AF53" i="1"/>
  <c r="AN53" i="1"/>
  <c r="AQ53" i="1"/>
  <c r="AS53" i="1"/>
  <c r="AF52" i="1"/>
  <c r="AN52" i="1"/>
  <c r="AQ52" i="1"/>
  <c r="AS52" i="1"/>
  <c r="AF51" i="1"/>
  <c r="AM51" i="1"/>
  <c r="AN51" i="1"/>
  <c r="AQ51" i="1"/>
  <c r="AS51" i="1"/>
  <c r="V267" i="1" l="1"/>
  <c r="AE267" i="1"/>
  <c r="V261" i="1"/>
  <c r="AE261" i="1"/>
  <c r="AH199" i="22" s="1"/>
  <c r="AI199" i="22" s="1"/>
  <c r="V266" i="1"/>
  <c r="AE266" i="1"/>
  <c r="V265" i="1"/>
  <c r="AE265" i="1"/>
  <c r="V259" i="1"/>
  <c r="AE259" i="1"/>
  <c r="V257" i="1"/>
  <c r="AE257" i="1"/>
  <c r="V253" i="1"/>
  <c r="AE253" i="1"/>
  <c r="V250" i="1"/>
  <c r="AE250" i="1"/>
  <c r="V245" i="1"/>
  <c r="AE245" i="1"/>
  <c r="V235" i="1"/>
  <c r="AE235" i="1"/>
  <c r="AH178" i="22" s="1"/>
  <c r="AI178" i="22" s="1"/>
  <c r="V233" i="1"/>
  <c r="AE233" i="1"/>
  <c r="AH177" i="22" s="1"/>
  <c r="AI177" i="22" s="1"/>
  <c r="V217" i="1"/>
  <c r="AE217" i="1"/>
  <c r="AH164" i="22" s="1"/>
  <c r="AI164" i="22" s="1"/>
  <c r="V214" i="1"/>
  <c r="AE214" i="1"/>
  <c r="AH161" i="22" s="1"/>
  <c r="AI161" i="22" s="1"/>
  <c r="V210" i="1"/>
  <c r="AE210" i="1"/>
  <c r="AH158" i="22" s="1"/>
  <c r="AI158" i="22" s="1"/>
  <c r="V161" i="1"/>
  <c r="AE161" i="1"/>
  <c r="AH123" i="22" s="1"/>
  <c r="AI123" i="22" s="1"/>
  <c r="V148" i="1"/>
  <c r="AE148" i="1"/>
  <c r="AH112" i="22" s="1"/>
  <c r="AI112" i="22" s="1"/>
  <c r="V144" i="1"/>
  <c r="AE144" i="1"/>
  <c r="AH109" i="22" s="1"/>
  <c r="AI109" i="22" s="1"/>
  <c r="V136" i="1"/>
  <c r="AE136" i="1"/>
  <c r="AH104" i="22" s="1"/>
  <c r="AI104" i="22" s="1"/>
  <c r="V133" i="1"/>
  <c r="AE133" i="1"/>
  <c r="AH101" i="22" s="1"/>
  <c r="AI101" i="22" s="1"/>
  <c r="V127" i="1"/>
  <c r="AE127" i="1"/>
  <c r="AH96" i="22" s="1"/>
  <c r="AI96" i="22" s="1"/>
  <c r="V121" i="1"/>
  <c r="AE121" i="1"/>
  <c r="AH90" i="22" s="1"/>
  <c r="AI90" i="22" s="1"/>
  <c r="V119" i="1"/>
  <c r="AE119" i="1"/>
  <c r="AH88" i="22" s="1"/>
  <c r="AI88" i="22" s="1"/>
  <c r="V117" i="1"/>
  <c r="AE117" i="1"/>
  <c r="AH86" i="22" s="1"/>
  <c r="AI86" i="22" s="1"/>
  <c r="V114" i="1"/>
  <c r="AE114" i="1"/>
  <c r="AH84" i="22" s="1"/>
  <c r="AI84" i="22" s="1"/>
  <c r="V109" i="1"/>
  <c r="AE109" i="1"/>
  <c r="AH80" i="22" s="1"/>
  <c r="AI80" i="22" s="1"/>
  <c r="V106" i="1"/>
  <c r="AE106" i="1"/>
  <c r="AH77" i="22" s="1"/>
  <c r="AI77" i="22" s="1"/>
  <c r="V104" i="1"/>
  <c r="AE104" i="1"/>
  <c r="AH76" i="22" s="1"/>
  <c r="AI76" i="22" s="1"/>
  <c r="V99" i="1"/>
  <c r="AE99" i="1"/>
  <c r="AH73" i="22" s="1"/>
  <c r="AI73" i="22" s="1"/>
  <c r="V96" i="1"/>
  <c r="AE96" i="1"/>
  <c r="AH71" i="22" s="1"/>
  <c r="AI71" i="22" s="1"/>
  <c r="V85" i="1"/>
  <c r="AE85" i="1"/>
  <c r="AH64" i="22" s="1"/>
  <c r="AI64" i="22" s="1"/>
  <c r="V82" i="1"/>
  <c r="AE82" i="1"/>
  <c r="AH62" i="22" s="1"/>
  <c r="AI62" i="22" s="1"/>
  <c r="V79" i="1"/>
  <c r="AE79" i="1"/>
  <c r="AH60" i="22" s="1"/>
  <c r="AI60" i="22" s="1"/>
  <c r="V70" i="1"/>
  <c r="AE70" i="1"/>
  <c r="AH54" i="22" s="1"/>
  <c r="AI54" i="22" s="1"/>
  <c r="V66" i="1"/>
  <c r="AE66" i="1"/>
  <c r="AH50" i="22" s="1"/>
  <c r="AI50" i="22" s="1"/>
  <c r="V64" i="1"/>
  <c r="AE64" i="1"/>
  <c r="AH48" i="22" s="1"/>
  <c r="AI48" i="22" s="1"/>
  <c r="V62" i="1"/>
  <c r="AE62" i="1"/>
  <c r="AH47" i="22" s="1"/>
  <c r="AI47" i="22" s="1"/>
  <c r="V54" i="1"/>
  <c r="AE54" i="1"/>
  <c r="V58" i="1"/>
  <c r="AE58" i="1"/>
  <c r="V60" i="1"/>
  <c r="AE60" i="1"/>
  <c r="V51" i="1"/>
  <c r="AE51" i="1"/>
  <c r="V153" i="1"/>
  <c r="AE153" i="1"/>
  <c r="AH117" i="22" s="1"/>
  <c r="AI117" i="22" s="1"/>
  <c r="V264" i="1"/>
  <c r="AE264" i="1"/>
  <c r="V263" i="1"/>
  <c r="AE263" i="1"/>
  <c r="V262" i="1"/>
  <c r="AE262" i="1"/>
  <c r="V260" i="1"/>
  <c r="AE260" i="1"/>
  <c r="V258" i="1"/>
  <c r="AE258" i="1"/>
  <c r="V256" i="1"/>
  <c r="AE256" i="1"/>
  <c r="V255" i="1"/>
  <c r="AE255" i="1"/>
  <c r="AH194" i="22" s="1"/>
  <c r="AI194" i="22" s="1"/>
  <c r="V254" i="1"/>
  <c r="AE254" i="1"/>
  <c r="V251" i="1"/>
  <c r="AE251" i="1"/>
  <c r="V252" i="1"/>
  <c r="AE252" i="1"/>
  <c r="V249" i="1"/>
  <c r="AE249" i="1"/>
  <c r="V248" i="1"/>
  <c r="AE248" i="1"/>
  <c r="V247" i="1"/>
  <c r="AE247" i="1"/>
  <c r="V246" i="1"/>
  <c r="AE246" i="1"/>
  <c r="V244" i="1"/>
  <c r="AE244" i="1"/>
  <c r="V243" i="1"/>
  <c r="AE243" i="1"/>
  <c r="V242" i="1"/>
  <c r="AE242" i="1"/>
  <c r="V241" i="1"/>
  <c r="AE241" i="1"/>
  <c r="V240" i="1"/>
  <c r="AE240" i="1"/>
  <c r="V239" i="1"/>
  <c r="AE239" i="1"/>
  <c r="V238" i="1"/>
  <c r="AE238" i="1"/>
  <c r="V237" i="1"/>
  <c r="AE237" i="1"/>
  <c r="V236" i="1"/>
  <c r="AE236" i="1"/>
  <c r="AH179" i="22" s="1"/>
  <c r="AI179" i="22" s="1"/>
  <c r="V234" i="1"/>
  <c r="AE234" i="1"/>
  <c r="V232" i="1"/>
  <c r="AE232" i="1"/>
  <c r="AH176" i="22" s="1"/>
  <c r="AI176" i="22" s="1"/>
  <c r="V231" i="1"/>
  <c r="AE231" i="1"/>
  <c r="AH175" i="22" s="1"/>
  <c r="AI175" i="22" s="1"/>
  <c r="V230" i="1"/>
  <c r="AE230" i="1"/>
  <c r="AH174" i="22" s="1"/>
  <c r="AI174" i="22" s="1"/>
  <c r="V229" i="1"/>
  <c r="AE229" i="1"/>
  <c r="AH173" i="22" s="1"/>
  <c r="AI173" i="22" s="1"/>
  <c r="V227" i="1"/>
  <c r="AE227" i="1"/>
  <c r="AH172" i="22" s="1"/>
  <c r="AI172" i="22" s="1"/>
  <c r="V226" i="1"/>
  <c r="AE226" i="1"/>
  <c r="V225" i="1"/>
  <c r="AE225" i="1"/>
  <c r="AH171" i="22" s="1"/>
  <c r="AI171" i="22" s="1"/>
  <c r="V224" i="1"/>
  <c r="AE224" i="1"/>
  <c r="V223" i="1"/>
  <c r="AE223" i="1"/>
  <c r="AH170" i="22" s="1"/>
  <c r="AI170" i="22" s="1"/>
  <c r="V222" i="1"/>
  <c r="AE222" i="1"/>
  <c r="AH169" i="22" s="1"/>
  <c r="AI169" i="22" s="1"/>
  <c r="V221" i="1"/>
  <c r="AE221" i="1"/>
  <c r="AH168" i="22" s="1"/>
  <c r="AI168" i="22" s="1"/>
  <c r="V220" i="1"/>
  <c r="AE220" i="1"/>
  <c r="AH167" i="22" s="1"/>
  <c r="AI167" i="22" s="1"/>
  <c r="V219" i="1"/>
  <c r="AE219" i="1"/>
  <c r="AH166" i="22" s="1"/>
  <c r="AI166" i="22" s="1"/>
  <c r="V218" i="1"/>
  <c r="AE218" i="1"/>
  <c r="AH165" i="22" s="1"/>
  <c r="AI165" i="22" s="1"/>
  <c r="V216" i="1"/>
  <c r="AE216" i="1"/>
  <c r="AH163" i="22" s="1"/>
  <c r="AI163" i="22" s="1"/>
  <c r="V215" i="1"/>
  <c r="AE215" i="1"/>
  <c r="AH162" i="22" s="1"/>
  <c r="AI162" i="22" s="1"/>
  <c r="V213" i="1"/>
  <c r="AE213" i="1"/>
  <c r="AH160" i="22" s="1"/>
  <c r="AI160" i="22" s="1"/>
  <c r="V212" i="1"/>
  <c r="AE212" i="1"/>
  <c r="V211" i="1"/>
  <c r="AE211" i="1"/>
  <c r="AH159" i="22" s="1"/>
  <c r="AI159" i="22" s="1"/>
  <c r="V209" i="1"/>
  <c r="AE209" i="1"/>
  <c r="AH157" i="22" s="1"/>
  <c r="AI157" i="22" s="1"/>
  <c r="V208" i="1"/>
  <c r="AE208" i="1"/>
  <c r="V207" i="1"/>
  <c r="AE207" i="1"/>
  <c r="AH156" i="22" s="1"/>
  <c r="AI156" i="22" s="1"/>
  <c r="V206" i="1"/>
  <c r="AE206" i="1"/>
  <c r="V205" i="1"/>
  <c r="AE205" i="1"/>
  <c r="AH155" i="22" s="1"/>
  <c r="AI155" i="22" s="1"/>
  <c r="V204" i="1"/>
  <c r="AE204" i="1"/>
  <c r="AH154" i="22" s="1"/>
  <c r="AI154" i="22" s="1"/>
  <c r="V203" i="1"/>
  <c r="AE203" i="1"/>
  <c r="V202" i="1"/>
  <c r="AE202" i="1"/>
  <c r="AH153" i="22" s="1"/>
  <c r="AI153" i="22" s="1"/>
  <c r="V201" i="1"/>
  <c r="AE201" i="1"/>
  <c r="V200" i="1"/>
  <c r="AE200" i="1"/>
  <c r="AH152" i="22" s="1"/>
  <c r="AI152" i="22" s="1"/>
  <c r="V199" i="1"/>
  <c r="AE199" i="1"/>
  <c r="AH151" i="22" s="1"/>
  <c r="AI151" i="22" s="1"/>
  <c r="V198" i="1"/>
  <c r="AE198" i="1"/>
  <c r="V197" i="1"/>
  <c r="AE197" i="1"/>
  <c r="AH150" i="22" s="1"/>
  <c r="AI150" i="22" s="1"/>
  <c r="V196" i="1"/>
  <c r="AE196" i="1"/>
  <c r="V195" i="1"/>
  <c r="AE195" i="1"/>
  <c r="AH149" i="22" s="1"/>
  <c r="AI149" i="22" s="1"/>
  <c r="V194" i="1"/>
  <c r="AE194" i="1"/>
  <c r="AH148" i="22" s="1"/>
  <c r="AI148" i="22" s="1"/>
  <c r="V192" i="1"/>
  <c r="AE192" i="1"/>
  <c r="AH147" i="22" s="1"/>
  <c r="AI147" i="22" s="1"/>
  <c r="V191" i="1"/>
  <c r="AE191" i="1"/>
  <c r="AH146" i="22" s="1"/>
  <c r="AI146" i="22" s="1"/>
  <c r="V190" i="1"/>
  <c r="AE190" i="1"/>
  <c r="V189" i="1"/>
  <c r="AE189" i="1"/>
  <c r="AH145" i="22" s="1"/>
  <c r="AI145" i="22" s="1"/>
  <c r="V188" i="1"/>
  <c r="AE188" i="1"/>
  <c r="AH144" i="22" s="1"/>
  <c r="AI144" i="22" s="1"/>
  <c r="V187" i="1"/>
  <c r="AE187" i="1"/>
  <c r="V186" i="1"/>
  <c r="AE186" i="1"/>
  <c r="AH143" i="22" s="1"/>
  <c r="AI143" i="22" s="1"/>
  <c r="V185" i="1"/>
  <c r="AE185" i="1"/>
  <c r="AH142" i="22" s="1"/>
  <c r="AI142" i="22" s="1"/>
  <c r="V184" i="1"/>
  <c r="AE184" i="1"/>
  <c r="V183" i="1"/>
  <c r="AE183" i="1"/>
  <c r="AH141" i="22" s="1"/>
  <c r="AI141" i="22" s="1"/>
  <c r="V182" i="1"/>
  <c r="AE182" i="1"/>
  <c r="AH140" i="22" s="1"/>
  <c r="AI140" i="22" s="1"/>
  <c r="V181" i="1"/>
  <c r="AE181" i="1"/>
  <c r="AH139" i="22" s="1"/>
  <c r="AI139" i="22" s="1"/>
  <c r="V180" i="1"/>
  <c r="AE180" i="1"/>
  <c r="AH138" i="22" s="1"/>
  <c r="AI138" i="22" s="1"/>
  <c r="V179" i="1"/>
  <c r="AE179" i="1"/>
  <c r="AH137" i="22" s="1"/>
  <c r="AI137" i="22" s="1"/>
  <c r="V178" i="1"/>
  <c r="AE178" i="1"/>
  <c r="AH136" i="22" s="1"/>
  <c r="AI136" i="22" s="1"/>
  <c r="V177" i="1"/>
  <c r="AE177" i="1"/>
  <c r="AH135" i="22" s="1"/>
  <c r="AI135" i="22" s="1"/>
  <c r="V176" i="1"/>
  <c r="AE176" i="1"/>
  <c r="AH134" i="22" s="1"/>
  <c r="AI134" i="22" s="1"/>
  <c r="V175" i="1"/>
  <c r="AE175" i="1"/>
  <c r="AH133" i="22" s="1"/>
  <c r="AI133" i="22" s="1"/>
  <c r="V174" i="1"/>
  <c r="AE174" i="1"/>
  <c r="AH132" i="22" s="1"/>
  <c r="AI132" i="22" s="1"/>
  <c r="V173" i="1"/>
  <c r="AE173" i="1"/>
  <c r="AH131" i="22" s="1"/>
  <c r="AI131" i="22" s="1"/>
  <c r="V172" i="1"/>
  <c r="AE172" i="1"/>
  <c r="AH130" i="22" s="1"/>
  <c r="AI130" i="22" s="1"/>
  <c r="V171" i="1"/>
  <c r="AE171" i="1"/>
  <c r="V170" i="1"/>
  <c r="AE170" i="1"/>
  <c r="AH129" i="22" s="1"/>
  <c r="AI129" i="22" s="1"/>
  <c r="V169" i="1"/>
  <c r="AE169" i="1"/>
  <c r="V168" i="1"/>
  <c r="AE168" i="1"/>
  <c r="AH128" i="22" s="1"/>
  <c r="AI128" i="22" s="1"/>
  <c r="V167" i="1"/>
  <c r="AE167" i="1"/>
  <c r="AH127" i="22" s="1"/>
  <c r="AI127" i="22" s="1"/>
  <c r="V166" i="1"/>
  <c r="AE166" i="1"/>
  <c r="AH126" i="22" s="1"/>
  <c r="AI126" i="22" s="1"/>
  <c r="V165" i="1"/>
  <c r="AE165" i="1"/>
  <c r="V164" i="1"/>
  <c r="AE164" i="1"/>
  <c r="AH125" i="22" s="1"/>
  <c r="AI125" i="22" s="1"/>
  <c r="V163" i="1"/>
  <c r="AE163" i="1"/>
  <c r="AH124" i="22" s="1"/>
  <c r="AI124" i="22" s="1"/>
  <c r="V162" i="1"/>
  <c r="AE162" i="1"/>
  <c r="V160" i="1"/>
  <c r="AE160" i="1"/>
  <c r="AH122" i="22" s="1"/>
  <c r="AI122" i="22" s="1"/>
  <c r="V159" i="1"/>
  <c r="AE159" i="1"/>
  <c r="V158" i="1"/>
  <c r="AE158" i="1"/>
  <c r="AH121" i="22" s="1"/>
  <c r="AI121" i="22" s="1"/>
  <c r="V157" i="1"/>
  <c r="AE157" i="1"/>
  <c r="V156" i="1"/>
  <c r="AE156" i="1"/>
  <c r="AH120" i="22" s="1"/>
  <c r="AI120" i="22" s="1"/>
  <c r="V155" i="1"/>
  <c r="AE155" i="1"/>
  <c r="AH119" i="22" s="1"/>
  <c r="AI119" i="22" s="1"/>
  <c r="V154" i="1"/>
  <c r="AE154" i="1"/>
  <c r="AH118" i="22" s="1"/>
  <c r="AI118" i="22" s="1"/>
  <c r="V152" i="1"/>
  <c r="AE152" i="1"/>
  <c r="AH116" i="22" s="1"/>
  <c r="AI116" i="22" s="1"/>
  <c r="V151" i="1"/>
  <c r="AE151" i="1"/>
  <c r="AH115" i="22" s="1"/>
  <c r="AI115" i="22" s="1"/>
  <c r="V150" i="1"/>
  <c r="AE150" i="1"/>
  <c r="AH114" i="22" s="1"/>
  <c r="AI114" i="22" s="1"/>
  <c r="V149" i="1"/>
  <c r="AE149" i="1"/>
  <c r="AH113" i="22" s="1"/>
  <c r="AI113" i="22" s="1"/>
  <c r="V147" i="1"/>
  <c r="AE147" i="1"/>
  <c r="V146" i="1"/>
  <c r="AE146" i="1"/>
  <c r="AH111" i="22" s="1"/>
  <c r="AI111" i="22" s="1"/>
  <c r="V145" i="1"/>
  <c r="AE145" i="1"/>
  <c r="AH110" i="22" s="1"/>
  <c r="AI110" i="22" s="1"/>
  <c r="V143" i="1"/>
  <c r="AE143" i="1"/>
  <c r="V142" i="1"/>
  <c r="AE142" i="1"/>
  <c r="AH108" i="22" s="1"/>
  <c r="AI108" i="22" s="1"/>
  <c r="V141" i="1"/>
  <c r="AE141" i="1"/>
  <c r="V140" i="1"/>
  <c r="AE140" i="1"/>
  <c r="AH107" i="22" s="1"/>
  <c r="AI107" i="22" s="1"/>
  <c r="V139" i="1"/>
  <c r="AE139" i="1"/>
  <c r="AH106" i="22" s="1"/>
  <c r="AI106" i="22" s="1"/>
  <c r="V138" i="1"/>
  <c r="AE138" i="1"/>
  <c r="V137" i="1"/>
  <c r="AE137" i="1"/>
  <c r="AH105" i="22" s="1"/>
  <c r="AI105" i="22" s="1"/>
  <c r="V135" i="1"/>
  <c r="AE135" i="1"/>
  <c r="AH103" i="22" s="1"/>
  <c r="AI103" i="22" s="1"/>
  <c r="V134" i="1"/>
  <c r="AE134" i="1"/>
  <c r="AH102" i="22" s="1"/>
  <c r="AI102" i="22" s="1"/>
  <c r="V132" i="1"/>
  <c r="AE132" i="1"/>
  <c r="AH100" i="22" s="1"/>
  <c r="AI100" i="22" s="1"/>
  <c r="V131" i="1"/>
  <c r="AE131" i="1"/>
  <c r="AH99" i="22" s="1"/>
  <c r="AI99" i="22" s="1"/>
  <c r="V130" i="1"/>
  <c r="AE130" i="1"/>
  <c r="AH98" i="22" s="1"/>
  <c r="AI98" i="22" s="1"/>
  <c r="V129" i="1"/>
  <c r="AE129" i="1"/>
  <c r="AH97" i="22" s="1"/>
  <c r="AI97" i="22" s="1"/>
  <c r="V128" i="1"/>
  <c r="AE128" i="1"/>
  <c r="V126" i="1"/>
  <c r="AE126" i="1"/>
  <c r="AH95" i="22" s="1"/>
  <c r="AI95" i="22" s="1"/>
  <c r="V125" i="1"/>
  <c r="AE125" i="1"/>
  <c r="AH94" i="22" s="1"/>
  <c r="AI94" i="22" s="1"/>
  <c r="V124" i="1"/>
  <c r="AE124" i="1"/>
  <c r="AH93" i="22" s="1"/>
  <c r="AI93" i="22" s="1"/>
  <c r="V123" i="1"/>
  <c r="AE123" i="1"/>
  <c r="AH92" i="22" s="1"/>
  <c r="AI92" i="22" s="1"/>
  <c r="V122" i="1"/>
  <c r="AE122" i="1"/>
  <c r="AH91" i="22" s="1"/>
  <c r="AI91" i="22" s="1"/>
  <c r="V120" i="1"/>
  <c r="AE120" i="1"/>
  <c r="AH89" i="22" s="1"/>
  <c r="AI89" i="22" s="1"/>
  <c r="V118" i="1"/>
  <c r="AE118" i="1"/>
  <c r="AH87" i="22" s="1"/>
  <c r="AI87" i="22" s="1"/>
  <c r="V116" i="1"/>
  <c r="AE116" i="1"/>
  <c r="AH85" i="22" s="1"/>
  <c r="AI85" i="22" s="1"/>
  <c r="V115" i="1"/>
  <c r="AE115" i="1"/>
  <c r="V113" i="1"/>
  <c r="AE113" i="1"/>
  <c r="AH83" i="22" s="1"/>
  <c r="AI83" i="22" s="1"/>
  <c r="V112" i="1"/>
  <c r="AE112" i="1"/>
  <c r="AH82" i="22" s="1"/>
  <c r="AI82" i="22" s="1"/>
  <c r="V111" i="1"/>
  <c r="AE111" i="1"/>
  <c r="AH81" i="22" s="1"/>
  <c r="AI81" i="22" s="1"/>
  <c r="V110" i="1"/>
  <c r="AE110" i="1"/>
  <c r="V108" i="1"/>
  <c r="AE108" i="1"/>
  <c r="AH79" i="22" s="1"/>
  <c r="AI79" i="22" s="1"/>
  <c r="V107" i="1"/>
  <c r="AE107" i="1"/>
  <c r="AH78" i="22" s="1"/>
  <c r="AI78" i="22" s="1"/>
  <c r="V105" i="1"/>
  <c r="AE105" i="1"/>
  <c r="V102" i="1"/>
  <c r="AE102" i="1"/>
  <c r="AH75" i="22" s="1"/>
  <c r="AI75" i="22" s="1"/>
  <c r="V101" i="1"/>
  <c r="AE101" i="1"/>
  <c r="V100" i="1"/>
  <c r="AE100" i="1"/>
  <c r="AH74" i="22" s="1"/>
  <c r="AI74" i="22" s="1"/>
  <c r="V103" i="1"/>
  <c r="AE103" i="1"/>
  <c r="V91" i="1"/>
  <c r="AE91" i="1"/>
  <c r="AH68" i="22" s="1"/>
  <c r="AI68" i="22" s="1"/>
  <c r="V90" i="1"/>
  <c r="AE90" i="1"/>
  <c r="V89" i="1"/>
  <c r="AE89" i="1"/>
  <c r="AH67" i="22" s="1"/>
  <c r="AI67" i="22" s="1"/>
  <c r="W91" i="1"/>
  <c r="X91" i="1"/>
  <c r="Y91" i="1"/>
  <c r="Z91" i="1"/>
  <c r="AA91" i="1"/>
  <c r="W90" i="1"/>
  <c r="X90" i="1"/>
  <c r="Y90" i="1"/>
  <c r="Z90" i="1"/>
  <c r="AA90" i="1"/>
  <c r="W89" i="1"/>
  <c r="X89" i="1"/>
  <c r="Y89" i="1"/>
  <c r="Z89" i="1"/>
  <c r="AA89" i="1"/>
  <c r="V78" i="1"/>
  <c r="AE78" i="1"/>
  <c r="V77" i="1"/>
  <c r="AE77" i="1"/>
  <c r="AH59" i="22" s="1"/>
  <c r="AI59" i="22" s="1"/>
  <c r="W78" i="1"/>
  <c r="X78" i="1"/>
  <c r="Y78" i="1"/>
  <c r="Z78" i="1"/>
  <c r="AA78" i="1"/>
  <c r="W77" i="1"/>
  <c r="X77" i="1"/>
  <c r="Y77" i="1"/>
  <c r="Z77" i="1"/>
  <c r="AA77" i="1"/>
  <c r="V75" i="1"/>
  <c r="AE75" i="1"/>
  <c r="AH58" i="22" s="1"/>
  <c r="AI58" i="22" s="1"/>
  <c r="W79" i="1"/>
  <c r="X79" i="1"/>
  <c r="Y79" i="1"/>
  <c r="Z79" i="1"/>
  <c r="AA79" i="1"/>
  <c r="W76" i="1"/>
  <c r="X76" i="1"/>
  <c r="Y76" i="1"/>
  <c r="Z76" i="1"/>
  <c r="AA76" i="1"/>
  <c r="W75" i="1"/>
  <c r="X75" i="1"/>
  <c r="Y75" i="1"/>
  <c r="Z75" i="1"/>
  <c r="AA75" i="1"/>
  <c r="V73" i="1"/>
  <c r="AE73" i="1"/>
  <c r="AH57" i="22" s="1"/>
  <c r="AI57" i="22" s="1"/>
  <c r="V72" i="1"/>
  <c r="AE72" i="1"/>
  <c r="AH56" i="22" s="1"/>
  <c r="AI56" i="22" s="1"/>
  <c r="V71" i="1"/>
  <c r="AE71" i="1"/>
  <c r="AH55" i="22" s="1"/>
  <c r="AI55" i="22" s="1"/>
  <c r="W74" i="1"/>
  <c r="X74" i="1"/>
  <c r="Y74" i="1"/>
  <c r="Z74" i="1"/>
  <c r="AA74" i="1"/>
  <c r="W73" i="1"/>
  <c r="X73" i="1"/>
  <c r="Y73" i="1"/>
  <c r="Z73" i="1"/>
  <c r="AA73" i="1"/>
  <c r="W72" i="1"/>
  <c r="X72" i="1"/>
  <c r="Y72" i="1"/>
  <c r="Z72" i="1"/>
  <c r="AA72" i="1"/>
  <c r="W71" i="1"/>
  <c r="X71" i="1"/>
  <c r="Y71" i="1"/>
  <c r="Z71" i="1"/>
  <c r="AA71" i="1"/>
  <c r="V98" i="1"/>
  <c r="AE98" i="1"/>
  <c r="V97" i="1"/>
  <c r="AE97" i="1"/>
  <c r="AH72" i="22" s="1"/>
  <c r="AI72" i="22" s="1"/>
  <c r="V95" i="1"/>
  <c r="AE95" i="1"/>
  <c r="AH70" i="22" s="1"/>
  <c r="AI70" i="22" s="1"/>
  <c r="V94" i="1"/>
  <c r="AE94" i="1"/>
  <c r="V93" i="1"/>
  <c r="AE93" i="1"/>
  <c r="AH69" i="22" s="1"/>
  <c r="AI69" i="22" s="1"/>
  <c r="V92" i="1"/>
  <c r="AE92" i="1"/>
  <c r="V88" i="1"/>
  <c r="AE88" i="1"/>
  <c r="AH66" i="22" s="1"/>
  <c r="AI66" i="22" s="1"/>
  <c r="V87" i="1"/>
  <c r="AE87" i="1"/>
  <c r="AH65" i="22" s="1"/>
  <c r="AI65" i="22" s="1"/>
  <c r="V86" i="1"/>
  <c r="AE86" i="1"/>
  <c r="V84" i="1"/>
  <c r="AE84" i="1"/>
  <c r="V83" i="1"/>
  <c r="AE83" i="1"/>
  <c r="AH63" i="22" s="1"/>
  <c r="AI63" i="22" s="1"/>
  <c r="V81" i="1"/>
  <c r="AE81" i="1"/>
  <c r="AH61" i="22" s="1"/>
  <c r="AI61" i="22" s="1"/>
  <c r="V80" i="1"/>
  <c r="AE80" i="1"/>
  <c r="V69" i="1"/>
  <c r="AE69" i="1"/>
  <c r="AH53" i="22" s="1"/>
  <c r="AI53" i="22" s="1"/>
  <c r="V68" i="1"/>
  <c r="AE68" i="1"/>
  <c r="AH52" i="22" s="1"/>
  <c r="AI52" i="22" s="1"/>
  <c r="V67" i="1"/>
  <c r="AE67" i="1"/>
  <c r="AH51" i="22" s="1"/>
  <c r="AI51" i="22" s="1"/>
  <c r="V65" i="1"/>
  <c r="AE65" i="1"/>
  <c r="AH49" i="22" s="1"/>
  <c r="AI49" i="22" s="1"/>
  <c r="V63" i="1"/>
  <c r="AE63" i="1"/>
  <c r="W1012" i="1"/>
  <c r="X1012" i="1"/>
  <c r="Y1012" i="1"/>
  <c r="Z1012" i="1"/>
  <c r="AA1012" i="1"/>
  <c r="W1011" i="1"/>
  <c r="X1011" i="1"/>
  <c r="Y1011" i="1"/>
  <c r="Z1011" i="1"/>
  <c r="AA1011" i="1"/>
  <c r="W1010" i="1"/>
  <c r="X1010" i="1"/>
  <c r="Y1010" i="1"/>
  <c r="Z1010" i="1"/>
  <c r="AA1010" i="1"/>
  <c r="W1009" i="1"/>
  <c r="X1009" i="1"/>
  <c r="Y1009" i="1"/>
  <c r="Z1009" i="1"/>
  <c r="AA1009" i="1"/>
  <c r="W1008" i="1"/>
  <c r="X1008" i="1"/>
  <c r="Y1008" i="1"/>
  <c r="Z1008" i="1"/>
  <c r="AA1008" i="1"/>
  <c r="W1007" i="1"/>
  <c r="X1007" i="1"/>
  <c r="Y1007" i="1"/>
  <c r="Z1007" i="1"/>
  <c r="AA1007" i="1"/>
  <c r="W1006" i="1"/>
  <c r="X1006" i="1"/>
  <c r="Y1006" i="1"/>
  <c r="Z1006" i="1"/>
  <c r="AA1006" i="1"/>
  <c r="W1005" i="1"/>
  <c r="X1005" i="1"/>
  <c r="Y1005" i="1"/>
  <c r="Z1005" i="1"/>
  <c r="AA1005" i="1"/>
  <c r="W1004" i="1"/>
  <c r="X1004" i="1"/>
  <c r="Y1004" i="1"/>
  <c r="Z1004" i="1"/>
  <c r="AA1004" i="1"/>
  <c r="W1003" i="1"/>
  <c r="X1003" i="1"/>
  <c r="Y1003" i="1"/>
  <c r="Z1003" i="1"/>
  <c r="AA1003" i="1"/>
  <c r="W1002" i="1"/>
  <c r="X1002" i="1"/>
  <c r="Y1002" i="1"/>
  <c r="Z1002" i="1"/>
  <c r="AA1002" i="1"/>
  <c r="W1001" i="1"/>
  <c r="X1001" i="1"/>
  <c r="Y1001" i="1"/>
  <c r="Z1001" i="1"/>
  <c r="AA1001" i="1"/>
  <c r="W1000" i="1"/>
  <c r="X1000" i="1"/>
  <c r="Y1000" i="1"/>
  <c r="Z1000" i="1"/>
  <c r="AA1000" i="1"/>
  <c r="W999" i="1"/>
  <c r="X999" i="1"/>
  <c r="Y999" i="1"/>
  <c r="Z999" i="1"/>
  <c r="AA999" i="1"/>
  <c r="W998" i="1"/>
  <c r="X998" i="1"/>
  <c r="Y998" i="1"/>
  <c r="Z998" i="1"/>
  <c r="AA998" i="1"/>
  <c r="W997" i="1"/>
  <c r="X997" i="1"/>
  <c r="Y997" i="1"/>
  <c r="Z997" i="1"/>
  <c r="AA997" i="1"/>
  <c r="W996" i="1"/>
  <c r="X996" i="1"/>
  <c r="Y996" i="1"/>
  <c r="Z996" i="1"/>
  <c r="AA996" i="1"/>
  <c r="W995" i="1"/>
  <c r="X995" i="1"/>
  <c r="Y995" i="1"/>
  <c r="Z995" i="1"/>
  <c r="AA995" i="1"/>
  <c r="W994" i="1"/>
  <c r="X994" i="1"/>
  <c r="Y994" i="1"/>
  <c r="Z994" i="1"/>
  <c r="AA994" i="1"/>
  <c r="W993" i="1"/>
  <c r="X993" i="1"/>
  <c r="Y993" i="1"/>
  <c r="Z993" i="1"/>
  <c r="AA993" i="1"/>
  <c r="W992" i="1"/>
  <c r="X992" i="1"/>
  <c r="Y992" i="1"/>
  <c r="Z992" i="1"/>
  <c r="AA992" i="1"/>
  <c r="W991" i="1"/>
  <c r="X991" i="1"/>
  <c r="Y991" i="1"/>
  <c r="Z991" i="1"/>
  <c r="AA991" i="1"/>
  <c r="W990" i="1"/>
  <c r="X990" i="1"/>
  <c r="Y990" i="1"/>
  <c r="Z990" i="1"/>
  <c r="AA990" i="1"/>
  <c r="W989" i="1"/>
  <c r="X989" i="1"/>
  <c r="Y989" i="1"/>
  <c r="Z989" i="1"/>
  <c r="AA989" i="1"/>
  <c r="W988" i="1"/>
  <c r="X988" i="1"/>
  <c r="Y988" i="1"/>
  <c r="Z988" i="1"/>
  <c r="AA988" i="1"/>
  <c r="W987" i="1"/>
  <c r="X987" i="1"/>
  <c r="Y987" i="1"/>
  <c r="Z987" i="1"/>
  <c r="AA987" i="1"/>
  <c r="W986" i="1"/>
  <c r="X986" i="1"/>
  <c r="Y986" i="1"/>
  <c r="Z986" i="1"/>
  <c r="AA986" i="1"/>
  <c r="W985" i="1"/>
  <c r="X985" i="1"/>
  <c r="Y985" i="1"/>
  <c r="Z985" i="1"/>
  <c r="AA985" i="1"/>
  <c r="W984" i="1"/>
  <c r="X984" i="1"/>
  <c r="Y984" i="1"/>
  <c r="Z984" i="1"/>
  <c r="AA984" i="1"/>
  <c r="W983" i="1"/>
  <c r="X983" i="1"/>
  <c r="Y983" i="1"/>
  <c r="Z983" i="1"/>
  <c r="AA983" i="1"/>
  <c r="W982" i="1"/>
  <c r="X982" i="1"/>
  <c r="Y982" i="1"/>
  <c r="Z982" i="1"/>
  <c r="AA982" i="1"/>
  <c r="W981" i="1"/>
  <c r="X981" i="1"/>
  <c r="Y981" i="1"/>
  <c r="Z981" i="1"/>
  <c r="AA981" i="1"/>
  <c r="W980" i="1"/>
  <c r="X980" i="1"/>
  <c r="Y980" i="1"/>
  <c r="Z980" i="1"/>
  <c r="AA980" i="1"/>
  <c r="W979" i="1"/>
  <c r="X979" i="1"/>
  <c r="Y979" i="1"/>
  <c r="Z979" i="1"/>
  <c r="AA979" i="1"/>
  <c r="W978" i="1"/>
  <c r="X978" i="1"/>
  <c r="Y978" i="1"/>
  <c r="Z978" i="1"/>
  <c r="AA978" i="1"/>
  <c r="W977" i="1"/>
  <c r="X977" i="1"/>
  <c r="Y977" i="1"/>
  <c r="Z977" i="1"/>
  <c r="AA977" i="1"/>
  <c r="W976" i="1"/>
  <c r="X976" i="1"/>
  <c r="Y976" i="1"/>
  <c r="Z976" i="1"/>
  <c r="AA976" i="1"/>
  <c r="W975" i="1"/>
  <c r="X975" i="1"/>
  <c r="Y975" i="1"/>
  <c r="Z975" i="1"/>
  <c r="AA975" i="1"/>
  <c r="W974" i="1"/>
  <c r="X974" i="1"/>
  <c r="Y974" i="1"/>
  <c r="Z974" i="1"/>
  <c r="AA974" i="1"/>
  <c r="W973" i="1"/>
  <c r="X973" i="1"/>
  <c r="Y973" i="1"/>
  <c r="Z973" i="1"/>
  <c r="AA973" i="1"/>
  <c r="W972" i="1"/>
  <c r="X972" i="1"/>
  <c r="Y972" i="1"/>
  <c r="Z972" i="1"/>
  <c r="AA972" i="1"/>
  <c r="W971" i="1"/>
  <c r="X971" i="1"/>
  <c r="Y971" i="1"/>
  <c r="Z971" i="1"/>
  <c r="AA971" i="1"/>
  <c r="W970" i="1"/>
  <c r="X970" i="1"/>
  <c r="Y970" i="1"/>
  <c r="Z970" i="1"/>
  <c r="AA970" i="1"/>
  <c r="W969" i="1"/>
  <c r="X969" i="1"/>
  <c r="Y969" i="1"/>
  <c r="Z969" i="1"/>
  <c r="AA969" i="1"/>
  <c r="W968" i="1"/>
  <c r="X968" i="1"/>
  <c r="Y968" i="1"/>
  <c r="Z968" i="1"/>
  <c r="AA968" i="1"/>
  <c r="W967" i="1"/>
  <c r="X967" i="1"/>
  <c r="Y967" i="1"/>
  <c r="Z967" i="1"/>
  <c r="AA967" i="1"/>
  <c r="W966" i="1"/>
  <c r="X966" i="1"/>
  <c r="Y966" i="1"/>
  <c r="Z966" i="1"/>
  <c r="AA966" i="1"/>
  <c r="W965" i="1"/>
  <c r="X965" i="1"/>
  <c r="Y965" i="1"/>
  <c r="Z965" i="1"/>
  <c r="AA965" i="1"/>
  <c r="W964" i="1"/>
  <c r="X964" i="1"/>
  <c r="Y964" i="1"/>
  <c r="Z964" i="1"/>
  <c r="AA964" i="1"/>
  <c r="W963" i="1"/>
  <c r="X963" i="1"/>
  <c r="Y963" i="1"/>
  <c r="Z963" i="1"/>
  <c r="AA963" i="1"/>
  <c r="W962" i="1"/>
  <c r="X962" i="1"/>
  <c r="Y962" i="1"/>
  <c r="Z962" i="1"/>
  <c r="AA962" i="1"/>
  <c r="W961" i="1"/>
  <c r="X961" i="1"/>
  <c r="Y961" i="1"/>
  <c r="Z961" i="1"/>
  <c r="AA961" i="1"/>
  <c r="W960" i="1"/>
  <c r="X960" i="1"/>
  <c r="Y960" i="1"/>
  <c r="Z960" i="1"/>
  <c r="AA960" i="1"/>
  <c r="W959" i="1"/>
  <c r="X959" i="1"/>
  <c r="Y959" i="1"/>
  <c r="Z959" i="1"/>
  <c r="AA959" i="1"/>
  <c r="W958" i="1"/>
  <c r="X958" i="1"/>
  <c r="Y958" i="1"/>
  <c r="Z958" i="1"/>
  <c r="AA958" i="1"/>
  <c r="W957" i="1"/>
  <c r="X957" i="1"/>
  <c r="Y957" i="1"/>
  <c r="Z957" i="1"/>
  <c r="AA957" i="1"/>
  <c r="W956" i="1"/>
  <c r="X956" i="1"/>
  <c r="Y956" i="1"/>
  <c r="Z956" i="1"/>
  <c r="AA956" i="1"/>
  <c r="W955" i="1"/>
  <c r="X955" i="1"/>
  <c r="Y955" i="1"/>
  <c r="Z955" i="1"/>
  <c r="AA955" i="1"/>
  <c r="W954" i="1"/>
  <c r="X954" i="1"/>
  <c r="Y954" i="1"/>
  <c r="Z954" i="1"/>
  <c r="AA954" i="1"/>
  <c r="W953" i="1"/>
  <c r="X953" i="1"/>
  <c r="Y953" i="1"/>
  <c r="Z953" i="1"/>
  <c r="AA953" i="1"/>
  <c r="W952" i="1"/>
  <c r="X952" i="1"/>
  <c r="Y952" i="1"/>
  <c r="Z952" i="1"/>
  <c r="AA952" i="1"/>
  <c r="W951" i="1"/>
  <c r="X951" i="1"/>
  <c r="Y951" i="1"/>
  <c r="Z951" i="1"/>
  <c r="AA951" i="1"/>
  <c r="W950" i="1"/>
  <c r="X950" i="1"/>
  <c r="Y950" i="1"/>
  <c r="Z950" i="1"/>
  <c r="AA950" i="1"/>
  <c r="W949" i="1"/>
  <c r="X949" i="1"/>
  <c r="Y949" i="1"/>
  <c r="Z949" i="1"/>
  <c r="AA949" i="1"/>
  <c r="W948" i="1"/>
  <c r="X948" i="1"/>
  <c r="Y948" i="1"/>
  <c r="Z948" i="1"/>
  <c r="AA948" i="1"/>
  <c r="W947" i="1"/>
  <c r="X947" i="1"/>
  <c r="Y947" i="1"/>
  <c r="Z947" i="1"/>
  <c r="AA947" i="1"/>
  <c r="W946" i="1"/>
  <c r="X946" i="1"/>
  <c r="Y946" i="1"/>
  <c r="Z946" i="1"/>
  <c r="AA946" i="1"/>
  <c r="W945" i="1"/>
  <c r="X945" i="1"/>
  <c r="Y945" i="1"/>
  <c r="Z945" i="1"/>
  <c r="AA945" i="1"/>
  <c r="W944" i="1"/>
  <c r="X944" i="1"/>
  <c r="Y944" i="1"/>
  <c r="Z944" i="1"/>
  <c r="AA944" i="1"/>
  <c r="W943" i="1"/>
  <c r="X943" i="1"/>
  <c r="Y943" i="1"/>
  <c r="Z943" i="1"/>
  <c r="AA943" i="1"/>
  <c r="W942" i="1"/>
  <c r="X942" i="1"/>
  <c r="Y942" i="1"/>
  <c r="Z942" i="1"/>
  <c r="AA942" i="1"/>
  <c r="W941" i="1"/>
  <c r="X941" i="1"/>
  <c r="Y941" i="1"/>
  <c r="Z941" i="1"/>
  <c r="AA941" i="1"/>
  <c r="W940" i="1"/>
  <c r="X940" i="1"/>
  <c r="Y940" i="1"/>
  <c r="Z940" i="1"/>
  <c r="AA940" i="1"/>
  <c r="W939" i="1"/>
  <c r="X939" i="1"/>
  <c r="Y939" i="1"/>
  <c r="Z939" i="1"/>
  <c r="AA939" i="1"/>
  <c r="W938" i="1"/>
  <c r="X938" i="1"/>
  <c r="Y938" i="1"/>
  <c r="Z938" i="1"/>
  <c r="AA938" i="1"/>
  <c r="W937" i="1"/>
  <c r="X937" i="1"/>
  <c r="Y937" i="1"/>
  <c r="Z937" i="1"/>
  <c r="AA937" i="1"/>
  <c r="W936" i="1"/>
  <c r="X936" i="1"/>
  <c r="Y936" i="1"/>
  <c r="Z936" i="1"/>
  <c r="AA936" i="1"/>
  <c r="W935" i="1"/>
  <c r="X935" i="1"/>
  <c r="Y935" i="1"/>
  <c r="Z935" i="1"/>
  <c r="AA935" i="1"/>
  <c r="W934" i="1"/>
  <c r="X934" i="1"/>
  <c r="Y934" i="1"/>
  <c r="Z934" i="1"/>
  <c r="AA934" i="1"/>
  <c r="W933" i="1"/>
  <c r="X933" i="1"/>
  <c r="Y933" i="1"/>
  <c r="Z933" i="1"/>
  <c r="AA933" i="1"/>
  <c r="W932" i="1"/>
  <c r="X932" i="1"/>
  <c r="Y932" i="1"/>
  <c r="Z932" i="1"/>
  <c r="AA932" i="1"/>
  <c r="W931" i="1"/>
  <c r="X931" i="1"/>
  <c r="Y931" i="1"/>
  <c r="Z931" i="1"/>
  <c r="AA931" i="1"/>
  <c r="W930" i="1"/>
  <c r="X930" i="1"/>
  <c r="Y930" i="1"/>
  <c r="Z930" i="1"/>
  <c r="AA930" i="1"/>
  <c r="W929" i="1"/>
  <c r="X929" i="1"/>
  <c r="Y929" i="1"/>
  <c r="Z929" i="1"/>
  <c r="AA929" i="1"/>
  <c r="W928" i="1"/>
  <c r="X928" i="1"/>
  <c r="Y928" i="1"/>
  <c r="Z928" i="1"/>
  <c r="AA928" i="1"/>
  <c r="W927" i="1"/>
  <c r="X927" i="1"/>
  <c r="Y927" i="1"/>
  <c r="Z927" i="1"/>
  <c r="AA927" i="1"/>
  <c r="W926" i="1"/>
  <c r="X926" i="1"/>
  <c r="Y926" i="1"/>
  <c r="Z926" i="1"/>
  <c r="AA926" i="1"/>
  <c r="W925" i="1"/>
  <c r="X925" i="1"/>
  <c r="Y925" i="1"/>
  <c r="Z925" i="1"/>
  <c r="AA925" i="1"/>
  <c r="W924" i="1"/>
  <c r="X924" i="1"/>
  <c r="Y924" i="1"/>
  <c r="Z924" i="1"/>
  <c r="AA924" i="1"/>
  <c r="W923" i="1"/>
  <c r="X923" i="1"/>
  <c r="Y923" i="1"/>
  <c r="Z923" i="1"/>
  <c r="AA923" i="1"/>
  <c r="W922" i="1"/>
  <c r="X922" i="1"/>
  <c r="Y922" i="1"/>
  <c r="Z922" i="1"/>
  <c r="AA922" i="1"/>
  <c r="W921" i="1"/>
  <c r="X921" i="1"/>
  <c r="Y921" i="1"/>
  <c r="Z921" i="1"/>
  <c r="AA921" i="1"/>
  <c r="W920" i="1"/>
  <c r="X920" i="1"/>
  <c r="Y920" i="1"/>
  <c r="Z920" i="1"/>
  <c r="AA920" i="1"/>
  <c r="W919" i="1"/>
  <c r="X919" i="1"/>
  <c r="Y919" i="1"/>
  <c r="Z919" i="1"/>
  <c r="AA919" i="1"/>
  <c r="W918" i="1"/>
  <c r="X918" i="1"/>
  <c r="Y918" i="1"/>
  <c r="Z918" i="1"/>
  <c r="AA918" i="1"/>
  <c r="W917" i="1"/>
  <c r="X917" i="1"/>
  <c r="Y917" i="1"/>
  <c r="Z917" i="1"/>
  <c r="AA917" i="1"/>
  <c r="W916" i="1"/>
  <c r="X916" i="1"/>
  <c r="Y916" i="1"/>
  <c r="Z916" i="1"/>
  <c r="AA916" i="1"/>
  <c r="W915" i="1"/>
  <c r="X915" i="1"/>
  <c r="Y915" i="1"/>
  <c r="Z915" i="1"/>
  <c r="AA915" i="1"/>
  <c r="W914" i="1"/>
  <c r="X914" i="1"/>
  <c r="Y914" i="1"/>
  <c r="Z914" i="1"/>
  <c r="AA914" i="1"/>
  <c r="W913" i="1"/>
  <c r="X913" i="1"/>
  <c r="Y913" i="1"/>
  <c r="Z913" i="1"/>
  <c r="AA913" i="1"/>
  <c r="W912" i="1"/>
  <c r="X912" i="1"/>
  <c r="Y912" i="1"/>
  <c r="Z912" i="1"/>
  <c r="AA912" i="1"/>
  <c r="W911" i="1"/>
  <c r="X911" i="1"/>
  <c r="Y911" i="1"/>
  <c r="Z911" i="1"/>
  <c r="AA911" i="1"/>
  <c r="W910" i="1"/>
  <c r="X910" i="1"/>
  <c r="Y910" i="1"/>
  <c r="Z910" i="1"/>
  <c r="AA910" i="1"/>
  <c r="W909" i="1"/>
  <c r="X909" i="1"/>
  <c r="Y909" i="1"/>
  <c r="Z909" i="1"/>
  <c r="AA909" i="1"/>
  <c r="W908" i="1"/>
  <c r="X908" i="1"/>
  <c r="Y908" i="1"/>
  <c r="Z908" i="1"/>
  <c r="AA908" i="1"/>
  <c r="W907" i="1"/>
  <c r="X907" i="1"/>
  <c r="Y907" i="1"/>
  <c r="Z907" i="1"/>
  <c r="AA907" i="1"/>
  <c r="W906" i="1"/>
  <c r="X906" i="1"/>
  <c r="Y906" i="1"/>
  <c r="Z906" i="1"/>
  <c r="AA906" i="1"/>
  <c r="W905" i="1"/>
  <c r="X905" i="1"/>
  <c r="Y905" i="1"/>
  <c r="Z905" i="1"/>
  <c r="AA905" i="1"/>
  <c r="W904" i="1"/>
  <c r="X904" i="1"/>
  <c r="Y904" i="1"/>
  <c r="Z904" i="1"/>
  <c r="AA904" i="1"/>
  <c r="W903" i="1"/>
  <c r="X903" i="1"/>
  <c r="Y903" i="1"/>
  <c r="Z903" i="1"/>
  <c r="AA903" i="1"/>
  <c r="W902" i="1"/>
  <c r="X902" i="1"/>
  <c r="Y902" i="1"/>
  <c r="Z902" i="1"/>
  <c r="AA902" i="1"/>
  <c r="W901" i="1"/>
  <c r="X901" i="1"/>
  <c r="Y901" i="1"/>
  <c r="Z901" i="1"/>
  <c r="AA901" i="1"/>
  <c r="W900" i="1"/>
  <c r="X900" i="1"/>
  <c r="Y900" i="1"/>
  <c r="Z900" i="1"/>
  <c r="AA900" i="1"/>
  <c r="W899" i="1"/>
  <c r="X899" i="1"/>
  <c r="Y899" i="1"/>
  <c r="Z899" i="1"/>
  <c r="AA899" i="1"/>
  <c r="W898" i="1"/>
  <c r="X898" i="1"/>
  <c r="Y898" i="1"/>
  <c r="Z898" i="1"/>
  <c r="AA898" i="1"/>
  <c r="W897" i="1"/>
  <c r="X897" i="1"/>
  <c r="Y897" i="1"/>
  <c r="Z897" i="1"/>
  <c r="AA897" i="1"/>
  <c r="W896" i="1"/>
  <c r="X896" i="1"/>
  <c r="Y896" i="1"/>
  <c r="Z896" i="1"/>
  <c r="AA896" i="1"/>
  <c r="W895" i="1"/>
  <c r="X895" i="1"/>
  <c r="Y895" i="1"/>
  <c r="Z895" i="1"/>
  <c r="AA895" i="1"/>
  <c r="W894" i="1"/>
  <c r="X894" i="1"/>
  <c r="Y894" i="1"/>
  <c r="Z894" i="1"/>
  <c r="AA894" i="1"/>
  <c r="W893" i="1"/>
  <c r="X893" i="1"/>
  <c r="Y893" i="1"/>
  <c r="Z893" i="1"/>
  <c r="AA893" i="1"/>
  <c r="W892" i="1"/>
  <c r="X892" i="1"/>
  <c r="Y892" i="1"/>
  <c r="Z892" i="1"/>
  <c r="AA892" i="1"/>
  <c r="W891" i="1"/>
  <c r="X891" i="1"/>
  <c r="Y891" i="1"/>
  <c r="Z891" i="1"/>
  <c r="AA891" i="1"/>
  <c r="W890" i="1"/>
  <c r="X890" i="1"/>
  <c r="Y890" i="1"/>
  <c r="Z890" i="1"/>
  <c r="AA890" i="1"/>
  <c r="W889" i="1"/>
  <c r="X889" i="1"/>
  <c r="Y889" i="1"/>
  <c r="Z889" i="1"/>
  <c r="AA889" i="1"/>
  <c r="W888" i="1"/>
  <c r="X888" i="1"/>
  <c r="Y888" i="1"/>
  <c r="Z888" i="1"/>
  <c r="AA888" i="1"/>
  <c r="W887" i="1"/>
  <c r="X887" i="1"/>
  <c r="Y887" i="1"/>
  <c r="Z887" i="1"/>
  <c r="AA887" i="1"/>
  <c r="W886" i="1"/>
  <c r="X886" i="1"/>
  <c r="Y886" i="1"/>
  <c r="Z886" i="1"/>
  <c r="AA886" i="1"/>
  <c r="W885" i="1"/>
  <c r="X885" i="1"/>
  <c r="Y885" i="1"/>
  <c r="Z885" i="1"/>
  <c r="AA885" i="1"/>
  <c r="W884" i="1"/>
  <c r="X884" i="1"/>
  <c r="Y884" i="1"/>
  <c r="Z884" i="1"/>
  <c r="AA884" i="1"/>
  <c r="W883" i="1"/>
  <c r="X883" i="1"/>
  <c r="Y883" i="1"/>
  <c r="Z883" i="1"/>
  <c r="AA883" i="1"/>
  <c r="W882" i="1"/>
  <c r="X882" i="1"/>
  <c r="Y882" i="1"/>
  <c r="Z882" i="1"/>
  <c r="AA882" i="1"/>
  <c r="W881" i="1"/>
  <c r="X881" i="1"/>
  <c r="Y881" i="1"/>
  <c r="Z881" i="1"/>
  <c r="AA881" i="1"/>
  <c r="W880" i="1"/>
  <c r="X880" i="1"/>
  <c r="Y880" i="1"/>
  <c r="Z880" i="1"/>
  <c r="AA880" i="1"/>
  <c r="W879" i="1"/>
  <c r="X879" i="1"/>
  <c r="Y879" i="1"/>
  <c r="Z879" i="1"/>
  <c r="AA879" i="1"/>
  <c r="W878" i="1"/>
  <c r="X878" i="1"/>
  <c r="Y878" i="1"/>
  <c r="Z878" i="1"/>
  <c r="AA878" i="1"/>
  <c r="W877" i="1"/>
  <c r="X877" i="1"/>
  <c r="Y877" i="1"/>
  <c r="Z877" i="1"/>
  <c r="AA877" i="1"/>
  <c r="W876" i="1"/>
  <c r="X876" i="1"/>
  <c r="Y876" i="1"/>
  <c r="Z876" i="1"/>
  <c r="AA876" i="1"/>
  <c r="W875" i="1"/>
  <c r="X875" i="1"/>
  <c r="Y875" i="1"/>
  <c r="Z875" i="1"/>
  <c r="AA875" i="1"/>
  <c r="W874" i="1"/>
  <c r="X874" i="1"/>
  <c r="Y874" i="1"/>
  <c r="Z874" i="1"/>
  <c r="AA874" i="1"/>
  <c r="W873" i="1"/>
  <c r="X873" i="1"/>
  <c r="Y873" i="1"/>
  <c r="Z873" i="1"/>
  <c r="AA873" i="1"/>
  <c r="W872" i="1"/>
  <c r="X872" i="1"/>
  <c r="Y872" i="1"/>
  <c r="Z872" i="1"/>
  <c r="AA872" i="1"/>
  <c r="W871" i="1"/>
  <c r="X871" i="1"/>
  <c r="Y871" i="1"/>
  <c r="Z871" i="1"/>
  <c r="AA871" i="1"/>
  <c r="W870" i="1"/>
  <c r="X870" i="1"/>
  <c r="Y870" i="1"/>
  <c r="Z870" i="1"/>
  <c r="AA870" i="1"/>
  <c r="W869" i="1"/>
  <c r="X869" i="1"/>
  <c r="Y869" i="1"/>
  <c r="Z869" i="1"/>
  <c r="AA869" i="1"/>
  <c r="W868" i="1"/>
  <c r="X868" i="1"/>
  <c r="Y868" i="1"/>
  <c r="Z868" i="1"/>
  <c r="AA868" i="1"/>
  <c r="W867" i="1"/>
  <c r="X867" i="1"/>
  <c r="Y867" i="1"/>
  <c r="Z867" i="1"/>
  <c r="AA867" i="1"/>
  <c r="W866" i="1"/>
  <c r="X866" i="1"/>
  <c r="Y866" i="1"/>
  <c r="Z866" i="1"/>
  <c r="AA866" i="1"/>
  <c r="W865" i="1"/>
  <c r="X865" i="1"/>
  <c r="Y865" i="1"/>
  <c r="Z865" i="1"/>
  <c r="AA865" i="1"/>
  <c r="W864" i="1"/>
  <c r="X864" i="1"/>
  <c r="Y864" i="1"/>
  <c r="Z864" i="1"/>
  <c r="AA864" i="1"/>
  <c r="W863" i="1"/>
  <c r="X863" i="1"/>
  <c r="Y863" i="1"/>
  <c r="Z863" i="1"/>
  <c r="AA863" i="1"/>
  <c r="W862" i="1"/>
  <c r="X862" i="1"/>
  <c r="Y862" i="1"/>
  <c r="Z862" i="1"/>
  <c r="AA862" i="1"/>
  <c r="W861" i="1"/>
  <c r="X861" i="1"/>
  <c r="Y861" i="1"/>
  <c r="Z861" i="1"/>
  <c r="AA861" i="1"/>
  <c r="W860" i="1"/>
  <c r="X860" i="1"/>
  <c r="Y860" i="1"/>
  <c r="Z860" i="1"/>
  <c r="AA860" i="1"/>
  <c r="W859" i="1"/>
  <c r="X859" i="1"/>
  <c r="Y859" i="1"/>
  <c r="Z859" i="1"/>
  <c r="AA859" i="1"/>
  <c r="W858" i="1"/>
  <c r="X858" i="1"/>
  <c r="Y858" i="1"/>
  <c r="Z858" i="1"/>
  <c r="AA858" i="1"/>
  <c r="W857" i="1"/>
  <c r="X857" i="1"/>
  <c r="Y857" i="1"/>
  <c r="Z857" i="1"/>
  <c r="AA857" i="1"/>
  <c r="W856" i="1"/>
  <c r="X856" i="1"/>
  <c r="Y856" i="1"/>
  <c r="Z856" i="1"/>
  <c r="AA856" i="1"/>
  <c r="W855" i="1"/>
  <c r="X855" i="1"/>
  <c r="Y855" i="1"/>
  <c r="Z855" i="1"/>
  <c r="AA855" i="1"/>
  <c r="W854" i="1"/>
  <c r="X854" i="1"/>
  <c r="Y854" i="1"/>
  <c r="Z854" i="1"/>
  <c r="AA854" i="1"/>
  <c r="W853" i="1"/>
  <c r="X853" i="1"/>
  <c r="Y853" i="1"/>
  <c r="Z853" i="1"/>
  <c r="AA853" i="1"/>
  <c r="W852" i="1"/>
  <c r="X852" i="1"/>
  <c r="Y852" i="1"/>
  <c r="Z852" i="1"/>
  <c r="AA852" i="1"/>
  <c r="W851" i="1"/>
  <c r="X851" i="1"/>
  <c r="Y851" i="1"/>
  <c r="Z851" i="1"/>
  <c r="AA851" i="1"/>
  <c r="W850" i="1"/>
  <c r="X850" i="1"/>
  <c r="Y850" i="1"/>
  <c r="Z850" i="1"/>
  <c r="AA850" i="1"/>
  <c r="W849" i="1"/>
  <c r="X849" i="1"/>
  <c r="Y849" i="1"/>
  <c r="Z849" i="1"/>
  <c r="AA849" i="1"/>
  <c r="W848" i="1"/>
  <c r="X848" i="1"/>
  <c r="Y848" i="1"/>
  <c r="Z848" i="1"/>
  <c r="AA848" i="1"/>
  <c r="W847" i="1"/>
  <c r="X847" i="1"/>
  <c r="Y847" i="1"/>
  <c r="Z847" i="1"/>
  <c r="AA847" i="1"/>
  <c r="W846" i="1"/>
  <c r="X846" i="1"/>
  <c r="Y846" i="1"/>
  <c r="Z846" i="1"/>
  <c r="AA846" i="1"/>
  <c r="W845" i="1"/>
  <c r="X845" i="1"/>
  <c r="Y845" i="1"/>
  <c r="Z845" i="1"/>
  <c r="AA845" i="1"/>
  <c r="W844" i="1"/>
  <c r="X844" i="1"/>
  <c r="Y844" i="1"/>
  <c r="Z844" i="1"/>
  <c r="AA844" i="1"/>
  <c r="W843" i="1"/>
  <c r="X843" i="1"/>
  <c r="Y843" i="1"/>
  <c r="Z843" i="1"/>
  <c r="AA843" i="1"/>
  <c r="W842" i="1"/>
  <c r="X842" i="1"/>
  <c r="Y842" i="1"/>
  <c r="Z842" i="1"/>
  <c r="AA842" i="1"/>
  <c r="W841" i="1"/>
  <c r="X841" i="1"/>
  <c r="Y841" i="1"/>
  <c r="Z841" i="1"/>
  <c r="AA841" i="1"/>
  <c r="W840" i="1"/>
  <c r="X840" i="1"/>
  <c r="Y840" i="1"/>
  <c r="Z840" i="1"/>
  <c r="AA840" i="1"/>
  <c r="W839" i="1"/>
  <c r="X839" i="1"/>
  <c r="Y839" i="1"/>
  <c r="Z839" i="1"/>
  <c r="AA839" i="1"/>
  <c r="W838" i="1"/>
  <c r="X838" i="1"/>
  <c r="Y838" i="1"/>
  <c r="Z838" i="1"/>
  <c r="AA838" i="1"/>
  <c r="W837" i="1"/>
  <c r="X837" i="1"/>
  <c r="Y837" i="1"/>
  <c r="Z837" i="1"/>
  <c r="AA837" i="1"/>
  <c r="W836" i="1"/>
  <c r="X836" i="1"/>
  <c r="Y836" i="1"/>
  <c r="Z836" i="1"/>
  <c r="AA836" i="1"/>
  <c r="W835" i="1"/>
  <c r="X835" i="1"/>
  <c r="Y835" i="1"/>
  <c r="Z835" i="1"/>
  <c r="AA835" i="1"/>
  <c r="W834" i="1"/>
  <c r="X834" i="1"/>
  <c r="Y834" i="1"/>
  <c r="Z834" i="1"/>
  <c r="AA834" i="1"/>
  <c r="W833" i="1"/>
  <c r="X833" i="1"/>
  <c r="Y833" i="1"/>
  <c r="Z833" i="1"/>
  <c r="AA833" i="1"/>
  <c r="W832" i="1"/>
  <c r="X832" i="1"/>
  <c r="Y832" i="1"/>
  <c r="Z832" i="1"/>
  <c r="AA832" i="1"/>
  <c r="W831" i="1"/>
  <c r="X831" i="1"/>
  <c r="Y831" i="1"/>
  <c r="Z831" i="1"/>
  <c r="AA831" i="1"/>
  <c r="W830" i="1"/>
  <c r="X830" i="1"/>
  <c r="Y830" i="1"/>
  <c r="Z830" i="1"/>
  <c r="AA830" i="1"/>
  <c r="W829" i="1"/>
  <c r="X829" i="1"/>
  <c r="Y829" i="1"/>
  <c r="Z829" i="1"/>
  <c r="AA829" i="1"/>
  <c r="W828" i="1"/>
  <c r="X828" i="1"/>
  <c r="Y828" i="1"/>
  <c r="Z828" i="1"/>
  <c r="AA828" i="1"/>
  <c r="W827" i="1"/>
  <c r="X827" i="1"/>
  <c r="Y827" i="1"/>
  <c r="Z827" i="1"/>
  <c r="AA827" i="1"/>
  <c r="W826" i="1"/>
  <c r="X826" i="1"/>
  <c r="Y826" i="1"/>
  <c r="Z826" i="1"/>
  <c r="AA826" i="1"/>
  <c r="W825" i="1"/>
  <c r="X825" i="1"/>
  <c r="Y825" i="1"/>
  <c r="Z825" i="1"/>
  <c r="AA825" i="1"/>
  <c r="W824" i="1"/>
  <c r="X824" i="1"/>
  <c r="Y824" i="1"/>
  <c r="Z824" i="1"/>
  <c r="AA824" i="1"/>
  <c r="W823" i="1"/>
  <c r="X823" i="1"/>
  <c r="Y823" i="1"/>
  <c r="Z823" i="1"/>
  <c r="AA823" i="1"/>
  <c r="W822" i="1"/>
  <c r="X822" i="1"/>
  <c r="Y822" i="1"/>
  <c r="Z822" i="1"/>
  <c r="AA822" i="1"/>
  <c r="W821" i="1"/>
  <c r="X821" i="1"/>
  <c r="Y821" i="1"/>
  <c r="Z821" i="1"/>
  <c r="AA821" i="1"/>
  <c r="W820" i="1"/>
  <c r="X820" i="1"/>
  <c r="Y820" i="1"/>
  <c r="Z820" i="1"/>
  <c r="AA820" i="1"/>
  <c r="W819" i="1"/>
  <c r="X819" i="1"/>
  <c r="Y819" i="1"/>
  <c r="Z819" i="1"/>
  <c r="AA819" i="1"/>
  <c r="W818" i="1"/>
  <c r="X818" i="1"/>
  <c r="Y818" i="1"/>
  <c r="Z818" i="1"/>
  <c r="AA818" i="1"/>
  <c r="W817" i="1"/>
  <c r="X817" i="1"/>
  <c r="Y817" i="1"/>
  <c r="Z817" i="1"/>
  <c r="AA817" i="1"/>
  <c r="W816" i="1"/>
  <c r="X816" i="1"/>
  <c r="Y816" i="1"/>
  <c r="Z816" i="1"/>
  <c r="AA816" i="1"/>
  <c r="W815" i="1"/>
  <c r="X815" i="1"/>
  <c r="Y815" i="1"/>
  <c r="Z815" i="1"/>
  <c r="AA815" i="1"/>
  <c r="W814" i="1"/>
  <c r="X814" i="1"/>
  <c r="Y814" i="1"/>
  <c r="Z814" i="1"/>
  <c r="AA814" i="1"/>
  <c r="W813" i="1"/>
  <c r="X813" i="1"/>
  <c r="Y813" i="1"/>
  <c r="Z813" i="1"/>
  <c r="AA813" i="1"/>
  <c r="W812" i="1"/>
  <c r="X812" i="1"/>
  <c r="Y812" i="1"/>
  <c r="Z812" i="1"/>
  <c r="AA812" i="1"/>
  <c r="W811" i="1"/>
  <c r="X811" i="1"/>
  <c r="Y811" i="1"/>
  <c r="Z811" i="1"/>
  <c r="AA811" i="1"/>
  <c r="W810" i="1"/>
  <c r="X810" i="1"/>
  <c r="Y810" i="1"/>
  <c r="Z810" i="1"/>
  <c r="AA810" i="1"/>
  <c r="W809" i="1"/>
  <c r="X809" i="1"/>
  <c r="Y809" i="1"/>
  <c r="Z809" i="1"/>
  <c r="AA809" i="1"/>
  <c r="W808" i="1"/>
  <c r="X808" i="1"/>
  <c r="Y808" i="1"/>
  <c r="Z808" i="1"/>
  <c r="AA808" i="1"/>
  <c r="W807" i="1"/>
  <c r="X807" i="1"/>
  <c r="Y807" i="1"/>
  <c r="Z807" i="1"/>
  <c r="AA807" i="1"/>
  <c r="W806" i="1"/>
  <c r="X806" i="1"/>
  <c r="Y806" i="1"/>
  <c r="Z806" i="1"/>
  <c r="AA806" i="1"/>
  <c r="W805" i="1"/>
  <c r="X805" i="1"/>
  <c r="Y805" i="1"/>
  <c r="Z805" i="1"/>
  <c r="AA805" i="1"/>
  <c r="W804" i="1"/>
  <c r="X804" i="1"/>
  <c r="Y804" i="1"/>
  <c r="Z804" i="1"/>
  <c r="AA804" i="1"/>
  <c r="W803" i="1"/>
  <c r="X803" i="1"/>
  <c r="Y803" i="1"/>
  <c r="Z803" i="1"/>
  <c r="AA803" i="1"/>
  <c r="W802" i="1"/>
  <c r="X802" i="1"/>
  <c r="Y802" i="1"/>
  <c r="Z802" i="1"/>
  <c r="AA802" i="1"/>
  <c r="W801" i="1"/>
  <c r="X801" i="1"/>
  <c r="Y801" i="1"/>
  <c r="Z801" i="1"/>
  <c r="AA801" i="1"/>
  <c r="W800" i="1"/>
  <c r="X800" i="1"/>
  <c r="Y800" i="1"/>
  <c r="Z800" i="1"/>
  <c r="AA800" i="1"/>
  <c r="W799" i="1"/>
  <c r="X799" i="1"/>
  <c r="Y799" i="1"/>
  <c r="Z799" i="1"/>
  <c r="AA799" i="1"/>
  <c r="W798" i="1"/>
  <c r="X798" i="1"/>
  <c r="Y798" i="1"/>
  <c r="Z798" i="1"/>
  <c r="AA798" i="1"/>
  <c r="W797" i="1"/>
  <c r="X797" i="1"/>
  <c r="Y797" i="1"/>
  <c r="Z797" i="1"/>
  <c r="AA797" i="1"/>
  <c r="W796" i="1"/>
  <c r="X796" i="1"/>
  <c r="Y796" i="1"/>
  <c r="Z796" i="1"/>
  <c r="AA796" i="1"/>
  <c r="W795" i="1"/>
  <c r="X795" i="1"/>
  <c r="Y795" i="1"/>
  <c r="Z795" i="1"/>
  <c r="AA795" i="1"/>
  <c r="W794" i="1"/>
  <c r="X794" i="1"/>
  <c r="Y794" i="1"/>
  <c r="Z794" i="1"/>
  <c r="AA794" i="1"/>
  <c r="W793" i="1"/>
  <c r="X793" i="1"/>
  <c r="Y793" i="1"/>
  <c r="Z793" i="1"/>
  <c r="AA793" i="1"/>
  <c r="W792" i="1"/>
  <c r="X792" i="1"/>
  <c r="Y792" i="1"/>
  <c r="Z792" i="1"/>
  <c r="AA792" i="1"/>
  <c r="W791" i="1"/>
  <c r="X791" i="1"/>
  <c r="Y791" i="1"/>
  <c r="Z791" i="1"/>
  <c r="AA791" i="1"/>
  <c r="W790" i="1"/>
  <c r="X790" i="1"/>
  <c r="Y790" i="1"/>
  <c r="Z790" i="1"/>
  <c r="AA790" i="1"/>
  <c r="W789" i="1"/>
  <c r="X789" i="1"/>
  <c r="Y789" i="1"/>
  <c r="Z789" i="1"/>
  <c r="AA789" i="1"/>
  <c r="W788" i="1"/>
  <c r="X788" i="1"/>
  <c r="Y788" i="1"/>
  <c r="Z788" i="1"/>
  <c r="AA788" i="1"/>
  <c r="W787" i="1"/>
  <c r="X787" i="1"/>
  <c r="Y787" i="1"/>
  <c r="Z787" i="1"/>
  <c r="AA787" i="1"/>
  <c r="W786" i="1"/>
  <c r="X786" i="1"/>
  <c r="Y786" i="1"/>
  <c r="Z786" i="1"/>
  <c r="AA786" i="1"/>
  <c r="W785" i="1"/>
  <c r="X785" i="1"/>
  <c r="Y785" i="1"/>
  <c r="Z785" i="1"/>
  <c r="AA785" i="1"/>
  <c r="W784" i="1"/>
  <c r="X784" i="1"/>
  <c r="Y784" i="1"/>
  <c r="Z784" i="1"/>
  <c r="AA784" i="1"/>
  <c r="W783" i="1"/>
  <c r="X783" i="1"/>
  <c r="Y783" i="1"/>
  <c r="Z783" i="1"/>
  <c r="AA783" i="1"/>
  <c r="W782" i="1"/>
  <c r="X782" i="1"/>
  <c r="Y782" i="1"/>
  <c r="Z782" i="1"/>
  <c r="AA782" i="1"/>
  <c r="W781" i="1"/>
  <c r="X781" i="1"/>
  <c r="Y781" i="1"/>
  <c r="Z781" i="1"/>
  <c r="AA781" i="1"/>
  <c r="W780" i="1"/>
  <c r="X780" i="1"/>
  <c r="Y780" i="1"/>
  <c r="Z780" i="1"/>
  <c r="AA780" i="1"/>
  <c r="W779" i="1"/>
  <c r="X779" i="1"/>
  <c r="Y779" i="1"/>
  <c r="Z779" i="1"/>
  <c r="AA779" i="1"/>
  <c r="W778" i="1"/>
  <c r="X778" i="1"/>
  <c r="Y778" i="1"/>
  <c r="Z778" i="1"/>
  <c r="AA778" i="1"/>
  <c r="W777" i="1"/>
  <c r="X777" i="1"/>
  <c r="Y777" i="1"/>
  <c r="Z777" i="1"/>
  <c r="AA777" i="1"/>
  <c r="W776" i="1"/>
  <c r="X776" i="1"/>
  <c r="Y776" i="1"/>
  <c r="Z776" i="1"/>
  <c r="AA776" i="1"/>
  <c r="W775" i="1"/>
  <c r="X775" i="1"/>
  <c r="Y775" i="1"/>
  <c r="Z775" i="1"/>
  <c r="AA775" i="1"/>
  <c r="W774" i="1"/>
  <c r="X774" i="1"/>
  <c r="Y774" i="1"/>
  <c r="Z774" i="1"/>
  <c r="AA774" i="1"/>
  <c r="W773" i="1"/>
  <c r="X773" i="1"/>
  <c r="Y773" i="1"/>
  <c r="Z773" i="1"/>
  <c r="AA773" i="1"/>
  <c r="W772" i="1"/>
  <c r="X772" i="1"/>
  <c r="Y772" i="1"/>
  <c r="Z772" i="1"/>
  <c r="AA772" i="1"/>
  <c r="W771" i="1"/>
  <c r="X771" i="1"/>
  <c r="Y771" i="1"/>
  <c r="Z771" i="1"/>
  <c r="AA771" i="1"/>
  <c r="W770" i="1"/>
  <c r="X770" i="1"/>
  <c r="Y770" i="1"/>
  <c r="Z770" i="1"/>
  <c r="AA770" i="1"/>
  <c r="W769" i="1"/>
  <c r="X769" i="1"/>
  <c r="Y769" i="1"/>
  <c r="Z769" i="1"/>
  <c r="AA769" i="1"/>
  <c r="W768" i="1"/>
  <c r="X768" i="1"/>
  <c r="Y768" i="1"/>
  <c r="Z768" i="1"/>
  <c r="AA768" i="1"/>
  <c r="W767" i="1"/>
  <c r="X767" i="1"/>
  <c r="Y767" i="1"/>
  <c r="Z767" i="1"/>
  <c r="AA767" i="1"/>
  <c r="W766" i="1"/>
  <c r="X766" i="1"/>
  <c r="Y766" i="1"/>
  <c r="Z766" i="1"/>
  <c r="AA766" i="1"/>
  <c r="W765" i="1"/>
  <c r="X765" i="1"/>
  <c r="Y765" i="1"/>
  <c r="Z765" i="1"/>
  <c r="AA765" i="1"/>
  <c r="W764" i="1"/>
  <c r="X764" i="1"/>
  <c r="Y764" i="1"/>
  <c r="Z764" i="1"/>
  <c r="AA764" i="1"/>
  <c r="W763" i="1"/>
  <c r="X763" i="1"/>
  <c r="Y763" i="1"/>
  <c r="Z763" i="1"/>
  <c r="AA763" i="1"/>
  <c r="W762" i="1"/>
  <c r="X762" i="1"/>
  <c r="Y762" i="1"/>
  <c r="Z762" i="1"/>
  <c r="AA762" i="1"/>
  <c r="W761" i="1"/>
  <c r="X761" i="1"/>
  <c r="Y761" i="1"/>
  <c r="Z761" i="1"/>
  <c r="AA761" i="1"/>
  <c r="W760" i="1"/>
  <c r="X760" i="1"/>
  <c r="Y760" i="1"/>
  <c r="Z760" i="1"/>
  <c r="AA760" i="1"/>
  <c r="W759" i="1"/>
  <c r="X759" i="1"/>
  <c r="Y759" i="1"/>
  <c r="Z759" i="1"/>
  <c r="AA759" i="1"/>
  <c r="W758" i="1"/>
  <c r="X758" i="1"/>
  <c r="Y758" i="1"/>
  <c r="Z758" i="1"/>
  <c r="AA758" i="1"/>
  <c r="W757" i="1"/>
  <c r="X757" i="1"/>
  <c r="Y757" i="1"/>
  <c r="Z757" i="1"/>
  <c r="AA757" i="1"/>
  <c r="W756" i="1"/>
  <c r="X756" i="1"/>
  <c r="Y756" i="1"/>
  <c r="Z756" i="1"/>
  <c r="AA756" i="1"/>
  <c r="W755" i="1"/>
  <c r="X755" i="1"/>
  <c r="Y755" i="1"/>
  <c r="Z755" i="1"/>
  <c r="AA755" i="1"/>
  <c r="W754" i="1"/>
  <c r="X754" i="1"/>
  <c r="Y754" i="1"/>
  <c r="Z754" i="1"/>
  <c r="AA754" i="1"/>
  <c r="W753" i="1"/>
  <c r="X753" i="1"/>
  <c r="Y753" i="1"/>
  <c r="Z753" i="1"/>
  <c r="AA753" i="1"/>
  <c r="W752" i="1"/>
  <c r="X752" i="1"/>
  <c r="Y752" i="1"/>
  <c r="Z752" i="1"/>
  <c r="AA752" i="1"/>
  <c r="W751" i="1"/>
  <c r="X751" i="1"/>
  <c r="Y751" i="1"/>
  <c r="Z751" i="1"/>
  <c r="AA751" i="1"/>
  <c r="W750" i="1"/>
  <c r="X750" i="1"/>
  <c r="Y750" i="1"/>
  <c r="Z750" i="1"/>
  <c r="AA750" i="1"/>
  <c r="W749" i="1"/>
  <c r="X749" i="1"/>
  <c r="Y749" i="1"/>
  <c r="Z749" i="1"/>
  <c r="AA749" i="1"/>
  <c r="W748" i="1"/>
  <c r="X748" i="1"/>
  <c r="Y748" i="1"/>
  <c r="Z748" i="1"/>
  <c r="AA748" i="1"/>
  <c r="W747" i="1"/>
  <c r="X747" i="1"/>
  <c r="Y747" i="1"/>
  <c r="Z747" i="1"/>
  <c r="AA747" i="1"/>
  <c r="W746" i="1"/>
  <c r="X746" i="1"/>
  <c r="Y746" i="1"/>
  <c r="Z746" i="1"/>
  <c r="AA746" i="1"/>
  <c r="W745" i="1"/>
  <c r="X745" i="1"/>
  <c r="Y745" i="1"/>
  <c r="Z745" i="1"/>
  <c r="AA745" i="1"/>
  <c r="W744" i="1"/>
  <c r="X744" i="1"/>
  <c r="Y744" i="1"/>
  <c r="Z744" i="1"/>
  <c r="AA744" i="1"/>
  <c r="W743" i="1"/>
  <c r="X743" i="1"/>
  <c r="Y743" i="1"/>
  <c r="Z743" i="1"/>
  <c r="AA743" i="1"/>
  <c r="W742" i="1"/>
  <c r="X742" i="1"/>
  <c r="Y742" i="1"/>
  <c r="Z742" i="1"/>
  <c r="AA742" i="1"/>
  <c r="W741" i="1"/>
  <c r="X741" i="1"/>
  <c r="Y741" i="1"/>
  <c r="Z741" i="1"/>
  <c r="AA741" i="1"/>
  <c r="W740" i="1"/>
  <c r="X740" i="1"/>
  <c r="Y740" i="1"/>
  <c r="Z740" i="1"/>
  <c r="AA740" i="1"/>
  <c r="W739" i="1"/>
  <c r="X739" i="1"/>
  <c r="Y739" i="1"/>
  <c r="Z739" i="1"/>
  <c r="AA739" i="1"/>
  <c r="W738" i="1"/>
  <c r="X738" i="1"/>
  <c r="Y738" i="1"/>
  <c r="Z738" i="1"/>
  <c r="AA738" i="1"/>
  <c r="W737" i="1"/>
  <c r="X737" i="1"/>
  <c r="Y737" i="1"/>
  <c r="Z737" i="1"/>
  <c r="AA737" i="1"/>
  <c r="W736" i="1"/>
  <c r="X736" i="1"/>
  <c r="Y736" i="1"/>
  <c r="Z736" i="1"/>
  <c r="AA736" i="1"/>
  <c r="W735" i="1"/>
  <c r="X735" i="1"/>
  <c r="Y735" i="1"/>
  <c r="Z735" i="1"/>
  <c r="AA735" i="1"/>
  <c r="W734" i="1"/>
  <c r="X734" i="1"/>
  <c r="Y734" i="1"/>
  <c r="Z734" i="1"/>
  <c r="AA734" i="1"/>
  <c r="W733" i="1"/>
  <c r="X733" i="1"/>
  <c r="Y733" i="1"/>
  <c r="Z733" i="1"/>
  <c r="AA733" i="1"/>
  <c r="W732" i="1"/>
  <c r="X732" i="1"/>
  <c r="Y732" i="1"/>
  <c r="Z732" i="1"/>
  <c r="AA732" i="1"/>
  <c r="W731" i="1"/>
  <c r="X731" i="1"/>
  <c r="Y731" i="1"/>
  <c r="Z731" i="1"/>
  <c r="AA731" i="1"/>
  <c r="W730" i="1"/>
  <c r="X730" i="1"/>
  <c r="Y730" i="1"/>
  <c r="Z730" i="1"/>
  <c r="AA730" i="1"/>
  <c r="W729" i="1"/>
  <c r="X729" i="1"/>
  <c r="Y729" i="1"/>
  <c r="Z729" i="1"/>
  <c r="AA729" i="1"/>
  <c r="W728" i="1"/>
  <c r="X728" i="1"/>
  <c r="Y728" i="1"/>
  <c r="Z728" i="1"/>
  <c r="AA728" i="1"/>
  <c r="W727" i="1"/>
  <c r="X727" i="1"/>
  <c r="Y727" i="1"/>
  <c r="Z727" i="1"/>
  <c r="AA727" i="1"/>
  <c r="W726" i="1"/>
  <c r="X726" i="1"/>
  <c r="Y726" i="1"/>
  <c r="Z726" i="1"/>
  <c r="AA726" i="1"/>
  <c r="W725" i="1"/>
  <c r="X725" i="1"/>
  <c r="Y725" i="1"/>
  <c r="Z725" i="1"/>
  <c r="AA725" i="1"/>
  <c r="W724" i="1"/>
  <c r="X724" i="1"/>
  <c r="Y724" i="1"/>
  <c r="Z724" i="1"/>
  <c r="AA724" i="1"/>
  <c r="W723" i="1"/>
  <c r="X723" i="1"/>
  <c r="Y723" i="1"/>
  <c r="Z723" i="1"/>
  <c r="AA723" i="1"/>
  <c r="W722" i="1"/>
  <c r="X722" i="1"/>
  <c r="Y722" i="1"/>
  <c r="Z722" i="1"/>
  <c r="AA722" i="1"/>
  <c r="W721" i="1"/>
  <c r="X721" i="1"/>
  <c r="Y721" i="1"/>
  <c r="Z721" i="1"/>
  <c r="AA721" i="1"/>
  <c r="W720" i="1"/>
  <c r="X720" i="1"/>
  <c r="Y720" i="1"/>
  <c r="Z720" i="1"/>
  <c r="AA720" i="1"/>
  <c r="W719" i="1"/>
  <c r="X719" i="1"/>
  <c r="Y719" i="1"/>
  <c r="Z719" i="1"/>
  <c r="AA719" i="1"/>
  <c r="W718" i="1"/>
  <c r="X718" i="1"/>
  <c r="Y718" i="1"/>
  <c r="Z718" i="1"/>
  <c r="AA718" i="1"/>
  <c r="W717" i="1"/>
  <c r="X717" i="1"/>
  <c r="Y717" i="1"/>
  <c r="Z717" i="1"/>
  <c r="AA717" i="1"/>
  <c r="W716" i="1"/>
  <c r="X716" i="1"/>
  <c r="Y716" i="1"/>
  <c r="Z716" i="1"/>
  <c r="AA716" i="1"/>
  <c r="W715" i="1"/>
  <c r="X715" i="1"/>
  <c r="Y715" i="1"/>
  <c r="Z715" i="1"/>
  <c r="AA715" i="1"/>
  <c r="W714" i="1"/>
  <c r="X714" i="1"/>
  <c r="Y714" i="1"/>
  <c r="Z714" i="1"/>
  <c r="AA714" i="1"/>
  <c r="W713" i="1"/>
  <c r="X713" i="1"/>
  <c r="Y713" i="1"/>
  <c r="Z713" i="1"/>
  <c r="AA713" i="1"/>
  <c r="W712" i="1"/>
  <c r="X712" i="1"/>
  <c r="Y712" i="1"/>
  <c r="Z712" i="1"/>
  <c r="AA712" i="1"/>
  <c r="W711" i="1"/>
  <c r="X711" i="1"/>
  <c r="Y711" i="1"/>
  <c r="Z711" i="1"/>
  <c r="AA711" i="1"/>
  <c r="W710" i="1"/>
  <c r="X710" i="1"/>
  <c r="Y710" i="1"/>
  <c r="Z710" i="1"/>
  <c r="AA710" i="1"/>
  <c r="W709" i="1"/>
  <c r="X709" i="1"/>
  <c r="Y709" i="1"/>
  <c r="Z709" i="1"/>
  <c r="AA709" i="1"/>
  <c r="W708" i="1"/>
  <c r="X708" i="1"/>
  <c r="Y708" i="1"/>
  <c r="Z708" i="1"/>
  <c r="AA708" i="1"/>
  <c r="W707" i="1"/>
  <c r="X707" i="1"/>
  <c r="Y707" i="1"/>
  <c r="Z707" i="1"/>
  <c r="AA707" i="1"/>
  <c r="W706" i="1"/>
  <c r="X706" i="1"/>
  <c r="Y706" i="1"/>
  <c r="Z706" i="1"/>
  <c r="AA706" i="1"/>
  <c r="W705" i="1"/>
  <c r="X705" i="1"/>
  <c r="Y705" i="1"/>
  <c r="Z705" i="1"/>
  <c r="AA705" i="1"/>
  <c r="W704" i="1"/>
  <c r="X704" i="1"/>
  <c r="Y704" i="1"/>
  <c r="Z704" i="1"/>
  <c r="AA704" i="1"/>
  <c r="W703" i="1"/>
  <c r="X703" i="1"/>
  <c r="Y703" i="1"/>
  <c r="Z703" i="1"/>
  <c r="AA703" i="1"/>
  <c r="W702" i="1"/>
  <c r="X702" i="1"/>
  <c r="Y702" i="1"/>
  <c r="Z702" i="1"/>
  <c r="AA702" i="1"/>
  <c r="W701" i="1"/>
  <c r="X701" i="1"/>
  <c r="Y701" i="1"/>
  <c r="Z701" i="1"/>
  <c r="AA701" i="1"/>
  <c r="W700" i="1"/>
  <c r="X700" i="1"/>
  <c r="Y700" i="1"/>
  <c r="Z700" i="1"/>
  <c r="AA700" i="1"/>
  <c r="W699" i="1"/>
  <c r="X699" i="1"/>
  <c r="Y699" i="1"/>
  <c r="Z699" i="1"/>
  <c r="AA699" i="1"/>
  <c r="W698" i="1"/>
  <c r="X698" i="1"/>
  <c r="Y698" i="1"/>
  <c r="Z698" i="1"/>
  <c r="AA698" i="1"/>
  <c r="W697" i="1"/>
  <c r="X697" i="1"/>
  <c r="Y697" i="1"/>
  <c r="Z697" i="1"/>
  <c r="AA697" i="1"/>
  <c r="W696" i="1"/>
  <c r="X696" i="1"/>
  <c r="Y696" i="1"/>
  <c r="Z696" i="1"/>
  <c r="AA696" i="1"/>
  <c r="W695" i="1"/>
  <c r="X695" i="1"/>
  <c r="Y695" i="1"/>
  <c r="Z695" i="1"/>
  <c r="AA695" i="1"/>
  <c r="W694" i="1"/>
  <c r="X694" i="1"/>
  <c r="Y694" i="1"/>
  <c r="Z694" i="1"/>
  <c r="AA694" i="1"/>
  <c r="W693" i="1"/>
  <c r="X693" i="1"/>
  <c r="Y693" i="1"/>
  <c r="Z693" i="1"/>
  <c r="AA693" i="1"/>
  <c r="W692" i="1"/>
  <c r="X692" i="1"/>
  <c r="Y692" i="1"/>
  <c r="Z692" i="1"/>
  <c r="AA692" i="1"/>
  <c r="W691" i="1"/>
  <c r="X691" i="1"/>
  <c r="Y691" i="1"/>
  <c r="Z691" i="1"/>
  <c r="AA691" i="1"/>
  <c r="W690" i="1"/>
  <c r="X690" i="1"/>
  <c r="Y690" i="1"/>
  <c r="Z690" i="1"/>
  <c r="AA690" i="1"/>
  <c r="W689" i="1"/>
  <c r="X689" i="1"/>
  <c r="Y689" i="1"/>
  <c r="Z689" i="1"/>
  <c r="AA689" i="1"/>
  <c r="W688" i="1"/>
  <c r="X688" i="1"/>
  <c r="Y688" i="1"/>
  <c r="Z688" i="1"/>
  <c r="AA688" i="1"/>
  <c r="W687" i="1"/>
  <c r="X687" i="1"/>
  <c r="Y687" i="1"/>
  <c r="Z687" i="1"/>
  <c r="AA687" i="1"/>
  <c r="W686" i="1"/>
  <c r="X686" i="1"/>
  <c r="Y686" i="1"/>
  <c r="Z686" i="1"/>
  <c r="AA686" i="1"/>
  <c r="W685" i="1"/>
  <c r="X685" i="1"/>
  <c r="Y685" i="1"/>
  <c r="Z685" i="1"/>
  <c r="AA685" i="1"/>
  <c r="W684" i="1"/>
  <c r="X684" i="1"/>
  <c r="Y684" i="1"/>
  <c r="Z684" i="1"/>
  <c r="AA684" i="1"/>
  <c r="W683" i="1"/>
  <c r="X683" i="1"/>
  <c r="Y683" i="1"/>
  <c r="Z683" i="1"/>
  <c r="AA683" i="1"/>
  <c r="W682" i="1"/>
  <c r="X682" i="1"/>
  <c r="Y682" i="1"/>
  <c r="Z682" i="1"/>
  <c r="AA682" i="1"/>
  <c r="W681" i="1"/>
  <c r="X681" i="1"/>
  <c r="Y681" i="1"/>
  <c r="Z681" i="1"/>
  <c r="AA681" i="1"/>
  <c r="W680" i="1"/>
  <c r="X680" i="1"/>
  <c r="Y680" i="1"/>
  <c r="Z680" i="1"/>
  <c r="AA680" i="1"/>
  <c r="W679" i="1"/>
  <c r="X679" i="1"/>
  <c r="Y679" i="1"/>
  <c r="Z679" i="1"/>
  <c r="AA679" i="1"/>
  <c r="W678" i="1"/>
  <c r="X678" i="1"/>
  <c r="Y678" i="1"/>
  <c r="Z678" i="1"/>
  <c r="AA678" i="1"/>
  <c r="W677" i="1"/>
  <c r="X677" i="1"/>
  <c r="Y677" i="1"/>
  <c r="Z677" i="1"/>
  <c r="AA677" i="1"/>
  <c r="W676" i="1"/>
  <c r="X676" i="1"/>
  <c r="Y676" i="1"/>
  <c r="Z676" i="1"/>
  <c r="AA676" i="1"/>
  <c r="W675" i="1"/>
  <c r="X675" i="1"/>
  <c r="Y675" i="1"/>
  <c r="Z675" i="1"/>
  <c r="AA675" i="1"/>
  <c r="W674" i="1"/>
  <c r="X674" i="1"/>
  <c r="Y674" i="1"/>
  <c r="Z674" i="1"/>
  <c r="AA674" i="1"/>
  <c r="W673" i="1"/>
  <c r="X673" i="1"/>
  <c r="Y673" i="1"/>
  <c r="Z673" i="1"/>
  <c r="AA673" i="1"/>
  <c r="W672" i="1"/>
  <c r="X672" i="1"/>
  <c r="Y672" i="1"/>
  <c r="Z672" i="1"/>
  <c r="AA672" i="1"/>
  <c r="W671" i="1"/>
  <c r="X671" i="1"/>
  <c r="Y671" i="1"/>
  <c r="Z671" i="1"/>
  <c r="AA671" i="1"/>
  <c r="W670" i="1"/>
  <c r="X670" i="1"/>
  <c r="Y670" i="1"/>
  <c r="Z670" i="1"/>
  <c r="AA670" i="1"/>
  <c r="W669" i="1"/>
  <c r="X669" i="1"/>
  <c r="Y669" i="1"/>
  <c r="Z669" i="1"/>
  <c r="AA669" i="1"/>
  <c r="W668" i="1"/>
  <c r="X668" i="1"/>
  <c r="Y668" i="1"/>
  <c r="Z668" i="1"/>
  <c r="AA668" i="1"/>
  <c r="W667" i="1"/>
  <c r="X667" i="1"/>
  <c r="Y667" i="1"/>
  <c r="Z667" i="1"/>
  <c r="AA667" i="1"/>
  <c r="W666" i="1"/>
  <c r="X666" i="1"/>
  <c r="Y666" i="1"/>
  <c r="Z666" i="1"/>
  <c r="AA666" i="1"/>
  <c r="W665" i="1"/>
  <c r="X665" i="1"/>
  <c r="Y665" i="1"/>
  <c r="Z665" i="1"/>
  <c r="AA665" i="1"/>
  <c r="W664" i="1"/>
  <c r="X664" i="1"/>
  <c r="Y664" i="1"/>
  <c r="Z664" i="1"/>
  <c r="AA664" i="1"/>
  <c r="W663" i="1"/>
  <c r="X663" i="1"/>
  <c r="Y663" i="1"/>
  <c r="Z663" i="1"/>
  <c r="AA663" i="1"/>
  <c r="W662" i="1"/>
  <c r="X662" i="1"/>
  <c r="Y662" i="1"/>
  <c r="Z662" i="1"/>
  <c r="AA662" i="1"/>
  <c r="W661" i="1"/>
  <c r="X661" i="1"/>
  <c r="Y661" i="1"/>
  <c r="Z661" i="1"/>
  <c r="AA661" i="1"/>
  <c r="W660" i="1"/>
  <c r="X660" i="1"/>
  <c r="Y660" i="1"/>
  <c r="Z660" i="1"/>
  <c r="AA660" i="1"/>
  <c r="W659" i="1"/>
  <c r="X659" i="1"/>
  <c r="Y659" i="1"/>
  <c r="Z659" i="1"/>
  <c r="AA659" i="1"/>
  <c r="W658" i="1"/>
  <c r="X658" i="1"/>
  <c r="Y658" i="1"/>
  <c r="Z658" i="1"/>
  <c r="AA658" i="1"/>
  <c r="W657" i="1"/>
  <c r="X657" i="1"/>
  <c r="Y657" i="1"/>
  <c r="Z657" i="1"/>
  <c r="AA657" i="1"/>
  <c r="W656" i="1"/>
  <c r="X656" i="1"/>
  <c r="Y656" i="1"/>
  <c r="Z656" i="1"/>
  <c r="AA656" i="1"/>
  <c r="W655" i="1"/>
  <c r="X655" i="1"/>
  <c r="Y655" i="1"/>
  <c r="Z655" i="1"/>
  <c r="AA655" i="1"/>
  <c r="W654" i="1"/>
  <c r="X654" i="1"/>
  <c r="Y654" i="1"/>
  <c r="Z654" i="1"/>
  <c r="AA654" i="1"/>
  <c r="W653" i="1"/>
  <c r="X653" i="1"/>
  <c r="Y653" i="1"/>
  <c r="Z653" i="1"/>
  <c r="AA653" i="1"/>
  <c r="W652" i="1"/>
  <c r="X652" i="1"/>
  <c r="Y652" i="1"/>
  <c r="Z652" i="1"/>
  <c r="AA652" i="1"/>
  <c r="W651" i="1"/>
  <c r="X651" i="1"/>
  <c r="Y651" i="1"/>
  <c r="Z651" i="1"/>
  <c r="AA651" i="1"/>
  <c r="W650" i="1"/>
  <c r="X650" i="1"/>
  <c r="Y650" i="1"/>
  <c r="Z650" i="1"/>
  <c r="AA650" i="1"/>
  <c r="W649" i="1"/>
  <c r="X649" i="1"/>
  <c r="Y649" i="1"/>
  <c r="Z649" i="1"/>
  <c r="AA649" i="1"/>
  <c r="W648" i="1"/>
  <c r="X648" i="1"/>
  <c r="Y648" i="1"/>
  <c r="Z648" i="1"/>
  <c r="AA648" i="1"/>
  <c r="W647" i="1"/>
  <c r="X647" i="1"/>
  <c r="Y647" i="1"/>
  <c r="Z647" i="1"/>
  <c r="AA647" i="1"/>
  <c r="W646" i="1"/>
  <c r="X646" i="1"/>
  <c r="Y646" i="1"/>
  <c r="Z646" i="1"/>
  <c r="AA646" i="1"/>
  <c r="W645" i="1"/>
  <c r="X645" i="1"/>
  <c r="Y645" i="1"/>
  <c r="Z645" i="1"/>
  <c r="AA645" i="1"/>
  <c r="W644" i="1"/>
  <c r="X644" i="1"/>
  <c r="Y644" i="1"/>
  <c r="Z644" i="1"/>
  <c r="AA644" i="1"/>
  <c r="W643" i="1"/>
  <c r="X643" i="1"/>
  <c r="Y643" i="1"/>
  <c r="Z643" i="1"/>
  <c r="AA643" i="1"/>
  <c r="W642" i="1"/>
  <c r="X642" i="1"/>
  <c r="Y642" i="1"/>
  <c r="Z642" i="1"/>
  <c r="AA642" i="1"/>
  <c r="W641" i="1"/>
  <c r="X641" i="1"/>
  <c r="Y641" i="1"/>
  <c r="Z641" i="1"/>
  <c r="AA641" i="1"/>
  <c r="W640" i="1"/>
  <c r="X640" i="1"/>
  <c r="Y640" i="1"/>
  <c r="Z640" i="1"/>
  <c r="AA640" i="1"/>
  <c r="W639" i="1"/>
  <c r="X639" i="1"/>
  <c r="Y639" i="1"/>
  <c r="Z639" i="1"/>
  <c r="AA639" i="1"/>
  <c r="W638" i="1"/>
  <c r="X638" i="1"/>
  <c r="Y638" i="1"/>
  <c r="Z638" i="1"/>
  <c r="AA638" i="1"/>
  <c r="W637" i="1"/>
  <c r="X637" i="1"/>
  <c r="Y637" i="1"/>
  <c r="Z637" i="1"/>
  <c r="AA637" i="1"/>
  <c r="W636" i="1"/>
  <c r="X636" i="1"/>
  <c r="Y636" i="1"/>
  <c r="Z636" i="1"/>
  <c r="AA636" i="1"/>
  <c r="W635" i="1"/>
  <c r="X635" i="1"/>
  <c r="Y635" i="1"/>
  <c r="Z635" i="1"/>
  <c r="AA635" i="1"/>
  <c r="W634" i="1"/>
  <c r="X634" i="1"/>
  <c r="Y634" i="1"/>
  <c r="Z634" i="1"/>
  <c r="AA634" i="1"/>
  <c r="W633" i="1"/>
  <c r="X633" i="1"/>
  <c r="Y633" i="1"/>
  <c r="Z633" i="1"/>
  <c r="AA633" i="1"/>
  <c r="W632" i="1"/>
  <c r="X632" i="1"/>
  <c r="Y632" i="1"/>
  <c r="Z632" i="1"/>
  <c r="AA632" i="1"/>
  <c r="W631" i="1"/>
  <c r="X631" i="1"/>
  <c r="Y631" i="1"/>
  <c r="Z631" i="1"/>
  <c r="AA631" i="1"/>
  <c r="W630" i="1"/>
  <c r="X630" i="1"/>
  <c r="Y630" i="1"/>
  <c r="Z630" i="1"/>
  <c r="AA630" i="1"/>
  <c r="W629" i="1"/>
  <c r="X629" i="1"/>
  <c r="Y629" i="1"/>
  <c r="Z629" i="1"/>
  <c r="AA629" i="1"/>
  <c r="W628" i="1"/>
  <c r="X628" i="1"/>
  <c r="Y628" i="1"/>
  <c r="Z628" i="1"/>
  <c r="AA628" i="1"/>
  <c r="W627" i="1"/>
  <c r="X627" i="1"/>
  <c r="Y627" i="1"/>
  <c r="Z627" i="1"/>
  <c r="AA627" i="1"/>
  <c r="W626" i="1"/>
  <c r="X626" i="1"/>
  <c r="Y626" i="1"/>
  <c r="Z626" i="1"/>
  <c r="AA626" i="1"/>
  <c r="W625" i="1"/>
  <c r="X625" i="1"/>
  <c r="Y625" i="1"/>
  <c r="Z625" i="1"/>
  <c r="AA625" i="1"/>
  <c r="W624" i="1"/>
  <c r="X624" i="1"/>
  <c r="Y624" i="1"/>
  <c r="Z624" i="1"/>
  <c r="AA624" i="1"/>
  <c r="W623" i="1"/>
  <c r="X623" i="1"/>
  <c r="Y623" i="1"/>
  <c r="Z623" i="1"/>
  <c r="AA623" i="1"/>
  <c r="W622" i="1"/>
  <c r="X622" i="1"/>
  <c r="Y622" i="1"/>
  <c r="Z622" i="1"/>
  <c r="AA622" i="1"/>
  <c r="W621" i="1"/>
  <c r="X621" i="1"/>
  <c r="Y621" i="1"/>
  <c r="Z621" i="1"/>
  <c r="AA621" i="1"/>
  <c r="W620" i="1"/>
  <c r="X620" i="1"/>
  <c r="Y620" i="1"/>
  <c r="Z620" i="1"/>
  <c r="AA620" i="1"/>
  <c r="W619" i="1"/>
  <c r="X619" i="1"/>
  <c r="Y619" i="1"/>
  <c r="Z619" i="1"/>
  <c r="AA619" i="1"/>
  <c r="W618" i="1"/>
  <c r="X618" i="1"/>
  <c r="Y618" i="1"/>
  <c r="Z618" i="1"/>
  <c r="AA618" i="1"/>
  <c r="W617" i="1"/>
  <c r="X617" i="1"/>
  <c r="Y617" i="1"/>
  <c r="Z617" i="1"/>
  <c r="AA617" i="1"/>
  <c r="W616" i="1"/>
  <c r="X616" i="1"/>
  <c r="Y616" i="1"/>
  <c r="Z616" i="1"/>
  <c r="AA616" i="1"/>
  <c r="W615" i="1"/>
  <c r="X615" i="1"/>
  <c r="Y615" i="1"/>
  <c r="Z615" i="1"/>
  <c r="AA615" i="1"/>
  <c r="W614" i="1"/>
  <c r="X614" i="1"/>
  <c r="Y614" i="1"/>
  <c r="Z614" i="1"/>
  <c r="AA614" i="1"/>
  <c r="W613" i="1"/>
  <c r="X613" i="1"/>
  <c r="Y613" i="1"/>
  <c r="Z613" i="1"/>
  <c r="AA613" i="1"/>
  <c r="W612" i="1"/>
  <c r="X612" i="1"/>
  <c r="Y612" i="1"/>
  <c r="Z612" i="1"/>
  <c r="AA612" i="1"/>
  <c r="W611" i="1"/>
  <c r="X611" i="1"/>
  <c r="Y611" i="1"/>
  <c r="Z611" i="1"/>
  <c r="AA611" i="1"/>
  <c r="W610" i="1"/>
  <c r="X610" i="1"/>
  <c r="Y610" i="1"/>
  <c r="Z610" i="1"/>
  <c r="AA610" i="1"/>
  <c r="W609" i="1"/>
  <c r="X609" i="1"/>
  <c r="Y609" i="1"/>
  <c r="Z609" i="1"/>
  <c r="AA609" i="1"/>
  <c r="W608" i="1"/>
  <c r="X608" i="1"/>
  <c r="Y608" i="1"/>
  <c r="Z608" i="1"/>
  <c r="AA608" i="1"/>
  <c r="W607" i="1"/>
  <c r="X607" i="1"/>
  <c r="Y607" i="1"/>
  <c r="Z607" i="1"/>
  <c r="AA607" i="1"/>
  <c r="W606" i="1"/>
  <c r="X606" i="1"/>
  <c r="Y606" i="1"/>
  <c r="Z606" i="1"/>
  <c r="AA606" i="1"/>
  <c r="W605" i="1"/>
  <c r="X605" i="1"/>
  <c r="Y605" i="1"/>
  <c r="Z605" i="1"/>
  <c r="AA605" i="1"/>
  <c r="W604" i="1"/>
  <c r="X604" i="1"/>
  <c r="Y604" i="1"/>
  <c r="Z604" i="1"/>
  <c r="AA604" i="1"/>
  <c r="W603" i="1"/>
  <c r="X603" i="1"/>
  <c r="Y603" i="1"/>
  <c r="Z603" i="1"/>
  <c r="AA603" i="1"/>
  <c r="W602" i="1"/>
  <c r="X602" i="1"/>
  <c r="Y602" i="1"/>
  <c r="Z602" i="1"/>
  <c r="AA602" i="1"/>
  <c r="W601" i="1"/>
  <c r="X601" i="1"/>
  <c r="Y601" i="1"/>
  <c r="Z601" i="1"/>
  <c r="AA601" i="1"/>
  <c r="W600" i="1"/>
  <c r="X600" i="1"/>
  <c r="Y600" i="1"/>
  <c r="Z600" i="1"/>
  <c r="AA600" i="1"/>
  <c r="W599" i="1"/>
  <c r="X599" i="1"/>
  <c r="Y599" i="1"/>
  <c r="Z599" i="1"/>
  <c r="AA599" i="1"/>
  <c r="W598" i="1"/>
  <c r="X598" i="1"/>
  <c r="Y598" i="1"/>
  <c r="Z598" i="1"/>
  <c r="AA598" i="1"/>
  <c r="W597" i="1"/>
  <c r="X597" i="1"/>
  <c r="Y597" i="1"/>
  <c r="Z597" i="1"/>
  <c r="AA597" i="1"/>
  <c r="W596" i="1"/>
  <c r="X596" i="1"/>
  <c r="Y596" i="1"/>
  <c r="Z596" i="1"/>
  <c r="AA596" i="1"/>
  <c r="W595" i="1"/>
  <c r="X595" i="1"/>
  <c r="Y595" i="1"/>
  <c r="Z595" i="1"/>
  <c r="AA595" i="1"/>
  <c r="W594" i="1"/>
  <c r="X594" i="1"/>
  <c r="Y594" i="1"/>
  <c r="Z594" i="1"/>
  <c r="AA594" i="1"/>
  <c r="W593" i="1"/>
  <c r="X593" i="1"/>
  <c r="Y593" i="1"/>
  <c r="Z593" i="1"/>
  <c r="AA593" i="1"/>
  <c r="W592" i="1"/>
  <c r="X592" i="1"/>
  <c r="Y592" i="1"/>
  <c r="Z592" i="1"/>
  <c r="AA592" i="1"/>
  <c r="W591" i="1"/>
  <c r="X591" i="1"/>
  <c r="Y591" i="1"/>
  <c r="Z591" i="1"/>
  <c r="AA591" i="1"/>
  <c r="W590" i="1"/>
  <c r="X590" i="1"/>
  <c r="Y590" i="1"/>
  <c r="Z590" i="1"/>
  <c r="AA590" i="1"/>
  <c r="W589" i="1"/>
  <c r="X589" i="1"/>
  <c r="Y589" i="1"/>
  <c r="Z589" i="1"/>
  <c r="AA589" i="1"/>
  <c r="W588" i="1"/>
  <c r="X588" i="1"/>
  <c r="Y588" i="1"/>
  <c r="Z588" i="1"/>
  <c r="AA588" i="1"/>
  <c r="W587" i="1"/>
  <c r="X587" i="1"/>
  <c r="Y587" i="1"/>
  <c r="Z587" i="1"/>
  <c r="AA587" i="1"/>
  <c r="W586" i="1"/>
  <c r="X586" i="1"/>
  <c r="Y586" i="1"/>
  <c r="Z586" i="1"/>
  <c r="AA586" i="1"/>
  <c r="W585" i="1"/>
  <c r="X585" i="1"/>
  <c r="Y585" i="1"/>
  <c r="Z585" i="1"/>
  <c r="AA585" i="1"/>
  <c r="W584" i="1"/>
  <c r="X584" i="1"/>
  <c r="Y584" i="1"/>
  <c r="Z584" i="1"/>
  <c r="AA584" i="1"/>
  <c r="W583" i="1"/>
  <c r="X583" i="1"/>
  <c r="Y583" i="1"/>
  <c r="Z583" i="1"/>
  <c r="AA583" i="1"/>
  <c r="W582" i="1"/>
  <c r="X582" i="1"/>
  <c r="Y582" i="1"/>
  <c r="Z582" i="1"/>
  <c r="AA582" i="1"/>
  <c r="W581" i="1"/>
  <c r="X581" i="1"/>
  <c r="Y581" i="1"/>
  <c r="Z581" i="1"/>
  <c r="AA581" i="1"/>
  <c r="W580" i="1"/>
  <c r="X580" i="1"/>
  <c r="Y580" i="1"/>
  <c r="Z580" i="1"/>
  <c r="AA580" i="1"/>
  <c r="W579" i="1"/>
  <c r="X579" i="1"/>
  <c r="Y579" i="1"/>
  <c r="Z579" i="1"/>
  <c r="AA579" i="1"/>
  <c r="W578" i="1"/>
  <c r="X578" i="1"/>
  <c r="Y578" i="1"/>
  <c r="Z578" i="1"/>
  <c r="AA578" i="1"/>
  <c r="W577" i="1"/>
  <c r="X577" i="1"/>
  <c r="Y577" i="1"/>
  <c r="Z577" i="1"/>
  <c r="AA577" i="1"/>
  <c r="W576" i="1"/>
  <c r="X576" i="1"/>
  <c r="Y576" i="1"/>
  <c r="Z576" i="1"/>
  <c r="AA576" i="1"/>
  <c r="W575" i="1"/>
  <c r="X575" i="1"/>
  <c r="Y575" i="1"/>
  <c r="Z575" i="1"/>
  <c r="AA575" i="1"/>
  <c r="W574" i="1"/>
  <c r="X574" i="1"/>
  <c r="Y574" i="1"/>
  <c r="Z574" i="1"/>
  <c r="AA574" i="1"/>
  <c r="W573" i="1"/>
  <c r="X573" i="1"/>
  <c r="Y573" i="1"/>
  <c r="Z573" i="1"/>
  <c r="AA573" i="1"/>
  <c r="W572" i="1"/>
  <c r="X572" i="1"/>
  <c r="Y572" i="1"/>
  <c r="Z572" i="1"/>
  <c r="AA572" i="1"/>
  <c r="W571" i="1"/>
  <c r="X571" i="1"/>
  <c r="Y571" i="1"/>
  <c r="Z571" i="1"/>
  <c r="AA571" i="1"/>
  <c r="W570" i="1"/>
  <c r="X570" i="1"/>
  <c r="Y570" i="1"/>
  <c r="Z570" i="1"/>
  <c r="AA570" i="1"/>
  <c r="W569" i="1"/>
  <c r="X569" i="1"/>
  <c r="Y569" i="1"/>
  <c r="Z569" i="1"/>
  <c r="AA569" i="1"/>
  <c r="W568" i="1"/>
  <c r="X568" i="1"/>
  <c r="Y568" i="1"/>
  <c r="Z568" i="1"/>
  <c r="AA568" i="1"/>
  <c r="W567" i="1"/>
  <c r="X567" i="1"/>
  <c r="Y567" i="1"/>
  <c r="Z567" i="1"/>
  <c r="AA567" i="1"/>
  <c r="W566" i="1"/>
  <c r="X566" i="1"/>
  <c r="Y566" i="1"/>
  <c r="Z566" i="1"/>
  <c r="AA566" i="1"/>
  <c r="W565" i="1"/>
  <c r="X565" i="1"/>
  <c r="Y565" i="1"/>
  <c r="Z565" i="1"/>
  <c r="AA565" i="1"/>
  <c r="W564" i="1"/>
  <c r="X564" i="1"/>
  <c r="Y564" i="1"/>
  <c r="Z564" i="1"/>
  <c r="AA564" i="1"/>
  <c r="W563" i="1"/>
  <c r="X563" i="1"/>
  <c r="Y563" i="1"/>
  <c r="Z563" i="1"/>
  <c r="AA563" i="1"/>
  <c r="W562" i="1"/>
  <c r="X562" i="1"/>
  <c r="Y562" i="1"/>
  <c r="Z562" i="1"/>
  <c r="AA562" i="1"/>
  <c r="W561" i="1"/>
  <c r="X561" i="1"/>
  <c r="Y561" i="1"/>
  <c r="Z561" i="1"/>
  <c r="AA561" i="1"/>
  <c r="W560" i="1"/>
  <c r="X560" i="1"/>
  <c r="Y560" i="1"/>
  <c r="Z560" i="1"/>
  <c r="AA560" i="1"/>
  <c r="W559" i="1"/>
  <c r="X559" i="1"/>
  <c r="Y559" i="1"/>
  <c r="Z559" i="1"/>
  <c r="AA559" i="1"/>
  <c r="W558" i="1"/>
  <c r="X558" i="1"/>
  <c r="Y558" i="1"/>
  <c r="Z558" i="1"/>
  <c r="AA558" i="1"/>
  <c r="W557" i="1"/>
  <c r="X557" i="1"/>
  <c r="Y557" i="1"/>
  <c r="Z557" i="1"/>
  <c r="AA557" i="1"/>
  <c r="W556" i="1"/>
  <c r="X556" i="1"/>
  <c r="Y556" i="1"/>
  <c r="Z556" i="1"/>
  <c r="AA556" i="1"/>
  <c r="W555" i="1"/>
  <c r="X555" i="1"/>
  <c r="Y555" i="1"/>
  <c r="Z555" i="1"/>
  <c r="AA555" i="1"/>
  <c r="W554" i="1"/>
  <c r="X554" i="1"/>
  <c r="Y554" i="1"/>
  <c r="Z554" i="1"/>
  <c r="AA554" i="1"/>
  <c r="W553" i="1"/>
  <c r="X553" i="1"/>
  <c r="Y553" i="1"/>
  <c r="Z553" i="1"/>
  <c r="AA553" i="1"/>
  <c r="W552" i="1"/>
  <c r="X552" i="1"/>
  <c r="Y552" i="1"/>
  <c r="Z552" i="1"/>
  <c r="AA552" i="1"/>
  <c r="W551" i="1"/>
  <c r="X551" i="1"/>
  <c r="Y551" i="1"/>
  <c r="Z551" i="1"/>
  <c r="AA551" i="1"/>
  <c r="W550" i="1"/>
  <c r="X550" i="1"/>
  <c r="Y550" i="1"/>
  <c r="Z550" i="1"/>
  <c r="AA550" i="1"/>
  <c r="W549" i="1"/>
  <c r="X549" i="1"/>
  <c r="Y549" i="1"/>
  <c r="Z549" i="1"/>
  <c r="AA549" i="1"/>
  <c r="W548" i="1"/>
  <c r="X548" i="1"/>
  <c r="Y548" i="1"/>
  <c r="Z548" i="1"/>
  <c r="AA548" i="1"/>
  <c r="W547" i="1"/>
  <c r="X547" i="1"/>
  <c r="Y547" i="1"/>
  <c r="Z547" i="1"/>
  <c r="AA547" i="1"/>
  <c r="W546" i="1"/>
  <c r="X546" i="1"/>
  <c r="Y546" i="1"/>
  <c r="Z546" i="1"/>
  <c r="AA546" i="1"/>
  <c r="W545" i="1"/>
  <c r="X545" i="1"/>
  <c r="Y545" i="1"/>
  <c r="Z545" i="1"/>
  <c r="AA545" i="1"/>
  <c r="W544" i="1"/>
  <c r="X544" i="1"/>
  <c r="Y544" i="1"/>
  <c r="Z544" i="1"/>
  <c r="AA544" i="1"/>
  <c r="W543" i="1"/>
  <c r="X543" i="1"/>
  <c r="Y543" i="1"/>
  <c r="Z543" i="1"/>
  <c r="AA543" i="1"/>
  <c r="W542" i="1"/>
  <c r="X542" i="1"/>
  <c r="Y542" i="1"/>
  <c r="Z542" i="1"/>
  <c r="AA542" i="1"/>
  <c r="W541" i="1"/>
  <c r="X541" i="1"/>
  <c r="Y541" i="1"/>
  <c r="Z541" i="1"/>
  <c r="AA541" i="1"/>
  <c r="W540" i="1"/>
  <c r="X540" i="1"/>
  <c r="Y540" i="1"/>
  <c r="Z540" i="1"/>
  <c r="AA540" i="1"/>
  <c r="W539" i="1"/>
  <c r="X539" i="1"/>
  <c r="Y539" i="1"/>
  <c r="Z539" i="1"/>
  <c r="AA539" i="1"/>
  <c r="W538" i="1"/>
  <c r="X538" i="1"/>
  <c r="Y538" i="1"/>
  <c r="Z538" i="1"/>
  <c r="AA538" i="1"/>
  <c r="W537" i="1"/>
  <c r="X537" i="1"/>
  <c r="Y537" i="1"/>
  <c r="Z537" i="1"/>
  <c r="AA537" i="1"/>
  <c r="W536" i="1"/>
  <c r="X536" i="1"/>
  <c r="Y536" i="1"/>
  <c r="Z536" i="1"/>
  <c r="AA536" i="1"/>
  <c r="W535" i="1"/>
  <c r="X535" i="1"/>
  <c r="Y535" i="1"/>
  <c r="Z535" i="1"/>
  <c r="AA535" i="1"/>
  <c r="W534" i="1"/>
  <c r="X534" i="1"/>
  <c r="Y534" i="1"/>
  <c r="Z534" i="1"/>
  <c r="AA534" i="1"/>
  <c r="W533" i="1"/>
  <c r="X533" i="1"/>
  <c r="Y533" i="1"/>
  <c r="Z533" i="1"/>
  <c r="AA533" i="1"/>
  <c r="W532" i="1"/>
  <c r="X532" i="1"/>
  <c r="Y532" i="1"/>
  <c r="Z532" i="1"/>
  <c r="AA532" i="1"/>
  <c r="W531" i="1"/>
  <c r="X531" i="1"/>
  <c r="Y531" i="1"/>
  <c r="Z531" i="1"/>
  <c r="AA531" i="1"/>
  <c r="W530" i="1"/>
  <c r="X530" i="1"/>
  <c r="Y530" i="1"/>
  <c r="Z530" i="1"/>
  <c r="AA530" i="1"/>
  <c r="W529" i="1"/>
  <c r="X529" i="1"/>
  <c r="Y529" i="1"/>
  <c r="Z529" i="1"/>
  <c r="AA529" i="1"/>
  <c r="W528" i="1"/>
  <c r="X528" i="1"/>
  <c r="Y528" i="1"/>
  <c r="Z528" i="1"/>
  <c r="AA528" i="1"/>
  <c r="W527" i="1"/>
  <c r="X527" i="1"/>
  <c r="Y527" i="1"/>
  <c r="Z527" i="1"/>
  <c r="AA527" i="1"/>
  <c r="W526" i="1"/>
  <c r="X526" i="1"/>
  <c r="Y526" i="1"/>
  <c r="Z526" i="1"/>
  <c r="AA526" i="1"/>
  <c r="W525" i="1"/>
  <c r="X525" i="1"/>
  <c r="Y525" i="1"/>
  <c r="Z525" i="1"/>
  <c r="AA525" i="1"/>
  <c r="W524" i="1"/>
  <c r="X524" i="1"/>
  <c r="Y524" i="1"/>
  <c r="Z524" i="1"/>
  <c r="AA524" i="1"/>
  <c r="W523" i="1"/>
  <c r="X523" i="1"/>
  <c r="Y523" i="1"/>
  <c r="Z523" i="1"/>
  <c r="AA523" i="1"/>
  <c r="W522" i="1"/>
  <c r="X522" i="1"/>
  <c r="Y522" i="1"/>
  <c r="Z522" i="1"/>
  <c r="AA522" i="1"/>
  <c r="W521" i="1"/>
  <c r="X521" i="1"/>
  <c r="Y521" i="1"/>
  <c r="Z521" i="1"/>
  <c r="AA521" i="1"/>
  <c r="W520" i="1"/>
  <c r="X520" i="1"/>
  <c r="Y520" i="1"/>
  <c r="Z520" i="1"/>
  <c r="AA520" i="1"/>
  <c r="W519" i="1"/>
  <c r="X519" i="1"/>
  <c r="Y519" i="1"/>
  <c r="Z519" i="1"/>
  <c r="AA519" i="1"/>
  <c r="W518" i="1"/>
  <c r="X518" i="1"/>
  <c r="Y518" i="1"/>
  <c r="Z518" i="1"/>
  <c r="AA518" i="1"/>
  <c r="W517" i="1"/>
  <c r="X517" i="1"/>
  <c r="Y517" i="1"/>
  <c r="Z517" i="1"/>
  <c r="AA517" i="1"/>
  <c r="W516" i="1"/>
  <c r="X516" i="1"/>
  <c r="Y516" i="1"/>
  <c r="Z516" i="1"/>
  <c r="AA516" i="1"/>
  <c r="W515" i="1"/>
  <c r="X515" i="1"/>
  <c r="Y515" i="1"/>
  <c r="Z515" i="1"/>
  <c r="AA515" i="1"/>
  <c r="W514" i="1"/>
  <c r="X514" i="1"/>
  <c r="Y514" i="1"/>
  <c r="Z514" i="1"/>
  <c r="AA514" i="1"/>
  <c r="W513" i="1"/>
  <c r="X513" i="1"/>
  <c r="Y513" i="1"/>
  <c r="Z513" i="1"/>
  <c r="AA513" i="1"/>
  <c r="W512" i="1"/>
  <c r="X512" i="1"/>
  <c r="Y512" i="1"/>
  <c r="Z512" i="1"/>
  <c r="AA512" i="1"/>
  <c r="W511" i="1"/>
  <c r="X511" i="1"/>
  <c r="Y511" i="1"/>
  <c r="Z511" i="1"/>
  <c r="AA511" i="1"/>
  <c r="W510" i="1"/>
  <c r="X510" i="1"/>
  <c r="Y510" i="1"/>
  <c r="Z510" i="1"/>
  <c r="AA510" i="1"/>
  <c r="W509" i="1"/>
  <c r="X509" i="1"/>
  <c r="Y509" i="1"/>
  <c r="Z509" i="1"/>
  <c r="AA509" i="1"/>
  <c r="W508" i="1"/>
  <c r="X508" i="1"/>
  <c r="Y508" i="1"/>
  <c r="Z508" i="1"/>
  <c r="AA508" i="1"/>
  <c r="W507" i="1"/>
  <c r="X507" i="1"/>
  <c r="Y507" i="1"/>
  <c r="Z507" i="1"/>
  <c r="AA507" i="1"/>
  <c r="W506" i="1"/>
  <c r="X506" i="1"/>
  <c r="Y506" i="1"/>
  <c r="Z506" i="1"/>
  <c r="AA506" i="1"/>
  <c r="W505" i="1"/>
  <c r="X505" i="1"/>
  <c r="Y505" i="1"/>
  <c r="Z505" i="1"/>
  <c r="AA505" i="1"/>
  <c r="W504" i="1"/>
  <c r="X504" i="1"/>
  <c r="Y504" i="1"/>
  <c r="Z504" i="1"/>
  <c r="AA504" i="1"/>
  <c r="W503" i="1"/>
  <c r="X503" i="1"/>
  <c r="Y503" i="1"/>
  <c r="Z503" i="1"/>
  <c r="AA503" i="1"/>
  <c r="W502" i="1"/>
  <c r="X502" i="1"/>
  <c r="Y502" i="1"/>
  <c r="Z502" i="1"/>
  <c r="AA502" i="1"/>
  <c r="W501" i="1"/>
  <c r="X501" i="1"/>
  <c r="Y501" i="1"/>
  <c r="Z501" i="1"/>
  <c r="AA501" i="1"/>
  <c r="W500" i="1"/>
  <c r="X500" i="1"/>
  <c r="Y500" i="1"/>
  <c r="Z500" i="1"/>
  <c r="AA500" i="1"/>
  <c r="W499" i="1"/>
  <c r="X499" i="1"/>
  <c r="Y499" i="1"/>
  <c r="Z499" i="1"/>
  <c r="AA499" i="1"/>
  <c r="W498" i="1"/>
  <c r="X498" i="1"/>
  <c r="Y498" i="1"/>
  <c r="Z498" i="1"/>
  <c r="AA498" i="1"/>
  <c r="W497" i="1"/>
  <c r="X497" i="1"/>
  <c r="Y497" i="1"/>
  <c r="Z497" i="1"/>
  <c r="AA497" i="1"/>
  <c r="W496" i="1"/>
  <c r="X496" i="1"/>
  <c r="Y496" i="1"/>
  <c r="Z496" i="1"/>
  <c r="AA496" i="1"/>
  <c r="W495" i="1"/>
  <c r="X495" i="1"/>
  <c r="Y495" i="1"/>
  <c r="Z495" i="1"/>
  <c r="AA495" i="1"/>
  <c r="W494" i="1"/>
  <c r="X494" i="1"/>
  <c r="Y494" i="1"/>
  <c r="Z494" i="1"/>
  <c r="AA494" i="1"/>
  <c r="W493" i="1"/>
  <c r="X493" i="1"/>
  <c r="Y493" i="1"/>
  <c r="Z493" i="1"/>
  <c r="AA493" i="1"/>
  <c r="W492" i="1"/>
  <c r="X492" i="1"/>
  <c r="Y492" i="1"/>
  <c r="Z492" i="1"/>
  <c r="AA492" i="1"/>
  <c r="W491" i="1"/>
  <c r="X491" i="1"/>
  <c r="Y491" i="1"/>
  <c r="Z491" i="1"/>
  <c r="AA491" i="1"/>
  <c r="W490" i="1"/>
  <c r="X490" i="1"/>
  <c r="Y490" i="1"/>
  <c r="Z490" i="1"/>
  <c r="AA490" i="1"/>
  <c r="W489" i="1"/>
  <c r="X489" i="1"/>
  <c r="Y489" i="1"/>
  <c r="Z489" i="1"/>
  <c r="AA489" i="1"/>
  <c r="W488" i="1"/>
  <c r="X488" i="1"/>
  <c r="Y488" i="1"/>
  <c r="Z488" i="1"/>
  <c r="AA488" i="1"/>
  <c r="W487" i="1"/>
  <c r="X487" i="1"/>
  <c r="Y487" i="1"/>
  <c r="Z487" i="1"/>
  <c r="AA487" i="1"/>
  <c r="W486" i="1"/>
  <c r="X486" i="1"/>
  <c r="Y486" i="1"/>
  <c r="Z486" i="1"/>
  <c r="AA486" i="1"/>
  <c r="W485" i="1"/>
  <c r="X485" i="1"/>
  <c r="Y485" i="1"/>
  <c r="Z485" i="1"/>
  <c r="AA485" i="1"/>
  <c r="W484" i="1"/>
  <c r="X484" i="1"/>
  <c r="Y484" i="1"/>
  <c r="Z484" i="1"/>
  <c r="AA484" i="1"/>
  <c r="W483" i="1"/>
  <c r="X483" i="1"/>
  <c r="Y483" i="1"/>
  <c r="Z483" i="1"/>
  <c r="AA483" i="1"/>
  <c r="W482" i="1"/>
  <c r="X482" i="1"/>
  <c r="Y482" i="1"/>
  <c r="Z482" i="1"/>
  <c r="AA482" i="1"/>
  <c r="W481" i="1"/>
  <c r="X481" i="1"/>
  <c r="Y481" i="1"/>
  <c r="Z481" i="1"/>
  <c r="AA481" i="1"/>
  <c r="W480" i="1"/>
  <c r="X480" i="1"/>
  <c r="Y480" i="1"/>
  <c r="Z480" i="1"/>
  <c r="AA480" i="1"/>
  <c r="W479" i="1"/>
  <c r="X479" i="1"/>
  <c r="Y479" i="1"/>
  <c r="Z479" i="1"/>
  <c r="AA479" i="1"/>
  <c r="W478" i="1"/>
  <c r="X478" i="1"/>
  <c r="Y478" i="1"/>
  <c r="Z478" i="1"/>
  <c r="AA478" i="1"/>
  <c r="W477" i="1"/>
  <c r="X477" i="1"/>
  <c r="Y477" i="1"/>
  <c r="Z477" i="1"/>
  <c r="AA477" i="1"/>
  <c r="W476" i="1"/>
  <c r="X476" i="1"/>
  <c r="Y476" i="1"/>
  <c r="Z476" i="1"/>
  <c r="AA476" i="1"/>
  <c r="W475" i="1"/>
  <c r="X475" i="1"/>
  <c r="Y475" i="1"/>
  <c r="Z475" i="1"/>
  <c r="AA475" i="1"/>
  <c r="W474" i="1"/>
  <c r="X474" i="1"/>
  <c r="Y474" i="1"/>
  <c r="Z474" i="1"/>
  <c r="AA474" i="1"/>
  <c r="W473" i="1"/>
  <c r="X473" i="1"/>
  <c r="Y473" i="1"/>
  <c r="Z473" i="1"/>
  <c r="AA473" i="1"/>
  <c r="W472" i="1"/>
  <c r="X472" i="1"/>
  <c r="Y472" i="1"/>
  <c r="Z472" i="1"/>
  <c r="AA472" i="1"/>
  <c r="W471" i="1"/>
  <c r="X471" i="1"/>
  <c r="Y471" i="1"/>
  <c r="Z471" i="1"/>
  <c r="AA471" i="1"/>
  <c r="W470" i="1"/>
  <c r="X470" i="1"/>
  <c r="Y470" i="1"/>
  <c r="Z470" i="1"/>
  <c r="AA470" i="1"/>
  <c r="W469" i="1"/>
  <c r="X469" i="1"/>
  <c r="Y469" i="1"/>
  <c r="Z469" i="1"/>
  <c r="AA469" i="1"/>
  <c r="W468" i="1"/>
  <c r="X468" i="1"/>
  <c r="Y468" i="1"/>
  <c r="Z468" i="1"/>
  <c r="AA468" i="1"/>
  <c r="W467" i="1"/>
  <c r="X467" i="1"/>
  <c r="Y467" i="1"/>
  <c r="Z467" i="1"/>
  <c r="AA467" i="1"/>
  <c r="W466" i="1"/>
  <c r="X466" i="1"/>
  <c r="Y466" i="1"/>
  <c r="Z466" i="1"/>
  <c r="AA466" i="1"/>
  <c r="W465" i="1"/>
  <c r="X465" i="1"/>
  <c r="Y465" i="1"/>
  <c r="Z465" i="1"/>
  <c r="AA465" i="1"/>
  <c r="W464" i="1"/>
  <c r="X464" i="1"/>
  <c r="Y464" i="1"/>
  <c r="Z464" i="1"/>
  <c r="AA464" i="1"/>
  <c r="W463" i="1"/>
  <c r="X463" i="1"/>
  <c r="Y463" i="1"/>
  <c r="Z463" i="1"/>
  <c r="AA463" i="1"/>
  <c r="W462" i="1"/>
  <c r="X462" i="1"/>
  <c r="Y462" i="1"/>
  <c r="Z462" i="1"/>
  <c r="AA462" i="1"/>
  <c r="W461" i="1"/>
  <c r="X461" i="1"/>
  <c r="Y461" i="1"/>
  <c r="Z461" i="1"/>
  <c r="AA461" i="1"/>
  <c r="W460" i="1"/>
  <c r="X460" i="1"/>
  <c r="Y460" i="1"/>
  <c r="Z460" i="1"/>
  <c r="AA460" i="1"/>
  <c r="W459" i="1"/>
  <c r="X459" i="1"/>
  <c r="Y459" i="1"/>
  <c r="Z459" i="1"/>
  <c r="AA459" i="1"/>
  <c r="W458" i="1"/>
  <c r="X458" i="1"/>
  <c r="Y458" i="1"/>
  <c r="Z458" i="1"/>
  <c r="AA458" i="1"/>
  <c r="W457" i="1"/>
  <c r="X457" i="1"/>
  <c r="Y457" i="1"/>
  <c r="Z457" i="1"/>
  <c r="AA457" i="1"/>
  <c r="W456" i="1"/>
  <c r="X456" i="1"/>
  <c r="Y456" i="1"/>
  <c r="Z456" i="1"/>
  <c r="AA456" i="1"/>
  <c r="W455" i="1"/>
  <c r="X455" i="1"/>
  <c r="Y455" i="1"/>
  <c r="Z455" i="1"/>
  <c r="AA455" i="1"/>
  <c r="W454" i="1"/>
  <c r="X454" i="1"/>
  <c r="Y454" i="1"/>
  <c r="Z454" i="1"/>
  <c r="AA454" i="1"/>
  <c r="W453" i="1"/>
  <c r="X453" i="1"/>
  <c r="Y453" i="1"/>
  <c r="Z453" i="1"/>
  <c r="AA453" i="1"/>
  <c r="W452" i="1"/>
  <c r="X452" i="1"/>
  <c r="Y452" i="1"/>
  <c r="Z452" i="1"/>
  <c r="AA452" i="1"/>
  <c r="W451" i="1"/>
  <c r="X451" i="1"/>
  <c r="Y451" i="1"/>
  <c r="Z451" i="1"/>
  <c r="AA451" i="1"/>
  <c r="W450" i="1"/>
  <c r="X450" i="1"/>
  <c r="Y450" i="1"/>
  <c r="Z450" i="1"/>
  <c r="AA450" i="1"/>
  <c r="W449" i="1"/>
  <c r="X449" i="1"/>
  <c r="Y449" i="1"/>
  <c r="Z449" i="1"/>
  <c r="AA449" i="1"/>
  <c r="W448" i="1"/>
  <c r="X448" i="1"/>
  <c r="Y448" i="1"/>
  <c r="Z448" i="1"/>
  <c r="AA448" i="1"/>
  <c r="W447" i="1"/>
  <c r="X447" i="1"/>
  <c r="Y447" i="1"/>
  <c r="Z447" i="1"/>
  <c r="AA447" i="1"/>
  <c r="W446" i="1"/>
  <c r="X446" i="1"/>
  <c r="Y446" i="1"/>
  <c r="Z446" i="1"/>
  <c r="AA446" i="1"/>
  <c r="W445" i="1"/>
  <c r="X445" i="1"/>
  <c r="Y445" i="1"/>
  <c r="Z445" i="1"/>
  <c r="AA445" i="1"/>
  <c r="W444" i="1"/>
  <c r="X444" i="1"/>
  <c r="Y444" i="1"/>
  <c r="Z444" i="1"/>
  <c r="AA444" i="1"/>
  <c r="W443" i="1"/>
  <c r="X443" i="1"/>
  <c r="Y443" i="1"/>
  <c r="Z443" i="1"/>
  <c r="AA443" i="1"/>
  <c r="W442" i="1"/>
  <c r="X442" i="1"/>
  <c r="Y442" i="1"/>
  <c r="Z442" i="1"/>
  <c r="AA442" i="1"/>
  <c r="W441" i="1"/>
  <c r="X441" i="1"/>
  <c r="Y441" i="1"/>
  <c r="Z441" i="1"/>
  <c r="AA441" i="1"/>
  <c r="W440" i="1"/>
  <c r="X440" i="1"/>
  <c r="Y440" i="1"/>
  <c r="Z440" i="1"/>
  <c r="AA440" i="1"/>
  <c r="W439" i="1"/>
  <c r="X439" i="1"/>
  <c r="Y439" i="1"/>
  <c r="Z439" i="1"/>
  <c r="AA439" i="1"/>
  <c r="W438" i="1"/>
  <c r="X438" i="1"/>
  <c r="Y438" i="1"/>
  <c r="Z438" i="1"/>
  <c r="AA438" i="1"/>
  <c r="W437" i="1"/>
  <c r="X437" i="1"/>
  <c r="Y437" i="1"/>
  <c r="Z437" i="1"/>
  <c r="AA437" i="1"/>
  <c r="W436" i="1"/>
  <c r="X436" i="1"/>
  <c r="Y436" i="1"/>
  <c r="Z436" i="1"/>
  <c r="AA436" i="1"/>
  <c r="W435" i="1"/>
  <c r="X435" i="1"/>
  <c r="Y435" i="1"/>
  <c r="Z435" i="1"/>
  <c r="AA435" i="1"/>
  <c r="W434" i="1"/>
  <c r="X434" i="1"/>
  <c r="Y434" i="1"/>
  <c r="Z434" i="1"/>
  <c r="AA434" i="1"/>
  <c r="W433" i="1"/>
  <c r="X433" i="1"/>
  <c r="Y433" i="1"/>
  <c r="Z433" i="1"/>
  <c r="AA433" i="1"/>
  <c r="W432" i="1"/>
  <c r="X432" i="1"/>
  <c r="Y432" i="1"/>
  <c r="Z432" i="1"/>
  <c r="AA432" i="1"/>
  <c r="W431" i="1"/>
  <c r="X431" i="1"/>
  <c r="Y431" i="1"/>
  <c r="Z431" i="1"/>
  <c r="AA431" i="1"/>
  <c r="W430" i="1"/>
  <c r="X430" i="1"/>
  <c r="Y430" i="1"/>
  <c r="Z430" i="1"/>
  <c r="AA430" i="1"/>
  <c r="W429" i="1"/>
  <c r="X429" i="1"/>
  <c r="Y429" i="1"/>
  <c r="Z429" i="1"/>
  <c r="AA429" i="1"/>
  <c r="W428" i="1"/>
  <c r="X428" i="1"/>
  <c r="Y428" i="1"/>
  <c r="Z428" i="1"/>
  <c r="AA428" i="1"/>
  <c r="W427" i="1"/>
  <c r="X427" i="1"/>
  <c r="Y427" i="1"/>
  <c r="Z427" i="1"/>
  <c r="AA427" i="1"/>
  <c r="W426" i="1"/>
  <c r="X426" i="1"/>
  <c r="Y426" i="1"/>
  <c r="Z426" i="1"/>
  <c r="AA426" i="1"/>
  <c r="W425" i="1"/>
  <c r="X425" i="1"/>
  <c r="Y425" i="1"/>
  <c r="Z425" i="1"/>
  <c r="AA425" i="1"/>
  <c r="W424" i="1"/>
  <c r="X424" i="1"/>
  <c r="Y424" i="1"/>
  <c r="Z424" i="1"/>
  <c r="AA424" i="1"/>
  <c r="W423" i="1"/>
  <c r="X423" i="1"/>
  <c r="Y423" i="1"/>
  <c r="Z423" i="1"/>
  <c r="AA423" i="1"/>
  <c r="W422" i="1"/>
  <c r="X422" i="1"/>
  <c r="Y422" i="1"/>
  <c r="Z422" i="1"/>
  <c r="AA422" i="1"/>
  <c r="W421" i="1"/>
  <c r="X421" i="1"/>
  <c r="Y421" i="1"/>
  <c r="Z421" i="1"/>
  <c r="AA421" i="1"/>
  <c r="W420" i="1"/>
  <c r="X420" i="1"/>
  <c r="Y420" i="1"/>
  <c r="Z420" i="1"/>
  <c r="AA420" i="1"/>
  <c r="W419" i="1"/>
  <c r="X419" i="1"/>
  <c r="Y419" i="1"/>
  <c r="Z419" i="1"/>
  <c r="AA419" i="1"/>
  <c r="W418" i="1"/>
  <c r="X418" i="1"/>
  <c r="Y418" i="1"/>
  <c r="Z418" i="1"/>
  <c r="AA418" i="1"/>
  <c r="W417" i="1"/>
  <c r="X417" i="1"/>
  <c r="Y417" i="1"/>
  <c r="Z417" i="1"/>
  <c r="AA417" i="1"/>
  <c r="W416" i="1"/>
  <c r="X416" i="1"/>
  <c r="Y416" i="1"/>
  <c r="Z416" i="1"/>
  <c r="AA416" i="1"/>
  <c r="W415" i="1"/>
  <c r="X415" i="1"/>
  <c r="Y415" i="1"/>
  <c r="Z415" i="1"/>
  <c r="AA415" i="1"/>
  <c r="W414" i="1"/>
  <c r="X414" i="1"/>
  <c r="Y414" i="1"/>
  <c r="Z414" i="1"/>
  <c r="AA414" i="1"/>
  <c r="W413" i="1"/>
  <c r="X413" i="1"/>
  <c r="Y413" i="1"/>
  <c r="Z413" i="1"/>
  <c r="AA413" i="1"/>
  <c r="W412" i="1"/>
  <c r="X412" i="1"/>
  <c r="Y412" i="1"/>
  <c r="Z412" i="1"/>
  <c r="AA412" i="1"/>
  <c r="W411" i="1"/>
  <c r="X411" i="1"/>
  <c r="Y411" i="1"/>
  <c r="Z411" i="1"/>
  <c r="AA411" i="1"/>
  <c r="W410" i="1"/>
  <c r="X410" i="1"/>
  <c r="Y410" i="1"/>
  <c r="Z410" i="1"/>
  <c r="AA410" i="1"/>
  <c r="W409" i="1"/>
  <c r="X409" i="1"/>
  <c r="Y409" i="1"/>
  <c r="Z409" i="1"/>
  <c r="AA409" i="1"/>
  <c r="W408" i="1"/>
  <c r="X408" i="1"/>
  <c r="Y408" i="1"/>
  <c r="Z408" i="1"/>
  <c r="AA408" i="1"/>
  <c r="W407" i="1"/>
  <c r="X407" i="1"/>
  <c r="Y407" i="1"/>
  <c r="Z407" i="1"/>
  <c r="AA407" i="1"/>
  <c r="W406" i="1"/>
  <c r="X406" i="1"/>
  <c r="Y406" i="1"/>
  <c r="Z406" i="1"/>
  <c r="AA406" i="1"/>
  <c r="W405" i="1"/>
  <c r="X405" i="1"/>
  <c r="Y405" i="1"/>
  <c r="Z405" i="1"/>
  <c r="AA405" i="1"/>
  <c r="W404" i="1"/>
  <c r="X404" i="1"/>
  <c r="Y404" i="1"/>
  <c r="Z404" i="1"/>
  <c r="AA404" i="1"/>
  <c r="W403" i="1"/>
  <c r="X403" i="1"/>
  <c r="Y403" i="1"/>
  <c r="Z403" i="1"/>
  <c r="AA403" i="1"/>
  <c r="W402" i="1"/>
  <c r="X402" i="1"/>
  <c r="Y402" i="1"/>
  <c r="Z402" i="1"/>
  <c r="AA402" i="1"/>
  <c r="W401" i="1"/>
  <c r="X401" i="1"/>
  <c r="Y401" i="1"/>
  <c r="Z401" i="1"/>
  <c r="AA401" i="1"/>
  <c r="W400" i="1"/>
  <c r="X400" i="1"/>
  <c r="Y400" i="1"/>
  <c r="Z400" i="1"/>
  <c r="AA400" i="1"/>
  <c r="W399" i="1"/>
  <c r="X399" i="1"/>
  <c r="Y399" i="1"/>
  <c r="Z399" i="1"/>
  <c r="AA399" i="1"/>
  <c r="W398" i="1"/>
  <c r="X398" i="1"/>
  <c r="Y398" i="1"/>
  <c r="Z398" i="1"/>
  <c r="AA398" i="1"/>
  <c r="W397" i="1"/>
  <c r="X397" i="1"/>
  <c r="Y397" i="1"/>
  <c r="Z397" i="1"/>
  <c r="AA397" i="1"/>
  <c r="W396" i="1"/>
  <c r="X396" i="1"/>
  <c r="Y396" i="1"/>
  <c r="Z396" i="1"/>
  <c r="AA396" i="1"/>
  <c r="W395" i="1"/>
  <c r="X395" i="1"/>
  <c r="Y395" i="1"/>
  <c r="Z395" i="1"/>
  <c r="AA395" i="1"/>
  <c r="W394" i="1"/>
  <c r="X394" i="1"/>
  <c r="Y394" i="1"/>
  <c r="Z394" i="1"/>
  <c r="AA394" i="1"/>
  <c r="W393" i="1"/>
  <c r="X393" i="1"/>
  <c r="Y393" i="1"/>
  <c r="Z393" i="1"/>
  <c r="AA393" i="1"/>
  <c r="W392" i="1"/>
  <c r="X392" i="1"/>
  <c r="Y392" i="1"/>
  <c r="Z392" i="1"/>
  <c r="AA392" i="1"/>
  <c r="W391" i="1"/>
  <c r="X391" i="1"/>
  <c r="Y391" i="1"/>
  <c r="Z391" i="1"/>
  <c r="AA391" i="1"/>
  <c r="W390" i="1"/>
  <c r="X390" i="1"/>
  <c r="Y390" i="1"/>
  <c r="Z390" i="1"/>
  <c r="AA390" i="1"/>
  <c r="W389" i="1"/>
  <c r="X389" i="1"/>
  <c r="Y389" i="1"/>
  <c r="Z389" i="1"/>
  <c r="AA389" i="1"/>
  <c r="W388" i="1"/>
  <c r="X388" i="1"/>
  <c r="Y388" i="1"/>
  <c r="Z388" i="1"/>
  <c r="AA388" i="1"/>
  <c r="W387" i="1"/>
  <c r="X387" i="1"/>
  <c r="Y387" i="1"/>
  <c r="Z387" i="1"/>
  <c r="AA387" i="1"/>
  <c r="W386" i="1"/>
  <c r="X386" i="1"/>
  <c r="Y386" i="1"/>
  <c r="Z386" i="1"/>
  <c r="AA386" i="1"/>
  <c r="W385" i="1"/>
  <c r="X385" i="1"/>
  <c r="Y385" i="1"/>
  <c r="Z385" i="1"/>
  <c r="AA385" i="1"/>
  <c r="W384" i="1"/>
  <c r="X384" i="1"/>
  <c r="Y384" i="1"/>
  <c r="Z384" i="1"/>
  <c r="AA384" i="1"/>
  <c r="W383" i="1"/>
  <c r="X383" i="1"/>
  <c r="Y383" i="1"/>
  <c r="Z383" i="1"/>
  <c r="AA383" i="1"/>
  <c r="W382" i="1"/>
  <c r="X382" i="1"/>
  <c r="Y382" i="1"/>
  <c r="Z382" i="1"/>
  <c r="AA382" i="1"/>
  <c r="W381" i="1"/>
  <c r="X381" i="1"/>
  <c r="Y381" i="1"/>
  <c r="Z381" i="1"/>
  <c r="AA381" i="1"/>
  <c r="W380" i="1"/>
  <c r="X380" i="1"/>
  <c r="Y380" i="1"/>
  <c r="Z380" i="1"/>
  <c r="AA380" i="1"/>
  <c r="W379" i="1"/>
  <c r="X379" i="1"/>
  <c r="Y379" i="1"/>
  <c r="Z379" i="1"/>
  <c r="AA379" i="1"/>
  <c r="W378" i="1"/>
  <c r="X378" i="1"/>
  <c r="Y378" i="1"/>
  <c r="Z378" i="1"/>
  <c r="AA378" i="1"/>
  <c r="W377" i="1"/>
  <c r="X377" i="1"/>
  <c r="Y377" i="1"/>
  <c r="Z377" i="1"/>
  <c r="AA377" i="1"/>
  <c r="W376" i="1"/>
  <c r="X376" i="1"/>
  <c r="Y376" i="1"/>
  <c r="Z376" i="1"/>
  <c r="AA376" i="1"/>
  <c r="W375" i="1"/>
  <c r="X375" i="1"/>
  <c r="Y375" i="1"/>
  <c r="Z375" i="1"/>
  <c r="AA375" i="1"/>
  <c r="W374" i="1"/>
  <c r="X374" i="1"/>
  <c r="Y374" i="1"/>
  <c r="Z374" i="1"/>
  <c r="AA374" i="1"/>
  <c r="W373" i="1"/>
  <c r="X373" i="1"/>
  <c r="Y373" i="1"/>
  <c r="Z373" i="1"/>
  <c r="AA373" i="1"/>
  <c r="W372" i="1"/>
  <c r="X372" i="1"/>
  <c r="Y372" i="1"/>
  <c r="Z372" i="1"/>
  <c r="AA372" i="1"/>
  <c r="W371" i="1"/>
  <c r="X371" i="1"/>
  <c r="Y371" i="1"/>
  <c r="Z371" i="1"/>
  <c r="AA371" i="1"/>
  <c r="W370" i="1"/>
  <c r="X370" i="1"/>
  <c r="Y370" i="1"/>
  <c r="Z370" i="1"/>
  <c r="AA370" i="1"/>
  <c r="W369" i="1"/>
  <c r="X369" i="1"/>
  <c r="Y369" i="1"/>
  <c r="Z369" i="1"/>
  <c r="AA369" i="1"/>
  <c r="W368" i="1"/>
  <c r="X368" i="1"/>
  <c r="Y368" i="1"/>
  <c r="Z368" i="1"/>
  <c r="AA368" i="1"/>
  <c r="W367" i="1"/>
  <c r="X367" i="1"/>
  <c r="Y367" i="1"/>
  <c r="Z367" i="1"/>
  <c r="AA367" i="1"/>
  <c r="W366" i="1"/>
  <c r="X366" i="1"/>
  <c r="Y366" i="1"/>
  <c r="Z366" i="1"/>
  <c r="AA366" i="1"/>
  <c r="W365" i="1"/>
  <c r="X365" i="1"/>
  <c r="Y365" i="1"/>
  <c r="Z365" i="1"/>
  <c r="AA365" i="1"/>
  <c r="W364" i="1"/>
  <c r="X364" i="1"/>
  <c r="Y364" i="1"/>
  <c r="Z364" i="1"/>
  <c r="AA364" i="1"/>
  <c r="W363" i="1"/>
  <c r="X363" i="1"/>
  <c r="Y363" i="1"/>
  <c r="Z363" i="1"/>
  <c r="AA363" i="1"/>
  <c r="W362" i="1"/>
  <c r="X362" i="1"/>
  <c r="Y362" i="1"/>
  <c r="Z362" i="1"/>
  <c r="AA362" i="1"/>
  <c r="W361" i="1"/>
  <c r="X361" i="1"/>
  <c r="Y361" i="1"/>
  <c r="Z361" i="1"/>
  <c r="AA361" i="1"/>
  <c r="W360" i="1"/>
  <c r="X360" i="1"/>
  <c r="Y360" i="1"/>
  <c r="Z360" i="1"/>
  <c r="AA360" i="1"/>
  <c r="W359" i="1"/>
  <c r="X359" i="1"/>
  <c r="Y359" i="1"/>
  <c r="Z359" i="1"/>
  <c r="AA359" i="1"/>
  <c r="W358" i="1"/>
  <c r="X358" i="1"/>
  <c r="Y358" i="1"/>
  <c r="Z358" i="1"/>
  <c r="AA358" i="1"/>
  <c r="W357" i="1"/>
  <c r="X357" i="1"/>
  <c r="Y357" i="1"/>
  <c r="Z357" i="1"/>
  <c r="AA357" i="1"/>
  <c r="W356" i="1"/>
  <c r="X356" i="1"/>
  <c r="Y356" i="1"/>
  <c r="Z356" i="1"/>
  <c r="AA356" i="1"/>
  <c r="W355" i="1"/>
  <c r="X355" i="1"/>
  <c r="Y355" i="1"/>
  <c r="Z355" i="1"/>
  <c r="AA355" i="1"/>
  <c r="W354" i="1"/>
  <c r="X354" i="1"/>
  <c r="Y354" i="1"/>
  <c r="Z354" i="1"/>
  <c r="AA354" i="1"/>
  <c r="W353" i="1"/>
  <c r="X353" i="1"/>
  <c r="Y353" i="1"/>
  <c r="Z353" i="1"/>
  <c r="AA353" i="1"/>
  <c r="W352" i="1"/>
  <c r="X352" i="1"/>
  <c r="Y352" i="1"/>
  <c r="Z352" i="1"/>
  <c r="AA352" i="1"/>
  <c r="W351" i="1"/>
  <c r="X351" i="1"/>
  <c r="Y351" i="1"/>
  <c r="Z351" i="1"/>
  <c r="AA351" i="1"/>
  <c r="W350" i="1"/>
  <c r="X350" i="1"/>
  <c r="Y350" i="1"/>
  <c r="Z350" i="1"/>
  <c r="AA350" i="1"/>
  <c r="W349" i="1"/>
  <c r="X349" i="1"/>
  <c r="Y349" i="1"/>
  <c r="Z349" i="1"/>
  <c r="AA349" i="1"/>
  <c r="W348" i="1"/>
  <c r="X348" i="1"/>
  <c r="Y348" i="1"/>
  <c r="Z348" i="1"/>
  <c r="AA348" i="1"/>
  <c r="W347" i="1"/>
  <c r="X347" i="1"/>
  <c r="Y347" i="1"/>
  <c r="Z347" i="1"/>
  <c r="AA347" i="1"/>
  <c r="W346" i="1"/>
  <c r="X346" i="1"/>
  <c r="Y346" i="1"/>
  <c r="Z346" i="1"/>
  <c r="AA346" i="1"/>
  <c r="W345" i="1"/>
  <c r="X345" i="1"/>
  <c r="Y345" i="1"/>
  <c r="Z345" i="1"/>
  <c r="AA345" i="1"/>
  <c r="W344" i="1"/>
  <c r="X344" i="1"/>
  <c r="Y344" i="1"/>
  <c r="Z344" i="1"/>
  <c r="AA344" i="1"/>
  <c r="W343" i="1"/>
  <c r="X343" i="1"/>
  <c r="Y343" i="1"/>
  <c r="Z343" i="1"/>
  <c r="AA343" i="1"/>
  <c r="W342" i="1"/>
  <c r="X342" i="1"/>
  <c r="Y342" i="1"/>
  <c r="Z342" i="1"/>
  <c r="AA342" i="1"/>
  <c r="W341" i="1"/>
  <c r="X341" i="1"/>
  <c r="Y341" i="1"/>
  <c r="Z341" i="1"/>
  <c r="AA341" i="1"/>
  <c r="W340" i="1"/>
  <c r="X340" i="1"/>
  <c r="Y340" i="1"/>
  <c r="Z340" i="1"/>
  <c r="AA340" i="1"/>
  <c r="W339" i="1"/>
  <c r="X339" i="1"/>
  <c r="Y339" i="1"/>
  <c r="Z339" i="1"/>
  <c r="AA339" i="1"/>
  <c r="W338" i="1"/>
  <c r="X338" i="1"/>
  <c r="Y338" i="1"/>
  <c r="Z338" i="1"/>
  <c r="AA338" i="1"/>
  <c r="W337" i="1"/>
  <c r="X337" i="1"/>
  <c r="Y337" i="1"/>
  <c r="Z337" i="1"/>
  <c r="AA337" i="1"/>
  <c r="W336" i="1"/>
  <c r="X336" i="1"/>
  <c r="Y336" i="1"/>
  <c r="Z336" i="1"/>
  <c r="AA336" i="1"/>
  <c r="W335" i="1"/>
  <c r="X335" i="1"/>
  <c r="Y335" i="1"/>
  <c r="Z335" i="1"/>
  <c r="AA335" i="1"/>
  <c r="W334" i="1"/>
  <c r="X334" i="1"/>
  <c r="Y334" i="1"/>
  <c r="Z334" i="1"/>
  <c r="AA334" i="1"/>
  <c r="W333" i="1"/>
  <c r="X333" i="1"/>
  <c r="Y333" i="1"/>
  <c r="Z333" i="1"/>
  <c r="AA333" i="1"/>
  <c r="W332" i="1"/>
  <c r="X332" i="1"/>
  <c r="Y332" i="1"/>
  <c r="Z332" i="1"/>
  <c r="AA332" i="1"/>
  <c r="W331" i="1"/>
  <c r="X331" i="1"/>
  <c r="Y331" i="1"/>
  <c r="Z331" i="1"/>
  <c r="AA331" i="1"/>
  <c r="W330" i="1"/>
  <c r="X330" i="1"/>
  <c r="Y330" i="1"/>
  <c r="Z330" i="1"/>
  <c r="AA330" i="1"/>
  <c r="W329" i="1"/>
  <c r="X329" i="1"/>
  <c r="Y329" i="1"/>
  <c r="Z329" i="1"/>
  <c r="AA329" i="1"/>
  <c r="W328" i="1"/>
  <c r="X328" i="1"/>
  <c r="Y328" i="1"/>
  <c r="Z328" i="1"/>
  <c r="AA328" i="1"/>
  <c r="W327" i="1"/>
  <c r="X327" i="1"/>
  <c r="Y327" i="1"/>
  <c r="Z327" i="1"/>
  <c r="AA327" i="1"/>
  <c r="W326" i="1"/>
  <c r="X326" i="1"/>
  <c r="Y326" i="1"/>
  <c r="Z326" i="1"/>
  <c r="AA326" i="1"/>
  <c r="W325" i="1"/>
  <c r="X325" i="1"/>
  <c r="Y325" i="1"/>
  <c r="Z325" i="1"/>
  <c r="AA325" i="1"/>
  <c r="W324" i="1"/>
  <c r="X324" i="1"/>
  <c r="Y324" i="1"/>
  <c r="Z324" i="1"/>
  <c r="AA324" i="1"/>
  <c r="W323" i="1"/>
  <c r="X323" i="1"/>
  <c r="Y323" i="1"/>
  <c r="Z323" i="1"/>
  <c r="AA323" i="1"/>
  <c r="W322" i="1"/>
  <c r="X322" i="1"/>
  <c r="Y322" i="1"/>
  <c r="Z322" i="1"/>
  <c r="AA322" i="1"/>
  <c r="W321" i="1"/>
  <c r="X321" i="1"/>
  <c r="Y321" i="1"/>
  <c r="Z321" i="1"/>
  <c r="AA321" i="1"/>
  <c r="W320" i="1"/>
  <c r="X320" i="1"/>
  <c r="Y320" i="1"/>
  <c r="Z320" i="1"/>
  <c r="AA320" i="1"/>
  <c r="W319" i="1"/>
  <c r="X319" i="1"/>
  <c r="Y319" i="1"/>
  <c r="Z319" i="1"/>
  <c r="AA319" i="1"/>
  <c r="W318" i="1"/>
  <c r="X318" i="1"/>
  <c r="Y318" i="1"/>
  <c r="Z318" i="1"/>
  <c r="AA318" i="1"/>
  <c r="W317" i="1"/>
  <c r="X317" i="1"/>
  <c r="Y317" i="1"/>
  <c r="Z317" i="1"/>
  <c r="AA317" i="1"/>
  <c r="W316" i="1"/>
  <c r="X316" i="1"/>
  <c r="Y316" i="1"/>
  <c r="Z316" i="1"/>
  <c r="AA316" i="1"/>
  <c r="W315" i="1"/>
  <c r="X315" i="1"/>
  <c r="Y315" i="1"/>
  <c r="Z315" i="1"/>
  <c r="AA315" i="1"/>
  <c r="W314" i="1"/>
  <c r="X314" i="1"/>
  <c r="Y314" i="1"/>
  <c r="Z314" i="1"/>
  <c r="AA314" i="1"/>
  <c r="W313" i="1"/>
  <c r="X313" i="1"/>
  <c r="Y313" i="1"/>
  <c r="Z313" i="1"/>
  <c r="AA313" i="1"/>
  <c r="W312" i="1"/>
  <c r="X312" i="1"/>
  <c r="Y312" i="1"/>
  <c r="Z312" i="1"/>
  <c r="AA312" i="1"/>
  <c r="W311" i="1"/>
  <c r="X311" i="1"/>
  <c r="Y311" i="1"/>
  <c r="Z311" i="1"/>
  <c r="AA311" i="1"/>
  <c r="W310" i="1"/>
  <c r="X310" i="1"/>
  <c r="Y310" i="1"/>
  <c r="Z310" i="1"/>
  <c r="AA310" i="1"/>
  <c r="W309" i="1"/>
  <c r="X309" i="1"/>
  <c r="Y309" i="1"/>
  <c r="Z309" i="1"/>
  <c r="AA309" i="1"/>
  <c r="W308" i="1"/>
  <c r="X308" i="1"/>
  <c r="Y308" i="1"/>
  <c r="Z308" i="1"/>
  <c r="AA308" i="1"/>
  <c r="W307" i="1"/>
  <c r="X307" i="1"/>
  <c r="Y307" i="1"/>
  <c r="Z307" i="1"/>
  <c r="AA307" i="1"/>
  <c r="W306" i="1"/>
  <c r="X306" i="1"/>
  <c r="Y306" i="1"/>
  <c r="Z306" i="1"/>
  <c r="AA306" i="1"/>
  <c r="W305" i="1"/>
  <c r="X305" i="1"/>
  <c r="Y305" i="1"/>
  <c r="Z305" i="1"/>
  <c r="AA305" i="1"/>
  <c r="W304" i="1"/>
  <c r="X304" i="1"/>
  <c r="Y304" i="1"/>
  <c r="Z304" i="1"/>
  <c r="AA304" i="1"/>
  <c r="W303" i="1"/>
  <c r="X303" i="1"/>
  <c r="Y303" i="1"/>
  <c r="Z303" i="1"/>
  <c r="AA303" i="1"/>
  <c r="W302" i="1"/>
  <c r="X302" i="1"/>
  <c r="Y302" i="1"/>
  <c r="Z302" i="1"/>
  <c r="AA302" i="1"/>
  <c r="W301" i="1"/>
  <c r="X301" i="1"/>
  <c r="Y301" i="1"/>
  <c r="Z301" i="1"/>
  <c r="AA301" i="1"/>
  <c r="W300" i="1"/>
  <c r="X300" i="1"/>
  <c r="Y300" i="1"/>
  <c r="Z300" i="1"/>
  <c r="AA300" i="1"/>
  <c r="W299" i="1"/>
  <c r="X299" i="1"/>
  <c r="Y299" i="1"/>
  <c r="Z299" i="1"/>
  <c r="AA299" i="1"/>
  <c r="W298" i="1"/>
  <c r="X298" i="1"/>
  <c r="Y298" i="1"/>
  <c r="Z298" i="1"/>
  <c r="AA298" i="1"/>
  <c r="W297" i="1"/>
  <c r="X297" i="1"/>
  <c r="Y297" i="1"/>
  <c r="Z297" i="1"/>
  <c r="AA297" i="1"/>
  <c r="W296" i="1"/>
  <c r="X296" i="1"/>
  <c r="Y296" i="1"/>
  <c r="Z296" i="1"/>
  <c r="AA296" i="1"/>
  <c r="W295" i="1"/>
  <c r="X295" i="1"/>
  <c r="Y295" i="1"/>
  <c r="Z295" i="1"/>
  <c r="AA295" i="1"/>
  <c r="W294" i="1"/>
  <c r="X294" i="1"/>
  <c r="Y294" i="1"/>
  <c r="Z294" i="1"/>
  <c r="AA294" i="1"/>
  <c r="W293" i="1"/>
  <c r="X293" i="1"/>
  <c r="Y293" i="1"/>
  <c r="Z293" i="1"/>
  <c r="AA293" i="1"/>
  <c r="W292" i="1"/>
  <c r="X292" i="1"/>
  <c r="Y292" i="1"/>
  <c r="Z292" i="1"/>
  <c r="AA292" i="1"/>
  <c r="W291" i="1"/>
  <c r="X291" i="1"/>
  <c r="Y291" i="1"/>
  <c r="Z291" i="1"/>
  <c r="AA291" i="1"/>
  <c r="W290" i="1"/>
  <c r="X290" i="1"/>
  <c r="Y290" i="1"/>
  <c r="Z290" i="1"/>
  <c r="AA290" i="1"/>
  <c r="W289" i="1"/>
  <c r="X289" i="1"/>
  <c r="Y289" i="1"/>
  <c r="Z289" i="1"/>
  <c r="AA289" i="1"/>
  <c r="W288" i="1"/>
  <c r="X288" i="1"/>
  <c r="Y288" i="1"/>
  <c r="Z288" i="1"/>
  <c r="AA288" i="1"/>
  <c r="W287" i="1"/>
  <c r="X287" i="1"/>
  <c r="Y287" i="1"/>
  <c r="Z287" i="1"/>
  <c r="AA287" i="1"/>
  <c r="W286" i="1"/>
  <c r="X286" i="1"/>
  <c r="Y286" i="1"/>
  <c r="Z286" i="1"/>
  <c r="AA286" i="1"/>
  <c r="W285" i="1"/>
  <c r="X285" i="1"/>
  <c r="Y285" i="1"/>
  <c r="Z285" i="1"/>
  <c r="AA285" i="1"/>
  <c r="W284" i="1"/>
  <c r="X284" i="1"/>
  <c r="Y284" i="1"/>
  <c r="Z284" i="1"/>
  <c r="AA284" i="1"/>
  <c r="W283" i="1"/>
  <c r="X283" i="1"/>
  <c r="Y283" i="1"/>
  <c r="Z283" i="1"/>
  <c r="AA283" i="1"/>
  <c r="W282" i="1"/>
  <c r="X282" i="1"/>
  <c r="Y282" i="1"/>
  <c r="Z282" i="1"/>
  <c r="AA282" i="1"/>
  <c r="W281" i="1"/>
  <c r="X281" i="1"/>
  <c r="Y281" i="1"/>
  <c r="Z281" i="1"/>
  <c r="AA281" i="1"/>
  <c r="W280" i="1"/>
  <c r="X280" i="1"/>
  <c r="Y280" i="1"/>
  <c r="Z280" i="1"/>
  <c r="AA280" i="1"/>
  <c r="W279" i="1"/>
  <c r="X279" i="1"/>
  <c r="Y279" i="1"/>
  <c r="Z279" i="1"/>
  <c r="AA279" i="1"/>
  <c r="W278" i="1"/>
  <c r="X278" i="1"/>
  <c r="Y278" i="1"/>
  <c r="Z278" i="1"/>
  <c r="AA278" i="1"/>
  <c r="W277" i="1"/>
  <c r="X277" i="1"/>
  <c r="Y277" i="1"/>
  <c r="Z277" i="1"/>
  <c r="AA277" i="1"/>
  <c r="W276" i="1"/>
  <c r="X276" i="1"/>
  <c r="Y276" i="1"/>
  <c r="Z276" i="1"/>
  <c r="AA276" i="1"/>
  <c r="W275" i="1"/>
  <c r="X275" i="1"/>
  <c r="Y275" i="1"/>
  <c r="Z275" i="1"/>
  <c r="AA275" i="1"/>
  <c r="W274" i="1"/>
  <c r="X274" i="1"/>
  <c r="Y274" i="1"/>
  <c r="Z274" i="1"/>
  <c r="AA274" i="1"/>
  <c r="W273" i="1"/>
  <c r="X273" i="1"/>
  <c r="Y273" i="1"/>
  <c r="Z273" i="1"/>
  <c r="AA273" i="1"/>
  <c r="W272" i="1"/>
  <c r="X272" i="1"/>
  <c r="Y272" i="1"/>
  <c r="Z272" i="1"/>
  <c r="AA272" i="1"/>
  <c r="W271" i="1"/>
  <c r="X271" i="1"/>
  <c r="Y271" i="1"/>
  <c r="Z271" i="1"/>
  <c r="AA271" i="1"/>
  <c r="W270" i="1"/>
  <c r="X270" i="1"/>
  <c r="Y270" i="1"/>
  <c r="Z270" i="1"/>
  <c r="AA270" i="1"/>
  <c r="W269" i="1"/>
  <c r="X269" i="1"/>
  <c r="Y269" i="1"/>
  <c r="Z269" i="1"/>
  <c r="AA269" i="1"/>
  <c r="W268" i="1"/>
  <c r="X268" i="1"/>
  <c r="Y268" i="1"/>
  <c r="Z268" i="1"/>
  <c r="AA268" i="1"/>
  <c r="W267" i="1"/>
  <c r="X267" i="1"/>
  <c r="Y267" i="1"/>
  <c r="Z267" i="1"/>
  <c r="AA267" i="1"/>
  <c r="W266" i="1"/>
  <c r="X266" i="1"/>
  <c r="Y266" i="1"/>
  <c r="Z266" i="1"/>
  <c r="AA266" i="1"/>
  <c r="W265" i="1"/>
  <c r="X265" i="1"/>
  <c r="Y265" i="1"/>
  <c r="Z265" i="1"/>
  <c r="AA265" i="1"/>
  <c r="W264" i="1"/>
  <c r="X264" i="1"/>
  <c r="Y264" i="1"/>
  <c r="Z264" i="1"/>
  <c r="AA264" i="1"/>
  <c r="W263" i="1"/>
  <c r="X263" i="1"/>
  <c r="Y263" i="1"/>
  <c r="Z263" i="1"/>
  <c r="AA263" i="1"/>
  <c r="W262" i="1"/>
  <c r="X262" i="1"/>
  <c r="Y262" i="1"/>
  <c r="Z262" i="1"/>
  <c r="AA262" i="1"/>
  <c r="W261" i="1"/>
  <c r="X261" i="1"/>
  <c r="Y261" i="1"/>
  <c r="Z261" i="1"/>
  <c r="AA261" i="1"/>
  <c r="W260" i="1"/>
  <c r="X260" i="1"/>
  <c r="Y260" i="1"/>
  <c r="Z260" i="1"/>
  <c r="AA260" i="1"/>
  <c r="W259" i="1"/>
  <c r="X259" i="1"/>
  <c r="Y259" i="1"/>
  <c r="Z259" i="1"/>
  <c r="AA259" i="1"/>
  <c r="W258" i="1"/>
  <c r="X258" i="1"/>
  <c r="Y258" i="1"/>
  <c r="Z258" i="1"/>
  <c r="AA258" i="1"/>
  <c r="W257" i="1"/>
  <c r="X257" i="1"/>
  <c r="Y257" i="1"/>
  <c r="Z257" i="1"/>
  <c r="AA257" i="1"/>
  <c r="W256" i="1"/>
  <c r="X256" i="1"/>
  <c r="Y256" i="1"/>
  <c r="Z256" i="1"/>
  <c r="AA256" i="1"/>
  <c r="W255" i="1"/>
  <c r="X255" i="1"/>
  <c r="Y255" i="1"/>
  <c r="Z255" i="1"/>
  <c r="AA255" i="1"/>
  <c r="W254" i="1"/>
  <c r="X254" i="1"/>
  <c r="Y254" i="1"/>
  <c r="Z254" i="1"/>
  <c r="AA254" i="1"/>
  <c r="W253" i="1"/>
  <c r="X253" i="1"/>
  <c r="Y253" i="1"/>
  <c r="Z253" i="1"/>
  <c r="AA253" i="1"/>
  <c r="W252" i="1"/>
  <c r="X252" i="1"/>
  <c r="Y252" i="1"/>
  <c r="Z252" i="1"/>
  <c r="AA252" i="1"/>
  <c r="W251" i="1"/>
  <c r="X251" i="1"/>
  <c r="Y251" i="1"/>
  <c r="Z251" i="1"/>
  <c r="AA251" i="1"/>
  <c r="W250" i="1"/>
  <c r="X250" i="1"/>
  <c r="Y250" i="1"/>
  <c r="Z250" i="1"/>
  <c r="AA250" i="1"/>
  <c r="W249" i="1"/>
  <c r="X249" i="1"/>
  <c r="Y249" i="1"/>
  <c r="Z249" i="1"/>
  <c r="AA249" i="1"/>
  <c r="W248" i="1"/>
  <c r="X248" i="1"/>
  <c r="Y248" i="1"/>
  <c r="Z248" i="1"/>
  <c r="AA248" i="1"/>
  <c r="W247" i="1"/>
  <c r="X247" i="1"/>
  <c r="Y247" i="1"/>
  <c r="Z247" i="1"/>
  <c r="AA247" i="1"/>
  <c r="W246" i="1"/>
  <c r="X246" i="1"/>
  <c r="Y246" i="1"/>
  <c r="Z246" i="1"/>
  <c r="AA246" i="1"/>
  <c r="W245" i="1"/>
  <c r="X245" i="1"/>
  <c r="Y245" i="1"/>
  <c r="Z245" i="1"/>
  <c r="AA245" i="1"/>
  <c r="W244" i="1"/>
  <c r="X244" i="1"/>
  <c r="Y244" i="1"/>
  <c r="Z244" i="1"/>
  <c r="AA244" i="1"/>
  <c r="W243" i="1"/>
  <c r="X243" i="1"/>
  <c r="Y243" i="1"/>
  <c r="Z243" i="1"/>
  <c r="AA243" i="1"/>
  <c r="W242" i="1"/>
  <c r="X242" i="1"/>
  <c r="Y242" i="1"/>
  <c r="Z242" i="1"/>
  <c r="AA242" i="1"/>
  <c r="W241" i="1"/>
  <c r="X241" i="1"/>
  <c r="Y241" i="1"/>
  <c r="Z241" i="1"/>
  <c r="AA241" i="1"/>
  <c r="W240" i="1"/>
  <c r="X240" i="1"/>
  <c r="Y240" i="1"/>
  <c r="Z240" i="1"/>
  <c r="AA240" i="1"/>
  <c r="W239" i="1"/>
  <c r="X239" i="1"/>
  <c r="Y239" i="1"/>
  <c r="Z239" i="1"/>
  <c r="AA239" i="1"/>
  <c r="W238" i="1"/>
  <c r="X238" i="1"/>
  <c r="Y238" i="1"/>
  <c r="Z238" i="1"/>
  <c r="AA238" i="1"/>
  <c r="W237" i="1"/>
  <c r="X237" i="1"/>
  <c r="Y237" i="1"/>
  <c r="Z237" i="1"/>
  <c r="AA237" i="1"/>
  <c r="W236" i="1"/>
  <c r="X236" i="1"/>
  <c r="Y236" i="1"/>
  <c r="Z236" i="1"/>
  <c r="AA236" i="1"/>
  <c r="W235" i="1"/>
  <c r="X235" i="1"/>
  <c r="Y235" i="1"/>
  <c r="Z235" i="1"/>
  <c r="AA235" i="1"/>
  <c r="W234" i="1"/>
  <c r="X234" i="1"/>
  <c r="Y234" i="1"/>
  <c r="Z234" i="1"/>
  <c r="AA234" i="1"/>
  <c r="W233" i="1"/>
  <c r="X233" i="1"/>
  <c r="Y233" i="1"/>
  <c r="Z233" i="1"/>
  <c r="AA233" i="1"/>
  <c r="W232" i="1"/>
  <c r="X232" i="1"/>
  <c r="Y232" i="1"/>
  <c r="Z232" i="1"/>
  <c r="AA232" i="1"/>
  <c r="W231" i="1"/>
  <c r="X231" i="1"/>
  <c r="Y231" i="1"/>
  <c r="Z231" i="1"/>
  <c r="AA231" i="1"/>
  <c r="W230" i="1"/>
  <c r="X230" i="1"/>
  <c r="Y230" i="1"/>
  <c r="Z230" i="1"/>
  <c r="AA230" i="1"/>
  <c r="W229" i="1"/>
  <c r="X229" i="1"/>
  <c r="Y229" i="1"/>
  <c r="Z229" i="1"/>
  <c r="AA229" i="1"/>
  <c r="W228" i="1"/>
  <c r="X228" i="1"/>
  <c r="Y228" i="1"/>
  <c r="Z228" i="1"/>
  <c r="AA228" i="1"/>
  <c r="W227" i="1"/>
  <c r="X227" i="1"/>
  <c r="Y227" i="1"/>
  <c r="Z227" i="1"/>
  <c r="AA227" i="1"/>
  <c r="W226" i="1"/>
  <c r="X226" i="1"/>
  <c r="Y226" i="1"/>
  <c r="Z226" i="1"/>
  <c r="AA226" i="1"/>
  <c r="W225" i="1"/>
  <c r="X225" i="1"/>
  <c r="Y225" i="1"/>
  <c r="Z225" i="1"/>
  <c r="AA225" i="1"/>
  <c r="W224" i="1"/>
  <c r="X224" i="1"/>
  <c r="Y224" i="1"/>
  <c r="Z224" i="1"/>
  <c r="AA224" i="1"/>
  <c r="W223" i="1"/>
  <c r="X223" i="1"/>
  <c r="Y223" i="1"/>
  <c r="Z223" i="1"/>
  <c r="AA223" i="1"/>
  <c r="W222" i="1"/>
  <c r="X222" i="1"/>
  <c r="Y222" i="1"/>
  <c r="Z222" i="1"/>
  <c r="AA222" i="1"/>
  <c r="W221" i="1"/>
  <c r="X221" i="1"/>
  <c r="Y221" i="1"/>
  <c r="Z221" i="1"/>
  <c r="AA221" i="1"/>
  <c r="W220" i="1"/>
  <c r="X220" i="1"/>
  <c r="Y220" i="1"/>
  <c r="Z220" i="1"/>
  <c r="AA220" i="1"/>
  <c r="W219" i="1"/>
  <c r="X219" i="1"/>
  <c r="Y219" i="1"/>
  <c r="Z219" i="1"/>
  <c r="AA219" i="1"/>
  <c r="W218" i="1"/>
  <c r="X218" i="1"/>
  <c r="Y218" i="1"/>
  <c r="Z218" i="1"/>
  <c r="AA218" i="1"/>
  <c r="W217" i="1"/>
  <c r="X217" i="1"/>
  <c r="Y217" i="1"/>
  <c r="Z217" i="1"/>
  <c r="AA217" i="1"/>
  <c r="W216" i="1"/>
  <c r="X216" i="1"/>
  <c r="Y216" i="1"/>
  <c r="Z216" i="1"/>
  <c r="AA216" i="1"/>
  <c r="W215" i="1"/>
  <c r="X215" i="1"/>
  <c r="Y215" i="1"/>
  <c r="Z215" i="1"/>
  <c r="AA215" i="1"/>
  <c r="W214" i="1"/>
  <c r="X214" i="1"/>
  <c r="Y214" i="1"/>
  <c r="Z214" i="1"/>
  <c r="AA214" i="1"/>
  <c r="W213" i="1"/>
  <c r="X213" i="1"/>
  <c r="Y213" i="1"/>
  <c r="Z213" i="1"/>
  <c r="AA213" i="1"/>
  <c r="W212" i="1"/>
  <c r="X212" i="1"/>
  <c r="Y212" i="1"/>
  <c r="Z212" i="1"/>
  <c r="AA212" i="1"/>
  <c r="W211" i="1"/>
  <c r="X211" i="1"/>
  <c r="Y211" i="1"/>
  <c r="Z211" i="1"/>
  <c r="AA211" i="1"/>
  <c r="W210" i="1"/>
  <c r="X210" i="1"/>
  <c r="Y210" i="1"/>
  <c r="Z210" i="1"/>
  <c r="AA210" i="1"/>
  <c r="W209" i="1"/>
  <c r="X209" i="1"/>
  <c r="Y209" i="1"/>
  <c r="Z209" i="1"/>
  <c r="AA209" i="1"/>
  <c r="W208" i="1"/>
  <c r="X208" i="1"/>
  <c r="Y208" i="1"/>
  <c r="Z208" i="1"/>
  <c r="AA208" i="1"/>
  <c r="W207" i="1"/>
  <c r="X207" i="1"/>
  <c r="Y207" i="1"/>
  <c r="Z207" i="1"/>
  <c r="AA207" i="1"/>
  <c r="W206" i="1"/>
  <c r="X206" i="1"/>
  <c r="Y206" i="1"/>
  <c r="Z206" i="1"/>
  <c r="AA206" i="1"/>
  <c r="W205" i="1"/>
  <c r="X205" i="1"/>
  <c r="Y205" i="1"/>
  <c r="Z205" i="1"/>
  <c r="AA205" i="1"/>
  <c r="W204" i="1"/>
  <c r="X204" i="1"/>
  <c r="Y204" i="1"/>
  <c r="Z204" i="1"/>
  <c r="AA204" i="1"/>
  <c r="W203" i="1"/>
  <c r="X203" i="1"/>
  <c r="Y203" i="1"/>
  <c r="Z203" i="1"/>
  <c r="AA203" i="1"/>
  <c r="W202" i="1"/>
  <c r="X202" i="1"/>
  <c r="Y202" i="1"/>
  <c r="Z202" i="1"/>
  <c r="AA202" i="1"/>
  <c r="W201" i="1"/>
  <c r="X201" i="1"/>
  <c r="Y201" i="1"/>
  <c r="Z201" i="1"/>
  <c r="AA201" i="1"/>
  <c r="W200" i="1"/>
  <c r="X200" i="1"/>
  <c r="Y200" i="1"/>
  <c r="Z200" i="1"/>
  <c r="AA200" i="1"/>
  <c r="W199" i="1"/>
  <c r="X199" i="1"/>
  <c r="Y199" i="1"/>
  <c r="Z199" i="1"/>
  <c r="AA199" i="1"/>
  <c r="W198" i="1"/>
  <c r="X198" i="1"/>
  <c r="Y198" i="1"/>
  <c r="Z198" i="1"/>
  <c r="AA198" i="1"/>
  <c r="W197" i="1"/>
  <c r="X197" i="1"/>
  <c r="Y197" i="1"/>
  <c r="Z197" i="1"/>
  <c r="AA197" i="1"/>
  <c r="W196" i="1"/>
  <c r="X196" i="1"/>
  <c r="Y196" i="1"/>
  <c r="Z196" i="1"/>
  <c r="AA196" i="1"/>
  <c r="W195" i="1"/>
  <c r="X195" i="1"/>
  <c r="Y195" i="1"/>
  <c r="Z195" i="1"/>
  <c r="AA195" i="1"/>
  <c r="W194" i="1"/>
  <c r="X194" i="1"/>
  <c r="Y194" i="1"/>
  <c r="Z194" i="1"/>
  <c r="AA194" i="1"/>
  <c r="W193" i="1"/>
  <c r="X193" i="1"/>
  <c r="Y193" i="1"/>
  <c r="Z193" i="1"/>
  <c r="AA193" i="1"/>
  <c r="W192" i="1"/>
  <c r="X192" i="1"/>
  <c r="Y192" i="1"/>
  <c r="Z192" i="1"/>
  <c r="AA192" i="1"/>
  <c r="W191" i="1"/>
  <c r="X191" i="1"/>
  <c r="Y191" i="1"/>
  <c r="Z191" i="1"/>
  <c r="AA191" i="1"/>
  <c r="W190" i="1"/>
  <c r="X190" i="1"/>
  <c r="Y190" i="1"/>
  <c r="Z190" i="1"/>
  <c r="AA190" i="1"/>
  <c r="W189" i="1"/>
  <c r="X189" i="1"/>
  <c r="Y189" i="1"/>
  <c r="Z189" i="1"/>
  <c r="AA189" i="1"/>
  <c r="W188" i="1"/>
  <c r="X188" i="1"/>
  <c r="Y188" i="1"/>
  <c r="Z188" i="1"/>
  <c r="AA188" i="1"/>
  <c r="W187" i="1"/>
  <c r="X187" i="1"/>
  <c r="Y187" i="1"/>
  <c r="Z187" i="1"/>
  <c r="AA187" i="1"/>
  <c r="W186" i="1"/>
  <c r="X186" i="1"/>
  <c r="Y186" i="1"/>
  <c r="Z186" i="1"/>
  <c r="AA186" i="1"/>
  <c r="W185" i="1"/>
  <c r="X185" i="1"/>
  <c r="Y185" i="1"/>
  <c r="Z185" i="1"/>
  <c r="AA185" i="1"/>
  <c r="W184" i="1"/>
  <c r="X184" i="1"/>
  <c r="Y184" i="1"/>
  <c r="Z184" i="1"/>
  <c r="AA184" i="1"/>
  <c r="W183" i="1"/>
  <c r="X183" i="1"/>
  <c r="Y183" i="1"/>
  <c r="Z183" i="1"/>
  <c r="AA183" i="1"/>
  <c r="W182" i="1"/>
  <c r="X182" i="1"/>
  <c r="Y182" i="1"/>
  <c r="Z182" i="1"/>
  <c r="AA182" i="1"/>
  <c r="W181" i="1"/>
  <c r="X181" i="1"/>
  <c r="Y181" i="1"/>
  <c r="Z181" i="1"/>
  <c r="AA181" i="1"/>
  <c r="W180" i="1"/>
  <c r="X180" i="1"/>
  <c r="Y180" i="1"/>
  <c r="Z180" i="1"/>
  <c r="AA180" i="1"/>
  <c r="W179" i="1"/>
  <c r="X179" i="1"/>
  <c r="Y179" i="1"/>
  <c r="Z179" i="1"/>
  <c r="AA179" i="1"/>
  <c r="W178" i="1"/>
  <c r="X178" i="1"/>
  <c r="Y178" i="1"/>
  <c r="Z178" i="1"/>
  <c r="AA178" i="1"/>
  <c r="W177" i="1"/>
  <c r="X177" i="1"/>
  <c r="Y177" i="1"/>
  <c r="Z177" i="1"/>
  <c r="AA177" i="1"/>
  <c r="W176" i="1"/>
  <c r="X176" i="1"/>
  <c r="Y176" i="1"/>
  <c r="Z176" i="1"/>
  <c r="AA176" i="1"/>
  <c r="W175" i="1"/>
  <c r="X175" i="1"/>
  <c r="Y175" i="1"/>
  <c r="Z175" i="1"/>
  <c r="AA175" i="1"/>
  <c r="W174" i="1"/>
  <c r="X174" i="1"/>
  <c r="Y174" i="1"/>
  <c r="Z174" i="1"/>
  <c r="AA174" i="1"/>
  <c r="W173" i="1"/>
  <c r="X173" i="1"/>
  <c r="Y173" i="1"/>
  <c r="Z173" i="1"/>
  <c r="AA173" i="1"/>
  <c r="W172" i="1"/>
  <c r="X172" i="1"/>
  <c r="Y172" i="1"/>
  <c r="Z172" i="1"/>
  <c r="AA172" i="1"/>
  <c r="W171" i="1"/>
  <c r="X171" i="1"/>
  <c r="Y171" i="1"/>
  <c r="Z171" i="1"/>
  <c r="AA171" i="1"/>
  <c r="W170" i="1"/>
  <c r="X170" i="1"/>
  <c r="Y170" i="1"/>
  <c r="Z170" i="1"/>
  <c r="AA170" i="1"/>
  <c r="W169" i="1"/>
  <c r="X169" i="1"/>
  <c r="Y169" i="1"/>
  <c r="Z169" i="1"/>
  <c r="AA169" i="1"/>
  <c r="W168" i="1"/>
  <c r="X168" i="1"/>
  <c r="Y168" i="1"/>
  <c r="Z168" i="1"/>
  <c r="AA168" i="1"/>
  <c r="W167" i="1"/>
  <c r="X167" i="1"/>
  <c r="Y167" i="1"/>
  <c r="Z167" i="1"/>
  <c r="AA167" i="1"/>
  <c r="W166" i="1"/>
  <c r="X166" i="1"/>
  <c r="Y166" i="1"/>
  <c r="Z166" i="1"/>
  <c r="AA166" i="1"/>
  <c r="W165" i="1"/>
  <c r="X165" i="1"/>
  <c r="Y165" i="1"/>
  <c r="Z165" i="1"/>
  <c r="AA165" i="1"/>
  <c r="W164" i="1"/>
  <c r="X164" i="1"/>
  <c r="Y164" i="1"/>
  <c r="Z164" i="1"/>
  <c r="AA164" i="1"/>
  <c r="W163" i="1"/>
  <c r="X163" i="1"/>
  <c r="Y163" i="1"/>
  <c r="Z163" i="1"/>
  <c r="AA163" i="1"/>
  <c r="W162" i="1"/>
  <c r="X162" i="1"/>
  <c r="Y162" i="1"/>
  <c r="Z162" i="1"/>
  <c r="AA162" i="1"/>
  <c r="W161" i="1"/>
  <c r="X161" i="1"/>
  <c r="Y161" i="1"/>
  <c r="Z161" i="1"/>
  <c r="AA161" i="1"/>
  <c r="W160" i="1"/>
  <c r="X160" i="1"/>
  <c r="Y160" i="1"/>
  <c r="Z160" i="1"/>
  <c r="AA160" i="1"/>
  <c r="W159" i="1"/>
  <c r="X159" i="1"/>
  <c r="Y159" i="1"/>
  <c r="Z159" i="1"/>
  <c r="AA159" i="1"/>
  <c r="W158" i="1"/>
  <c r="X158" i="1"/>
  <c r="Y158" i="1"/>
  <c r="Z158" i="1"/>
  <c r="AA158" i="1"/>
  <c r="W157" i="1"/>
  <c r="X157" i="1"/>
  <c r="Y157" i="1"/>
  <c r="Z157" i="1"/>
  <c r="AA157" i="1"/>
  <c r="W156" i="1"/>
  <c r="X156" i="1"/>
  <c r="Y156" i="1"/>
  <c r="Z156" i="1"/>
  <c r="AA156" i="1"/>
  <c r="W155" i="1"/>
  <c r="X155" i="1"/>
  <c r="Y155" i="1"/>
  <c r="Z155" i="1"/>
  <c r="AA155" i="1"/>
  <c r="W154" i="1"/>
  <c r="X154" i="1"/>
  <c r="Y154" i="1"/>
  <c r="Z154" i="1"/>
  <c r="AA154" i="1"/>
  <c r="W152" i="1"/>
  <c r="X152" i="1"/>
  <c r="Y152" i="1"/>
  <c r="Z152" i="1"/>
  <c r="AA152" i="1"/>
  <c r="W151" i="1"/>
  <c r="X151" i="1"/>
  <c r="Y151" i="1"/>
  <c r="Z151" i="1"/>
  <c r="AA151" i="1"/>
  <c r="W150" i="1"/>
  <c r="X150" i="1"/>
  <c r="Y150" i="1"/>
  <c r="Z150" i="1"/>
  <c r="AA150" i="1"/>
  <c r="W149" i="1"/>
  <c r="X149" i="1"/>
  <c r="Y149" i="1"/>
  <c r="Z149" i="1"/>
  <c r="AA149" i="1"/>
  <c r="W148" i="1"/>
  <c r="X148" i="1"/>
  <c r="Y148" i="1"/>
  <c r="Z148" i="1"/>
  <c r="AA148" i="1"/>
  <c r="W147" i="1"/>
  <c r="X147" i="1"/>
  <c r="Y147" i="1"/>
  <c r="Z147" i="1"/>
  <c r="AA147" i="1"/>
  <c r="W146" i="1"/>
  <c r="X146" i="1"/>
  <c r="Y146" i="1"/>
  <c r="Z146" i="1"/>
  <c r="AA146" i="1"/>
  <c r="W145" i="1"/>
  <c r="X145" i="1"/>
  <c r="Y145" i="1"/>
  <c r="Z145" i="1"/>
  <c r="AA145" i="1"/>
  <c r="W144" i="1"/>
  <c r="X144" i="1"/>
  <c r="Y144" i="1"/>
  <c r="Z144" i="1"/>
  <c r="AA144" i="1"/>
  <c r="W143" i="1"/>
  <c r="X143" i="1"/>
  <c r="Y143" i="1"/>
  <c r="Z143" i="1"/>
  <c r="AA143" i="1"/>
  <c r="W142" i="1"/>
  <c r="X142" i="1"/>
  <c r="Y142" i="1"/>
  <c r="Z142" i="1"/>
  <c r="AA142" i="1"/>
  <c r="W141" i="1"/>
  <c r="X141" i="1"/>
  <c r="Y141" i="1"/>
  <c r="Z141" i="1"/>
  <c r="AA141" i="1"/>
  <c r="W140" i="1"/>
  <c r="X140" i="1"/>
  <c r="Y140" i="1"/>
  <c r="Z140" i="1"/>
  <c r="AA140" i="1"/>
  <c r="W139" i="1"/>
  <c r="X139" i="1"/>
  <c r="Y139" i="1"/>
  <c r="Z139" i="1"/>
  <c r="AA139" i="1"/>
  <c r="W138" i="1"/>
  <c r="X138" i="1"/>
  <c r="Y138" i="1"/>
  <c r="Z138" i="1"/>
  <c r="AA138" i="1"/>
  <c r="W137" i="1"/>
  <c r="X137" i="1"/>
  <c r="Y137" i="1"/>
  <c r="Z137" i="1"/>
  <c r="AA137" i="1"/>
  <c r="W136" i="1"/>
  <c r="X136" i="1"/>
  <c r="Y136" i="1"/>
  <c r="Z136" i="1"/>
  <c r="AA136" i="1"/>
  <c r="W135" i="1"/>
  <c r="X135" i="1"/>
  <c r="Y135" i="1"/>
  <c r="Z135" i="1"/>
  <c r="AA135" i="1"/>
  <c r="W134" i="1"/>
  <c r="X134" i="1"/>
  <c r="Y134" i="1"/>
  <c r="Z134" i="1"/>
  <c r="AA134" i="1"/>
  <c r="W133" i="1"/>
  <c r="X133" i="1"/>
  <c r="Y133" i="1"/>
  <c r="Z133" i="1"/>
  <c r="AA133" i="1"/>
  <c r="W132" i="1"/>
  <c r="X132" i="1"/>
  <c r="Y132" i="1"/>
  <c r="Z132" i="1"/>
  <c r="AA132" i="1"/>
  <c r="W131" i="1"/>
  <c r="X131" i="1"/>
  <c r="Y131" i="1"/>
  <c r="Z131" i="1"/>
  <c r="AA131" i="1"/>
  <c r="W130" i="1"/>
  <c r="X130" i="1"/>
  <c r="Y130" i="1"/>
  <c r="Z130" i="1"/>
  <c r="AA130" i="1"/>
  <c r="W129" i="1"/>
  <c r="X129" i="1"/>
  <c r="Y129" i="1"/>
  <c r="Z129" i="1"/>
  <c r="AA129" i="1"/>
  <c r="W128" i="1"/>
  <c r="X128" i="1"/>
  <c r="Y128" i="1"/>
  <c r="Z128" i="1"/>
  <c r="AA128" i="1"/>
  <c r="W127" i="1"/>
  <c r="X127" i="1"/>
  <c r="Y127" i="1"/>
  <c r="Z127" i="1"/>
  <c r="AA127" i="1"/>
  <c r="W126" i="1"/>
  <c r="X126" i="1"/>
  <c r="Y126" i="1"/>
  <c r="Z126" i="1"/>
  <c r="AA126" i="1"/>
  <c r="W125" i="1"/>
  <c r="X125" i="1"/>
  <c r="Y125" i="1"/>
  <c r="Z125" i="1"/>
  <c r="AA125" i="1"/>
  <c r="W124" i="1"/>
  <c r="X124" i="1"/>
  <c r="Y124" i="1"/>
  <c r="Z124" i="1"/>
  <c r="AA124" i="1"/>
  <c r="W123" i="1"/>
  <c r="X123" i="1"/>
  <c r="Y123" i="1"/>
  <c r="Z123" i="1"/>
  <c r="AA123" i="1"/>
  <c r="W122" i="1"/>
  <c r="X122" i="1"/>
  <c r="Y122" i="1"/>
  <c r="Z122" i="1"/>
  <c r="AA122" i="1"/>
  <c r="W121" i="1"/>
  <c r="X121" i="1"/>
  <c r="Y121" i="1"/>
  <c r="Z121" i="1"/>
  <c r="AA121" i="1"/>
  <c r="W120" i="1"/>
  <c r="X120" i="1"/>
  <c r="Y120" i="1"/>
  <c r="Z120" i="1"/>
  <c r="AA120" i="1"/>
  <c r="W119" i="1"/>
  <c r="X119" i="1"/>
  <c r="Y119" i="1"/>
  <c r="Z119" i="1"/>
  <c r="AA119" i="1"/>
  <c r="W118" i="1"/>
  <c r="X118" i="1"/>
  <c r="Y118" i="1"/>
  <c r="Z118" i="1"/>
  <c r="AA118" i="1"/>
  <c r="W117" i="1"/>
  <c r="X117" i="1"/>
  <c r="Y117" i="1"/>
  <c r="Z117" i="1"/>
  <c r="AA117" i="1"/>
  <c r="W116" i="1"/>
  <c r="X116" i="1"/>
  <c r="Y116" i="1"/>
  <c r="Z116" i="1"/>
  <c r="AA116" i="1"/>
  <c r="W115" i="1"/>
  <c r="X115" i="1"/>
  <c r="Y115" i="1"/>
  <c r="Z115" i="1"/>
  <c r="AA115" i="1"/>
  <c r="W114" i="1"/>
  <c r="X114" i="1"/>
  <c r="Y114" i="1"/>
  <c r="Z114" i="1"/>
  <c r="AA114" i="1"/>
  <c r="W113" i="1"/>
  <c r="X113" i="1"/>
  <c r="Y113" i="1"/>
  <c r="Z113" i="1"/>
  <c r="AA113" i="1"/>
  <c r="W112" i="1"/>
  <c r="X112" i="1"/>
  <c r="Y112" i="1"/>
  <c r="Z112" i="1"/>
  <c r="AA112" i="1"/>
  <c r="W111" i="1"/>
  <c r="X111" i="1"/>
  <c r="Y111" i="1"/>
  <c r="Z111" i="1"/>
  <c r="AA111" i="1"/>
  <c r="W110" i="1"/>
  <c r="X110" i="1"/>
  <c r="Y110" i="1"/>
  <c r="Z110" i="1"/>
  <c r="AA110" i="1"/>
  <c r="W109" i="1"/>
  <c r="X109" i="1"/>
  <c r="Y109" i="1"/>
  <c r="Z109" i="1"/>
  <c r="AA109" i="1"/>
  <c r="W108" i="1"/>
  <c r="X108" i="1"/>
  <c r="Y108" i="1"/>
  <c r="Z108" i="1"/>
  <c r="AA108" i="1"/>
  <c r="W107" i="1"/>
  <c r="X107" i="1"/>
  <c r="Y107" i="1"/>
  <c r="Z107" i="1"/>
  <c r="AA107" i="1"/>
  <c r="W106" i="1"/>
  <c r="X106" i="1"/>
  <c r="Y106" i="1"/>
  <c r="Z106" i="1"/>
  <c r="AA106" i="1"/>
  <c r="W105" i="1"/>
  <c r="X105" i="1"/>
  <c r="Y105" i="1"/>
  <c r="Z105" i="1"/>
  <c r="AA105" i="1"/>
  <c r="W104" i="1"/>
  <c r="X104" i="1"/>
  <c r="Y104" i="1"/>
  <c r="Z104" i="1"/>
  <c r="AA104" i="1"/>
  <c r="W103" i="1"/>
  <c r="X103" i="1"/>
  <c r="Y103" i="1"/>
  <c r="Z103" i="1"/>
  <c r="AA103" i="1"/>
  <c r="W102" i="1"/>
  <c r="X102" i="1"/>
  <c r="Y102" i="1"/>
  <c r="Z102" i="1"/>
  <c r="AA102" i="1"/>
  <c r="W101" i="1"/>
  <c r="X101" i="1"/>
  <c r="Y101" i="1"/>
  <c r="Z101" i="1"/>
  <c r="AA101" i="1"/>
  <c r="W100" i="1"/>
  <c r="X100" i="1"/>
  <c r="Y100" i="1"/>
  <c r="Z100" i="1"/>
  <c r="AA100" i="1"/>
  <c r="W99" i="1"/>
  <c r="X99" i="1"/>
  <c r="Y99" i="1"/>
  <c r="Z99" i="1"/>
  <c r="AA99" i="1"/>
  <c r="W98" i="1"/>
  <c r="X98" i="1"/>
  <c r="Y98" i="1"/>
  <c r="Z98" i="1"/>
  <c r="AA98" i="1"/>
  <c r="W97" i="1"/>
  <c r="X97" i="1"/>
  <c r="Y97" i="1"/>
  <c r="Z97" i="1"/>
  <c r="AA97" i="1"/>
  <c r="W96" i="1"/>
  <c r="X96" i="1"/>
  <c r="Y96" i="1"/>
  <c r="Z96" i="1"/>
  <c r="AA96" i="1"/>
  <c r="W95" i="1"/>
  <c r="X95" i="1"/>
  <c r="Y95" i="1"/>
  <c r="Z95" i="1"/>
  <c r="AA95" i="1"/>
  <c r="W94" i="1"/>
  <c r="X94" i="1"/>
  <c r="Y94" i="1"/>
  <c r="Z94" i="1"/>
  <c r="AA94" i="1"/>
  <c r="W93" i="1"/>
  <c r="X93" i="1"/>
  <c r="Y93" i="1"/>
  <c r="Z93" i="1"/>
  <c r="AA93" i="1"/>
  <c r="W92" i="1"/>
  <c r="X92" i="1"/>
  <c r="Y92" i="1"/>
  <c r="Z92" i="1"/>
  <c r="AA92" i="1"/>
  <c r="W88" i="1"/>
  <c r="X88" i="1"/>
  <c r="Y88" i="1"/>
  <c r="Z88" i="1"/>
  <c r="AA88" i="1"/>
  <c r="W87" i="1"/>
  <c r="X87" i="1"/>
  <c r="Y87" i="1"/>
  <c r="Z87" i="1"/>
  <c r="AA87" i="1"/>
  <c r="W86" i="1"/>
  <c r="X86" i="1"/>
  <c r="Y86" i="1"/>
  <c r="Z86" i="1"/>
  <c r="AA86" i="1"/>
  <c r="W85" i="1"/>
  <c r="X85" i="1"/>
  <c r="Y85" i="1"/>
  <c r="Z85" i="1"/>
  <c r="AA85" i="1"/>
  <c r="W84" i="1"/>
  <c r="X84" i="1"/>
  <c r="Y84" i="1"/>
  <c r="Z84" i="1"/>
  <c r="AA84" i="1"/>
  <c r="W83" i="1"/>
  <c r="X83" i="1"/>
  <c r="Y83" i="1"/>
  <c r="Z83" i="1"/>
  <c r="AA83" i="1"/>
  <c r="W82" i="1"/>
  <c r="X82" i="1"/>
  <c r="Y82" i="1"/>
  <c r="Z82" i="1"/>
  <c r="AA82" i="1"/>
  <c r="W81" i="1"/>
  <c r="X81" i="1"/>
  <c r="Y81" i="1"/>
  <c r="Z81" i="1"/>
  <c r="AA81" i="1"/>
  <c r="W80" i="1"/>
  <c r="X80" i="1"/>
  <c r="Y80" i="1"/>
  <c r="Z80" i="1"/>
  <c r="AA80" i="1"/>
  <c r="W70" i="1"/>
  <c r="X70" i="1"/>
  <c r="Y70" i="1"/>
  <c r="Z70" i="1"/>
  <c r="AA70" i="1"/>
  <c r="W69" i="1"/>
  <c r="X69" i="1"/>
  <c r="Y69" i="1"/>
  <c r="Z69" i="1"/>
  <c r="AA69" i="1"/>
  <c r="W68" i="1"/>
  <c r="X68" i="1"/>
  <c r="Y68" i="1"/>
  <c r="Z68" i="1"/>
  <c r="AA68" i="1"/>
  <c r="W67" i="1"/>
  <c r="X67" i="1"/>
  <c r="Y67" i="1"/>
  <c r="Z67" i="1"/>
  <c r="AA67" i="1"/>
  <c r="W66" i="1"/>
  <c r="X66" i="1"/>
  <c r="Y66" i="1"/>
  <c r="Z66" i="1"/>
  <c r="AA66" i="1"/>
  <c r="W65" i="1"/>
  <c r="X65" i="1"/>
  <c r="Y65" i="1"/>
  <c r="Z65" i="1"/>
  <c r="AA65" i="1"/>
  <c r="W64" i="1"/>
  <c r="X64" i="1"/>
  <c r="Y64" i="1"/>
  <c r="Z64" i="1"/>
  <c r="AA64" i="1"/>
  <c r="W63" i="1"/>
  <c r="X63" i="1"/>
  <c r="Y63" i="1"/>
  <c r="Z63" i="1"/>
  <c r="AA63" i="1"/>
  <c r="W62" i="1"/>
  <c r="X62" i="1"/>
  <c r="Y62" i="1"/>
  <c r="Z62" i="1"/>
  <c r="AA62" i="1"/>
  <c r="V61" i="1"/>
  <c r="AE61" i="1"/>
  <c r="W61" i="1"/>
  <c r="X61" i="1"/>
  <c r="Y61" i="1"/>
  <c r="Z61" i="1"/>
  <c r="AA61" i="1"/>
  <c r="W60" i="1"/>
  <c r="X60" i="1"/>
  <c r="Y60" i="1"/>
  <c r="Z60" i="1"/>
  <c r="AA60" i="1"/>
  <c r="V59" i="1"/>
  <c r="AE59" i="1"/>
  <c r="AH45" i="22" s="1"/>
  <c r="AI45" i="22" s="1"/>
  <c r="W59" i="1"/>
  <c r="X59" i="1"/>
  <c r="Y59" i="1"/>
  <c r="Z59" i="1"/>
  <c r="AA59" i="1"/>
  <c r="W58" i="1"/>
  <c r="X58" i="1"/>
  <c r="Y58" i="1"/>
  <c r="Z58" i="1"/>
  <c r="AA58" i="1"/>
  <c r="V57" i="1"/>
  <c r="AE57" i="1"/>
  <c r="AH43" i="22" s="1"/>
  <c r="AI43" i="22" s="1"/>
  <c r="V56" i="1"/>
  <c r="AE56" i="1"/>
  <c r="AH42" i="22" s="1"/>
  <c r="AI42" i="22" s="1"/>
  <c r="V55" i="1"/>
  <c r="AE55" i="1"/>
  <c r="AH41" i="22" s="1"/>
  <c r="AI41" i="22" s="1"/>
  <c r="W55" i="1"/>
  <c r="X55" i="1"/>
  <c r="Y55" i="1"/>
  <c r="Z55" i="1"/>
  <c r="AA55" i="1"/>
  <c r="W54" i="1"/>
  <c r="X54" i="1"/>
  <c r="Y54" i="1"/>
  <c r="Z54" i="1"/>
  <c r="AA54" i="1"/>
  <c r="V53" i="1"/>
  <c r="AE53" i="1"/>
  <c r="AH39" i="22" s="1"/>
  <c r="AI39" i="22" s="1"/>
  <c r="V52" i="1"/>
  <c r="AE52" i="1"/>
  <c r="AH38" i="22" s="1"/>
  <c r="AI38" i="22" s="1"/>
  <c r="W52" i="1"/>
  <c r="X52" i="1"/>
  <c r="Y52" i="1"/>
  <c r="Z52" i="1"/>
  <c r="AA52" i="1"/>
  <c r="W51" i="1"/>
  <c r="X51" i="1"/>
  <c r="Y51" i="1"/>
  <c r="Z51" i="1"/>
  <c r="AA51" i="1"/>
  <c r="AO5" i="22"/>
  <c r="BC5" i="22" s="1"/>
  <c r="AO6" i="22"/>
  <c r="BC6" i="22" s="1"/>
  <c r="AO7" i="22"/>
  <c r="BC7" i="22" s="1"/>
  <c r="AO8" i="22"/>
  <c r="BC8" i="22" s="1"/>
  <c r="AO9" i="22"/>
  <c r="BC9" i="22" s="1"/>
  <c r="AO10" i="22"/>
  <c r="BC10" i="22" s="1"/>
  <c r="AO11" i="22"/>
  <c r="BC11" i="22" s="1"/>
  <c r="AO12" i="22"/>
  <c r="BC12" i="22" s="1"/>
  <c r="AO13" i="22"/>
  <c r="BC13" i="22" s="1"/>
  <c r="AO14" i="22"/>
  <c r="BC14" i="22" s="1"/>
  <c r="AO15" i="22"/>
  <c r="BC15" i="22" s="1"/>
  <c r="AO16" i="22"/>
  <c r="BC16" i="22" s="1"/>
  <c r="AO17" i="22"/>
  <c r="BC17" i="22" s="1"/>
  <c r="AO18" i="22"/>
  <c r="BC18" i="22" s="1"/>
  <c r="AO19" i="22"/>
  <c r="BC19" i="22" s="1"/>
  <c r="AO20" i="22"/>
  <c r="BC20" i="22" s="1"/>
  <c r="AO21" i="22"/>
  <c r="BC21" i="22" s="1"/>
  <c r="AO22" i="22"/>
  <c r="BC22" i="22" s="1"/>
  <c r="AO23" i="22"/>
  <c r="BC23" i="22" s="1"/>
  <c r="AO24" i="22"/>
  <c r="BC24" i="22" s="1"/>
  <c r="AO25" i="22"/>
  <c r="BC25" i="22" s="1"/>
  <c r="AO26" i="22"/>
  <c r="BC26" i="22" s="1"/>
  <c r="AO27" i="22"/>
  <c r="BC27" i="22" s="1"/>
  <c r="AO28" i="22"/>
  <c r="BC28" i="22" s="1"/>
  <c r="AO261" i="1" l="1"/>
  <c r="AP261" i="1"/>
  <c r="AO267" i="1"/>
  <c r="AP267" i="1"/>
  <c r="AO245" i="1"/>
  <c r="AP245" i="1"/>
  <c r="AO250" i="1"/>
  <c r="AP250" i="1"/>
  <c r="AO253" i="1"/>
  <c r="AP253" i="1"/>
  <c r="AO257" i="1"/>
  <c r="AP257" i="1"/>
  <c r="AO259" i="1"/>
  <c r="AP259" i="1"/>
  <c r="AO265" i="1"/>
  <c r="AP265" i="1"/>
  <c r="AO266" i="1"/>
  <c r="AP266" i="1"/>
  <c r="AO235" i="1"/>
  <c r="AP235" i="1"/>
  <c r="AO233" i="1"/>
  <c r="AP233" i="1"/>
  <c r="AH37" i="22"/>
  <c r="AI37" i="22" s="1"/>
  <c r="AH46" i="22"/>
  <c r="AI46" i="22" s="1"/>
  <c r="AH44" i="22"/>
  <c r="AI44" i="22" s="1"/>
  <c r="AH40" i="22"/>
  <c r="AI40" i="22" s="1"/>
  <c r="AO214" i="1"/>
  <c r="AP214" i="1"/>
  <c r="AO217" i="1"/>
  <c r="AP217" i="1"/>
  <c r="AO210" i="1"/>
  <c r="AP210" i="1"/>
  <c r="AO161" i="1"/>
  <c r="AP161" i="1"/>
  <c r="AO148" i="1"/>
  <c r="AP148" i="1"/>
  <c r="AO144" i="1"/>
  <c r="AP144" i="1"/>
  <c r="AO136" i="1"/>
  <c r="AP136" i="1"/>
  <c r="AO133" i="1"/>
  <c r="AP133" i="1"/>
  <c r="AO127" i="1"/>
  <c r="AP127" i="1"/>
  <c r="AO121" i="1"/>
  <c r="AP121" i="1"/>
  <c r="AO119" i="1"/>
  <c r="AP119" i="1"/>
  <c r="AO117" i="1"/>
  <c r="AP117" i="1"/>
  <c r="AO114" i="1"/>
  <c r="AP114" i="1"/>
  <c r="AO109" i="1"/>
  <c r="AP109" i="1"/>
  <c r="AO106" i="1"/>
  <c r="AP106" i="1"/>
  <c r="AO104" i="1"/>
  <c r="AP104" i="1"/>
  <c r="AO99" i="1"/>
  <c r="AP99" i="1"/>
  <c r="AO96" i="1"/>
  <c r="AP96" i="1"/>
  <c r="AO85" i="1"/>
  <c r="AP85" i="1"/>
  <c r="AO82" i="1"/>
  <c r="AP82" i="1"/>
  <c r="AO79" i="1"/>
  <c r="AP79" i="1"/>
  <c r="AO70" i="1"/>
  <c r="AP70" i="1"/>
  <c r="AO66" i="1"/>
  <c r="AP66" i="1"/>
  <c r="AO64" i="1"/>
  <c r="AP64" i="1"/>
  <c r="AO62" i="1"/>
  <c r="AP62" i="1"/>
  <c r="AO60" i="1"/>
  <c r="AP60" i="1"/>
  <c r="AO58" i="1"/>
  <c r="AP58" i="1"/>
  <c r="AO54" i="1"/>
  <c r="AP54" i="1"/>
  <c r="AO51" i="1"/>
  <c r="AP51" i="1"/>
  <c r="AO153" i="1"/>
  <c r="AP153" i="1"/>
  <c r="W153" i="1"/>
  <c r="X153" i="1"/>
  <c r="Y153" i="1"/>
  <c r="Z153" i="1"/>
  <c r="AA153" i="1"/>
  <c r="AO264" i="1"/>
  <c r="AP264" i="1"/>
  <c r="AO263" i="1"/>
  <c r="AP263" i="1"/>
  <c r="AO262" i="1"/>
  <c r="AP262" i="1"/>
  <c r="AO260" i="1"/>
  <c r="AP260" i="1"/>
  <c r="AO258" i="1"/>
  <c r="AP258" i="1"/>
  <c r="AO256" i="1"/>
  <c r="AP256" i="1"/>
  <c r="AO255" i="1"/>
  <c r="AP255" i="1"/>
  <c r="AO254" i="1"/>
  <c r="AP254" i="1"/>
  <c r="AO251" i="1"/>
  <c r="AP251" i="1"/>
  <c r="AO252" i="1"/>
  <c r="AP252" i="1"/>
  <c r="AO249" i="1"/>
  <c r="AP249" i="1"/>
  <c r="AO246" i="1"/>
  <c r="AP246" i="1"/>
  <c r="AO247" i="1"/>
  <c r="AP247" i="1"/>
  <c r="AO248" i="1"/>
  <c r="AP248" i="1"/>
  <c r="AO237" i="1"/>
  <c r="AP237" i="1"/>
  <c r="AO238" i="1"/>
  <c r="AP238" i="1"/>
  <c r="AO239" i="1"/>
  <c r="AP239" i="1"/>
  <c r="AO240" i="1"/>
  <c r="AP240" i="1"/>
  <c r="AO241" i="1"/>
  <c r="AP241" i="1"/>
  <c r="AO242" i="1"/>
  <c r="AP242" i="1"/>
  <c r="AO243" i="1"/>
  <c r="AP243" i="1"/>
  <c r="AO244" i="1"/>
  <c r="AP244" i="1"/>
  <c r="AO236" i="1"/>
  <c r="AP236" i="1"/>
  <c r="AO234" i="1"/>
  <c r="AP234" i="1"/>
  <c r="AO232" i="1"/>
  <c r="AP232" i="1"/>
  <c r="AO231" i="1"/>
  <c r="AP231" i="1"/>
  <c r="AO230" i="1"/>
  <c r="AP230" i="1"/>
  <c r="AO229" i="1"/>
  <c r="AP229" i="1"/>
  <c r="AO219" i="1"/>
  <c r="AP219" i="1"/>
  <c r="AO220" i="1"/>
  <c r="AP220" i="1"/>
  <c r="AO221" i="1"/>
  <c r="AP221" i="1"/>
  <c r="AO222" i="1"/>
  <c r="AP222" i="1"/>
  <c r="AO223" i="1"/>
  <c r="AP223" i="1"/>
  <c r="AO224" i="1"/>
  <c r="AP224" i="1"/>
  <c r="AO225" i="1"/>
  <c r="AP225" i="1"/>
  <c r="AO226" i="1"/>
  <c r="AP226" i="1"/>
  <c r="AO227" i="1"/>
  <c r="AP227" i="1"/>
  <c r="AO218" i="1"/>
  <c r="AP218" i="1"/>
  <c r="AO216" i="1"/>
  <c r="AP216" i="1"/>
  <c r="AO215" i="1"/>
  <c r="AP215" i="1"/>
  <c r="AO213" i="1"/>
  <c r="AP213" i="1"/>
  <c r="AO212" i="1"/>
  <c r="AP212" i="1"/>
  <c r="AO211" i="1"/>
  <c r="AP211" i="1"/>
  <c r="AO209" i="1"/>
  <c r="AP209" i="1"/>
  <c r="AO208" i="1"/>
  <c r="AP208" i="1"/>
  <c r="AO207" i="1"/>
  <c r="AP207" i="1"/>
  <c r="AO206" i="1"/>
  <c r="AP206" i="1"/>
  <c r="AO205" i="1"/>
  <c r="AP205" i="1"/>
  <c r="AO204" i="1"/>
  <c r="AP204" i="1"/>
  <c r="AO203" i="1"/>
  <c r="AP203" i="1"/>
  <c r="AO202" i="1"/>
  <c r="AP202" i="1"/>
  <c r="AO201" i="1"/>
  <c r="AP201" i="1"/>
  <c r="AO200" i="1"/>
  <c r="AP200" i="1"/>
  <c r="AO199" i="1"/>
  <c r="AP199" i="1"/>
  <c r="AO198" i="1"/>
  <c r="AP198" i="1"/>
  <c r="AO197" i="1"/>
  <c r="AP197" i="1"/>
  <c r="AO196" i="1"/>
  <c r="AP196" i="1"/>
  <c r="AO195" i="1"/>
  <c r="AP195" i="1"/>
  <c r="AO194" i="1"/>
  <c r="AP194" i="1"/>
  <c r="AO192" i="1"/>
  <c r="AP192" i="1"/>
  <c r="AO185" i="1"/>
  <c r="AP185" i="1"/>
  <c r="AO186" i="1"/>
  <c r="AP186" i="1"/>
  <c r="AO187" i="1"/>
  <c r="AP187" i="1"/>
  <c r="AO188" i="1"/>
  <c r="AP188" i="1"/>
  <c r="AO189" i="1"/>
  <c r="AP189" i="1"/>
  <c r="AO190" i="1"/>
  <c r="AP190" i="1"/>
  <c r="AO191" i="1"/>
  <c r="AP191" i="1"/>
  <c r="AO184" i="1"/>
  <c r="AP184" i="1"/>
  <c r="AO179" i="1"/>
  <c r="AP179" i="1"/>
  <c r="AO180" i="1"/>
  <c r="AP180" i="1"/>
  <c r="AO181" i="1"/>
  <c r="AP181" i="1"/>
  <c r="AO182" i="1"/>
  <c r="AP182" i="1"/>
  <c r="AO183" i="1"/>
  <c r="AP183" i="1"/>
  <c r="AO178" i="1"/>
  <c r="AP178" i="1"/>
  <c r="AO170" i="1"/>
  <c r="AP170" i="1"/>
  <c r="AO171" i="1"/>
  <c r="AP171" i="1"/>
  <c r="AO172" i="1"/>
  <c r="AP172" i="1"/>
  <c r="AO173" i="1"/>
  <c r="AP173" i="1"/>
  <c r="AO174" i="1"/>
  <c r="AP174" i="1"/>
  <c r="AO175" i="1"/>
  <c r="AP175" i="1"/>
  <c r="AO176" i="1"/>
  <c r="AP176" i="1"/>
  <c r="AO177" i="1"/>
  <c r="AP177" i="1"/>
  <c r="AO169" i="1"/>
  <c r="AP169" i="1"/>
  <c r="AO168" i="1"/>
  <c r="AP168" i="1"/>
  <c r="AO167" i="1"/>
  <c r="AP167" i="1"/>
  <c r="AO166" i="1"/>
  <c r="AP166" i="1"/>
  <c r="AO165" i="1"/>
  <c r="AP165" i="1"/>
  <c r="AO164" i="1"/>
  <c r="AP164" i="1"/>
  <c r="AO163" i="1"/>
  <c r="AP163" i="1"/>
  <c r="AO162" i="1"/>
  <c r="AP162" i="1"/>
  <c r="AO160" i="1"/>
  <c r="AP160" i="1"/>
  <c r="AO159" i="1"/>
  <c r="AP159" i="1"/>
  <c r="AO158" i="1"/>
  <c r="AP158" i="1"/>
  <c r="AO157" i="1"/>
  <c r="AP157" i="1"/>
  <c r="AO156" i="1"/>
  <c r="AP156" i="1"/>
  <c r="AO155" i="1"/>
  <c r="AP155" i="1"/>
  <c r="AO154" i="1"/>
  <c r="AP154" i="1"/>
  <c r="AO152" i="1"/>
  <c r="AP152" i="1"/>
  <c r="AO151" i="1"/>
  <c r="AP151" i="1"/>
  <c r="AO150" i="1"/>
  <c r="AP150" i="1"/>
  <c r="AO149" i="1"/>
  <c r="AP149" i="1"/>
  <c r="AO147" i="1"/>
  <c r="AP147" i="1"/>
  <c r="AO146" i="1"/>
  <c r="AP146" i="1"/>
  <c r="AO145" i="1"/>
  <c r="AP145" i="1"/>
  <c r="AO142" i="1"/>
  <c r="AP142" i="1"/>
  <c r="AO143" i="1"/>
  <c r="AP143" i="1"/>
  <c r="AO140" i="1"/>
  <c r="AP140" i="1"/>
  <c r="AO141" i="1"/>
  <c r="AP141" i="1"/>
  <c r="AO138" i="1"/>
  <c r="AP138" i="1"/>
  <c r="AO139" i="1"/>
  <c r="AP139" i="1"/>
  <c r="AO137" i="1"/>
  <c r="AP137" i="1"/>
  <c r="AO135" i="1"/>
  <c r="AP135" i="1"/>
  <c r="AO134" i="1"/>
  <c r="AP134" i="1"/>
  <c r="AO132" i="1"/>
  <c r="AP132" i="1"/>
  <c r="AO131" i="1"/>
  <c r="AP131" i="1"/>
  <c r="AO130" i="1"/>
  <c r="AP130" i="1"/>
  <c r="AO129" i="1"/>
  <c r="AP129" i="1"/>
  <c r="AO128" i="1"/>
  <c r="AP128" i="1"/>
  <c r="AO126" i="1"/>
  <c r="AP126" i="1"/>
  <c r="AO125" i="1"/>
  <c r="AP125" i="1"/>
  <c r="AO124" i="1"/>
  <c r="AP124" i="1"/>
  <c r="AO123" i="1"/>
  <c r="AP123" i="1"/>
  <c r="AO122" i="1"/>
  <c r="AP122" i="1"/>
  <c r="AO120" i="1"/>
  <c r="AP120" i="1"/>
  <c r="AO118" i="1"/>
  <c r="AP118" i="1"/>
  <c r="AO116" i="1"/>
  <c r="AP116" i="1"/>
  <c r="AO115" i="1"/>
  <c r="AP115" i="1"/>
  <c r="AO112" i="1"/>
  <c r="AP112" i="1"/>
  <c r="AO113" i="1"/>
  <c r="AP113" i="1"/>
  <c r="AO111" i="1"/>
  <c r="AP111" i="1"/>
  <c r="AO110" i="1"/>
  <c r="AP110" i="1"/>
  <c r="AO108" i="1"/>
  <c r="AP108" i="1"/>
  <c r="AO107" i="1"/>
  <c r="AP107" i="1"/>
  <c r="AO105" i="1"/>
  <c r="AP105" i="1"/>
  <c r="AO102" i="1"/>
  <c r="AP102" i="1"/>
  <c r="AO101" i="1"/>
  <c r="AP101" i="1"/>
  <c r="AO100" i="1"/>
  <c r="AP100" i="1"/>
  <c r="AO103" i="1"/>
  <c r="AP103" i="1"/>
  <c r="AO91" i="1"/>
  <c r="AP91" i="1"/>
  <c r="AO90" i="1"/>
  <c r="AP90" i="1"/>
  <c r="AO89" i="1"/>
  <c r="AP89" i="1"/>
  <c r="AO78" i="1"/>
  <c r="AP78" i="1"/>
  <c r="AO77" i="1"/>
  <c r="AP77" i="1"/>
  <c r="AO75" i="1"/>
  <c r="AP75" i="1"/>
  <c r="AO73" i="1"/>
  <c r="AP73" i="1"/>
  <c r="AO72" i="1"/>
  <c r="AP72" i="1"/>
  <c r="AO71" i="1"/>
  <c r="AP71" i="1"/>
  <c r="AO98" i="1"/>
  <c r="AP98" i="1"/>
  <c r="AO97" i="1"/>
  <c r="AP97" i="1"/>
  <c r="AO95" i="1"/>
  <c r="AP95" i="1"/>
  <c r="AO94" i="1"/>
  <c r="AP94" i="1"/>
  <c r="AO93" i="1"/>
  <c r="AP93" i="1"/>
  <c r="AO92" i="1"/>
  <c r="AP92" i="1"/>
  <c r="AO88" i="1"/>
  <c r="AP88" i="1"/>
  <c r="AO87" i="1"/>
  <c r="AP87" i="1"/>
  <c r="AO86" i="1"/>
  <c r="AP86" i="1"/>
  <c r="AO84" i="1"/>
  <c r="AP84" i="1"/>
  <c r="AO83" i="1"/>
  <c r="AP83" i="1"/>
  <c r="AO81" i="1"/>
  <c r="AP81" i="1"/>
  <c r="AO80" i="1"/>
  <c r="AP80" i="1"/>
  <c r="AO69" i="1"/>
  <c r="AP69" i="1"/>
  <c r="AO68" i="1"/>
  <c r="AP68" i="1"/>
  <c r="AO67" i="1"/>
  <c r="AP67" i="1"/>
  <c r="AO65" i="1"/>
  <c r="AP65" i="1"/>
  <c r="AO63" i="1"/>
  <c r="AP63" i="1"/>
  <c r="AO61" i="1"/>
  <c r="AP61" i="1"/>
  <c r="AO59" i="1"/>
  <c r="AP59" i="1"/>
  <c r="AO57" i="1"/>
  <c r="AP57" i="1"/>
  <c r="W57" i="1"/>
  <c r="X57" i="1"/>
  <c r="Y57" i="1"/>
  <c r="Z57" i="1"/>
  <c r="AA57" i="1"/>
  <c r="AO56" i="1"/>
  <c r="AP56" i="1"/>
  <c r="W56" i="1"/>
  <c r="X56" i="1"/>
  <c r="Y56" i="1"/>
  <c r="Z56" i="1"/>
  <c r="AA56" i="1"/>
  <c r="AO55" i="1"/>
  <c r="AP55" i="1"/>
  <c r="AO53" i="1"/>
  <c r="AP53" i="1"/>
  <c r="W53" i="1"/>
  <c r="X53" i="1"/>
  <c r="Y53" i="1"/>
  <c r="Z53" i="1"/>
  <c r="AA53" i="1"/>
  <c r="AO52" i="1"/>
  <c r="AP52" i="1"/>
  <c r="AF5" i="22"/>
  <c r="AF6" i="22"/>
  <c r="AF7" i="22"/>
  <c r="AF8" i="22"/>
  <c r="AF9" i="22"/>
  <c r="AF10" i="22"/>
  <c r="AF11" i="22"/>
  <c r="AF12" i="22"/>
  <c r="AF13" i="22"/>
  <c r="AF14" i="22"/>
  <c r="AF15" i="22"/>
  <c r="AF16" i="22"/>
  <c r="AF17" i="22"/>
  <c r="AF18" i="22"/>
  <c r="AF19" i="22"/>
  <c r="AF20" i="22"/>
  <c r="AF21" i="22"/>
  <c r="AF22" i="22"/>
  <c r="AF23" i="22"/>
  <c r="AF24" i="22"/>
  <c r="AF25" i="22"/>
  <c r="AF26" i="22"/>
  <c r="AF27" i="22"/>
  <c r="AF28" i="22"/>
  <c r="AE20" i="22" l="1"/>
  <c r="AE21" i="22"/>
  <c r="AE22" i="22"/>
  <c r="AE23" i="22"/>
  <c r="AE24" i="22"/>
  <c r="AE25" i="22"/>
  <c r="AE26" i="22"/>
  <c r="AE27" i="22"/>
  <c r="AE28" i="22"/>
  <c r="AG20" i="22"/>
  <c r="AY20" i="22" s="1"/>
  <c r="AG21" i="22"/>
  <c r="AY21" i="22" s="1"/>
  <c r="AG22" i="22"/>
  <c r="AY22" i="22" s="1"/>
  <c r="AG23" i="22"/>
  <c r="AY23" i="22" s="1"/>
  <c r="AG24" i="22"/>
  <c r="AY24" i="22" s="1"/>
  <c r="AG25" i="22"/>
  <c r="AY25" i="22" s="1"/>
  <c r="AG26" i="22"/>
  <c r="AY26" i="22" s="1"/>
  <c r="AG27" i="22"/>
  <c r="AY27" i="22" s="1"/>
  <c r="AG28" i="22"/>
  <c r="AY28" i="22" s="1"/>
  <c r="AQ20" i="22"/>
  <c r="AQ21" i="22"/>
  <c r="AQ22" i="22"/>
  <c r="AQ23" i="22"/>
  <c r="AQ24" i="22"/>
  <c r="AQ25" i="22"/>
  <c r="AQ26" i="22"/>
  <c r="AQ27" i="22"/>
  <c r="AQ28" i="22"/>
  <c r="AE17" i="22"/>
  <c r="AE18" i="22"/>
  <c r="AE19" i="22"/>
  <c r="AQ17" i="22"/>
  <c r="AQ18" i="22"/>
  <c r="AQ19" i="22"/>
  <c r="AG19" i="22" l="1"/>
  <c r="AY19" i="22" s="1"/>
  <c r="AG17" i="22"/>
  <c r="AY17" i="22" s="1"/>
  <c r="AG18" i="22"/>
  <c r="AY18" i="22" s="1"/>
  <c r="AE5" i="22" l="1"/>
  <c r="AE6" i="22"/>
  <c r="AE7" i="22"/>
  <c r="AE8" i="22"/>
  <c r="AE9" i="22"/>
  <c r="AE10" i="22"/>
  <c r="AE11" i="22"/>
  <c r="AE12" i="22"/>
  <c r="AE13" i="22"/>
  <c r="AE14" i="22"/>
  <c r="AE15" i="22"/>
  <c r="AE16" i="22"/>
  <c r="AQ5" i="22" l="1"/>
  <c r="AQ6" i="22"/>
  <c r="AQ7" i="22"/>
  <c r="AQ8" i="22"/>
  <c r="AQ9" i="22"/>
  <c r="AQ10" i="22"/>
  <c r="AQ11" i="22"/>
  <c r="AQ12" i="22"/>
  <c r="AQ13" i="22"/>
  <c r="AQ14" i="22"/>
  <c r="AQ15" i="22"/>
  <c r="AQ16" i="22"/>
  <c r="AG13" i="22"/>
  <c r="AY13" i="22" s="1"/>
  <c r="AG5" i="22"/>
  <c r="AY5" i="22" s="1"/>
  <c r="AG6" i="22"/>
  <c r="AY6" i="22" s="1"/>
  <c r="AG7" i="22"/>
  <c r="AY7" i="22" s="1"/>
  <c r="AG8" i="22"/>
  <c r="AY8" i="22" s="1"/>
  <c r="AG9" i="22"/>
  <c r="AY9" i="22" s="1"/>
  <c r="AG10" i="22"/>
  <c r="AY10" i="22" s="1"/>
  <c r="AG11" i="22"/>
  <c r="AY11" i="22" s="1"/>
  <c r="AG12" i="22"/>
  <c r="AY12" i="22" s="1"/>
  <c r="AG14" i="22"/>
  <c r="AY14" i="22" s="1"/>
  <c r="AG15" i="22"/>
  <c r="AY15" i="22" s="1"/>
  <c r="AG16" i="22"/>
  <c r="AY16" i="22" s="1"/>
  <c r="AS50" i="1" l="1"/>
  <c r="AQ50" i="1"/>
  <c r="AN50" i="1"/>
  <c r="AF50" i="1"/>
  <c r="AE50" i="1" s="1"/>
  <c r="AS49" i="1"/>
  <c r="AN49" i="1"/>
  <c r="AQ49" i="1" s="1"/>
  <c r="AF49" i="1"/>
  <c r="AE49" i="1" s="1"/>
  <c r="AH36" i="22" s="1"/>
  <c r="AI36" i="22" s="1"/>
  <c r="AS48" i="1"/>
  <c r="AN48" i="1"/>
  <c r="AF48" i="1"/>
  <c r="AE48" i="1" s="1"/>
  <c r="AS47" i="1"/>
  <c r="AN47" i="1"/>
  <c r="AQ47" i="1" s="1"/>
  <c r="AF47" i="1"/>
  <c r="AE47" i="1" s="1"/>
  <c r="AH35" i="22" s="1"/>
  <c r="AI35" i="22" s="1"/>
  <c r="AS46" i="1"/>
  <c r="AQ46" i="1"/>
  <c r="AN46" i="1"/>
  <c r="AF46" i="1"/>
  <c r="V46" i="1" s="1"/>
  <c r="AS45" i="1"/>
  <c r="AN45" i="1"/>
  <c r="AQ45" i="1" s="1"/>
  <c r="AF45" i="1"/>
  <c r="AE45" i="1" s="1"/>
  <c r="AH34" i="22" s="1"/>
  <c r="AI34" i="22" s="1"/>
  <c r="AS44" i="1"/>
  <c r="AQ44" i="1"/>
  <c r="AN44" i="1"/>
  <c r="AF44" i="1"/>
  <c r="AE44" i="1" s="1"/>
  <c r="AS43" i="1"/>
  <c r="AN43" i="1"/>
  <c r="AF43" i="1"/>
  <c r="AE43" i="1" s="1"/>
  <c r="AH33" i="22" s="1"/>
  <c r="AI33" i="22" s="1"/>
  <c r="AS42" i="1"/>
  <c r="AQ42" i="1"/>
  <c r="AN42" i="1"/>
  <c r="AF42" i="1"/>
  <c r="AE42" i="1"/>
  <c r="V42" i="1"/>
  <c r="AA42" i="1" s="1"/>
  <c r="AS41" i="1"/>
  <c r="AN41" i="1"/>
  <c r="AF41" i="1"/>
  <c r="AS40" i="1"/>
  <c r="AN40" i="1"/>
  <c r="AQ40" i="1" s="1"/>
  <c r="AF40" i="1"/>
  <c r="AE40" i="1" s="1"/>
  <c r="AS39" i="1"/>
  <c r="AN39" i="1"/>
  <c r="AF39" i="1"/>
  <c r="AE39" i="1" s="1"/>
  <c r="AH31" i="22" s="1"/>
  <c r="AI31" i="22" s="1"/>
  <c r="AS38" i="1"/>
  <c r="AQ38" i="1"/>
  <c r="AN38" i="1"/>
  <c r="AF38" i="1"/>
  <c r="AE38" i="1" s="1"/>
  <c r="AS37" i="1"/>
  <c r="AN37" i="1"/>
  <c r="AQ37" i="1" s="1"/>
  <c r="AF37" i="1"/>
  <c r="AE37" i="1" s="1"/>
  <c r="AH30" i="22" s="1"/>
  <c r="AI30" i="22" s="1"/>
  <c r="AS36" i="1"/>
  <c r="AQ36" i="1"/>
  <c r="AN36" i="1"/>
  <c r="AF36" i="1"/>
  <c r="AE36" i="1" s="1"/>
  <c r="AS35" i="1"/>
  <c r="AQ35" i="1"/>
  <c r="AN35" i="1"/>
  <c r="AF35" i="1"/>
  <c r="AE35" i="1" s="1"/>
  <c r="AS34" i="1"/>
  <c r="AN34" i="1"/>
  <c r="AQ34" i="1" s="1"/>
  <c r="AF34" i="1"/>
  <c r="AE34" i="1" s="1"/>
  <c r="AS33" i="1"/>
  <c r="AN33" i="1"/>
  <c r="AF33" i="1"/>
  <c r="AE33" i="1" s="1"/>
  <c r="AS32" i="1"/>
  <c r="AN32" i="1"/>
  <c r="AQ32" i="1" s="1"/>
  <c r="AF32" i="1"/>
  <c r="AE32" i="1"/>
  <c r="V32" i="1"/>
  <c r="AS31" i="1"/>
  <c r="AQ31" i="1"/>
  <c r="AN31" i="1"/>
  <c r="AF31" i="1"/>
  <c r="AE31" i="1" s="1"/>
  <c r="AS30" i="1"/>
  <c r="AN30" i="1"/>
  <c r="AQ30" i="1" s="1"/>
  <c r="AF30" i="1"/>
  <c r="AE30" i="1" s="1"/>
  <c r="AS29" i="1"/>
  <c r="AQ29" i="1"/>
  <c r="AN29" i="1"/>
  <c r="AF29" i="1"/>
  <c r="AE29" i="1" s="1"/>
  <c r="AS28" i="1"/>
  <c r="AQ28" i="1"/>
  <c r="AN28" i="1"/>
  <c r="AF28" i="1"/>
  <c r="AE28" i="1" s="1"/>
  <c r="AS27" i="1"/>
  <c r="AN27" i="1"/>
  <c r="AQ27" i="1" s="1"/>
  <c r="AF27" i="1"/>
  <c r="AE27" i="1" s="1"/>
  <c r="AS26" i="1"/>
  <c r="AN26" i="1"/>
  <c r="AQ26" i="1" s="1"/>
  <c r="AF26" i="1"/>
  <c r="AE26" i="1" s="1"/>
  <c r="AS25" i="1"/>
  <c r="AQ25" i="1"/>
  <c r="AN25" i="1"/>
  <c r="AF25" i="1"/>
  <c r="AE25" i="1" s="1"/>
  <c r="AS24" i="1"/>
  <c r="AN24" i="1"/>
  <c r="AQ24" i="1" s="1"/>
  <c r="AF24" i="1"/>
  <c r="AE24" i="1" s="1"/>
  <c r="AS23" i="1"/>
  <c r="AQ23" i="1"/>
  <c r="AN23" i="1"/>
  <c r="AF23" i="1"/>
  <c r="AE23" i="1" s="1"/>
  <c r="AS22" i="1"/>
  <c r="AQ22" i="1"/>
  <c r="AN22" i="1"/>
  <c r="AF22" i="1"/>
  <c r="AE22" i="1" s="1"/>
  <c r="AS21" i="1"/>
  <c r="AN21" i="1"/>
  <c r="AF21" i="1"/>
  <c r="AE21" i="1" s="1"/>
  <c r="AS20" i="1"/>
  <c r="AQ20" i="1"/>
  <c r="AN20" i="1"/>
  <c r="AF20" i="1"/>
  <c r="V20" i="1" s="1"/>
  <c r="AS19" i="1"/>
  <c r="AQ19" i="1"/>
  <c r="AN19" i="1"/>
  <c r="AF19" i="1"/>
  <c r="AE19" i="1" s="1"/>
  <c r="AS18" i="1"/>
  <c r="AQ18" i="1"/>
  <c r="AN18" i="1"/>
  <c r="AF18" i="1"/>
  <c r="AE18" i="1" s="1"/>
  <c r="AS17" i="1"/>
  <c r="AN17" i="1"/>
  <c r="AQ17" i="1" s="1"/>
  <c r="AF17" i="1"/>
  <c r="AE17" i="1" s="1"/>
  <c r="AS16" i="1"/>
  <c r="AQ16" i="1"/>
  <c r="AN16" i="1"/>
  <c r="AF16" i="1"/>
  <c r="AE16" i="1" s="1"/>
  <c r="AS13" i="1"/>
  <c r="AN13" i="1"/>
  <c r="AQ13" i="1" s="1"/>
  <c r="AF13" i="1"/>
  <c r="AE13" i="1" s="1"/>
  <c r="AS12" i="1"/>
  <c r="AN12" i="1"/>
  <c r="AF12" i="1"/>
  <c r="AE12" i="1" s="1"/>
  <c r="AS11" i="1"/>
  <c r="AQ11" i="1"/>
  <c r="AN11" i="1"/>
  <c r="AF11" i="1"/>
  <c r="V11" i="1" s="1"/>
  <c r="AE11" i="1"/>
  <c r="AS10" i="1"/>
  <c r="AN10" i="1"/>
  <c r="AQ10" i="1" s="1"/>
  <c r="AF10" i="1"/>
  <c r="AE10" i="1" s="1"/>
  <c r="AS9" i="1"/>
  <c r="AQ9" i="1"/>
  <c r="AN9" i="1"/>
  <c r="AF9" i="1"/>
  <c r="AE9" i="1" s="1"/>
  <c r="AS8" i="1"/>
  <c r="AN8" i="1"/>
  <c r="AQ8" i="1" s="1"/>
  <c r="AF8" i="1"/>
  <c r="AE8" i="1" s="1"/>
  <c r="AS7" i="1"/>
  <c r="AQ7" i="1"/>
  <c r="AN7" i="1"/>
  <c r="AF7" i="1"/>
  <c r="AE7" i="1" s="1"/>
  <c r="AS6" i="1"/>
  <c r="AN6" i="1"/>
  <c r="AQ6" i="1" s="1"/>
  <c r="AF6" i="1"/>
  <c r="AE6" i="1" s="1"/>
  <c r="AS5" i="1"/>
  <c r="AQ5" i="1"/>
  <c r="AN5" i="1"/>
  <c r="AF5" i="1"/>
  <c r="AE5" i="1" s="1"/>
  <c r="AS4" i="1"/>
  <c r="AN4" i="1"/>
  <c r="AQ4" i="1" s="1"/>
  <c r="AF4" i="1"/>
  <c r="AE4" i="1" s="1"/>
  <c r="AS3" i="1"/>
  <c r="AN3" i="1"/>
  <c r="AQ3" i="1" s="1"/>
  <c r="AF3" i="1"/>
  <c r="AE3" i="1" s="1"/>
  <c r="G1" i="1"/>
  <c r="AH29" i="22" l="1"/>
  <c r="AI29" i="22" s="1"/>
  <c r="V38" i="1"/>
  <c r="V40" i="1"/>
  <c r="AE20" i="1"/>
  <c r="V47" i="1"/>
  <c r="AH23" i="22"/>
  <c r="AI23" i="22" s="1"/>
  <c r="AH24" i="22"/>
  <c r="AI24" i="22" s="1"/>
  <c r="AH25" i="22"/>
  <c r="AI25" i="22" s="1"/>
  <c r="V50" i="1"/>
  <c r="AE46" i="1"/>
  <c r="AP5" i="1"/>
  <c r="AP11" i="1"/>
  <c r="AQ21" i="1"/>
  <c r="AP21" i="1"/>
  <c r="AP28" i="1"/>
  <c r="AP32" i="1"/>
  <c r="AP34" i="1"/>
  <c r="AP38" i="1"/>
  <c r="AP40" i="1"/>
  <c r="AP42" i="1"/>
  <c r="AP44" i="1"/>
  <c r="AP46" i="1"/>
  <c r="AP48" i="1"/>
  <c r="AP3" i="1"/>
  <c r="AP7" i="1"/>
  <c r="AP9" i="1"/>
  <c r="AQ12" i="1"/>
  <c r="AP12" i="1"/>
  <c r="AP13" i="1"/>
  <c r="AP17" i="1"/>
  <c r="AP19" i="1"/>
  <c r="AP20" i="1"/>
  <c r="AP22" i="1"/>
  <c r="AP24" i="1"/>
  <c r="AP26" i="1"/>
  <c r="AP30" i="1"/>
  <c r="AQ33" i="1"/>
  <c r="AP33" i="1"/>
  <c r="AP36" i="1"/>
  <c r="AQ39" i="1"/>
  <c r="AP39" i="1"/>
  <c r="AQ41" i="1"/>
  <c r="AQ43" i="1"/>
  <c r="AP43" i="1"/>
  <c r="AP47" i="1"/>
  <c r="AP49" i="1"/>
  <c r="AP4" i="1"/>
  <c r="AP6" i="1"/>
  <c r="AP8" i="1"/>
  <c r="AP10" i="1"/>
  <c r="AP16" i="1"/>
  <c r="AP18" i="1"/>
  <c r="AP23" i="1"/>
  <c r="AP25" i="1"/>
  <c r="AP27" i="1"/>
  <c r="AP29" i="1"/>
  <c r="AP31" i="1"/>
  <c r="AP35" i="1"/>
  <c r="AP37" i="1"/>
  <c r="AP45" i="1"/>
  <c r="AP50" i="1"/>
  <c r="AH18" i="22"/>
  <c r="AI18" i="22" s="1"/>
  <c r="AH26" i="22"/>
  <c r="AI26" i="22" s="1"/>
  <c r="AH27" i="22"/>
  <c r="AI27" i="22" s="1"/>
  <c r="AO21" i="1"/>
  <c r="AO39" i="1"/>
  <c r="AO43" i="1"/>
  <c r="AO48" i="1"/>
  <c r="V43" i="1"/>
  <c r="W43" i="1" s="1"/>
  <c r="X43" i="1" s="1"/>
  <c r="V44" i="1"/>
  <c r="W44" i="1" s="1"/>
  <c r="V45" i="1"/>
  <c r="W45" i="1" s="1"/>
  <c r="X45" i="1" s="1"/>
  <c r="V48" i="1"/>
  <c r="W48" i="1" s="1"/>
  <c r="X48" i="1" s="1"/>
  <c r="V49" i="1"/>
  <c r="W49" i="1" s="1"/>
  <c r="AO49" i="1"/>
  <c r="AO8" i="1"/>
  <c r="AO10" i="1"/>
  <c r="V21" i="1"/>
  <c r="W21" i="1" s="1"/>
  <c r="X21" i="1" s="1"/>
  <c r="V22" i="1"/>
  <c r="W22" i="1" s="1"/>
  <c r="X22" i="1" s="1"/>
  <c r="V23" i="1"/>
  <c r="W23" i="1" s="1"/>
  <c r="V24" i="1"/>
  <c r="W24" i="1" s="1"/>
  <c r="X24" i="1" s="1"/>
  <c r="AO25" i="1"/>
  <c r="V27" i="1"/>
  <c r="W27" i="1" s="1"/>
  <c r="V28" i="1"/>
  <c r="W28" i="1" s="1"/>
  <c r="X28" i="1" s="1"/>
  <c r="V29" i="1"/>
  <c r="W29" i="1" s="1"/>
  <c r="AO30" i="1"/>
  <c r="AO47" i="1"/>
  <c r="AH8" i="22"/>
  <c r="AI8" i="22" s="1"/>
  <c r="AH10" i="22"/>
  <c r="AI10" i="22" s="1"/>
  <c r="AH12" i="22"/>
  <c r="AI12" i="22" s="1"/>
  <c r="AE41" i="1"/>
  <c r="AH32" i="22" s="1"/>
  <c r="AI32" i="22" s="1"/>
  <c r="V41" i="1"/>
  <c r="AO7" i="1"/>
  <c r="AO9" i="1"/>
  <c r="AO22" i="1"/>
  <c r="AO23" i="1"/>
  <c r="AO24" i="1"/>
  <c r="AO26" i="1"/>
  <c r="AO27" i="1"/>
  <c r="AO28" i="1"/>
  <c r="AO29" i="1"/>
  <c r="AO31" i="1"/>
  <c r="AO12" i="1"/>
  <c r="AO33" i="1"/>
  <c r="V25" i="1"/>
  <c r="W25" i="1" s="1"/>
  <c r="V26" i="1"/>
  <c r="W26" i="1" s="1"/>
  <c r="X26" i="1" s="1"/>
  <c r="V7" i="1"/>
  <c r="W7" i="1" s="1"/>
  <c r="V8" i="1"/>
  <c r="W8" i="1" s="1"/>
  <c r="V9" i="1"/>
  <c r="W9" i="1" s="1"/>
  <c r="V10" i="1"/>
  <c r="W10" i="1" s="1"/>
  <c r="V12" i="1"/>
  <c r="W12" i="1" s="1"/>
  <c r="V13" i="1"/>
  <c r="W13" i="1" s="1"/>
  <c r="X13" i="1" s="1"/>
  <c r="V16" i="1"/>
  <c r="W16" i="1" s="1"/>
  <c r="V17" i="1"/>
  <c r="W17" i="1" s="1"/>
  <c r="X17" i="1" s="1"/>
  <c r="V18" i="1"/>
  <c r="W18" i="1" s="1"/>
  <c r="V19" i="1"/>
  <c r="W19" i="1" s="1"/>
  <c r="X19" i="1" s="1"/>
  <c r="V30" i="1"/>
  <c r="V31" i="1"/>
  <c r="W31" i="1" s="1"/>
  <c r="V33" i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AO38" i="1"/>
  <c r="V39" i="1"/>
  <c r="W39" i="1" s="1"/>
  <c r="AO13" i="1"/>
  <c r="AO16" i="1"/>
  <c r="AO17" i="1"/>
  <c r="AO18" i="1"/>
  <c r="AO19" i="1"/>
  <c r="AO34" i="1"/>
  <c r="AO35" i="1"/>
  <c r="AO36" i="1"/>
  <c r="AO37" i="1"/>
  <c r="AO44" i="1"/>
  <c r="AO45" i="1"/>
  <c r="AO11" i="1"/>
  <c r="AO20" i="1"/>
  <c r="AO32" i="1"/>
  <c r="AO40" i="1"/>
  <c r="AO42" i="1"/>
  <c r="AO46" i="1"/>
  <c r="AQ48" i="1"/>
  <c r="AO50" i="1"/>
  <c r="V3" i="1"/>
  <c r="AO3" i="1"/>
  <c r="V4" i="1"/>
  <c r="AO4" i="1"/>
  <c r="V5" i="1"/>
  <c r="AO5" i="1"/>
  <c r="V6" i="1"/>
  <c r="AO6" i="1"/>
  <c r="W11" i="1"/>
  <c r="W20" i="1"/>
  <c r="X20" i="1" s="1"/>
  <c r="X42" i="1"/>
  <c r="Z42" i="1"/>
  <c r="W30" i="1"/>
  <c r="X30" i="1" s="1"/>
  <c r="W32" i="1"/>
  <c r="X32" i="1" s="1"/>
  <c r="W33" i="1"/>
  <c r="X33" i="1" s="1"/>
  <c r="W38" i="1"/>
  <c r="X38" i="1" s="1"/>
  <c r="W40" i="1"/>
  <c r="X40" i="1" s="1"/>
  <c r="W42" i="1"/>
  <c r="Y42" i="1"/>
  <c r="W46" i="1"/>
  <c r="W47" i="1"/>
  <c r="W50" i="1"/>
  <c r="X50" i="1" s="1"/>
  <c r="AO41" i="1" l="1"/>
  <c r="AH28" i="22"/>
  <c r="AI28" i="22" s="1"/>
  <c r="X11" i="1"/>
  <c r="Y11" i="1" s="1"/>
  <c r="Z11" i="1"/>
  <c r="AA11" i="1" s="1"/>
  <c r="AH22" i="22"/>
  <c r="AI22" i="22" s="1"/>
  <c r="X16" i="1"/>
  <c r="AH7" i="22"/>
  <c r="AI7" i="22" s="1"/>
  <c r="AH6" i="22"/>
  <c r="AI6" i="22" s="1"/>
  <c r="AH17" i="22"/>
  <c r="AI17" i="22" s="1"/>
  <c r="Y50" i="1"/>
  <c r="Z50" i="1" s="1"/>
  <c r="AA50" i="1" s="1"/>
  <c r="X47" i="1"/>
  <c r="X46" i="1"/>
  <c r="Y32" i="1"/>
  <c r="Z32" i="1" s="1"/>
  <c r="AA32" i="1" s="1"/>
  <c r="Y40" i="1"/>
  <c r="Z40" i="1" s="1"/>
  <c r="AA40" i="1" s="1"/>
  <c r="Y38" i="1"/>
  <c r="Z38" i="1" s="1"/>
  <c r="AA38" i="1" s="1"/>
  <c r="AP41" i="1"/>
  <c r="Y20" i="1"/>
  <c r="Z20" i="1" s="1"/>
  <c r="AA20" i="1" s="1"/>
  <c r="W41" i="1"/>
  <c r="X41" i="1"/>
  <c r="Y41" i="1" s="1"/>
  <c r="Z41" i="1" s="1"/>
  <c r="AA41" i="1" s="1"/>
  <c r="X18" i="1"/>
  <c r="X12" i="1"/>
  <c r="AH20" i="22"/>
  <c r="AI20" i="22" s="1"/>
  <c r="AH19" i="22"/>
  <c r="AI19" i="22" s="1"/>
  <c r="AH21" i="22"/>
  <c r="AI21" i="22" s="1"/>
  <c r="AH14" i="22"/>
  <c r="AI14" i="22" s="1"/>
  <c r="AH9" i="22"/>
  <c r="AI9" i="22" s="1"/>
  <c r="AH11" i="22"/>
  <c r="AI11" i="22" s="1"/>
  <c r="AH13" i="22"/>
  <c r="AI13" i="22" s="1"/>
  <c r="AH15" i="22"/>
  <c r="AI15" i="22" s="1"/>
  <c r="AH16" i="22"/>
  <c r="AI16" i="22" s="1"/>
  <c r="AH5" i="22"/>
  <c r="AI5" i="22" s="1"/>
  <c r="Y45" i="1"/>
  <c r="Y43" i="1"/>
  <c r="Z43" i="1" s="1"/>
  <c r="Y21" i="1"/>
  <c r="Z21" i="1" s="1"/>
  <c r="AA21" i="1" s="1"/>
  <c r="Y19" i="1"/>
  <c r="Z19" i="1" s="1"/>
  <c r="AA19" i="1" s="1"/>
  <c r="Y17" i="1"/>
  <c r="Z17" i="1" s="1"/>
  <c r="AA17" i="1" s="1"/>
  <c r="Y13" i="1"/>
  <c r="Z13" i="1" s="1"/>
  <c r="AA13" i="1" s="1"/>
  <c r="Y48" i="1"/>
  <c r="Z48" i="1" s="1"/>
  <c r="Z45" i="1"/>
  <c r="AA45" i="1" s="1"/>
  <c r="Y30" i="1"/>
  <c r="Z30" i="1" s="1"/>
  <c r="AA30" i="1" s="1"/>
  <c r="Y28" i="1"/>
  <c r="Z28" i="1" s="1"/>
  <c r="AA28" i="1" s="1"/>
  <c r="Y26" i="1"/>
  <c r="Z26" i="1" s="1"/>
  <c r="AA26" i="1" s="1"/>
  <c r="Y24" i="1"/>
  <c r="Z24" i="1" s="1"/>
  <c r="AA24" i="1" s="1"/>
  <c r="X44" i="1"/>
  <c r="Y44" i="1" s="1"/>
  <c r="X39" i="1"/>
  <c r="Y39" i="1" s="1"/>
  <c r="Y18" i="1"/>
  <c r="Z18" i="1" s="1"/>
  <c r="AA18" i="1" s="1"/>
  <c r="Y16" i="1"/>
  <c r="Y12" i="1"/>
  <c r="X49" i="1"/>
  <c r="Y49" i="1" s="1"/>
  <c r="X31" i="1"/>
  <c r="Y31" i="1" s="1"/>
  <c r="Z31" i="1" s="1"/>
  <c r="AA31" i="1" s="1"/>
  <c r="X29" i="1"/>
  <c r="Y29" i="1" s="1"/>
  <c r="X27" i="1"/>
  <c r="Y27" i="1" s="1"/>
  <c r="Z27" i="1" s="1"/>
  <c r="AA27" i="1" s="1"/>
  <c r="X25" i="1"/>
  <c r="Y25" i="1" s="1"/>
  <c r="X23" i="1"/>
  <c r="Y23" i="1" s="1"/>
  <c r="Z23" i="1" s="1"/>
  <c r="AA23" i="1" s="1"/>
  <c r="Y37" i="1"/>
  <c r="Z37" i="1" s="1"/>
  <c r="AA37" i="1" s="1"/>
  <c r="Y36" i="1"/>
  <c r="Z36" i="1" s="1"/>
  <c r="AA36" i="1" s="1"/>
  <c r="Y35" i="1"/>
  <c r="Z35" i="1" s="1"/>
  <c r="AA35" i="1" s="1"/>
  <c r="Y34" i="1"/>
  <c r="Z34" i="1" s="1"/>
  <c r="AA34" i="1" s="1"/>
  <c r="Y33" i="1"/>
  <c r="Z33" i="1" s="1"/>
  <c r="Y22" i="1"/>
  <c r="Z22" i="1" s="1"/>
  <c r="Z16" i="1"/>
  <c r="AA16" i="1" s="1"/>
  <c r="Z12" i="1"/>
  <c r="X10" i="1"/>
  <c r="X9" i="1"/>
  <c r="X8" i="1"/>
  <c r="Y8" i="1" s="1"/>
  <c r="X7" i="1"/>
  <c r="W5" i="1"/>
  <c r="W3" i="1"/>
  <c r="W6" i="1"/>
  <c r="W4" i="1"/>
  <c r="X4" i="1" s="1"/>
  <c r="Y46" i="1" l="1"/>
  <c r="Z46" i="1" s="1"/>
  <c r="AA46" i="1" s="1"/>
  <c r="Y47" i="1"/>
  <c r="Z47" i="1" s="1"/>
  <c r="AA47" i="1" s="1"/>
  <c r="Y4" i="1"/>
  <c r="Z4" i="1" s="1"/>
  <c r="AA4" i="1" s="1"/>
  <c r="X3" i="1"/>
  <c r="Y3" i="1" s="1"/>
  <c r="Z3" i="1" s="1"/>
  <c r="AA3" i="1" s="1"/>
  <c r="Z39" i="1"/>
  <c r="AA48" i="1"/>
  <c r="Z25" i="1"/>
  <c r="Z29" i="1"/>
  <c r="AA29" i="1" s="1"/>
  <c r="Z49" i="1"/>
  <c r="AA39" i="1"/>
  <c r="Z44" i="1"/>
  <c r="X6" i="1"/>
  <c r="Y6" i="1" s="1"/>
  <c r="Z6" i="1" s="1"/>
  <c r="AA6" i="1" s="1"/>
  <c r="X5" i="1"/>
  <c r="Y5" i="1" s="1"/>
  <c r="Z5" i="1" s="1"/>
  <c r="AA5" i="1" s="1"/>
  <c r="AA43" i="1"/>
  <c r="AA33" i="1"/>
  <c r="AA12" i="1"/>
  <c r="Y7" i="1"/>
  <c r="Z7" i="1" s="1"/>
  <c r="AA7" i="1" s="1"/>
  <c r="Y9" i="1"/>
  <c r="Z9" i="1" s="1"/>
  <c r="AA9" i="1" s="1"/>
  <c r="Z8" i="1"/>
  <c r="AA8" i="1" s="1"/>
  <c r="Y10" i="1"/>
  <c r="Z10" i="1" s="1"/>
  <c r="AA10" i="1" s="1"/>
  <c r="AA22" i="1"/>
  <c r="AA44" i="1" l="1"/>
  <c r="AA49" i="1"/>
  <c r="AA25" i="1"/>
  <c r="A3" i="1" l="1"/>
  <c r="B3" i="1" l="1"/>
  <c r="AJ3" i="1"/>
  <c r="AI3" i="1"/>
  <c r="AM3" i="1"/>
  <c r="AG3" i="1"/>
  <c r="AH3" i="1"/>
  <c r="AK3" i="1"/>
  <c r="A4" i="1"/>
  <c r="B4" i="1" l="1"/>
  <c r="AJ4" i="1"/>
  <c r="AM4" i="1"/>
  <c r="A5" i="1"/>
  <c r="B5" i="1" l="1"/>
  <c r="AJ5" i="1"/>
  <c r="AI4" i="1"/>
  <c r="AI5" i="1"/>
  <c r="AM5" i="1"/>
  <c r="AL5" i="1"/>
  <c r="AK4" i="1"/>
  <c r="AG5" i="1"/>
  <c r="AH4" i="1"/>
  <c r="AG4" i="1"/>
  <c r="AH5" i="1"/>
  <c r="AK5" i="1"/>
  <c r="A6" i="1"/>
  <c r="B6" i="1" l="1"/>
  <c r="AI6" i="1"/>
  <c r="AG6" i="1"/>
  <c r="AK6" i="1"/>
  <c r="AJ6" i="1"/>
  <c r="AH6" i="1"/>
  <c r="A7" i="1"/>
  <c r="AV7" i="1" l="1"/>
  <c r="AM6" i="1"/>
  <c r="AI7" i="1"/>
  <c r="AL7" i="1"/>
  <c r="AH7" i="1"/>
  <c r="AG7" i="1"/>
  <c r="AK7" i="1"/>
  <c r="AJ7" i="1"/>
  <c r="A8" i="1"/>
  <c r="B8" i="1" l="1"/>
  <c r="AJ8" i="1"/>
  <c r="AM7" i="1"/>
  <c r="AM8" i="1" s="1"/>
  <c r="A9" i="1"/>
  <c r="B9" i="1" l="1"/>
  <c r="AJ9" i="1"/>
  <c r="AM9" i="1"/>
  <c r="AI8" i="1"/>
  <c r="AL9" i="1"/>
  <c r="AK8" i="1"/>
  <c r="AG8" i="1"/>
  <c r="AH8" i="1"/>
  <c r="A10" i="1"/>
  <c r="B10" i="1" l="1"/>
  <c r="AI9" i="1"/>
  <c r="AH9" i="1"/>
  <c r="AG9" i="1"/>
  <c r="AK9" i="1"/>
  <c r="AJ10" i="1"/>
  <c r="A11" i="1"/>
  <c r="B11" i="1" l="1"/>
  <c r="AJ11" i="1"/>
  <c r="AK10" i="1"/>
  <c r="AG10" i="1"/>
  <c r="AI10" i="1"/>
  <c r="AH10" i="1"/>
  <c r="AM10" i="1"/>
  <c r="AL11" i="1"/>
  <c r="A12" i="1"/>
  <c r="AK11" i="1" l="1"/>
  <c r="AG11" i="1"/>
  <c r="AI11" i="1"/>
  <c r="AH11" i="1"/>
  <c r="AM11" i="1"/>
  <c r="AK12" i="1"/>
  <c r="AI12" i="1"/>
  <c r="AJ12" i="1"/>
  <c r="AH12" i="1"/>
  <c r="AG12" i="1"/>
  <c r="A13" i="1"/>
  <c r="B13" i="1" l="1"/>
  <c r="A14" i="1"/>
  <c r="AM12" i="1"/>
  <c r="AI13" i="1"/>
  <c r="AK13" i="1"/>
  <c r="AH13" i="1"/>
  <c r="AJ13" i="1"/>
  <c r="AG13" i="1"/>
  <c r="A15" i="1" l="1"/>
  <c r="AJ15" i="1"/>
  <c r="AL14" i="1"/>
  <c r="AJ16" i="1"/>
  <c r="AM13" i="1"/>
  <c r="B15" i="1" l="1"/>
  <c r="AT15" i="1"/>
  <c r="AK15" i="1"/>
  <c r="AI15" i="1"/>
  <c r="AH15" i="1"/>
  <c r="AG15" i="1"/>
  <c r="A16" i="1"/>
  <c r="AM16" i="1"/>
  <c r="AI16" i="1"/>
  <c r="AH16" i="1"/>
  <c r="AG16" i="1"/>
  <c r="AK16" i="1"/>
  <c r="AU15" i="1" l="1"/>
  <c r="AL16" i="1"/>
  <c r="A17" i="1"/>
  <c r="AM17" i="1"/>
  <c r="B17" i="1" l="1"/>
  <c r="AW15" i="1"/>
  <c r="AJ17" i="1"/>
  <c r="A18" i="1"/>
  <c r="B18" i="1" l="1"/>
  <c r="AL18" i="1"/>
  <c r="AJ18" i="1"/>
  <c r="AM18" i="1" s="1"/>
  <c r="A19" i="1"/>
  <c r="AG17" i="1"/>
  <c r="AH17" i="1"/>
  <c r="AI17" i="1"/>
  <c r="AK17" i="1"/>
  <c r="AJ20" i="1"/>
  <c r="AM20" i="1" s="1"/>
  <c r="B19" i="1" l="1"/>
  <c r="AJ19" i="1"/>
  <c r="AL19" i="1"/>
  <c r="A20" i="1"/>
  <c r="AM19" i="1"/>
  <c r="AI18" i="1"/>
  <c r="AH18" i="1"/>
  <c r="AG18" i="1"/>
  <c r="AK18" i="1"/>
  <c r="AI20" i="1"/>
  <c r="AK20" i="1"/>
  <c r="AM21" i="1"/>
  <c r="AH20" i="1"/>
  <c r="AG20" i="1"/>
  <c r="A21" i="1" l="1"/>
  <c r="AI19" i="1"/>
  <c r="AG19" i="1"/>
  <c r="AH19" i="1"/>
  <c r="AK19" i="1"/>
  <c r="B21" i="1" l="1"/>
  <c r="AJ21" i="1"/>
  <c r="A22" i="1"/>
  <c r="AJ23" i="1"/>
  <c r="AM23" i="1"/>
  <c r="B22" i="1" l="1"/>
  <c r="AJ22" i="1"/>
  <c r="AM22" i="1" s="1"/>
  <c r="AL22" i="1"/>
  <c r="A23" i="1"/>
  <c r="AI21" i="1"/>
  <c r="AH21" i="1"/>
  <c r="AK21" i="1"/>
  <c r="AK22" i="1" s="1"/>
  <c r="AG21" i="1"/>
  <c r="AI23" i="1"/>
  <c r="AK23" i="1"/>
  <c r="AH23" i="1"/>
  <c r="AG23" i="1"/>
  <c r="AL23" i="1" l="1"/>
  <c r="A24" i="1"/>
  <c r="AI22" i="1"/>
  <c r="AG22" i="1"/>
  <c r="AH22" i="1"/>
  <c r="AM24" i="1"/>
  <c r="B24" i="1" l="1"/>
  <c r="AJ24" i="1"/>
  <c r="A25" i="1"/>
  <c r="AV26" i="1"/>
  <c r="AI26" i="1"/>
  <c r="AK26" i="1"/>
  <c r="AJ26" i="1"/>
  <c r="AH26" i="1"/>
  <c r="AG26" i="1"/>
  <c r="B25" i="1" l="1"/>
  <c r="AJ25" i="1"/>
  <c r="AM25" i="1" s="1"/>
  <c r="AL25" i="1"/>
  <c r="A26" i="1"/>
  <c r="AI24" i="1"/>
  <c r="AG24" i="1"/>
  <c r="AK24" i="1"/>
  <c r="AH24" i="1"/>
  <c r="AM26" i="1"/>
  <c r="AM27" i="1"/>
  <c r="A27" i="1" l="1"/>
  <c r="AI25" i="1"/>
  <c r="AH25" i="1"/>
  <c r="AG25" i="1"/>
  <c r="AK25" i="1"/>
  <c r="B27" i="1" l="1"/>
  <c r="AJ27" i="1"/>
  <c r="A28" i="1"/>
  <c r="B28" i="1" l="1"/>
  <c r="AL28" i="1"/>
  <c r="AJ28" i="1"/>
  <c r="AM28" i="1" s="1"/>
  <c r="A29" i="1"/>
  <c r="AG27" i="1"/>
  <c r="AI27" i="1"/>
  <c r="AH27" i="1"/>
  <c r="AK27" i="1"/>
  <c r="B29" i="1" l="1"/>
  <c r="AL29" i="1"/>
  <c r="AJ29" i="1"/>
  <c r="AM29" i="1" s="1"/>
  <c r="A30" i="1"/>
  <c r="AI28" i="1"/>
  <c r="AK28" i="1"/>
  <c r="AH28" i="1"/>
  <c r="AG28" i="1"/>
  <c r="B30" i="1" l="1"/>
  <c r="AJ30" i="1"/>
  <c r="AM30" i="1" s="1"/>
  <c r="A31" i="1"/>
  <c r="AI29" i="1"/>
  <c r="AH29" i="1"/>
  <c r="AK29" i="1"/>
  <c r="AG29" i="1"/>
  <c r="B31" i="1" l="1"/>
  <c r="AJ31" i="1"/>
  <c r="AL31" i="1"/>
  <c r="A32" i="1"/>
  <c r="AM31" i="1"/>
  <c r="AI30" i="1"/>
  <c r="AG30" i="1"/>
  <c r="AH30" i="1"/>
  <c r="AK30" i="1"/>
  <c r="AJ33" i="1"/>
  <c r="B32" i="1" l="1"/>
  <c r="AJ32" i="1"/>
  <c r="AM32" i="1" s="1"/>
  <c r="A33" i="1"/>
  <c r="AI31" i="1"/>
  <c r="AH31" i="1"/>
  <c r="AG31" i="1"/>
  <c r="AK31" i="1"/>
  <c r="AI33" i="1"/>
  <c r="AH33" i="1"/>
  <c r="AG33" i="1"/>
  <c r="AK33" i="1"/>
  <c r="AM33" i="1"/>
  <c r="AM34" i="1" s="1"/>
  <c r="A34" i="1" l="1"/>
  <c r="AI32" i="1"/>
  <c r="AT32" i="1"/>
  <c r="AK32" i="1"/>
  <c r="AG32" i="1"/>
  <c r="AH32" i="1"/>
  <c r="B34" i="1" l="1"/>
  <c r="AJ34" i="1"/>
  <c r="A35" i="1"/>
  <c r="AU32" i="1"/>
  <c r="AI36" i="1"/>
  <c r="AJ36" i="1"/>
  <c r="AG36" i="1"/>
  <c r="AH36" i="1"/>
  <c r="AK36" i="1"/>
  <c r="AW32" i="1" l="1"/>
  <c r="B35" i="1"/>
  <c r="AL35" i="1"/>
  <c r="AJ35" i="1"/>
  <c r="AM35" i="1" s="1"/>
  <c r="A36" i="1"/>
  <c r="AI34" i="1"/>
  <c r="AG34" i="1"/>
  <c r="AH34" i="1"/>
  <c r="AK34" i="1"/>
  <c r="AM36" i="1"/>
  <c r="AL36" i="1" l="1"/>
  <c r="A37" i="1"/>
  <c r="AI35" i="1"/>
  <c r="AH35" i="1"/>
  <c r="AG35" i="1"/>
  <c r="AK35" i="1"/>
  <c r="AM37" i="1"/>
  <c r="AI38" i="1"/>
  <c r="AG38" i="1"/>
  <c r="AJ38" i="1"/>
  <c r="AK38" i="1"/>
  <c r="AH38" i="1"/>
  <c r="B37" i="1" l="1"/>
  <c r="AJ37" i="1"/>
  <c r="A38" i="1"/>
  <c r="AM38" i="1"/>
  <c r="AM39" i="1"/>
  <c r="AL38" i="1" l="1"/>
  <c r="A39" i="1"/>
  <c r="AI37" i="1"/>
  <c r="AG37" i="1"/>
  <c r="AK37" i="1"/>
  <c r="AH37" i="1"/>
  <c r="AJ40" i="1"/>
  <c r="AI40" i="1"/>
  <c r="AM40" i="1"/>
  <c r="B39" i="1" l="1"/>
  <c r="AJ39" i="1"/>
  <c r="A40" i="1"/>
  <c r="AH40" i="1"/>
  <c r="AG40" i="1"/>
  <c r="AK40" i="1"/>
  <c r="AM41" i="1"/>
  <c r="A41" i="1" l="1"/>
  <c r="AI39" i="1"/>
  <c r="AK39" i="1"/>
  <c r="AH39" i="1"/>
  <c r="AG39" i="1"/>
  <c r="AJ42" i="1"/>
  <c r="B41" i="1" l="1"/>
  <c r="AJ41" i="1"/>
  <c r="A42" i="1"/>
  <c r="AM42" i="1"/>
  <c r="AH42" i="1"/>
  <c r="AI42" i="1"/>
  <c r="AK42" i="1"/>
  <c r="AG42" i="1"/>
  <c r="AT42" i="1"/>
  <c r="AU42" i="1" s="1"/>
  <c r="AL42" i="1" l="1"/>
  <c r="A43" i="1"/>
  <c r="AI41" i="1"/>
  <c r="AK41" i="1"/>
  <c r="AH41" i="1"/>
  <c r="AG41" i="1"/>
  <c r="AM43" i="1"/>
  <c r="AJ44" i="1"/>
  <c r="AW42" i="1"/>
  <c r="AI44" i="1"/>
  <c r="AM44" i="1"/>
  <c r="AG44" i="1"/>
  <c r="AH44" i="1"/>
  <c r="AK44" i="1"/>
  <c r="B43" i="1" l="1"/>
  <c r="AJ43" i="1"/>
  <c r="A44" i="1"/>
  <c r="AL44" i="1" l="1"/>
  <c r="A45" i="1"/>
  <c r="AK43" i="1"/>
  <c r="AI43" i="1"/>
  <c r="AG43" i="1"/>
  <c r="AH43" i="1"/>
  <c r="AM45" i="1"/>
  <c r="AI46" i="1"/>
  <c r="AJ46" i="1"/>
  <c r="AH46" i="1"/>
  <c r="AG46" i="1"/>
  <c r="B45" i="1" l="1"/>
  <c r="AJ45" i="1"/>
  <c r="A46" i="1"/>
  <c r="AM46" i="1"/>
  <c r="AL46" i="1" l="1"/>
  <c r="AI45" i="1"/>
  <c r="AG45" i="1"/>
  <c r="AH45" i="1"/>
  <c r="AK45" i="1"/>
  <c r="AK46" i="1" s="1"/>
  <c r="A47" i="1"/>
  <c r="B47" i="1" l="1"/>
  <c r="AJ47" i="1"/>
  <c r="A48" i="1"/>
  <c r="AJ48" i="1" l="1"/>
  <c r="AI47" i="1"/>
  <c r="AG47" i="1"/>
  <c r="AH47" i="1"/>
  <c r="AK47" i="1"/>
  <c r="AM47" i="1"/>
  <c r="A49" i="1"/>
  <c r="B49" i="1" l="1"/>
  <c r="AM48" i="1"/>
  <c r="AI48" i="1"/>
  <c r="AK48" i="1"/>
  <c r="AG48" i="1"/>
  <c r="AH48" i="1"/>
  <c r="AJ49" i="1"/>
  <c r="A50" i="1"/>
  <c r="A51" i="1" l="1"/>
  <c r="A52" i="1"/>
  <c r="A53" i="1" s="1"/>
  <c r="AJ50" i="1"/>
  <c r="AK49" i="1"/>
  <c r="AG49" i="1"/>
  <c r="AH49" i="1"/>
  <c r="AI49" i="1"/>
  <c r="AM49" i="1"/>
  <c r="AM50" i="1"/>
  <c r="AI50" i="1"/>
  <c r="AL50" i="1"/>
  <c r="AG50" i="1"/>
  <c r="AH50" i="1"/>
  <c r="AK50" i="1"/>
  <c r="B51" i="1" l="1"/>
  <c r="B52" i="1"/>
  <c r="B53" i="1"/>
  <c r="AJ51" i="1"/>
  <c r="AL53" i="1"/>
  <c r="A54" i="1"/>
  <c r="AJ53" i="1"/>
  <c r="AJ52" i="1"/>
  <c r="B54" i="1" l="1"/>
  <c r="AJ54" i="1"/>
  <c r="AG51" i="1"/>
  <c r="AH51" i="1"/>
  <c r="AI51" i="1"/>
  <c r="AK51" i="1"/>
  <c r="AT51" i="1"/>
  <c r="AU51" i="1" s="1"/>
  <c r="AM52" i="1"/>
  <c r="AM53" i="1"/>
  <c r="AL54" i="1"/>
  <c r="A55" i="1"/>
  <c r="AG53" i="1"/>
  <c r="AH53" i="1"/>
  <c r="AI53" i="1"/>
  <c r="AG52" i="1"/>
  <c r="AH52" i="1"/>
  <c r="AI52" i="1"/>
  <c r="AK52" i="1"/>
  <c r="AK53" i="1" s="1"/>
  <c r="AW51" i="1" l="1"/>
  <c r="B55" i="1"/>
  <c r="AM54" i="1"/>
  <c r="AG54" i="1"/>
  <c r="AH54" i="1"/>
  <c r="AI54" i="1"/>
  <c r="AK54" i="1"/>
  <c r="AT54" i="1"/>
  <c r="AU54" i="1" s="1"/>
  <c r="A56" i="1"/>
  <c r="AJ56" i="1"/>
  <c r="AJ55" i="1"/>
  <c r="AW54" i="1" l="1"/>
  <c r="B56" i="1"/>
  <c r="AM55" i="1"/>
  <c r="AM56" i="1"/>
  <c r="AL56" i="1"/>
  <c r="A57" i="1"/>
  <c r="AJ57" i="1"/>
  <c r="AG56" i="1"/>
  <c r="AH56" i="1"/>
  <c r="AI56" i="1"/>
  <c r="AG55" i="1"/>
  <c r="AH55" i="1"/>
  <c r="AI55" i="1"/>
  <c r="AK55" i="1"/>
  <c r="AK56" i="1" s="1"/>
  <c r="B57" i="1" l="1"/>
  <c r="AM57" i="1"/>
  <c r="AL57" i="1"/>
  <c r="A58" i="1"/>
  <c r="AG57" i="1"/>
  <c r="AH57" i="1"/>
  <c r="AI57" i="1"/>
  <c r="AK57" i="1"/>
  <c r="B58" i="1" l="1"/>
  <c r="AJ58" i="1"/>
  <c r="AL58" i="1"/>
  <c r="A59" i="1"/>
  <c r="B59" i="1" l="1"/>
  <c r="AM58" i="1"/>
  <c r="AG58" i="1"/>
  <c r="AH58" i="1"/>
  <c r="AI58" i="1"/>
  <c r="AK58" i="1"/>
  <c r="AT58" i="1"/>
  <c r="AU58" i="1" s="1"/>
  <c r="A60" i="1"/>
  <c r="AL60" i="1"/>
  <c r="A61" i="1"/>
  <c r="A62" i="1" s="1"/>
  <c r="AJ59" i="1"/>
  <c r="AW58" i="1" l="1"/>
  <c r="B60" i="1"/>
  <c r="B62" i="1"/>
  <c r="AJ62" i="1"/>
  <c r="AJ60" i="1"/>
  <c r="AM59" i="1"/>
  <c r="A63" i="1"/>
  <c r="AJ61" i="1"/>
  <c r="AG59" i="1"/>
  <c r="AH59" i="1"/>
  <c r="AI59" i="1"/>
  <c r="AK59" i="1"/>
  <c r="AG62" i="1" l="1"/>
  <c r="AH62" i="1"/>
  <c r="AI62" i="1"/>
  <c r="AK62" i="1"/>
  <c r="AT62" i="1"/>
  <c r="AU62" i="1" s="1"/>
  <c r="AM60" i="1"/>
  <c r="AG60" i="1"/>
  <c r="AH60" i="1"/>
  <c r="AI60" i="1"/>
  <c r="AK60" i="1"/>
  <c r="AT60" i="1"/>
  <c r="AU60" i="1" s="1"/>
  <c r="AM61" i="1"/>
  <c r="AJ63" i="1"/>
  <c r="AM63" i="1" s="1"/>
  <c r="A64" i="1"/>
  <c r="AG61" i="1"/>
  <c r="AH61" i="1"/>
  <c r="AI61" i="1"/>
  <c r="AK61" i="1"/>
  <c r="AW60" i="1" l="1"/>
  <c r="AW62" i="1"/>
  <c r="B64" i="1"/>
  <c r="AJ64" i="1"/>
  <c r="AG63" i="1"/>
  <c r="AH63" i="1"/>
  <c r="AI63" i="1"/>
  <c r="AK63" i="1"/>
  <c r="A65" i="1"/>
  <c r="B65" i="1" l="1"/>
  <c r="AG64" i="1"/>
  <c r="AH64" i="1"/>
  <c r="AI64" i="1"/>
  <c r="AK64" i="1"/>
  <c r="AT64" i="1"/>
  <c r="AU64" i="1" s="1"/>
  <c r="AJ65" i="1"/>
  <c r="A66" i="1"/>
  <c r="AW64" i="1" l="1"/>
  <c r="B66" i="1"/>
  <c r="AJ66" i="1"/>
  <c r="AM65" i="1"/>
  <c r="AG65" i="1"/>
  <c r="AH65" i="1"/>
  <c r="AI65" i="1"/>
  <c r="AK65" i="1"/>
  <c r="A67" i="1"/>
  <c r="AL66" i="1"/>
  <c r="B67" i="1" l="1"/>
  <c r="AM66" i="1"/>
  <c r="AG66" i="1"/>
  <c r="AH66" i="1"/>
  <c r="AI66" i="1"/>
  <c r="AK66" i="1"/>
  <c r="AT66" i="1"/>
  <c r="AU66" i="1" s="1"/>
  <c r="AJ67" i="1"/>
  <c r="A68" i="1"/>
  <c r="AW66" i="1" l="1"/>
  <c r="B68" i="1"/>
  <c r="AM67" i="1"/>
  <c r="AJ68" i="1"/>
  <c r="AG67" i="1"/>
  <c r="AH67" i="1"/>
  <c r="AI67" i="1"/>
  <c r="AK67" i="1"/>
  <c r="A69" i="1"/>
  <c r="AL68" i="1"/>
  <c r="B69" i="1" l="1"/>
  <c r="AM68" i="1"/>
  <c r="AJ69" i="1"/>
  <c r="AG68" i="1"/>
  <c r="AH68" i="1"/>
  <c r="AI68" i="1"/>
  <c r="AK68" i="1"/>
  <c r="A70" i="1"/>
  <c r="AL69" i="1"/>
  <c r="B70" i="1" l="1"/>
  <c r="AJ70" i="1"/>
  <c r="AM69" i="1"/>
  <c r="A71" i="1"/>
  <c r="AJ71" i="1"/>
  <c r="A72" i="1"/>
  <c r="AG69" i="1"/>
  <c r="AH69" i="1"/>
  <c r="AI69" i="1"/>
  <c r="AK69" i="1"/>
  <c r="AL70" i="1"/>
  <c r="B71" i="1" l="1"/>
  <c r="B72" i="1"/>
  <c r="AM70" i="1"/>
  <c r="AG70" i="1"/>
  <c r="AH70" i="1"/>
  <c r="AI70" i="1"/>
  <c r="AK70" i="1"/>
  <c r="AT70" i="1"/>
  <c r="AU70" i="1" s="1"/>
  <c r="AM71" i="1"/>
  <c r="AJ72" i="1"/>
  <c r="AR56" i="22" s="1"/>
  <c r="AT56" i="22" s="1"/>
  <c r="AG71" i="1"/>
  <c r="AH71" i="1"/>
  <c r="AI71" i="1"/>
  <c r="AK71" i="1"/>
  <c r="A73" i="1"/>
  <c r="AL72" i="1"/>
  <c r="AW70" i="1" l="1"/>
  <c r="B73" i="1"/>
  <c r="AM72" i="1"/>
  <c r="AJ73" i="1"/>
  <c r="AR57" i="22" s="1"/>
  <c r="AT57" i="22" s="1"/>
  <c r="AG72" i="1"/>
  <c r="AL56" i="22" s="1"/>
  <c r="AZ56" i="22" s="1"/>
  <c r="AH72" i="1"/>
  <c r="AM56" i="22" s="1"/>
  <c r="BA56" i="22" s="1"/>
  <c r="AI72" i="1"/>
  <c r="AP56" i="22" s="1"/>
  <c r="BD56" i="22" s="1"/>
  <c r="AK72" i="1"/>
  <c r="AL73" i="1"/>
  <c r="AM73" i="1" l="1"/>
  <c r="AG73" i="1"/>
  <c r="AL57" i="22" s="1"/>
  <c r="AZ57" i="22" s="1"/>
  <c r="AH73" i="1"/>
  <c r="AM57" i="22" s="1"/>
  <c r="BA57" i="22" s="1"/>
  <c r="AI73" i="1"/>
  <c r="AP57" i="22" s="1"/>
  <c r="AK73" i="1"/>
  <c r="AK56" i="22" l="1"/>
  <c r="BD57" i="22"/>
  <c r="A74" i="1"/>
  <c r="AL20" i="1"/>
  <c r="AL32" i="1"/>
  <c r="AL12" i="1"/>
  <c r="AL10" i="1"/>
  <c r="AL26" i="1"/>
  <c r="AC7" i="1"/>
  <c r="AD7" i="1"/>
  <c r="AD26" i="1"/>
  <c r="AC26" i="1"/>
  <c r="A75" i="1" l="1"/>
  <c r="AJ75" i="1"/>
  <c r="AR58" i="22" s="1"/>
  <c r="AT58" i="22" s="1"/>
  <c r="A76" i="1"/>
  <c r="A77" i="1" s="1"/>
  <c r="AL74" i="1"/>
  <c r="B75" i="1" l="1"/>
  <c r="B77" i="1"/>
  <c r="AM75" i="1"/>
  <c r="AJ77" i="1"/>
  <c r="AR59" i="22" s="1"/>
  <c r="AT59" i="22" s="1"/>
  <c r="A78" i="1"/>
  <c r="AG75" i="1"/>
  <c r="AL58" i="22" s="1"/>
  <c r="AZ58" i="22" s="1"/>
  <c r="AH75" i="1"/>
  <c r="AM58" i="22" s="1"/>
  <c r="BA58" i="22" s="1"/>
  <c r="AI75" i="1"/>
  <c r="AP58" i="22" s="1"/>
  <c r="AK75" i="1"/>
  <c r="A79" i="1"/>
  <c r="AL76" i="1"/>
  <c r="BD58" i="22" l="1"/>
  <c r="B79" i="1"/>
  <c r="AJ79" i="1"/>
  <c r="AR60" i="22" s="1"/>
  <c r="AT60" i="22" s="1"/>
  <c r="AM77" i="1"/>
  <c r="AL78" i="1"/>
  <c r="AJ78" i="1"/>
  <c r="AG77" i="1"/>
  <c r="AL59" i="22" s="1"/>
  <c r="AZ59" i="22" s="1"/>
  <c r="AH77" i="1"/>
  <c r="AM59" i="22" s="1"/>
  <c r="BA59" i="22" s="1"/>
  <c r="AI77" i="1"/>
  <c r="AP59" i="22" s="1"/>
  <c r="AK77" i="1"/>
  <c r="A80" i="1"/>
  <c r="AJ80" i="1"/>
  <c r="BD59" i="22" l="1"/>
  <c r="AG79" i="1"/>
  <c r="AL60" i="22" s="1"/>
  <c r="AZ60" i="22" s="1"/>
  <c r="AH79" i="1"/>
  <c r="AM60" i="22" s="1"/>
  <c r="BA60" i="22" s="1"/>
  <c r="AI79" i="1"/>
  <c r="AP60" i="22" s="1"/>
  <c r="AK79" i="1"/>
  <c r="AT79" i="1"/>
  <c r="AU79" i="1" s="1"/>
  <c r="AM80" i="1"/>
  <c r="AM78" i="1"/>
  <c r="AG78" i="1"/>
  <c r="AH78" i="1"/>
  <c r="AI78" i="1"/>
  <c r="AK78" i="1"/>
  <c r="AT78" i="1"/>
  <c r="AU78" i="1" s="1"/>
  <c r="AW78" i="1" s="1"/>
  <c r="AG80" i="1"/>
  <c r="AH80" i="1"/>
  <c r="AI80" i="1"/>
  <c r="AK80" i="1"/>
  <c r="AT80" i="1"/>
  <c r="AU80" i="1" s="1"/>
  <c r="AW80" i="1" s="1"/>
  <c r="A81" i="1"/>
  <c r="AJ81" i="1"/>
  <c r="AR61" i="22" s="1"/>
  <c r="AT61" i="22" s="1"/>
  <c r="AW79" i="1" l="1"/>
  <c r="BD60" i="22"/>
  <c r="B81" i="1"/>
  <c r="AM81" i="1"/>
  <c r="AG81" i="1"/>
  <c r="AL61" i="22" s="1"/>
  <c r="AZ61" i="22" s="1"/>
  <c r="AH81" i="1"/>
  <c r="AM61" i="22" s="1"/>
  <c r="BA61" i="22" s="1"/>
  <c r="AI81" i="1"/>
  <c r="AP61" i="22" s="1"/>
  <c r="AK81" i="1"/>
  <c r="A82" i="1"/>
  <c r="BD61" i="22" l="1"/>
  <c r="B82" i="1"/>
  <c r="AJ82" i="1"/>
  <c r="AR62" i="22" s="1"/>
  <c r="AT62" i="22" s="1"/>
  <c r="A83" i="1"/>
  <c r="AL82" i="1"/>
  <c r="AJ83" i="1"/>
  <c r="AR63" i="22" s="1"/>
  <c r="AT63" i="22" s="1"/>
  <c r="B83" i="1" l="1"/>
  <c r="AM82" i="1"/>
  <c r="AG82" i="1"/>
  <c r="AL62" i="22" s="1"/>
  <c r="AZ62" i="22" s="1"/>
  <c r="AH82" i="1"/>
  <c r="AM62" i="22" s="1"/>
  <c r="BA62" i="22" s="1"/>
  <c r="AI82" i="1"/>
  <c r="AP62" i="22" s="1"/>
  <c r="AK82" i="1"/>
  <c r="AT82" i="1"/>
  <c r="AU82" i="1" s="1"/>
  <c r="AM83" i="1"/>
  <c r="AG83" i="1"/>
  <c r="AL63" i="22" s="1"/>
  <c r="AZ63" i="22" s="1"/>
  <c r="AH83" i="1"/>
  <c r="AM63" i="22" s="1"/>
  <c r="BA63" i="22" s="1"/>
  <c r="AI83" i="1"/>
  <c r="AP63" i="22" s="1"/>
  <c r="AK83" i="1"/>
  <c r="A84" i="1"/>
  <c r="AJ84" i="1"/>
  <c r="AW82" i="1" l="1"/>
  <c r="AK62" i="22"/>
  <c r="BD63" i="22"/>
  <c r="AK61" i="22"/>
  <c r="BD62" i="22"/>
  <c r="AM84" i="1"/>
  <c r="AG84" i="1"/>
  <c r="AH84" i="1"/>
  <c r="AI84" i="1"/>
  <c r="AK84" i="1"/>
  <c r="AT84" i="1"/>
  <c r="AU84" i="1" s="1"/>
  <c r="AW84" i="1" s="1"/>
  <c r="A85" i="1"/>
  <c r="AL84" i="1"/>
  <c r="B85" i="1" l="1"/>
  <c r="AJ85" i="1"/>
  <c r="AR64" i="22" s="1"/>
  <c r="AT64" i="22" s="1"/>
  <c r="A86" i="1"/>
  <c r="AJ86" i="1"/>
  <c r="AM85" i="1" l="1"/>
  <c r="AG85" i="1"/>
  <c r="AL64" i="22" s="1"/>
  <c r="AZ64" i="22" s="1"/>
  <c r="AH85" i="1"/>
  <c r="AM64" i="22" s="1"/>
  <c r="BA64" i="22" s="1"/>
  <c r="AI85" i="1"/>
  <c r="AP64" i="22" s="1"/>
  <c r="AK85" i="1"/>
  <c r="AT85" i="1"/>
  <c r="AU85" i="1" s="1"/>
  <c r="AM86" i="1"/>
  <c r="AG86" i="1"/>
  <c r="AH86" i="1"/>
  <c r="AI86" i="1"/>
  <c r="AK86" i="1"/>
  <c r="AT86" i="1"/>
  <c r="AU86" i="1" s="1"/>
  <c r="AW86" i="1" s="1"/>
  <c r="A87" i="1"/>
  <c r="AJ87" i="1"/>
  <c r="AR65" i="22" s="1"/>
  <c r="AT65" i="22" s="1"/>
  <c r="AW85" i="1" l="1"/>
  <c r="BD64" i="22"/>
  <c r="B87" i="1"/>
  <c r="AM87" i="1"/>
  <c r="AG87" i="1"/>
  <c r="AL65" i="22" s="1"/>
  <c r="AZ65" i="22" s="1"/>
  <c r="AH87" i="1"/>
  <c r="AM65" i="22" s="1"/>
  <c r="BA65" i="22" s="1"/>
  <c r="AI87" i="1"/>
  <c r="AP65" i="22" s="1"/>
  <c r="AK87" i="1"/>
  <c r="A88" i="1"/>
  <c r="AJ88" i="1"/>
  <c r="AR66" i="22" s="1"/>
  <c r="AT66" i="22" s="1"/>
  <c r="BD65" i="22" l="1"/>
  <c r="B88" i="1"/>
  <c r="A89" i="1"/>
  <c r="AJ89" i="1"/>
  <c r="AR67" i="22" s="1"/>
  <c r="AT67" i="22" s="1"/>
  <c r="A90" i="1"/>
  <c r="AL89" i="1"/>
  <c r="AM88" i="1"/>
  <c r="AG88" i="1"/>
  <c r="AL66" i="22" s="1"/>
  <c r="AZ66" i="22" s="1"/>
  <c r="AH88" i="1"/>
  <c r="AM66" i="22" s="1"/>
  <c r="BA66" i="22" s="1"/>
  <c r="AI88" i="1"/>
  <c r="AP66" i="22" s="1"/>
  <c r="AK88" i="1"/>
  <c r="AL88" i="1"/>
  <c r="AK65" i="22" l="1"/>
  <c r="BD66" i="22"/>
  <c r="B89" i="1"/>
  <c r="AJ90" i="1"/>
  <c r="AM89" i="1"/>
  <c r="AG89" i="1"/>
  <c r="AL67" i="22" s="1"/>
  <c r="AZ67" i="22" s="1"/>
  <c r="AH89" i="1"/>
  <c r="AM67" i="22" s="1"/>
  <c r="BA67" i="22" s="1"/>
  <c r="AI89" i="1"/>
  <c r="AP67" i="22" s="1"/>
  <c r="AK89" i="1"/>
  <c r="A91" i="1"/>
  <c r="AL90" i="1"/>
  <c r="AK66" i="22" l="1"/>
  <c r="BD67" i="22"/>
  <c r="B91" i="1"/>
  <c r="AJ91" i="1"/>
  <c r="AR68" i="22" s="1"/>
  <c r="AT68" i="22" s="1"/>
  <c r="AM90" i="1"/>
  <c r="AG90" i="1"/>
  <c r="AH90" i="1"/>
  <c r="AI90" i="1"/>
  <c r="AK90" i="1"/>
  <c r="AM91" i="1" l="1"/>
  <c r="AG91" i="1"/>
  <c r="AL68" i="22" s="1"/>
  <c r="AZ68" i="22" s="1"/>
  <c r="AH91" i="1"/>
  <c r="AM68" i="22" s="1"/>
  <c r="BA68" i="22" s="1"/>
  <c r="AI91" i="1"/>
  <c r="AP68" i="22" s="1"/>
  <c r="AK91" i="1"/>
  <c r="A92" i="1"/>
  <c r="AJ92" i="1"/>
  <c r="AM92" i="1" s="1"/>
  <c r="BD68" i="22" l="1"/>
  <c r="AG92" i="1"/>
  <c r="AH92" i="1"/>
  <c r="AI92" i="1"/>
  <c r="AK92" i="1"/>
  <c r="AT92" i="1"/>
  <c r="AU92" i="1" s="1"/>
  <c r="AW92" i="1" s="1"/>
  <c r="A93" i="1"/>
  <c r="AL92" i="1"/>
  <c r="AJ93" i="1"/>
  <c r="AR69" i="22" s="1"/>
  <c r="AT69" i="22" s="1"/>
  <c r="B93" i="1" l="1"/>
  <c r="AM93" i="1"/>
  <c r="AG93" i="1"/>
  <c r="AL69" i="22" s="1"/>
  <c r="AZ69" i="22" s="1"/>
  <c r="AH93" i="1"/>
  <c r="AM69" i="22" s="1"/>
  <c r="BA69" i="22" s="1"/>
  <c r="AI93" i="1"/>
  <c r="AP69" i="22" s="1"/>
  <c r="AK93" i="1"/>
  <c r="A94" i="1"/>
  <c r="AJ94" i="1"/>
  <c r="AM94" i="1" s="1"/>
  <c r="BD69" i="22" l="1"/>
  <c r="AG94" i="1"/>
  <c r="AH94" i="1"/>
  <c r="AI94" i="1"/>
  <c r="AK94" i="1"/>
  <c r="AT94" i="1"/>
  <c r="AU94" i="1" s="1"/>
  <c r="AW94" i="1" s="1"/>
  <c r="A95" i="1"/>
  <c r="AL94" i="1"/>
  <c r="AJ95" i="1"/>
  <c r="AR70" i="22" s="1"/>
  <c r="AT70" i="22" s="1"/>
  <c r="B95" i="1" l="1"/>
  <c r="AM95" i="1"/>
  <c r="AG95" i="1"/>
  <c r="AL70" i="22" s="1"/>
  <c r="AZ70" i="22" s="1"/>
  <c r="AH95" i="1"/>
  <c r="AM70" i="22" s="1"/>
  <c r="BA70" i="22" s="1"/>
  <c r="AI95" i="1"/>
  <c r="AP70" i="22" s="1"/>
  <c r="AK95" i="1"/>
  <c r="A96" i="1"/>
  <c r="BD70" i="22" l="1"/>
  <c r="B96" i="1"/>
  <c r="AJ96" i="1"/>
  <c r="AR71" i="22" s="1"/>
  <c r="AT71" i="22" s="1"/>
  <c r="A97" i="1"/>
  <c r="AL96" i="1"/>
  <c r="AJ97" i="1"/>
  <c r="AR72" i="22" s="1"/>
  <c r="AT72" i="22" s="1"/>
  <c r="B97" i="1" l="1"/>
  <c r="AM96" i="1"/>
  <c r="AM97" i="1" s="1"/>
  <c r="AG96" i="1"/>
  <c r="AL71" i="22" s="1"/>
  <c r="AZ71" i="22" s="1"/>
  <c r="AH96" i="1"/>
  <c r="AM71" i="22" s="1"/>
  <c r="BA71" i="22" s="1"/>
  <c r="AI96" i="1"/>
  <c r="AP71" i="22" s="1"/>
  <c r="AK96" i="1"/>
  <c r="AT96" i="1"/>
  <c r="AU96" i="1" s="1"/>
  <c r="AG97" i="1"/>
  <c r="AL72" i="22" s="1"/>
  <c r="AZ72" i="22" s="1"/>
  <c r="AH97" i="1"/>
  <c r="AM72" i="22" s="1"/>
  <c r="BA72" i="22" s="1"/>
  <c r="AI97" i="1"/>
  <c r="AP72" i="22" s="1"/>
  <c r="AK97" i="1"/>
  <c r="A98" i="1"/>
  <c r="AJ98" i="1"/>
  <c r="AW96" i="1" l="1"/>
  <c r="AK71" i="22"/>
  <c r="BD72" i="22"/>
  <c r="AK70" i="22"/>
  <c r="BD71" i="22"/>
  <c r="AM98" i="1"/>
  <c r="AG98" i="1"/>
  <c r="AH98" i="1"/>
  <c r="AI98" i="1"/>
  <c r="AK98" i="1"/>
  <c r="AT98" i="1"/>
  <c r="AU98" i="1" s="1"/>
  <c r="AW98" i="1" s="1"/>
  <c r="A99" i="1"/>
  <c r="AL98" i="1"/>
  <c r="B99" i="1" l="1"/>
  <c r="AJ99" i="1"/>
  <c r="AR73" i="22" s="1"/>
  <c r="AT73" i="22" s="1"/>
  <c r="A100" i="1"/>
  <c r="B100" i="1" l="1"/>
  <c r="AG99" i="1"/>
  <c r="AL73" i="22" s="1"/>
  <c r="AZ73" i="22" s="1"/>
  <c r="AH99" i="1"/>
  <c r="AM73" i="22" s="1"/>
  <c r="BA73" i="22" s="1"/>
  <c r="AI99" i="1"/>
  <c r="AP73" i="22" s="1"/>
  <c r="AK99" i="1"/>
  <c r="AT99" i="1"/>
  <c r="AU99" i="1" s="1"/>
  <c r="AJ100" i="1"/>
  <c r="AR74" i="22" s="1"/>
  <c r="AT74" i="22" s="1"/>
  <c r="A101" i="1"/>
  <c r="AW99" i="1" l="1"/>
  <c r="AK72" i="22"/>
  <c r="BD73" i="22"/>
  <c r="AM100" i="1"/>
  <c r="AJ101" i="1"/>
  <c r="AG100" i="1"/>
  <c r="AL74" i="22" s="1"/>
  <c r="AZ74" i="22" s="1"/>
  <c r="AH100" i="1"/>
  <c r="AM74" i="22" s="1"/>
  <c r="BA74" i="22" s="1"/>
  <c r="AI100" i="1"/>
  <c r="AP74" i="22" s="1"/>
  <c r="AK100" i="1"/>
  <c r="A102" i="1"/>
  <c r="AL101" i="1"/>
  <c r="AK73" i="22" l="1"/>
  <c r="BD74" i="22"/>
  <c r="B102" i="1"/>
  <c r="AM101" i="1"/>
  <c r="AJ102" i="1"/>
  <c r="AR75" i="22" s="1"/>
  <c r="AT75" i="22" s="1"/>
  <c r="AG101" i="1"/>
  <c r="AH101" i="1"/>
  <c r="AI101" i="1"/>
  <c r="AK101" i="1"/>
  <c r="AT101" i="1"/>
  <c r="AU101" i="1" s="1"/>
  <c r="AW101" i="1" s="1"/>
  <c r="A103" i="1"/>
  <c r="AM102" i="1" l="1"/>
  <c r="AJ103" i="1"/>
  <c r="AG102" i="1"/>
  <c r="AL75" i="22" s="1"/>
  <c r="AZ75" i="22" s="1"/>
  <c r="AH102" i="1"/>
  <c r="AM75" i="22" s="1"/>
  <c r="BA75" i="22" s="1"/>
  <c r="AI102" i="1"/>
  <c r="AP75" i="22" s="1"/>
  <c r="AK102" i="1"/>
  <c r="A104" i="1"/>
  <c r="AL103" i="1"/>
  <c r="AT48" i="1"/>
  <c r="AU48" i="1" s="1"/>
  <c r="AT29" i="1"/>
  <c r="AU29" i="1" s="1"/>
  <c r="AT31" i="1"/>
  <c r="AU31" i="1" s="1"/>
  <c r="AT25" i="1"/>
  <c r="AU25" i="1" s="1"/>
  <c r="AT26" i="1"/>
  <c r="AU26" i="1" s="1"/>
  <c r="BD75" i="22" l="1"/>
  <c r="B104" i="1"/>
  <c r="AJ104" i="1"/>
  <c r="AR76" i="22" s="1"/>
  <c r="AT76" i="22" s="1"/>
  <c r="AM103" i="1"/>
  <c r="AG103" i="1"/>
  <c r="AH103" i="1"/>
  <c r="AI103" i="1"/>
  <c r="AK103" i="1"/>
  <c r="A105" i="1"/>
  <c r="AW31" i="1"/>
  <c r="AW26" i="1"/>
  <c r="AW25" i="1"/>
  <c r="AW29" i="1"/>
  <c r="AW48" i="1"/>
  <c r="AG104" i="1" l="1"/>
  <c r="AL76" i="22" s="1"/>
  <c r="AZ76" i="22" s="1"/>
  <c r="AH104" i="1"/>
  <c r="AM76" i="22" s="1"/>
  <c r="BA76" i="22" s="1"/>
  <c r="AI104" i="1"/>
  <c r="AP76" i="22" s="1"/>
  <c r="AK104" i="1"/>
  <c r="AT104" i="1"/>
  <c r="AU104" i="1" s="1"/>
  <c r="AJ105" i="1"/>
  <c r="A106" i="1"/>
  <c r="AW104" i="1" l="1"/>
  <c r="BD76" i="22"/>
  <c r="B106" i="1"/>
  <c r="AJ106" i="1"/>
  <c r="AR77" i="22" s="1"/>
  <c r="AT77" i="22" s="1"/>
  <c r="AM105" i="1"/>
  <c r="AG105" i="1"/>
  <c r="AH105" i="1"/>
  <c r="AI105" i="1"/>
  <c r="AK105" i="1"/>
  <c r="A107" i="1"/>
  <c r="B107" i="1" l="1"/>
  <c r="AG106" i="1"/>
  <c r="AL77" i="22" s="1"/>
  <c r="AZ77" i="22" s="1"/>
  <c r="AH106" i="1"/>
  <c r="AM77" i="22" s="1"/>
  <c r="BA77" i="22" s="1"/>
  <c r="AI106" i="1"/>
  <c r="AP77" i="22" s="1"/>
  <c r="AK106" i="1"/>
  <c r="AT106" i="1"/>
  <c r="AU106" i="1" s="1"/>
  <c r="AJ107" i="1"/>
  <c r="AR78" i="22" s="1"/>
  <c r="AT78" i="22" s="1"/>
  <c r="A108" i="1"/>
  <c r="AW106" i="1" l="1"/>
  <c r="BD77" i="22"/>
  <c r="B108" i="1"/>
  <c r="AM107" i="1"/>
  <c r="AJ108" i="1"/>
  <c r="AR79" i="22" s="1"/>
  <c r="AT79" i="22" s="1"/>
  <c r="AG107" i="1"/>
  <c r="AL78" i="22" s="1"/>
  <c r="AZ78" i="22" s="1"/>
  <c r="AH107" i="1"/>
  <c r="AM78" i="22" s="1"/>
  <c r="BA78" i="22" s="1"/>
  <c r="AI107" i="1"/>
  <c r="AP78" i="22" s="1"/>
  <c r="AK107" i="1"/>
  <c r="A109" i="1"/>
  <c r="AL108" i="1"/>
  <c r="AK77" i="22" l="1"/>
  <c r="BD78" i="22"/>
  <c r="B109" i="1"/>
  <c r="AM108" i="1"/>
  <c r="AJ109" i="1"/>
  <c r="AR80" i="22" s="1"/>
  <c r="AT80" i="22" s="1"/>
  <c r="AG108" i="1"/>
  <c r="AL79" i="22" s="1"/>
  <c r="AZ79" i="22" s="1"/>
  <c r="AH108" i="1"/>
  <c r="AM79" i="22" s="1"/>
  <c r="BA79" i="22" s="1"/>
  <c r="AI108" i="1"/>
  <c r="AP79" i="22" s="1"/>
  <c r="AK108" i="1"/>
  <c r="A110" i="1"/>
  <c r="AL109" i="1"/>
  <c r="AK78" i="22" l="1"/>
  <c r="BD79" i="22"/>
  <c r="AM109" i="1"/>
  <c r="AG109" i="1"/>
  <c r="AL80" i="22" s="1"/>
  <c r="AZ80" i="22" s="1"/>
  <c r="AH109" i="1"/>
  <c r="AM80" i="22" s="1"/>
  <c r="BA80" i="22" s="1"/>
  <c r="AI109" i="1"/>
  <c r="AP80" i="22" s="1"/>
  <c r="AK109" i="1"/>
  <c r="AT109" i="1"/>
  <c r="AU109" i="1" s="1"/>
  <c r="AJ110" i="1"/>
  <c r="A111" i="1"/>
  <c r="AW109" i="1" l="1"/>
  <c r="AK79" i="22"/>
  <c r="BD80" i="22"/>
  <c r="B111" i="1"/>
  <c r="AM110" i="1"/>
  <c r="AJ111" i="1"/>
  <c r="AR81" i="22" s="1"/>
  <c r="AT81" i="22" s="1"/>
  <c r="AG110" i="1"/>
  <c r="AH110" i="1"/>
  <c r="AI110" i="1"/>
  <c r="AK110" i="1"/>
  <c r="A112" i="1"/>
  <c r="B112" i="1" l="1"/>
  <c r="AM111" i="1"/>
  <c r="AJ112" i="1"/>
  <c r="AR82" i="22" s="1"/>
  <c r="AT82" i="22" s="1"/>
  <c r="AG111" i="1"/>
  <c r="AL81" i="22" s="1"/>
  <c r="AZ81" i="22" s="1"/>
  <c r="AH111" i="1"/>
  <c r="AM81" i="22" s="1"/>
  <c r="BA81" i="22" s="1"/>
  <c r="AI111" i="1"/>
  <c r="AP81" i="22" s="1"/>
  <c r="AK111" i="1"/>
  <c r="A113" i="1"/>
  <c r="AL112" i="1"/>
  <c r="BD81" i="22" l="1"/>
  <c r="B113" i="1"/>
  <c r="AM112" i="1"/>
  <c r="AJ113" i="1"/>
  <c r="AR83" i="22" s="1"/>
  <c r="AT83" i="22" s="1"/>
  <c r="AG112" i="1"/>
  <c r="AL82" i="22" s="1"/>
  <c r="AZ82" i="22" s="1"/>
  <c r="AH112" i="1"/>
  <c r="AM82" i="22" s="1"/>
  <c r="BA82" i="22" s="1"/>
  <c r="AI112" i="1"/>
  <c r="AP82" i="22" s="1"/>
  <c r="AK112" i="1"/>
  <c r="A114" i="1"/>
  <c r="AL113" i="1"/>
  <c r="AK81" i="22" l="1"/>
  <c r="BD82" i="22"/>
  <c r="B114" i="1"/>
  <c r="AJ114" i="1"/>
  <c r="AR84" i="22" s="1"/>
  <c r="AT84" i="22" s="1"/>
  <c r="AM113" i="1"/>
  <c r="AG113" i="1"/>
  <c r="AL83" i="22" s="1"/>
  <c r="AZ83" i="22" s="1"/>
  <c r="AH113" i="1"/>
  <c r="AM83" i="22" s="1"/>
  <c r="BA83" i="22" s="1"/>
  <c r="AI113" i="1"/>
  <c r="AP83" i="22" s="1"/>
  <c r="AK113" i="1"/>
  <c r="A115" i="1"/>
  <c r="AL114" i="1"/>
  <c r="AK82" i="22" l="1"/>
  <c r="BD83" i="22"/>
  <c r="AM114" i="1"/>
  <c r="AG114" i="1"/>
  <c r="AL84" i="22" s="1"/>
  <c r="AZ84" i="22" s="1"/>
  <c r="AH114" i="1"/>
  <c r="AM84" i="22" s="1"/>
  <c r="BA84" i="22" s="1"/>
  <c r="AI114" i="1"/>
  <c r="AP84" i="22" s="1"/>
  <c r="AK114" i="1"/>
  <c r="AJ115" i="1"/>
  <c r="A116" i="1"/>
  <c r="AK83" i="22" l="1"/>
  <c r="BD84" i="22"/>
  <c r="B116" i="1"/>
  <c r="AM115" i="1"/>
  <c r="AJ116" i="1"/>
  <c r="AR85" i="22" s="1"/>
  <c r="AT85" i="22" s="1"/>
  <c r="AG115" i="1"/>
  <c r="AH115" i="1"/>
  <c r="AI115" i="1"/>
  <c r="AK115" i="1"/>
  <c r="A117" i="1"/>
  <c r="B117" i="1" l="1"/>
  <c r="AJ117" i="1"/>
  <c r="AR86" i="22" s="1"/>
  <c r="AT86" i="22" s="1"/>
  <c r="AM116" i="1"/>
  <c r="AG116" i="1"/>
  <c r="AL85" i="22" s="1"/>
  <c r="AZ85" i="22" s="1"/>
  <c r="AH116" i="1"/>
  <c r="AM85" i="22" s="1"/>
  <c r="BA85" i="22" s="1"/>
  <c r="AI116" i="1"/>
  <c r="AP85" i="22" s="1"/>
  <c r="AK116" i="1"/>
  <c r="A118" i="1"/>
  <c r="AL117" i="1"/>
  <c r="BD85" i="22" l="1"/>
  <c r="B118" i="1"/>
  <c r="AM117" i="1"/>
  <c r="AG117" i="1"/>
  <c r="AL86" i="22" s="1"/>
  <c r="AZ86" i="22" s="1"/>
  <c r="AH117" i="1"/>
  <c r="AM86" i="22" s="1"/>
  <c r="BA86" i="22" s="1"/>
  <c r="AI117" i="1"/>
  <c r="AP86" i="22" s="1"/>
  <c r="AK117" i="1"/>
  <c r="AJ118" i="1"/>
  <c r="AR87" i="22" s="1"/>
  <c r="AT87" i="22" s="1"/>
  <c r="A119" i="1"/>
  <c r="AR7" i="1"/>
  <c r="AT7" i="1" s="1"/>
  <c r="AU7" i="1" s="1"/>
  <c r="AR26" i="1"/>
  <c r="AK85" i="22" l="1"/>
  <c r="BD86" i="22"/>
  <c r="B119" i="1"/>
  <c r="AJ119" i="1"/>
  <c r="AR88" i="22" s="1"/>
  <c r="AT88" i="22" s="1"/>
  <c r="AM118" i="1"/>
  <c r="AG118" i="1"/>
  <c r="AL87" i="22" s="1"/>
  <c r="AZ87" i="22" s="1"/>
  <c r="AH118" i="1"/>
  <c r="AM87" i="22" s="1"/>
  <c r="BA87" i="22" s="1"/>
  <c r="AI118" i="1"/>
  <c r="AP87" i="22" s="1"/>
  <c r="AK118" i="1"/>
  <c r="A120" i="1"/>
  <c r="AL119" i="1"/>
  <c r="AT21" i="1"/>
  <c r="AU21" i="1" s="1"/>
  <c r="AW7" i="1"/>
  <c r="AT23" i="1"/>
  <c r="AU23" i="1" s="1"/>
  <c r="AK86" i="22" l="1"/>
  <c r="BD87" i="22"/>
  <c r="B120" i="1"/>
  <c r="AM119" i="1"/>
  <c r="AG119" i="1"/>
  <c r="AL88" i="22" s="1"/>
  <c r="AZ88" i="22" s="1"/>
  <c r="AH119" i="1"/>
  <c r="AM88" i="22" s="1"/>
  <c r="BA88" i="22" s="1"/>
  <c r="AI119" i="1"/>
  <c r="AP88" i="22" s="1"/>
  <c r="AK119" i="1"/>
  <c r="AJ120" i="1"/>
  <c r="AR89" i="22" s="1"/>
  <c r="AT89" i="22" s="1"/>
  <c r="A121" i="1"/>
  <c r="AW23" i="1"/>
  <c r="AW21" i="1"/>
  <c r="AK87" i="22" l="1"/>
  <c r="BD88" i="22"/>
  <c r="B121" i="1"/>
  <c r="AJ121" i="1"/>
  <c r="AR90" i="22" s="1"/>
  <c r="AT90" i="22" s="1"/>
  <c r="AM120" i="1"/>
  <c r="AG120" i="1"/>
  <c r="AL89" i="22" s="1"/>
  <c r="AZ89" i="22" s="1"/>
  <c r="AH120" i="1"/>
  <c r="AM89" i="22" s="1"/>
  <c r="BA89" i="22" s="1"/>
  <c r="AI120" i="1"/>
  <c r="AP89" i="22" s="1"/>
  <c r="AK120" i="1"/>
  <c r="A122" i="1"/>
  <c r="AL121" i="1"/>
  <c r="AK88" i="22" l="1"/>
  <c r="BD89" i="22"/>
  <c r="B122" i="1"/>
  <c r="AM121" i="1"/>
  <c r="AG121" i="1"/>
  <c r="AL90" i="22" s="1"/>
  <c r="AZ90" i="22" s="1"/>
  <c r="AH121" i="1"/>
  <c r="AM90" i="22" s="1"/>
  <c r="BA90" i="22" s="1"/>
  <c r="AI121" i="1"/>
  <c r="AP90" i="22" s="1"/>
  <c r="AK121" i="1"/>
  <c r="AJ122" i="1"/>
  <c r="AR91" i="22" s="1"/>
  <c r="AT91" i="22" s="1"/>
  <c r="A123" i="1"/>
  <c r="AK89" i="22" l="1"/>
  <c r="BD90" i="22"/>
  <c r="B123" i="1"/>
  <c r="AM122" i="1"/>
  <c r="AJ123" i="1"/>
  <c r="AR92" i="22" s="1"/>
  <c r="AT92" i="22" s="1"/>
  <c r="AG122" i="1"/>
  <c r="AL91" i="22" s="1"/>
  <c r="AZ91" i="22" s="1"/>
  <c r="AH122" i="1"/>
  <c r="AM91" i="22" s="1"/>
  <c r="BA91" i="22" s="1"/>
  <c r="AI122" i="1"/>
  <c r="AP91" i="22" s="1"/>
  <c r="AK122" i="1"/>
  <c r="A124" i="1"/>
  <c r="AL123" i="1"/>
  <c r="AK90" i="22" l="1"/>
  <c r="BD91" i="22"/>
  <c r="B124" i="1"/>
  <c r="AM123" i="1"/>
  <c r="AJ124" i="1"/>
  <c r="AR93" i="22" s="1"/>
  <c r="AT93" i="22" s="1"/>
  <c r="AG123" i="1"/>
  <c r="AL92" i="22" s="1"/>
  <c r="AZ92" i="22" s="1"/>
  <c r="AH123" i="1"/>
  <c r="AM92" i="22" s="1"/>
  <c r="BA92" i="22" s="1"/>
  <c r="AI123" i="1"/>
  <c r="AP92" i="22" s="1"/>
  <c r="AK123" i="1"/>
  <c r="A125" i="1"/>
  <c r="AL124" i="1"/>
  <c r="AK91" i="22" l="1"/>
  <c r="BD92" i="22"/>
  <c r="B125" i="1"/>
  <c r="AM124" i="1"/>
  <c r="AJ125" i="1"/>
  <c r="AR94" i="22" s="1"/>
  <c r="AT94" i="22" s="1"/>
  <c r="AG124" i="1"/>
  <c r="AL93" i="22" s="1"/>
  <c r="AZ93" i="22" s="1"/>
  <c r="AH124" i="1"/>
  <c r="AM93" i="22" s="1"/>
  <c r="BA93" i="22" s="1"/>
  <c r="AI124" i="1"/>
  <c r="AP93" i="22" s="1"/>
  <c r="AK124" i="1"/>
  <c r="A126" i="1"/>
  <c r="AL125" i="1"/>
  <c r="AK92" i="22" l="1"/>
  <c r="BD93" i="22"/>
  <c r="B126" i="1"/>
  <c r="AM125" i="1"/>
  <c r="AJ126" i="1"/>
  <c r="AR95" i="22" s="1"/>
  <c r="AT95" i="22" s="1"/>
  <c r="AG125" i="1"/>
  <c r="AL94" i="22" s="1"/>
  <c r="AZ94" i="22" s="1"/>
  <c r="AH125" i="1"/>
  <c r="AM94" i="22" s="1"/>
  <c r="BA94" i="22" s="1"/>
  <c r="AI125" i="1"/>
  <c r="AP94" i="22" s="1"/>
  <c r="AK125" i="1"/>
  <c r="A127" i="1"/>
  <c r="AL126" i="1"/>
  <c r="AT6" i="1"/>
  <c r="AU6" i="1" s="1"/>
  <c r="AT35" i="1"/>
  <c r="AU35" i="1" s="1"/>
  <c r="AT27" i="1"/>
  <c r="AU27" i="1" s="1"/>
  <c r="AT22" i="1"/>
  <c r="AU22" i="1" s="1"/>
  <c r="AT36" i="1"/>
  <c r="AU36" i="1" s="1"/>
  <c r="AT44" i="1"/>
  <c r="AU44" i="1" s="1"/>
  <c r="AT38" i="1"/>
  <c r="AU38" i="1" s="1"/>
  <c r="AT4" i="1"/>
  <c r="AU4" i="1" s="1"/>
  <c r="AT37" i="1"/>
  <c r="AU37" i="1" s="1"/>
  <c r="AT30" i="1"/>
  <c r="AU30" i="1" s="1"/>
  <c r="AT24" i="1"/>
  <c r="AU24" i="1" s="1"/>
  <c r="AT20" i="1"/>
  <c r="AU20" i="1" s="1"/>
  <c r="AT33" i="1"/>
  <c r="AU33" i="1" s="1"/>
  <c r="AT46" i="1"/>
  <c r="AU46" i="1" s="1"/>
  <c r="AT40" i="1"/>
  <c r="AU40" i="1" s="1"/>
  <c r="AT34" i="1"/>
  <c r="AU34" i="1" s="1"/>
  <c r="AT28" i="1"/>
  <c r="AU28" i="1" s="1"/>
  <c r="AT13" i="1"/>
  <c r="AU13" i="1" s="1"/>
  <c r="AT16" i="1"/>
  <c r="AU16" i="1" s="1"/>
  <c r="AT12" i="1"/>
  <c r="AU12" i="1" s="1"/>
  <c r="AT50" i="1"/>
  <c r="AU50" i="1" s="1"/>
  <c r="AK93" i="22" l="1"/>
  <c r="BD94" i="22"/>
  <c r="B127" i="1"/>
  <c r="AJ127" i="1"/>
  <c r="AR96" i="22" s="1"/>
  <c r="AT96" i="22" s="1"/>
  <c r="AM126" i="1"/>
  <c r="AG126" i="1"/>
  <c r="AL95" i="22" s="1"/>
  <c r="AZ95" i="22" s="1"/>
  <c r="AH126" i="1"/>
  <c r="AM95" i="22" s="1"/>
  <c r="BA95" i="22" s="1"/>
  <c r="AI126" i="1"/>
  <c r="AP95" i="22" s="1"/>
  <c r="AK126" i="1"/>
  <c r="A128" i="1"/>
  <c r="AL127" i="1"/>
  <c r="AW50" i="1"/>
  <c r="AW12" i="1"/>
  <c r="AW16" i="1"/>
  <c r="AW13" i="1"/>
  <c r="AW28" i="1"/>
  <c r="AW34" i="1"/>
  <c r="AW40" i="1"/>
  <c r="AW46" i="1"/>
  <c r="AW33" i="1"/>
  <c r="AW20" i="1"/>
  <c r="AW24" i="1"/>
  <c r="AW30" i="1"/>
  <c r="AW37" i="1"/>
  <c r="AW4" i="1"/>
  <c r="AW38" i="1"/>
  <c r="AW44" i="1"/>
  <c r="AW36" i="1"/>
  <c r="AW22" i="1"/>
  <c r="AW27" i="1"/>
  <c r="AW35" i="1"/>
  <c r="AW6" i="1"/>
  <c r="AK94" i="22" l="1"/>
  <c r="BD95" i="22"/>
  <c r="AM127" i="1"/>
  <c r="AG127" i="1"/>
  <c r="AL96" i="22" s="1"/>
  <c r="AZ96" i="22" s="1"/>
  <c r="AH127" i="1"/>
  <c r="AM96" i="22" s="1"/>
  <c r="BA96" i="22" s="1"/>
  <c r="AI127" i="1"/>
  <c r="AP96" i="22" s="1"/>
  <c r="AK127" i="1"/>
  <c r="AJ128" i="1"/>
  <c r="A129" i="1"/>
  <c r="AK95" i="22" l="1"/>
  <c r="BD96" i="22"/>
  <c r="B129" i="1"/>
  <c r="AM128" i="1"/>
  <c r="AJ129" i="1"/>
  <c r="AR97" i="22" s="1"/>
  <c r="AT97" i="22" s="1"/>
  <c r="AG128" i="1"/>
  <c r="AH128" i="1"/>
  <c r="AI128" i="1"/>
  <c r="AK128" i="1"/>
  <c r="A130" i="1"/>
  <c r="B130" i="1" l="1"/>
  <c r="AM129" i="1"/>
  <c r="AJ130" i="1"/>
  <c r="AR98" i="22" s="1"/>
  <c r="AT98" i="22" s="1"/>
  <c r="AG129" i="1"/>
  <c r="AL97" i="22" s="1"/>
  <c r="AZ97" i="22" s="1"/>
  <c r="AH129" i="1"/>
  <c r="AM97" i="22" s="1"/>
  <c r="BA97" i="22" s="1"/>
  <c r="AI129" i="1"/>
  <c r="AP97" i="22" s="1"/>
  <c r="AK129" i="1"/>
  <c r="A131" i="1"/>
  <c r="AL130" i="1"/>
  <c r="BD97" i="22" l="1"/>
  <c r="B131" i="1"/>
  <c r="AM130" i="1"/>
  <c r="AJ131" i="1"/>
  <c r="AR99" i="22" s="1"/>
  <c r="AT99" i="22" s="1"/>
  <c r="AG130" i="1"/>
  <c r="AL98" i="22" s="1"/>
  <c r="AZ98" i="22" s="1"/>
  <c r="AH130" i="1"/>
  <c r="AM98" i="22" s="1"/>
  <c r="BA98" i="22" s="1"/>
  <c r="AI130" i="1"/>
  <c r="AP98" i="22" s="1"/>
  <c r="AK130" i="1"/>
  <c r="A132" i="1"/>
  <c r="AL131" i="1"/>
  <c r="AK97" i="22" l="1"/>
  <c r="BD98" i="22"/>
  <c r="B132" i="1"/>
  <c r="AM131" i="1"/>
  <c r="AJ132" i="1"/>
  <c r="AR100" i="22" s="1"/>
  <c r="AT100" i="22" s="1"/>
  <c r="AG131" i="1"/>
  <c r="AL99" i="22" s="1"/>
  <c r="AZ99" i="22" s="1"/>
  <c r="AH131" i="1"/>
  <c r="AM99" i="22" s="1"/>
  <c r="BA99" i="22" s="1"/>
  <c r="AI131" i="1"/>
  <c r="AP99" i="22" s="1"/>
  <c r="AK131" i="1"/>
  <c r="A133" i="1"/>
  <c r="AL132" i="1"/>
  <c r="AK98" i="22" l="1"/>
  <c r="BD99" i="22"/>
  <c r="B133" i="1"/>
  <c r="AJ133" i="1"/>
  <c r="AR101" i="22" s="1"/>
  <c r="AT101" i="22" s="1"/>
  <c r="AM132" i="1"/>
  <c r="AG132" i="1"/>
  <c r="AL100" i="22" s="1"/>
  <c r="AZ100" i="22" s="1"/>
  <c r="AH132" i="1"/>
  <c r="AM100" i="22" s="1"/>
  <c r="BA100" i="22" s="1"/>
  <c r="AI132" i="1"/>
  <c r="AP100" i="22" s="1"/>
  <c r="AK132" i="1"/>
  <c r="A134" i="1"/>
  <c r="AL133" i="1"/>
  <c r="AK99" i="22" l="1"/>
  <c r="BD100" i="22"/>
  <c r="B134" i="1"/>
  <c r="AM133" i="1"/>
  <c r="AG133" i="1"/>
  <c r="AL101" i="22" s="1"/>
  <c r="AZ101" i="22" s="1"/>
  <c r="AH133" i="1"/>
  <c r="AM101" i="22" s="1"/>
  <c r="BA101" i="22" s="1"/>
  <c r="AI133" i="1"/>
  <c r="AP101" i="22" s="1"/>
  <c r="AK133" i="1"/>
  <c r="AJ134" i="1"/>
  <c r="AR102" i="22" s="1"/>
  <c r="AT102" i="22" s="1"/>
  <c r="A135" i="1"/>
  <c r="AK100" i="22" l="1"/>
  <c r="BD101" i="22"/>
  <c r="B135" i="1"/>
  <c r="AM134" i="1"/>
  <c r="AJ135" i="1"/>
  <c r="AR103" i="22" s="1"/>
  <c r="AT103" i="22" s="1"/>
  <c r="AG134" i="1"/>
  <c r="AL102" i="22" s="1"/>
  <c r="AZ102" i="22" s="1"/>
  <c r="AH134" i="1"/>
  <c r="AM102" i="22" s="1"/>
  <c r="BA102" i="22" s="1"/>
  <c r="AI134" i="1"/>
  <c r="AP102" i="22" s="1"/>
  <c r="AK134" i="1"/>
  <c r="A136" i="1"/>
  <c r="AL135" i="1"/>
  <c r="AK101" i="22" l="1"/>
  <c r="BD102" i="22"/>
  <c r="B136" i="1"/>
  <c r="AJ136" i="1"/>
  <c r="AR104" i="22" s="1"/>
  <c r="AT104" i="22" s="1"/>
  <c r="AM135" i="1"/>
  <c r="AG135" i="1"/>
  <c r="AL103" i="22" s="1"/>
  <c r="AZ103" i="22" s="1"/>
  <c r="AH135" i="1"/>
  <c r="AM103" i="22" s="1"/>
  <c r="BA103" i="22" s="1"/>
  <c r="AI135" i="1"/>
  <c r="AP103" i="22" s="1"/>
  <c r="AK135" i="1"/>
  <c r="A137" i="1"/>
  <c r="AL136" i="1"/>
  <c r="AK102" i="22" l="1"/>
  <c r="BD103" i="22"/>
  <c r="B137" i="1"/>
  <c r="AM136" i="1"/>
  <c r="AG136" i="1"/>
  <c r="AL104" i="22" s="1"/>
  <c r="AZ104" i="22" s="1"/>
  <c r="AH136" i="1"/>
  <c r="AM104" i="22" s="1"/>
  <c r="BA104" i="22" s="1"/>
  <c r="AI136" i="1"/>
  <c r="AP104" i="22" s="1"/>
  <c r="AK136" i="1"/>
  <c r="AT136" i="1"/>
  <c r="AU136" i="1" s="1"/>
  <c r="AJ137" i="1"/>
  <c r="AR105" i="22" s="1"/>
  <c r="AT105" i="22" s="1"/>
  <c r="AG137" i="1"/>
  <c r="AL105" i="22" s="1"/>
  <c r="AZ105" i="22" s="1"/>
  <c r="AH137" i="1"/>
  <c r="AM105" i="22" s="1"/>
  <c r="BA105" i="22" s="1"/>
  <c r="AI137" i="1"/>
  <c r="AP105" i="22" s="1"/>
  <c r="AK137" i="1"/>
  <c r="A138" i="1"/>
  <c r="AW136" i="1" l="1"/>
  <c r="AK104" i="22"/>
  <c r="BD105" i="22"/>
  <c r="AK103" i="22"/>
  <c r="BD104" i="22"/>
  <c r="AM137" i="1"/>
  <c r="AJ138" i="1"/>
  <c r="A139" i="1"/>
  <c r="AL138" i="1"/>
  <c r="B139" i="1" l="1"/>
  <c r="AM138" i="1"/>
  <c r="AJ139" i="1"/>
  <c r="AR106" i="22" s="1"/>
  <c r="AT106" i="22" s="1"/>
  <c r="AG138" i="1"/>
  <c r="AH138" i="1"/>
  <c r="AI138" i="1"/>
  <c r="AK138" i="1"/>
  <c r="A140" i="1"/>
  <c r="B140" i="1" l="1"/>
  <c r="AM139" i="1"/>
  <c r="AJ140" i="1"/>
  <c r="AR107" i="22" s="1"/>
  <c r="AT107" i="22" s="1"/>
  <c r="AG139" i="1"/>
  <c r="AL106" i="22" s="1"/>
  <c r="AZ106" i="22" s="1"/>
  <c r="AH139" i="1"/>
  <c r="AM106" i="22" s="1"/>
  <c r="BA106" i="22" s="1"/>
  <c r="AI139" i="1"/>
  <c r="AP106" i="22" s="1"/>
  <c r="AK139" i="1"/>
  <c r="A141" i="1"/>
  <c r="AL140" i="1"/>
  <c r="BD106" i="22" l="1"/>
  <c r="AM140" i="1"/>
  <c r="AJ141" i="1"/>
  <c r="AG140" i="1"/>
  <c r="AL107" i="22" s="1"/>
  <c r="AZ107" i="22" s="1"/>
  <c r="AH140" i="1"/>
  <c r="AM107" i="22" s="1"/>
  <c r="BA107" i="22" s="1"/>
  <c r="AI140" i="1"/>
  <c r="AP107" i="22" s="1"/>
  <c r="AK140" i="1"/>
  <c r="A142" i="1"/>
  <c r="AL141" i="1"/>
  <c r="AK106" i="22" l="1"/>
  <c r="BD107" i="22"/>
  <c r="B142" i="1"/>
  <c r="AM141" i="1"/>
  <c r="AJ142" i="1"/>
  <c r="AR108" i="22" s="1"/>
  <c r="AT108" i="22" s="1"/>
  <c r="AG141" i="1"/>
  <c r="AH141" i="1"/>
  <c r="AI141" i="1"/>
  <c r="AK141" i="1"/>
  <c r="A143" i="1"/>
  <c r="AM142" i="1" l="1"/>
  <c r="AJ143" i="1"/>
  <c r="AG142" i="1"/>
  <c r="AL108" i="22" s="1"/>
  <c r="AZ108" i="22" s="1"/>
  <c r="AH142" i="1"/>
  <c r="AM108" i="22" s="1"/>
  <c r="BA108" i="22" s="1"/>
  <c r="AI142" i="1"/>
  <c r="AP108" i="22" s="1"/>
  <c r="AK142" i="1"/>
  <c r="A144" i="1"/>
  <c r="AL143" i="1"/>
  <c r="BD108" i="22" l="1"/>
  <c r="B144" i="1"/>
  <c r="AJ144" i="1"/>
  <c r="AR109" i="22" s="1"/>
  <c r="AT109" i="22" s="1"/>
  <c r="AM143" i="1"/>
  <c r="AG143" i="1"/>
  <c r="AH143" i="1"/>
  <c r="AI143" i="1"/>
  <c r="AK143" i="1"/>
  <c r="A145" i="1"/>
  <c r="B145" i="1" l="1"/>
  <c r="AG144" i="1"/>
  <c r="AL109" i="22" s="1"/>
  <c r="AZ109" i="22" s="1"/>
  <c r="AH144" i="1"/>
  <c r="AM109" i="22" s="1"/>
  <c r="BA109" i="22" s="1"/>
  <c r="AI144" i="1"/>
  <c r="AP109" i="22" s="1"/>
  <c r="AK144" i="1"/>
  <c r="AT144" i="1"/>
  <c r="AU144" i="1" s="1"/>
  <c r="AJ145" i="1"/>
  <c r="AR110" i="22" s="1"/>
  <c r="AT110" i="22" s="1"/>
  <c r="A146" i="1"/>
  <c r="AW144" i="1" l="1"/>
  <c r="BD109" i="22"/>
  <c r="B146" i="1"/>
  <c r="AM145" i="1"/>
  <c r="AJ146" i="1"/>
  <c r="AR111" i="22" s="1"/>
  <c r="AT111" i="22" s="1"/>
  <c r="AG145" i="1"/>
  <c r="AL110" i="22" s="1"/>
  <c r="AZ110" i="22" s="1"/>
  <c r="AH145" i="1"/>
  <c r="AM110" i="22" s="1"/>
  <c r="BA110" i="22" s="1"/>
  <c r="AI145" i="1"/>
  <c r="AP110" i="22" s="1"/>
  <c r="AK145" i="1"/>
  <c r="A147" i="1"/>
  <c r="AL146" i="1"/>
  <c r="AK109" i="22" l="1"/>
  <c r="BD110" i="22"/>
  <c r="AM146" i="1"/>
  <c r="AJ147" i="1"/>
  <c r="AG146" i="1"/>
  <c r="AL111" i="22" s="1"/>
  <c r="AZ111" i="22" s="1"/>
  <c r="AH146" i="1"/>
  <c r="AM111" i="22" s="1"/>
  <c r="BA111" i="22" s="1"/>
  <c r="AI146" i="1"/>
  <c r="AP111" i="22" s="1"/>
  <c r="AK146" i="1"/>
  <c r="A148" i="1"/>
  <c r="AL147" i="1"/>
  <c r="AK110" i="22" l="1"/>
  <c r="BD111" i="22"/>
  <c r="B148" i="1"/>
  <c r="AJ148" i="1"/>
  <c r="AR112" i="22" s="1"/>
  <c r="AT112" i="22" s="1"/>
  <c r="AM147" i="1"/>
  <c r="AG147" i="1"/>
  <c r="AH147" i="1"/>
  <c r="AI147" i="1"/>
  <c r="AK147" i="1"/>
  <c r="AT147" i="1"/>
  <c r="AU147" i="1" s="1"/>
  <c r="AW147" i="1" s="1"/>
  <c r="A149" i="1"/>
  <c r="B149" i="1" l="1"/>
  <c r="AG148" i="1"/>
  <c r="AL112" i="22" s="1"/>
  <c r="AZ112" i="22" s="1"/>
  <c r="AH148" i="1"/>
  <c r="AM112" i="22" s="1"/>
  <c r="BA112" i="22" s="1"/>
  <c r="AI148" i="1"/>
  <c r="AP112" i="22" s="1"/>
  <c r="AK148" i="1"/>
  <c r="AT148" i="1"/>
  <c r="AU148" i="1" s="1"/>
  <c r="AJ149" i="1"/>
  <c r="AR113" i="22" s="1"/>
  <c r="AT113" i="22" s="1"/>
  <c r="A150" i="1"/>
  <c r="AW148" i="1" l="1"/>
  <c r="BD112" i="22"/>
  <c r="B150" i="1"/>
  <c r="AM149" i="1"/>
  <c r="AJ150" i="1"/>
  <c r="AR114" i="22" s="1"/>
  <c r="AT114" i="22" s="1"/>
  <c r="AG149" i="1"/>
  <c r="AL113" i="22" s="1"/>
  <c r="AZ113" i="22" s="1"/>
  <c r="AH149" i="1"/>
  <c r="AM113" i="22" s="1"/>
  <c r="BA113" i="22" s="1"/>
  <c r="AI149" i="1"/>
  <c r="AP113" i="22" s="1"/>
  <c r="AK149" i="1"/>
  <c r="A151" i="1"/>
  <c r="AL150" i="1"/>
  <c r="AK112" i="22" l="1"/>
  <c r="BD113" i="22"/>
  <c r="B151" i="1"/>
  <c r="AM150" i="1"/>
  <c r="AJ151" i="1"/>
  <c r="AR115" i="22" s="1"/>
  <c r="AT115" i="22" s="1"/>
  <c r="AG150" i="1"/>
  <c r="AL114" i="22" s="1"/>
  <c r="AZ114" i="22" s="1"/>
  <c r="AH150" i="1"/>
  <c r="AM114" i="22" s="1"/>
  <c r="BA114" i="22" s="1"/>
  <c r="AI150" i="1"/>
  <c r="AP114" i="22" s="1"/>
  <c r="AK150" i="1"/>
  <c r="A152" i="1"/>
  <c r="AL151" i="1"/>
  <c r="AK113" i="22" l="1"/>
  <c r="BD114" i="22"/>
  <c r="B152" i="1"/>
  <c r="AM151" i="1"/>
  <c r="AJ152" i="1"/>
  <c r="AR116" i="22" s="1"/>
  <c r="AT116" i="22" s="1"/>
  <c r="AG151" i="1"/>
  <c r="AL115" i="22" s="1"/>
  <c r="AZ115" i="22" s="1"/>
  <c r="AH151" i="1"/>
  <c r="AM115" i="22" s="1"/>
  <c r="BA115" i="22" s="1"/>
  <c r="AI151" i="1"/>
  <c r="AP115" i="22" s="1"/>
  <c r="AK151" i="1"/>
  <c r="A153" i="1"/>
  <c r="AL152" i="1"/>
  <c r="AK114" i="22" l="1"/>
  <c r="BD115" i="22"/>
  <c r="B153" i="1"/>
  <c r="AM152" i="1"/>
  <c r="AL153" i="1"/>
  <c r="AJ153" i="1"/>
  <c r="AR117" i="22" s="1"/>
  <c r="AT117" i="22" s="1"/>
  <c r="AG152" i="1"/>
  <c r="AL116" i="22" s="1"/>
  <c r="AZ116" i="22" s="1"/>
  <c r="AH152" i="1"/>
  <c r="AM116" i="22" s="1"/>
  <c r="BA116" i="22" s="1"/>
  <c r="AI152" i="1"/>
  <c r="AP116" i="22" s="1"/>
  <c r="AK152" i="1"/>
  <c r="A154" i="1"/>
  <c r="AK115" i="22" l="1"/>
  <c r="BD116" i="22"/>
  <c r="B154" i="1"/>
  <c r="AM153" i="1"/>
  <c r="AG153" i="1"/>
  <c r="AL117" i="22" s="1"/>
  <c r="AZ117" i="22" s="1"/>
  <c r="AH153" i="1"/>
  <c r="AM117" i="22" s="1"/>
  <c r="BA117" i="22" s="1"/>
  <c r="AI153" i="1"/>
  <c r="AP117" i="22" s="1"/>
  <c r="AK153" i="1"/>
  <c r="AJ154" i="1"/>
  <c r="AR118" i="22" s="1"/>
  <c r="AT118" i="22" s="1"/>
  <c r="A155" i="1"/>
  <c r="AL154" i="1"/>
  <c r="AK116" i="22" l="1"/>
  <c r="BD117" i="22"/>
  <c r="B155" i="1"/>
  <c r="AM154" i="1"/>
  <c r="AJ155" i="1"/>
  <c r="AR119" i="22" s="1"/>
  <c r="AT119" i="22" s="1"/>
  <c r="AG154" i="1"/>
  <c r="AL118" i="22" s="1"/>
  <c r="AZ118" i="22" s="1"/>
  <c r="AH154" i="1"/>
  <c r="AM118" i="22" s="1"/>
  <c r="BA118" i="22" s="1"/>
  <c r="AI154" i="1"/>
  <c r="AP118" i="22" s="1"/>
  <c r="AK154" i="1"/>
  <c r="A156" i="1"/>
  <c r="AL155" i="1"/>
  <c r="AK117" i="22" l="1"/>
  <c r="BD118" i="22"/>
  <c r="B156" i="1"/>
  <c r="AM155" i="1"/>
  <c r="AJ156" i="1"/>
  <c r="AR120" i="22" s="1"/>
  <c r="AT120" i="22" s="1"/>
  <c r="AG155" i="1"/>
  <c r="AL119" i="22" s="1"/>
  <c r="AZ119" i="22" s="1"/>
  <c r="AH155" i="1"/>
  <c r="AM119" i="22" s="1"/>
  <c r="BA119" i="22" s="1"/>
  <c r="AI155" i="1"/>
  <c r="AP119" i="22" s="1"/>
  <c r="AK155" i="1"/>
  <c r="A157" i="1"/>
  <c r="AL156" i="1"/>
  <c r="AK118" i="22" l="1"/>
  <c r="BD119" i="22"/>
  <c r="AM156" i="1"/>
  <c r="AJ157" i="1"/>
  <c r="AG156" i="1"/>
  <c r="AL120" i="22" s="1"/>
  <c r="AZ120" i="22" s="1"/>
  <c r="AH156" i="1"/>
  <c r="AM120" i="22" s="1"/>
  <c r="BA120" i="22" s="1"/>
  <c r="AI156" i="1"/>
  <c r="AP120" i="22" s="1"/>
  <c r="AK156" i="1"/>
  <c r="A158" i="1"/>
  <c r="AL157" i="1"/>
  <c r="AK119" i="22" l="1"/>
  <c r="BD120" i="22"/>
  <c r="B158" i="1"/>
  <c r="AM157" i="1"/>
  <c r="AJ158" i="1"/>
  <c r="AR121" i="22" s="1"/>
  <c r="AT121" i="22" s="1"/>
  <c r="AG157" i="1"/>
  <c r="AH157" i="1"/>
  <c r="AI157" i="1"/>
  <c r="AK157" i="1"/>
  <c r="A159" i="1"/>
  <c r="AM158" i="1" l="1"/>
  <c r="AJ159" i="1"/>
  <c r="AG158" i="1"/>
  <c r="AL121" i="22" s="1"/>
  <c r="AZ121" i="22" s="1"/>
  <c r="AH158" i="1"/>
  <c r="AM121" i="22" s="1"/>
  <c r="BA121" i="22" s="1"/>
  <c r="AI158" i="1"/>
  <c r="AP121" i="22" s="1"/>
  <c r="AK158" i="1"/>
  <c r="A160" i="1"/>
  <c r="AL159" i="1"/>
  <c r="BD121" i="22" l="1"/>
  <c r="B160" i="1"/>
  <c r="AM159" i="1"/>
  <c r="AJ160" i="1"/>
  <c r="AG159" i="1"/>
  <c r="AH159" i="1"/>
  <c r="AI159" i="1"/>
  <c r="AK159" i="1"/>
  <c r="A161" i="1"/>
  <c r="AR5" i="22" l="1"/>
  <c r="AT5" i="22" s="1"/>
  <c r="AR122" i="22"/>
  <c r="AT122" i="22" s="1"/>
  <c r="B161" i="1"/>
  <c r="AJ161" i="1"/>
  <c r="AM160" i="1"/>
  <c r="AG160" i="1"/>
  <c r="AH160" i="1"/>
  <c r="AI160" i="1"/>
  <c r="AK160" i="1"/>
  <c r="A162" i="1"/>
  <c r="AL161" i="1"/>
  <c r="AP5" i="22" l="1"/>
  <c r="AP122" i="22"/>
  <c r="AM5" i="22"/>
  <c r="BA5" i="22" s="1"/>
  <c r="AM122" i="22"/>
  <c r="BA122" i="22" s="1"/>
  <c r="AL5" i="22"/>
  <c r="AZ5" i="22" s="1"/>
  <c r="AL122" i="22"/>
  <c r="AZ122" i="22" s="1"/>
  <c r="AR6" i="22"/>
  <c r="AT6" i="22" s="1"/>
  <c r="AR123" i="22"/>
  <c r="AT123" i="22" s="1"/>
  <c r="BD5" i="22"/>
  <c r="AM161" i="1"/>
  <c r="AG161" i="1"/>
  <c r="AH161" i="1"/>
  <c r="AI161" i="1"/>
  <c r="AK161" i="1"/>
  <c r="AT161" i="1"/>
  <c r="AU161" i="1" s="1"/>
  <c r="AJ162" i="1"/>
  <c r="A163" i="1"/>
  <c r="AW161" i="1" l="1"/>
  <c r="AP6" i="22"/>
  <c r="AP123" i="22"/>
  <c r="AM6" i="22"/>
  <c r="BA6" i="22" s="1"/>
  <c r="AM123" i="22"/>
  <c r="BA123" i="22" s="1"/>
  <c r="AL6" i="22"/>
  <c r="AZ6" i="22" s="1"/>
  <c r="AL123" i="22"/>
  <c r="AZ123" i="22" s="1"/>
  <c r="BD122" i="22"/>
  <c r="B163" i="1"/>
  <c r="BD6" i="22"/>
  <c r="AM162" i="1"/>
  <c r="AJ163" i="1"/>
  <c r="AG162" i="1"/>
  <c r="AH162" i="1"/>
  <c r="AI162" i="1"/>
  <c r="AK162" i="1"/>
  <c r="A164" i="1"/>
  <c r="AR7" i="22" l="1"/>
  <c r="AT7" i="22" s="1"/>
  <c r="AR124" i="22"/>
  <c r="AT124" i="22" s="1"/>
  <c r="AK122" i="22"/>
  <c r="BD123" i="22"/>
  <c r="B164" i="1"/>
  <c r="AM163" i="1"/>
  <c r="AJ164" i="1"/>
  <c r="AG163" i="1"/>
  <c r="AH163" i="1"/>
  <c r="AI163" i="1"/>
  <c r="AK163" i="1"/>
  <c r="A165" i="1"/>
  <c r="AL164" i="1"/>
  <c r="AP7" i="22" l="1"/>
  <c r="AP124" i="22"/>
  <c r="AM7" i="22"/>
  <c r="BA7" i="22" s="1"/>
  <c r="AM124" i="22"/>
  <c r="BA124" i="22" s="1"/>
  <c r="AL7" i="22"/>
  <c r="AZ7" i="22" s="1"/>
  <c r="AL124" i="22"/>
  <c r="AZ124" i="22" s="1"/>
  <c r="AR8" i="22"/>
  <c r="AT8" i="22" s="1"/>
  <c r="AR125" i="22"/>
  <c r="AT125" i="22" s="1"/>
  <c r="BD7" i="22"/>
  <c r="AM164" i="1"/>
  <c r="AJ165" i="1"/>
  <c r="AG164" i="1"/>
  <c r="AH164" i="1"/>
  <c r="AI164" i="1"/>
  <c r="AK164" i="1"/>
  <c r="A166" i="1"/>
  <c r="AL165" i="1"/>
  <c r="AP8" i="22" l="1"/>
  <c r="AP125" i="22"/>
  <c r="AM8" i="22"/>
  <c r="BA8" i="22" s="1"/>
  <c r="AM125" i="22"/>
  <c r="BA125" i="22" s="1"/>
  <c r="AL8" i="22"/>
  <c r="AZ8" i="22" s="1"/>
  <c r="AL125" i="22"/>
  <c r="AZ125" i="22" s="1"/>
  <c r="AK123" i="22"/>
  <c r="BD124" i="22"/>
  <c r="B166" i="1"/>
  <c r="BD8" i="22"/>
  <c r="AM165" i="1"/>
  <c r="AJ166" i="1"/>
  <c r="AG165" i="1"/>
  <c r="AH165" i="1"/>
  <c r="AI165" i="1"/>
  <c r="AK165" i="1"/>
  <c r="A167" i="1"/>
  <c r="AR9" i="22" l="1"/>
  <c r="AT9" i="22" s="1"/>
  <c r="AR126" i="22"/>
  <c r="AT126" i="22" s="1"/>
  <c r="AK124" i="22"/>
  <c r="BD125" i="22"/>
  <c r="B167" i="1"/>
  <c r="AM166" i="1"/>
  <c r="AJ167" i="1"/>
  <c r="AG166" i="1"/>
  <c r="AH166" i="1"/>
  <c r="AI166" i="1"/>
  <c r="AK166" i="1"/>
  <c r="A168" i="1"/>
  <c r="AL167" i="1"/>
  <c r="AP9" i="22" l="1"/>
  <c r="AP126" i="22"/>
  <c r="AM9" i="22"/>
  <c r="BA9" i="22" s="1"/>
  <c r="AM126" i="22"/>
  <c r="BA126" i="22" s="1"/>
  <c r="AL9" i="22"/>
  <c r="AZ9" i="22" s="1"/>
  <c r="AL126" i="22"/>
  <c r="AZ126" i="22" s="1"/>
  <c r="AR10" i="22"/>
  <c r="AT10" i="22" s="1"/>
  <c r="AR127" i="22"/>
  <c r="AT127" i="22" s="1"/>
  <c r="B168" i="1"/>
  <c r="BD9" i="22"/>
  <c r="AM167" i="1"/>
  <c r="AJ168" i="1"/>
  <c r="AG167" i="1"/>
  <c r="AH167" i="1"/>
  <c r="AI167" i="1"/>
  <c r="AK167" i="1"/>
  <c r="A169" i="1"/>
  <c r="AL168" i="1"/>
  <c r="AP10" i="22" l="1"/>
  <c r="AP127" i="22"/>
  <c r="AM10" i="22"/>
  <c r="BA10" i="22" s="1"/>
  <c r="AM127" i="22"/>
  <c r="BA127" i="22" s="1"/>
  <c r="AL10" i="22"/>
  <c r="AZ10" i="22" s="1"/>
  <c r="AL127" i="22"/>
  <c r="AZ127" i="22" s="1"/>
  <c r="AR11" i="22"/>
  <c r="AT11" i="22" s="1"/>
  <c r="AR128" i="22"/>
  <c r="AT128" i="22" s="1"/>
  <c r="BD126" i="22"/>
  <c r="BD10" i="22"/>
  <c r="AK9" i="22"/>
  <c r="AM168" i="1"/>
  <c r="AJ169" i="1"/>
  <c r="AG168" i="1"/>
  <c r="AH168" i="1"/>
  <c r="AI168" i="1"/>
  <c r="AK168" i="1"/>
  <c r="A170" i="1"/>
  <c r="AL169" i="1"/>
  <c r="AP11" i="22" l="1"/>
  <c r="AP128" i="22"/>
  <c r="AM11" i="22"/>
  <c r="BA11" i="22" s="1"/>
  <c r="AM128" i="22"/>
  <c r="BA128" i="22" s="1"/>
  <c r="AL11" i="22"/>
  <c r="AZ11" i="22" s="1"/>
  <c r="AL128" i="22"/>
  <c r="AZ128" i="22" s="1"/>
  <c r="AK126" i="22"/>
  <c r="BD127" i="22"/>
  <c r="B170" i="1"/>
  <c r="BD11" i="22"/>
  <c r="AM169" i="1"/>
  <c r="AJ170" i="1"/>
  <c r="AG169" i="1"/>
  <c r="AH169" i="1"/>
  <c r="AI169" i="1"/>
  <c r="AK169" i="1"/>
  <c r="A171" i="1"/>
  <c r="AR12" i="22" l="1"/>
  <c r="AT12" i="22" s="1"/>
  <c r="AR129" i="22"/>
  <c r="AT129" i="22" s="1"/>
  <c r="AK127" i="22"/>
  <c r="BD128" i="22"/>
  <c r="AM170" i="1"/>
  <c r="AJ171" i="1"/>
  <c r="AG170" i="1"/>
  <c r="AH170" i="1"/>
  <c r="AI170" i="1"/>
  <c r="AK170" i="1"/>
  <c r="A172" i="1"/>
  <c r="AL171" i="1"/>
  <c r="AP12" i="22" l="1"/>
  <c r="AP129" i="22"/>
  <c r="AM12" i="22"/>
  <c r="BA12" i="22" s="1"/>
  <c r="AM129" i="22"/>
  <c r="BA129" i="22" s="1"/>
  <c r="AL12" i="22"/>
  <c r="AZ12" i="22" s="1"/>
  <c r="AL129" i="22"/>
  <c r="AZ129" i="22" s="1"/>
  <c r="B172" i="1"/>
  <c r="BD12" i="22"/>
  <c r="AM171" i="1"/>
  <c r="AJ172" i="1"/>
  <c r="AG171" i="1"/>
  <c r="AH171" i="1"/>
  <c r="AI171" i="1"/>
  <c r="AK171" i="1"/>
  <c r="A173" i="1"/>
  <c r="AR13" i="22" l="1"/>
  <c r="AT13" i="22" s="1"/>
  <c r="AR130" i="22"/>
  <c r="AT130" i="22" s="1"/>
  <c r="BD129" i="22"/>
  <c r="B173" i="1"/>
  <c r="AM172" i="1"/>
  <c r="AJ173" i="1"/>
  <c r="AG172" i="1"/>
  <c r="AH172" i="1"/>
  <c r="AI172" i="1"/>
  <c r="AK172" i="1"/>
  <c r="A174" i="1"/>
  <c r="AL173" i="1"/>
  <c r="AP13" i="22" l="1"/>
  <c r="AP130" i="22"/>
  <c r="AM13" i="22"/>
  <c r="BA13" i="22" s="1"/>
  <c r="AM130" i="22"/>
  <c r="BA130" i="22" s="1"/>
  <c r="AL13" i="22"/>
  <c r="AZ13" i="22" s="1"/>
  <c r="AL130" i="22"/>
  <c r="AZ130" i="22" s="1"/>
  <c r="AR14" i="22"/>
  <c r="AT14" i="22" s="1"/>
  <c r="AR131" i="22"/>
  <c r="AT131" i="22" s="1"/>
  <c r="B174" i="1"/>
  <c r="BD13" i="22"/>
  <c r="AM173" i="1"/>
  <c r="AJ174" i="1"/>
  <c r="AG173" i="1"/>
  <c r="AH173" i="1"/>
  <c r="AI173" i="1"/>
  <c r="AK173" i="1"/>
  <c r="A175" i="1"/>
  <c r="AL174" i="1"/>
  <c r="AP14" i="22" l="1"/>
  <c r="AP131" i="22"/>
  <c r="AM14" i="22"/>
  <c r="BA14" i="22" s="1"/>
  <c r="AM131" i="22"/>
  <c r="BA131" i="22" s="1"/>
  <c r="AL14" i="22"/>
  <c r="AZ14" i="22" s="1"/>
  <c r="AL131" i="22"/>
  <c r="AZ131" i="22" s="1"/>
  <c r="AR15" i="22"/>
  <c r="AT15" i="22" s="1"/>
  <c r="AR132" i="22"/>
  <c r="AT132" i="22" s="1"/>
  <c r="BD130" i="22"/>
  <c r="B175" i="1"/>
  <c r="BD14" i="22"/>
  <c r="AM174" i="1"/>
  <c r="AJ175" i="1"/>
  <c r="AG174" i="1"/>
  <c r="AH174" i="1"/>
  <c r="AI174" i="1"/>
  <c r="AK174" i="1"/>
  <c r="A176" i="1"/>
  <c r="AL175" i="1"/>
  <c r="AP15" i="22" l="1"/>
  <c r="AP132" i="22"/>
  <c r="AM15" i="22"/>
  <c r="BA15" i="22" s="1"/>
  <c r="AM132" i="22"/>
  <c r="BA132" i="22" s="1"/>
  <c r="AL15" i="22"/>
  <c r="AZ15" i="22" s="1"/>
  <c r="AL132" i="22"/>
  <c r="AZ132" i="22" s="1"/>
  <c r="AR16" i="22"/>
  <c r="AT16" i="22" s="1"/>
  <c r="AR133" i="22"/>
  <c r="AT133" i="22" s="1"/>
  <c r="AK130" i="22"/>
  <c r="BD131" i="22"/>
  <c r="B176" i="1"/>
  <c r="BD15" i="22"/>
  <c r="AM175" i="1"/>
  <c r="AJ176" i="1"/>
  <c r="AG175" i="1"/>
  <c r="AH175" i="1"/>
  <c r="AI175" i="1"/>
  <c r="AK175" i="1"/>
  <c r="A177" i="1"/>
  <c r="AL176" i="1"/>
  <c r="AP16" i="22" l="1"/>
  <c r="AP133" i="22"/>
  <c r="AM16" i="22"/>
  <c r="BA16" i="22" s="1"/>
  <c r="AM133" i="22"/>
  <c r="BA133" i="22" s="1"/>
  <c r="AL16" i="22"/>
  <c r="AZ16" i="22" s="1"/>
  <c r="AL133" i="22"/>
  <c r="AZ133" i="22" s="1"/>
  <c r="AR17" i="22"/>
  <c r="AT17" i="22" s="1"/>
  <c r="AR134" i="22"/>
  <c r="AT134" i="22" s="1"/>
  <c r="AK131" i="22"/>
  <c r="BD132" i="22"/>
  <c r="B177" i="1"/>
  <c r="BD16" i="22"/>
  <c r="AM176" i="1"/>
  <c r="AJ177" i="1"/>
  <c r="AG176" i="1"/>
  <c r="AH176" i="1"/>
  <c r="AI176" i="1"/>
  <c r="AK176" i="1"/>
  <c r="A178" i="1"/>
  <c r="AL177" i="1"/>
  <c r="AP17" i="22" l="1"/>
  <c r="AP134" i="22"/>
  <c r="AM17" i="22"/>
  <c r="BA17" i="22" s="1"/>
  <c r="AM134" i="22"/>
  <c r="BA134" i="22" s="1"/>
  <c r="AL17" i="22"/>
  <c r="AZ17" i="22" s="1"/>
  <c r="AL134" i="22"/>
  <c r="AZ134" i="22" s="1"/>
  <c r="AM177" i="1"/>
  <c r="AR135" i="22"/>
  <c r="AT135" i="22" s="1"/>
  <c r="AK132" i="22"/>
  <c r="BD133" i="22"/>
  <c r="B178" i="1"/>
  <c r="BD17" i="22"/>
  <c r="AJ178" i="1"/>
  <c r="AR136" i="22" s="1"/>
  <c r="AT136" i="22" s="1"/>
  <c r="AG177" i="1"/>
  <c r="AL135" i="22" s="1"/>
  <c r="AZ135" i="22" s="1"/>
  <c r="AH177" i="1"/>
  <c r="AM135" i="22" s="1"/>
  <c r="BA135" i="22" s="1"/>
  <c r="AI177" i="1"/>
  <c r="AP135" i="22" s="1"/>
  <c r="AK177" i="1"/>
  <c r="AT177" i="1"/>
  <c r="AU177" i="1" s="1"/>
  <c r="A179" i="1"/>
  <c r="AW177" i="1" l="1"/>
  <c r="AK134" i="22"/>
  <c r="BD135" i="22"/>
  <c r="AK133" i="22"/>
  <c r="BD134" i="22"/>
  <c r="B179" i="1"/>
  <c r="AM178" i="1"/>
  <c r="AJ179" i="1"/>
  <c r="AR137" i="22" s="1"/>
  <c r="AT137" i="22" s="1"/>
  <c r="AG178" i="1"/>
  <c r="AL136" i="22" s="1"/>
  <c r="AZ136" i="22" s="1"/>
  <c r="AH178" i="1"/>
  <c r="AM136" i="22" s="1"/>
  <c r="BA136" i="22" s="1"/>
  <c r="AI178" i="1"/>
  <c r="AP136" i="22" s="1"/>
  <c r="AK178" i="1"/>
  <c r="A180" i="1"/>
  <c r="AL179" i="1"/>
  <c r="AK135" i="22" l="1"/>
  <c r="BD136" i="22"/>
  <c r="B180" i="1"/>
  <c r="AM179" i="1"/>
  <c r="AJ180" i="1"/>
  <c r="AR138" i="22" s="1"/>
  <c r="AT138" i="22" s="1"/>
  <c r="AG179" i="1"/>
  <c r="AL137" i="22" s="1"/>
  <c r="AZ137" i="22" s="1"/>
  <c r="AH179" i="1"/>
  <c r="AM137" i="22" s="1"/>
  <c r="BA137" i="22" s="1"/>
  <c r="AI179" i="1"/>
  <c r="AP137" i="22" s="1"/>
  <c r="AK179" i="1"/>
  <c r="A181" i="1"/>
  <c r="AL180" i="1"/>
  <c r="AK136" i="22" l="1"/>
  <c r="BD137" i="22"/>
  <c r="B181" i="1"/>
  <c r="AM180" i="1"/>
  <c r="AJ181" i="1"/>
  <c r="AR139" i="22" s="1"/>
  <c r="AT139" i="22" s="1"/>
  <c r="AG180" i="1"/>
  <c r="AL138" i="22" s="1"/>
  <c r="AZ138" i="22" s="1"/>
  <c r="AH180" i="1"/>
  <c r="AM138" i="22" s="1"/>
  <c r="BA138" i="22" s="1"/>
  <c r="AI180" i="1"/>
  <c r="AP138" i="22" s="1"/>
  <c r="AK180" i="1"/>
  <c r="A182" i="1"/>
  <c r="AL181" i="1"/>
  <c r="AK137" i="22" l="1"/>
  <c r="BD138" i="22"/>
  <c r="B182" i="1"/>
  <c r="AM181" i="1"/>
  <c r="AJ182" i="1"/>
  <c r="AR140" i="22" s="1"/>
  <c r="AT140" i="22" s="1"/>
  <c r="AG181" i="1"/>
  <c r="AL139" i="22" s="1"/>
  <c r="AZ139" i="22" s="1"/>
  <c r="AH181" i="1"/>
  <c r="AM139" i="22" s="1"/>
  <c r="BA139" i="22" s="1"/>
  <c r="AI181" i="1"/>
  <c r="AP139" i="22" s="1"/>
  <c r="AK181" i="1"/>
  <c r="A183" i="1"/>
  <c r="AL182" i="1"/>
  <c r="AK138" i="22" l="1"/>
  <c r="BD139" i="22"/>
  <c r="B183" i="1"/>
  <c r="AM182" i="1"/>
  <c r="AJ183" i="1"/>
  <c r="AR141" i="22" s="1"/>
  <c r="AT141" i="22" s="1"/>
  <c r="AG182" i="1"/>
  <c r="AL140" i="22" s="1"/>
  <c r="AZ140" i="22" s="1"/>
  <c r="AH182" i="1"/>
  <c r="AM140" i="22" s="1"/>
  <c r="BA140" i="22" s="1"/>
  <c r="AI182" i="1"/>
  <c r="AP140" i="22" s="1"/>
  <c r="AK182" i="1"/>
  <c r="A184" i="1"/>
  <c r="AL183" i="1"/>
  <c r="AK139" i="22" l="1"/>
  <c r="BD140" i="22"/>
  <c r="AM183" i="1"/>
  <c r="AJ184" i="1"/>
  <c r="AG183" i="1"/>
  <c r="AL141" i="22" s="1"/>
  <c r="AZ141" i="22" s="1"/>
  <c r="AH183" i="1"/>
  <c r="AM141" i="22" s="1"/>
  <c r="BA141" i="22" s="1"/>
  <c r="AI183" i="1"/>
  <c r="AP141" i="22" s="1"/>
  <c r="AK183" i="1"/>
  <c r="A185" i="1"/>
  <c r="AL184" i="1"/>
  <c r="AK140" i="22" l="1"/>
  <c r="BD141" i="22"/>
  <c r="B185" i="1"/>
  <c r="AM184" i="1"/>
  <c r="AJ185" i="1"/>
  <c r="AG184" i="1"/>
  <c r="AH184" i="1"/>
  <c r="AI184" i="1"/>
  <c r="AK184" i="1"/>
  <c r="A186" i="1"/>
  <c r="AR18" i="22" l="1"/>
  <c r="AT18" i="22" s="1"/>
  <c r="AR142" i="22"/>
  <c r="AT142" i="22" s="1"/>
  <c r="B186" i="1"/>
  <c r="AM185" i="1"/>
  <c r="AJ186" i="1"/>
  <c r="AG185" i="1"/>
  <c r="AH185" i="1"/>
  <c r="AI185" i="1"/>
  <c r="AK185" i="1"/>
  <c r="A187" i="1"/>
  <c r="AL186" i="1"/>
  <c r="AP18" i="22" l="1"/>
  <c r="AP142" i="22"/>
  <c r="AM18" i="22"/>
  <c r="BA18" i="22" s="1"/>
  <c r="AM142" i="22"/>
  <c r="BA142" i="22" s="1"/>
  <c r="AL18" i="22"/>
  <c r="AZ18" i="22" s="1"/>
  <c r="AL142" i="22"/>
  <c r="AZ142" i="22" s="1"/>
  <c r="AR19" i="22"/>
  <c r="AT19" i="22" s="1"/>
  <c r="AR143" i="22"/>
  <c r="AT143" i="22" s="1"/>
  <c r="BD18" i="22"/>
  <c r="AM186" i="1"/>
  <c r="AJ187" i="1"/>
  <c r="AG186" i="1"/>
  <c r="AH186" i="1"/>
  <c r="AI186" i="1"/>
  <c r="AK186" i="1"/>
  <c r="A188" i="1"/>
  <c r="AL187" i="1"/>
  <c r="AP19" i="22" l="1"/>
  <c r="AP143" i="22"/>
  <c r="AM19" i="22"/>
  <c r="BA19" i="22" s="1"/>
  <c r="AM143" i="22"/>
  <c r="BA143" i="22" s="1"/>
  <c r="AL19" i="22"/>
  <c r="AZ19" i="22" s="1"/>
  <c r="AL143" i="22"/>
  <c r="AZ143" i="22" s="1"/>
  <c r="BD142" i="22"/>
  <c r="B188" i="1"/>
  <c r="BD19" i="22"/>
  <c r="AM187" i="1"/>
  <c r="AJ188" i="1"/>
  <c r="AG187" i="1"/>
  <c r="AH187" i="1"/>
  <c r="AI187" i="1"/>
  <c r="AK187" i="1"/>
  <c r="A189" i="1"/>
  <c r="AR20" i="22" l="1"/>
  <c r="AT20" i="22" s="1"/>
  <c r="AR144" i="22"/>
  <c r="AT144" i="22" s="1"/>
  <c r="AK142" i="22"/>
  <c r="BD143" i="22"/>
  <c r="B189" i="1"/>
  <c r="AM188" i="1"/>
  <c r="AJ189" i="1"/>
  <c r="AG188" i="1"/>
  <c r="AH188" i="1"/>
  <c r="AI188" i="1"/>
  <c r="AK188" i="1"/>
  <c r="A190" i="1"/>
  <c r="AL189" i="1"/>
  <c r="AP20" i="22" l="1"/>
  <c r="AP144" i="22"/>
  <c r="AM20" i="22"/>
  <c r="BA20" i="22" s="1"/>
  <c r="AM144" i="22"/>
  <c r="BA144" i="22" s="1"/>
  <c r="AL20" i="22"/>
  <c r="AZ20" i="22" s="1"/>
  <c r="AL144" i="22"/>
  <c r="AZ144" i="22" s="1"/>
  <c r="AR21" i="22"/>
  <c r="AT21" i="22" s="1"/>
  <c r="AR145" i="22"/>
  <c r="AT145" i="22" s="1"/>
  <c r="BD20" i="22"/>
  <c r="AM189" i="1"/>
  <c r="AJ190" i="1"/>
  <c r="AG189" i="1"/>
  <c r="AH189" i="1"/>
  <c r="AI189" i="1"/>
  <c r="AK189" i="1"/>
  <c r="A191" i="1"/>
  <c r="AL190" i="1"/>
  <c r="AP21" i="22" l="1"/>
  <c r="AP145" i="22"/>
  <c r="AM21" i="22"/>
  <c r="BA21" i="22" s="1"/>
  <c r="AM145" i="22"/>
  <c r="BA145" i="22" s="1"/>
  <c r="AL21" i="22"/>
  <c r="AZ21" i="22" s="1"/>
  <c r="AL145" i="22"/>
  <c r="AZ145" i="22" s="1"/>
  <c r="BD144" i="22"/>
  <c r="B191" i="1"/>
  <c r="BD21" i="22"/>
  <c r="AM190" i="1"/>
  <c r="AJ191" i="1"/>
  <c r="AR146" i="22" s="1"/>
  <c r="AT146" i="22" s="1"/>
  <c r="AG190" i="1"/>
  <c r="AH190" i="1"/>
  <c r="AI190" i="1"/>
  <c r="AK190" i="1"/>
  <c r="A192" i="1"/>
  <c r="AK144" i="22" l="1"/>
  <c r="BD145" i="22"/>
  <c r="B192" i="1"/>
  <c r="AM191" i="1"/>
  <c r="AJ192" i="1"/>
  <c r="AR147" i="22" s="1"/>
  <c r="AT147" i="22" s="1"/>
  <c r="AG191" i="1"/>
  <c r="AL146" i="22" s="1"/>
  <c r="AZ146" i="22" s="1"/>
  <c r="AH191" i="1"/>
  <c r="AM146" i="22" s="1"/>
  <c r="BA146" i="22" s="1"/>
  <c r="AI191" i="1"/>
  <c r="AP146" i="22" s="1"/>
  <c r="AK191" i="1"/>
  <c r="A193" i="1"/>
  <c r="AL192" i="1"/>
  <c r="BD146" i="22" l="1"/>
  <c r="AM192" i="1"/>
  <c r="AG192" i="1"/>
  <c r="AL147" i="22" s="1"/>
  <c r="AZ147" i="22" s="1"/>
  <c r="AH192" i="1"/>
  <c r="AM147" i="22" s="1"/>
  <c r="BA147" i="22" s="1"/>
  <c r="AI192" i="1"/>
  <c r="AP147" i="22" s="1"/>
  <c r="AK192" i="1"/>
  <c r="A194" i="1"/>
  <c r="AL193" i="1"/>
  <c r="AK146" i="22" l="1"/>
  <c r="BD147" i="22"/>
  <c r="B194" i="1"/>
  <c r="AJ194" i="1"/>
  <c r="A195" i="1"/>
  <c r="AR22" i="22" l="1"/>
  <c r="AT22" i="22" s="1"/>
  <c r="AR148" i="22"/>
  <c r="AT148" i="22" s="1"/>
  <c r="B195" i="1"/>
  <c r="AM194" i="1"/>
  <c r="AJ195" i="1"/>
  <c r="AG194" i="1"/>
  <c r="AH194" i="1"/>
  <c r="AI194" i="1"/>
  <c r="AK194" i="1"/>
  <c r="A196" i="1"/>
  <c r="AL195" i="1"/>
  <c r="AP22" i="22" l="1"/>
  <c r="AP148" i="22"/>
  <c r="AM22" i="22"/>
  <c r="BA22" i="22" s="1"/>
  <c r="AM148" i="22"/>
  <c r="BA148" i="22" s="1"/>
  <c r="AL22" i="22"/>
  <c r="AZ22" i="22" s="1"/>
  <c r="AL148" i="22"/>
  <c r="AZ148" i="22" s="1"/>
  <c r="AR23" i="22"/>
  <c r="AT23" i="22" s="1"/>
  <c r="AR149" i="22"/>
  <c r="AT149" i="22" s="1"/>
  <c r="BD22" i="22"/>
  <c r="AM195" i="1"/>
  <c r="AJ196" i="1"/>
  <c r="AG195" i="1"/>
  <c r="AH195" i="1"/>
  <c r="AI195" i="1"/>
  <c r="AK195" i="1"/>
  <c r="A197" i="1"/>
  <c r="AL196" i="1"/>
  <c r="AP23" i="22" l="1"/>
  <c r="AP149" i="22"/>
  <c r="AM23" i="22"/>
  <c r="BA23" i="22" s="1"/>
  <c r="AM149" i="22"/>
  <c r="BA149" i="22" s="1"/>
  <c r="AL23" i="22"/>
  <c r="AZ23" i="22" s="1"/>
  <c r="AL149" i="22"/>
  <c r="AZ149" i="22" s="1"/>
  <c r="BD148" i="22"/>
  <c r="B197" i="1"/>
  <c r="BD23" i="22"/>
  <c r="AM196" i="1"/>
  <c r="AJ197" i="1"/>
  <c r="AG196" i="1"/>
  <c r="AH196" i="1"/>
  <c r="AI196" i="1"/>
  <c r="AK196" i="1"/>
  <c r="A198" i="1"/>
  <c r="AR24" i="22" l="1"/>
  <c r="AT24" i="22" s="1"/>
  <c r="AR150" i="22"/>
  <c r="AT150" i="22" s="1"/>
  <c r="AK148" i="22"/>
  <c r="BD149" i="22"/>
  <c r="AM197" i="1"/>
  <c r="AJ198" i="1"/>
  <c r="AG197" i="1"/>
  <c r="AH197" i="1"/>
  <c r="AI197" i="1"/>
  <c r="AK197" i="1"/>
  <c r="A199" i="1"/>
  <c r="AL198" i="1"/>
  <c r="AP24" i="22" l="1"/>
  <c r="AP150" i="22"/>
  <c r="AM24" i="22"/>
  <c r="BA24" i="22" s="1"/>
  <c r="AM150" i="22"/>
  <c r="BA150" i="22" s="1"/>
  <c r="AL24" i="22"/>
  <c r="AZ24" i="22" s="1"/>
  <c r="AL150" i="22"/>
  <c r="AZ150" i="22" s="1"/>
  <c r="B199" i="1"/>
  <c r="BD24" i="22"/>
  <c r="AM198" i="1"/>
  <c r="AJ199" i="1"/>
  <c r="AG198" i="1"/>
  <c r="AH198" i="1"/>
  <c r="AI198" i="1"/>
  <c r="AK198" i="1"/>
  <c r="A200" i="1"/>
  <c r="AR25" i="22" l="1"/>
  <c r="AT25" i="22" s="1"/>
  <c r="AR151" i="22"/>
  <c r="AT151" i="22" s="1"/>
  <c r="BD150" i="22"/>
  <c r="B200" i="1"/>
  <c r="AM199" i="1"/>
  <c r="AJ200" i="1"/>
  <c r="AG199" i="1"/>
  <c r="AH199" i="1"/>
  <c r="AI199" i="1"/>
  <c r="AK199" i="1"/>
  <c r="A201" i="1"/>
  <c r="AL200" i="1"/>
  <c r="AP25" i="22" l="1"/>
  <c r="AP151" i="22"/>
  <c r="AM25" i="22"/>
  <c r="BA25" i="22" s="1"/>
  <c r="AM151" i="22"/>
  <c r="BA151" i="22" s="1"/>
  <c r="AL25" i="22"/>
  <c r="AZ25" i="22" s="1"/>
  <c r="AL151" i="22"/>
  <c r="AZ151" i="22" s="1"/>
  <c r="AR26" i="22"/>
  <c r="AT26" i="22" s="1"/>
  <c r="AR152" i="22"/>
  <c r="AT152" i="22" s="1"/>
  <c r="BD25" i="22"/>
  <c r="AM200" i="1"/>
  <c r="AJ201" i="1"/>
  <c r="AG200" i="1"/>
  <c r="AH200" i="1"/>
  <c r="AI200" i="1"/>
  <c r="AK200" i="1"/>
  <c r="A202" i="1"/>
  <c r="AL201" i="1"/>
  <c r="AP26" i="22" l="1"/>
  <c r="AP152" i="22"/>
  <c r="AM26" i="22"/>
  <c r="BA26" i="22" s="1"/>
  <c r="AM152" i="22"/>
  <c r="BA152" i="22" s="1"/>
  <c r="AL26" i="22"/>
  <c r="AZ26" i="22" s="1"/>
  <c r="AL152" i="22"/>
  <c r="AZ152" i="22" s="1"/>
  <c r="BD151" i="22"/>
  <c r="B202" i="1"/>
  <c r="BD26" i="22"/>
  <c r="AM201" i="1"/>
  <c r="AJ202" i="1"/>
  <c r="AG201" i="1"/>
  <c r="AH201" i="1"/>
  <c r="AI201" i="1"/>
  <c r="AK201" i="1"/>
  <c r="A203" i="1"/>
  <c r="AR27" i="22" l="1"/>
  <c r="AT27" i="22" s="1"/>
  <c r="AR153" i="22"/>
  <c r="AT153" i="22" s="1"/>
  <c r="AK151" i="22"/>
  <c r="BD152" i="22"/>
  <c r="AM202" i="1"/>
  <c r="AJ203" i="1"/>
  <c r="AG202" i="1"/>
  <c r="AH202" i="1"/>
  <c r="AI202" i="1"/>
  <c r="AK202" i="1"/>
  <c r="A204" i="1"/>
  <c r="AL203" i="1"/>
  <c r="AP27" i="22" l="1"/>
  <c r="AP153" i="22"/>
  <c r="AM27" i="22"/>
  <c r="BA27" i="22" s="1"/>
  <c r="AM153" i="22"/>
  <c r="BA153" i="22" s="1"/>
  <c r="AL27" i="22"/>
  <c r="AZ27" i="22" s="1"/>
  <c r="AL153" i="22"/>
  <c r="AZ153" i="22" s="1"/>
  <c r="B204" i="1"/>
  <c r="BD27" i="22"/>
  <c r="AM203" i="1"/>
  <c r="AJ204" i="1"/>
  <c r="AG203" i="1"/>
  <c r="AH203" i="1"/>
  <c r="AI203" i="1"/>
  <c r="AK203" i="1"/>
  <c r="A205" i="1"/>
  <c r="AR28" i="22" l="1"/>
  <c r="AT28" i="22" s="1"/>
  <c r="AR154" i="22"/>
  <c r="AT154" i="22" s="1"/>
  <c r="BD153" i="22"/>
  <c r="B205" i="1"/>
  <c r="AM204" i="1"/>
  <c r="AJ205" i="1"/>
  <c r="AG204" i="1"/>
  <c r="AH204" i="1"/>
  <c r="AI204" i="1"/>
  <c r="AK204" i="1"/>
  <c r="A206" i="1"/>
  <c r="AL205" i="1"/>
  <c r="AP28" i="22" l="1"/>
  <c r="AP154" i="22"/>
  <c r="AM28" i="22"/>
  <c r="BA28" i="22" s="1"/>
  <c r="AM154" i="22"/>
  <c r="BA154" i="22" s="1"/>
  <c r="AL28" i="22"/>
  <c r="AZ28" i="22" s="1"/>
  <c r="AL154" i="22"/>
  <c r="AZ154" i="22" s="1"/>
  <c r="AR29" i="22"/>
  <c r="AT29" i="22" s="1"/>
  <c r="AR155" i="22"/>
  <c r="AT155" i="22" s="1"/>
  <c r="BD28" i="22"/>
  <c r="AK28" i="22"/>
  <c r="AM205" i="1"/>
  <c r="AJ206" i="1"/>
  <c r="AG205" i="1"/>
  <c r="AH205" i="1"/>
  <c r="AI205" i="1"/>
  <c r="AK205" i="1"/>
  <c r="A207" i="1"/>
  <c r="AL206" i="1"/>
  <c r="AP29" i="22" l="1"/>
  <c r="AP155" i="22"/>
  <c r="AM29" i="22"/>
  <c r="BA29" i="22" s="1"/>
  <c r="AM155" i="22"/>
  <c r="BA155" i="22" s="1"/>
  <c r="AL29" i="22"/>
  <c r="AZ29" i="22" s="1"/>
  <c r="AL155" i="22"/>
  <c r="AZ155" i="22" s="1"/>
  <c r="BD154" i="22"/>
  <c r="B207" i="1"/>
  <c r="BD29" i="22"/>
  <c r="AM206" i="1"/>
  <c r="AJ207" i="1"/>
  <c r="AG206" i="1"/>
  <c r="AH206" i="1"/>
  <c r="AI206" i="1"/>
  <c r="AK206" i="1"/>
  <c r="A208" i="1"/>
  <c r="AR30" i="22" l="1"/>
  <c r="AT30" i="22" s="1"/>
  <c r="AR156" i="22"/>
  <c r="AT156" i="22" s="1"/>
  <c r="AK154" i="22"/>
  <c r="BD155" i="22"/>
  <c r="AM207" i="1"/>
  <c r="AJ208" i="1"/>
  <c r="AG207" i="1"/>
  <c r="AH207" i="1"/>
  <c r="AI207" i="1"/>
  <c r="AK207" i="1"/>
  <c r="A209" i="1"/>
  <c r="AL208" i="1"/>
  <c r="AP30" i="22" l="1"/>
  <c r="AP156" i="22"/>
  <c r="AM30" i="22"/>
  <c r="BA30" i="22" s="1"/>
  <c r="AM156" i="22"/>
  <c r="BA156" i="22" s="1"/>
  <c r="AL30" i="22"/>
  <c r="AZ30" i="22" s="1"/>
  <c r="AL156" i="22"/>
  <c r="AZ156" i="22" s="1"/>
  <c r="B209" i="1"/>
  <c r="BD30" i="22"/>
  <c r="AM208" i="1"/>
  <c r="AJ209" i="1"/>
  <c r="AG208" i="1"/>
  <c r="AH208" i="1"/>
  <c r="AI208" i="1"/>
  <c r="AK208" i="1"/>
  <c r="A210" i="1"/>
  <c r="AR31" i="22" l="1"/>
  <c r="AT31" i="22" s="1"/>
  <c r="AR157" i="22"/>
  <c r="AT157" i="22" s="1"/>
  <c r="BD156" i="22"/>
  <c r="B210" i="1"/>
  <c r="AJ210" i="1"/>
  <c r="AM209" i="1"/>
  <c r="AG209" i="1"/>
  <c r="AH209" i="1"/>
  <c r="AI209" i="1"/>
  <c r="AK209" i="1"/>
  <c r="A211" i="1"/>
  <c r="AL210" i="1"/>
  <c r="AP31" i="22" l="1"/>
  <c r="AP157" i="22"/>
  <c r="AM31" i="22"/>
  <c r="BA31" i="22" s="1"/>
  <c r="AM157" i="22"/>
  <c r="BA157" i="22" s="1"/>
  <c r="AL31" i="22"/>
  <c r="AZ31" i="22" s="1"/>
  <c r="AL157" i="22"/>
  <c r="AZ157" i="22" s="1"/>
  <c r="AR32" i="22"/>
  <c r="AT32" i="22" s="1"/>
  <c r="AR158" i="22"/>
  <c r="AT158" i="22" s="1"/>
  <c r="B211" i="1"/>
  <c r="BD31" i="22"/>
  <c r="AM210" i="1"/>
  <c r="AG210" i="1"/>
  <c r="AH210" i="1"/>
  <c r="AI210" i="1"/>
  <c r="AK210" i="1"/>
  <c r="AT210" i="1"/>
  <c r="AU210" i="1" s="1"/>
  <c r="AJ211" i="1"/>
  <c r="A212" i="1"/>
  <c r="AW210" i="1" l="1"/>
  <c r="AR33" i="22"/>
  <c r="AT33" i="22" s="1"/>
  <c r="AR159" i="22"/>
  <c r="AT159" i="22" s="1"/>
  <c r="AP32" i="22"/>
  <c r="AP158" i="22"/>
  <c r="AM32" i="22"/>
  <c r="BA32" i="22" s="1"/>
  <c r="AM158" i="22"/>
  <c r="BA158" i="22" s="1"/>
  <c r="AL32" i="22"/>
  <c r="AZ32" i="22" s="1"/>
  <c r="AL158" i="22"/>
  <c r="AZ158" i="22" s="1"/>
  <c r="BD157" i="22"/>
  <c r="BD32" i="22"/>
  <c r="AK31" i="22"/>
  <c r="AM211" i="1"/>
  <c r="AJ212" i="1"/>
  <c r="AG211" i="1"/>
  <c r="AH211" i="1"/>
  <c r="AI211" i="1"/>
  <c r="AK211" i="1"/>
  <c r="A213" i="1"/>
  <c r="AL212" i="1"/>
  <c r="AP33" i="22" l="1"/>
  <c r="AP159" i="22"/>
  <c r="AM33" i="22"/>
  <c r="BA33" i="22" s="1"/>
  <c r="AM159" i="22"/>
  <c r="BA159" i="22" s="1"/>
  <c r="AL33" i="22"/>
  <c r="AZ33" i="22" s="1"/>
  <c r="AL159" i="22"/>
  <c r="AZ159" i="22" s="1"/>
  <c r="AK157" i="22"/>
  <c r="BD158" i="22"/>
  <c r="B213" i="1"/>
  <c r="BD33" i="22"/>
  <c r="AK32" i="22"/>
  <c r="AM212" i="1"/>
  <c r="AJ213" i="1"/>
  <c r="AG212" i="1"/>
  <c r="AH212" i="1"/>
  <c r="AI212" i="1"/>
  <c r="AK212" i="1"/>
  <c r="A214" i="1"/>
  <c r="AR34" i="22" l="1"/>
  <c r="AT34" i="22" s="1"/>
  <c r="AR160" i="22"/>
  <c r="AT160" i="22" s="1"/>
  <c r="AK158" i="22"/>
  <c r="BD159" i="22"/>
  <c r="B214" i="1"/>
  <c r="AJ214" i="1"/>
  <c r="AM213" i="1"/>
  <c r="AG213" i="1"/>
  <c r="AH213" i="1"/>
  <c r="AI213" i="1"/>
  <c r="AK213" i="1"/>
  <c r="A215" i="1"/>
  <c r="AL214" i="1"/>
  <c r="AP34" i="22" l="1"/>
  <c r="AP160" i="22"/>
  <c r="AM34" i="22"/>
  <c r="BA34" i="22" s="1"/>
  <c r="AM160" i="22"/>
  <c r="BA160" i="22" s="1"/>
  <c r="AL34" i="22"/>
  <c r="AZ34" i="22" s="1"/>
  <c r="AL160" i="22"/>
  <c r="AZ160" i="22" s="1"/>
  <c r="AR35" i="22"/>
  <c r="AT35" i="22" s="1"/>
  <c r="AR161" i="22"/>
  <c r="AT161" i="22" s="1"/>
  <c r="B215" i="1"/>
  <c r="BD34" i="22"/>
  <c r="AK33" i="22"/>
  <c r="AM214" i="1"/>
  <c r="AG214" i="1"/>
  <c r="AH214" i="1"/>
  <c r="AI214" i="1"/>
  <c r="AK214" i="1"/>
  <c r="AT214" i="1"/>
  <c r="AU214" i="1" s="1"/>
  <c r="AJ215" i="1"/>
  <c r="A216" i="1"/>
  <c r="AW214" i="1" l="1"/>
  <c r="AR36" i="22"/>
  <c r="AT36" i="22" s="1"/>
  <c r="AR162" i="22"/>
  <c r="AT162" i="22" s="1"/>
  <c r="AP35" i="22"/>
  <c r="AP161" i="22"/>
  <c r="AM35" i="22"/>
  <c r="BA35" i="22" s="1"/>
  <c r="AM161" i="22"/>
  <c r="BA161" i="22" s="1"/>
  <c r="AL35" i="22"/>
  <c r="AZ35" i="22" s="1"/>
  <c r="AL161" i="22"/>
  <c r="AZ161" i="22" s="1"/>
  <c r="BD160" i="22"/>
  <c r="B216" i="1"/>
  <c r="BD35" i="22"/>
  <c r="AK34" i="22"/>
  <c r="AM215" i="1"/>
  <c r="AJ216" i="1"/>
  <c r="AG215" i="1"/>
  <c r="AH215" i="1"/>
  <c r="AI215" i="1"/>
  <c r="AK215" i="1"/>
  <c r="A217" i="1"/>
  <c r="AL216" i="1"/>
  <c r="AP36" i="22" l="1"/>
  <c r="AP162" i="22"/>
  <c r="AM36" i="22"/>
  <c r="BA36" i="22" s="1"/>
  <c r="AM162" i="22"/>
  <c r="BA162" i="22" s="1"/>
  <c r="AL36" i="22"/>
  <c r="AZ36" i="22" s="1"/>
  <c r="AL162" i="22"/>
  <c r="AZ162" i="22" s="1"/>
  <c r="AR37" i="22"/>
  <c r="AT37" i="22" s="1"/>
  <c r="AR163" i="22"/>
  <c r="AT163" i="22" s="1"/>
  <c r="AK160" i="22"/>
  <c r="BD161" i="22"/>
  <c r="B217" i="1"/>
  <c r="BD36" i="22"/>
  <c r="AK35" i="22"/>
  <c r="AJ217" i="1"/>
  <c r="AR164" i="22" s="1"/>
  <c r="AT164" i="22" s="1"/>
  <c r="AM216" i="1"/>
  <c r="AG216" i="1"/>
  <c r="AH216" i="1"/>
  <c r="AI216" i="1"/>
  <c r="AK216" i="1"/>
  <c r="A218" i="1"/>
  <c r="AL217" i="1"/>
  <c r="AP37" i="22" l="1"/>
  <c r="AP163" i="22"/>
  <c r="AM37" i="22"/>
  <c r="BA37" i="22" s="1"/>
  <c r="AM163" i="22"/>
  <c r="BA163" i="22" s="1"/>
  <c r="AL37" i="22"/>
  <c r="AZ37" i="22" s="1"/>
  <c r="AL163" i="22"/>
  <c r="AZ163" i="22" s="1"/>
  <c r="AK161" i="22"/>
  <c r="BD162" i="22"/>
  <c r="AR38" i="22"/>
  <c r="AT38" i="22" s="1"/>
  <c r="AR47" i="22"/>
  <c r="AT47" i="22" s="1"/>
  <c r="B218" i="1"/>
  <c r="BD37" i="22"/>
  <c r="AK36" i="22"/>
  <c r="AM217" i="1"/>
  <c r="AG217" i="1"/>
  <c r="AL164" i="22" s="1"/>
  <c r="AZ164" i="22" s="1"/>
  <c r="AH217" i="1"/>
  <c r="AM164" i="22" s="1"/>
  <c r="BA164" i="22" s="1"/>
  <c r="AI217" i="1"/>
  <c r="AP164" i="22" s="1"/>
  <c r="AK217" i="1"/>
  <c r="AT217" i="1"/>
  <c r="AU217" i="1" s="1"/>
  <c r="AJ218" i="1"/>
  <c r="AR165" i="22" s="1"/>
  <c r="AT165" i="22" s="1"/>
  <c r="A219" i="1"/>
  <c r="AW217" i="1" l="1"/>
  <c r="AK163" i="22"/>
  <c r="BD164" i="22"/>
  <c r="AK162" i="22"/>
  <c r="BD163" i="22"/>
  <c r="AR39" i="22"/>
  <c r="AT39" i="22" s="1"/>
  <c r="AR48" i="22"/>
  <c r="AT48" i="22" s="1"/>
  <c r="AP38" i="22"/>
  <c r="AP47" i="22"/>
  <c r="BD47" i="22" s="1"/>
  <c r="AM38" i="22"/>
  <c r="BA38" i="22" s="1"/>
  <c r="AM47" i="22"/>
  <c r="BA47" i="22" s="1"/>
  <c r="AL38" i="22"/>
  <c r="AZ38" i="22" s="1"/>
  <c r="AL47" i="22"/>
  <c r="AZ47" i="22" s="1"/>
  <c r="B219" i="1"/>
  <c r="AK37" i="22"/>
  <c r="BD38" i="22"/>
  <c r="AM218" i="1"/>
  <c r="AJ219" i="1"/>
  <c r="AR166" i="22" s="1"/>
  <c r="AT166" i="22" s="1"/>
  <c r="AG218" i="1"/>
  <c r="AL165" i="22" s="1"/>
  <c r="AZ165" i="22" s="1"/>
  <c r="AH218" i="1"/>
  <c r="AM165" i="22" s="1"/>
  <c r="BA165" i="22" s="1"/>
  <c r="AI218" i="1"/>
  <c r="AP165" i="22" s="1"/>
  <c r="AK218" i="1"/>
  <c r="A220" i="1"/>
  <c r="AL219" i="1"/>
  <c r="AK164" i="22" l="1"/>
  <c r="BD165" i="22"/>
  <c r="AP39" i="22"/>
  <c r="AP48" i="22"/>
  <c r="AM39" i="22"/>
  <c r="BA39" i="22" s="1"/>
  <c r="AM48" i="22"/>
  <c r="BA48" i="22" s="1"/>
  <c r="AL39" i="22"/>
  <c r="AZ39" i="22" s="1"/>
  <c r="AL48" i="22"/>
  <c r="AZ48" i="22" s="1"/>
  <c r="AR40" i="22"/>
  <c r="AT40" i="22" s="1"/>
  <c r="AR49" i="22"/>
  <c r="AT49" i="22" s="1"/>
  <c r="B220" i="1"/>
  <c r="AK38" i="22"/>
  <c r="BD39" i="22"/>
  <c r="AM219" i="1"/>
  <c r="AJ220" i="1"/>
  <c r="AR167" i="22" s="1"/>
  <c r="AT167" i="22" s="1"/>
  <c r="AG219" i="1"/>
  <c r="AL166" i="22" s="1"/>
  <c r="AZ166" i="22" s="1"/>
  <c r="AH219" i="1"/>
  <c r="AM166" i="22" s="1"/>
  <c r="BA166" i="22" s="1"/>
  <c r="AI219" i="1"/>
  <c r="AP166" i="22" s="1"/>
  <c r="AK219" i="1"/>
  <c r="A221" i="1"/>
  <c r="AL220" i="1"/>
  <c r="AK165" i="22" l="1"/>
  <c r="BD166" i="22"/>
  <c r="AP40" i="22"/>
  <c r="AP49" i="22"/>
  <c r="AM40" i="22"/>
  <c r="BA40" i="22" s="1"/>
  <c r="AM49" i="22"/>
  <c r="BA49" i="22" s="1"/>
  <c r="AL40" i="22"/>
  <c r="AZ40" i="22" s="1"/>
  <c r="AL49" i="22"/>
  <c r="AZ49" i="22" s="1"/>
  <c r="AR41" i="22"/>
  <c r="AT41" i="22" s="1"/>
  <c r="AR50" i="22"/>
  <c r="AT50" i="22" s="1"/>
  <c r="BD48" i="22"/>
  <c r="B221" i="1"/>
  <c r="AK39" i="22"/>
  <c r="BD40" i="22"/>
  <c r="AM220" i="1"/>
  <c r="AJ221" i="1"/>
  <c r="AR168" i="22" s="1"/>
  <c r="AT168" i="22" s="1"/>
  <c r="AG220" i="1"/>
  <c r="AL167" i="22" s="1"/>
  <c r="AZ167" i="22" s="1"/>
  <c r="AH220" i="1"/>
  <c r="AM167" i="22" s="1"/>
  <c r="BA167" i="22" s="1"/>
  <c r="AI220" i="1"/>
  <c r="AP167" i="22" s="1"/>
  <c r="AK220" i="1"/>
  <c r="A222" i="1"/>
  <c r="AL221" i="1"/>
  <c r="AK166" i="22" l="1"/>
  <c r="BD167" i="22"/>
  <c r="AP41" i="22"/>
  <c r="AP50" i="22"/>
  <c r="AM41" i="22"/>
  <c r="BA41" i="22" s="1"/>
  <c r="AM50" i="22"/>
  <c r="BA50" i="22" s="1"/>
  <c r="AL41" i="22"/>
  <c r="AZ41" i="22" s="1"/>
  <c r="AL50" i="22"/>
  <c r="AZ50" i="22" s="1"/>
  <c r="AR42" i="22"/>
  <c r="AT42" i="22" s="1"/>
  <c r="AR51" i="22"/>
  <c r="AT51" i="22" s="1"/>
  <c r="AK48" i="22"/>
  <c r="BD49" i="22"/>
  <c r="B222" i="1"/>
  <c r="AK40" i="22"/>
  <c r="BD41" i="22"/>
  <c r="AM221" i="1"/>
  <c r="AJ222" i="1"/>
  <c r="AR169" i="22" s="1"/>
  <c r="AT169" i="22" s="1"/>
  <c r="AG221" i="1"/>
  <c r="AL168" i="22" s="1"/>
  <c r="AZ168" i="22" s="1"/>
  <c r="AH221" i="1"/>
  <c r="AM168" i="22" s="1"/>
  <c r="BA168" i="22" s="1"/>
  <c r="AI221" i="1"/>
  <c r="AP168" i="22" s="1"/>
  <c r="AK221" i="1"/>
  <c r="A223" i="1"/>
  <c r="AL222" i="1"/>
  <c r="AK167" i="22" l="1"/>
  <c r="BD168" i="22"/>
  <c r="AP42" i="22"/>
  <c r="AP51" i="22"/>
  <c r="AM42" i="22"/>
  <c r="BA42" i="22" s="1"/>
  <c r="AM51" i="22"/>
  <c r="BA51" i="22" s="1"/>
  <c r="AL42" i="22"/>
  <c r="AZ42" i="22" s="1"/>
  <c r="AL51" i="22"/>
  <c r="AZ51" i="22" s="1"/>
  <c r="AR43" i="22"/>
  <c r="AT43" i="22" s="1"/>
  <c r="AR52" i="22"/>
  <c r="AT52" i="22" s="1"/>
  <c r="AK49" i="22"/>
  <c r="BD50" i="22"/>
  <c r="B223" i="1"/>
  <c r="AK41" i="22"/>
  <c r="BD42" i="22"/>
  <c r="AM222" i="1"/>
  <c r="AJ223" i="1"/>
  <c r="AR170" i="22" s="1"/>
  <c r="AT170" i="22" s="1"/>
  <c r="AG222" i="1"/>
  <c r="AL169" i="22" s="1"/>
  <c r="AZ169" i="22" s="1"/>
  <c r="AH222" i="1"/>
  <c r="AM169" i="22" s="1"/>
  <c r="BA169" i="22" s="1"/>
  <c r="AI222" i="1"/>
  <c r="AP169" i="22" s="1"/>
  <c r="AK222" i="1"/>
  <c r="A224" i="1"/>
  <c r="AL223" i="1"/>
  <c r="AK168" i="22" l="1"/>
  <c r="BD169" i="22"/>
  <c r="AP43" i="22"/>
  <c r="AP52" i="22"/>
  <c r="AM43" i="22"/>
  <c r="BA43" i="22" s="1"/>
  <c r="AM52" i="22"/>
  <c r="BA52" i="22" s="1"/>
  <c r="AL43" i="22"/>
  <c r="AZ43" i="22" s="1"/>
  <c r="AL52" i="22"/>
  <c r="AZ52" i="22" s="1"/>
  <c r="AR44" i="22"/>
  <c r="AT44" i="22" s="1"/>
  <c r="AR53" i="22"/>
  <c r="AT53" i="22" s="1"/>
  <c r="AK50" i="22"/>
  <c r="BD51" i="22"/>
  <c r="AK42" i="22"/>
  <c r="BD43" i="22"/>
  <c r="AM223" i="1"/>
  <c r="AJ224" i="1"/>
  <c r="AG223" i="1"/>
  <c r="AL170" i="22" s="1"/>
  <c r="AZ170" i="22" s="1"/>
  <c r="AH223" i="1"/>
  <c r="AM170" i="22" s="1"/>
  <c r="BA170" i="22" s="1"/>
  <c r="AI223" i="1"/>
  <c r="AP170" i="22" s="1"/>
  <c r="AK223" i="1"/>
  <c r="A225" i="1"/>
  <c r="AL224" i="1"/>
  <c r="AK169" i="22" l="1"/>
  <c r="BD170" i="22"/>
  <c r="AP44" i="22"/>
  <c r="AP53" i="22"/>
  <c r="AM44" i="22"/>
  <c r="BA44" i="22" s="1"/>
  <c r="AM53" i="22"/>
  <c r="BA53" i="22" s="1"/>
  <c r="AL44" i="22"/>
  <c r="AZ44" i="22" s="1"/>
  <c r="AL53" i="22"/>
  <c r="AZ53" i="22" s="1"/>
  <c r="AK51" i="22"/>
  <c r="BD52" i="22"/>
  <c r="B225" i="1"/>
  <c r="AK43" i="22"/>
  <c r="BD44" i="22"/>
  <c r="AM224" i="1"/>
  <c r="AJ225" i="1"/>
  <c r="AR171" i="22" s="1"/>
  <c r="AT171" i="22" s="1"/>
  <c r="AG224" i="1"/>
  <c r="AH224" i="1"/>
  <c r="AI224" i="1"/>
  <c r="AK224" i="1"/>
  <c r="A226" i="1"/>
  <c r="AR45" i="22" l="1"/>
  <c r="AT45" i="22" s="1"/>
  <c r="AR54" i="22"/>
  <c r="AT54" i="22" s="1"/>
  <c r="AK52" i="22"/>
  <c r="BD53" i="22"/>
  <c r="AM225" i="1"/>
  <c r="AJ226" i="1"/>
  <c r="AG225" i="1"/>
  <c r="AL171" i="22" s="1"/>
  <c r="AZ171" i="22" s="1"/>
  <c r="AH225" i="1"/>
  <c r="AM171" i="22" s="1"/>
  <c r="BA171" i="22" s="1"/>
  <c r="AI225" i="1"/>
  <c r="AP171" i="22" s="1"/>
  <c r="AK225" i="1"/>
  <c r="A227" i="1"/>
  <c r="AL226" i="1"/>
  <c r="B227" i="1" l="1"/>
  <c r="BD171" i="22"/>
  <c r="AP45" i="22"/>
  <c r="AP54" i="22"/>
  <c r="AM45" i="22"/>
  <c r="BA45" i="22" s="1"/>
  <c r="AM54" i="22"/>
  <c r="BA54" i="22" s="1"/>
  <c r="AL45" i="22"/>
  <c r="AZ45" i="22" s="1"/>
  <c r="AL54" i="22"/>
  <c r="AZ54" i="22" s="1"/>
  <c r="AK44" i="22"/>
  <c r="BD45" i="22"/>
  <c r="AM226" i="1"/>
  <c r="AJ227" i="1"/>
  <c r="AR172" i="22" s="1"/>
  <c r="AT172" i="22" s="1"/>
  <c r="AG226" i="1"/>
  <c r="AH226" i="1"/>
  <c r="AI226" i="1"/>
  <c r="AK226" i="1"/>
  <c r="A228" i="1"/>
  <c r="AR46" i="22" l="1"/>
  <c r="AT46" i="22" s="1"/>
  <c r="AR55" i="22"/>
  <c r="AT55" i="22" s="1"/>
  <c r="AK53" i="22"/>
  <c r="BD54" i="22"/>
  <c r="AM227" i="1"/>
  <c r="AG227" i="1"/>
  <c r="AL172" i="22" s="1"/>
  <c r="AZ172" i="22" s="1"/>
  <c r="AH227" i="1"/>
  <c r="AM172" i="22" s="1"/>
  <c r="BA172" i="22" s="1"/>
  <c r="AI227" i="1"/>
  <c r="AP172" i="22" s="1"/>
  <c r="AK227" i="1"/>
  <c r="A229" i="1"/>
  <c r="AL228" i="1"/>
  <c r="B229" i="1" l="1"/>
  <c r="BD172" i="22"/>
  <c r="AP46" i="22"/>
  <c r="AP55" i="22"/>
  <c r="AM46" i="22"/>
  <c r="BA46" i="22" s="1"/>
  <c r="AM55" i="22"/>
  <c r="BA55" i="22" s="1"/>
  <c r="AL46" i="22"/>
  <c r="AZ46" i="22" s="1"/>
  <c r="AL55" i="22"/>
  <c r="AZ55" i="22" s="1"/>
  <c r="BD46" i="22"/>
  <c r="AK46" i="22"/>
  <c r="AJ229" i="1"/>
  <c r="AR173" i="22" s="1"/>
  <c r="AT173" i="22" s="1"/>
  <c r="A230" i="1"/>
  <c r="B230" i="1" l="1"/>
  <c r="AK47" i="22"/>
  <c r="AK159" i="22"/>
  <c r="AK156" i="22"/>
  <c r="AK155" i="22"/>
  <c r="AK153" i="22"/>
  <c r="AK152" i="22"/>
  <c r="AK150" i="22"/>
  <c r="AK149" i="22"/>
  <c r="AK147" i="22"/>
  <c r="AK143" i="22"/>
  <c r="AK141" i="22"/>
  <c r="AK129" i="22"/>
  <c r="AK128" i="22"/>
  <c r="AK125" i="22"/>
  <c r="AK121" i="22"/>
  <c r="AK57" i="22"/>
  <c r="AK58" i="22"/>
  <c r="AK59" i="22"/>
  <c r="AK60" i="22"/>
  <c r="AK63" i="22"/>
  <c r="AK64" i="22"/>
  <c r="AK67" i="22"/>
  <c r="AK68" i="22"/>
  <c r="AK69" i="22"/>
  <c r="AK74" i="22"/>
  <c r="AK75" i="22"/>
  <c r="AK76" i="22"/>
  <c r="AK80" i="22"/>
  <c r="AK84" i="22"/>
  <c r="AK96" i="22"/>
  <c r="AK105" i="22"/>
  <c r="AK107" i="22"/>
  <c r="AK108" i="22"/>
  <c r="AK111" i="22"/>
  <c r="AK120" i="22"/>
  <c r="AK145" i="22"/>
  <c r="AK170" i="22"/>
  <c r="AK171" i="22"/>
  <c r="AK55" i="22"/>
  <c r="BD55" i="22"/>
  <c r="AM229" i="1"/>
  <c r="AJ230" i="1"/>
  <c r="AR174" i="22" s="1"/>
  <c r="AT174" i="22" s="1"/>
  <c r="AG229" i="1"/>
  <c r="AL173" i="22" s="1"/>
  <c r="AZ173" i="22" s="1"/>
  <c r="AH229" i="1"/>
  <c r="AM173" i="22" s="1"/>
  <c r="BA173" i="22" s="1"/>
  <c r="AI229" i="1"/>
  <c r="AP173" i="22" s="1"/>
  <c r="AK229" i="1"/>
  <c r="A231" i="1"/>
  <c r="AL230" i="1"/>
  <c r="BD173" i="22" l="1"/>
  <c r="AK172" i="22"/>
  <c r="B231" i="1"/>
  <c r="AM230" i="1"/>
  <c r="AJ231" i="1"/>
  <c r="AR175" i="22" s="1"/>
  <c r="AT175" i="22" s="1"/>
  <c r="AG230" i="1"/>
  <c r="AL174" i="22" s="1"/>
  <c r="AZ174" i="22" s="1"/>
  <c r="AH230" i="1"/>
  <c r="AM174" i="22" s="1"/>
  <c r="BA174" i="22" s="1"/>
  <c r="AI230" i="1"/>
  <c r="AP174" i="22" s="1"/>
  <c r="AK230" i="1"/>
  <c r="A232" i="1"/>
  <c r="AL231" i="1"/>
  <c r="AK173" i="22" l="1"/>
  <c r="BD174" i="22"/>
  <c r="B232" i="1"/>
  <c r="AM231" i="1"/>
  <c r="AJ232" i="1"/>
  <c r="AR176" i="22" s="1"/>
  <c r="AT176" i="22" s="1"/>
  <c r="AG231" i="1"/>
  <c r="AL175" i="22" s="1"/>
  <c r="AZ175" i="22" s="1"/>
  <c r="AH231" i="1"/>
  <c r="AM175" i="22" s="1"/>
  <c r="BA175" i="22" s="1"/>
  <c r="AI231" i="1"/>
  <c r="AP175" i="22" s="1"/>
  <c r="AK231" i="1"/>
  <c r="A233" i="1"/>
  <c r="AL232" i="1"/>
  <c r="AK174" i="22" l="1"/>
  <c r="BD175" i="22"/>
  <c r="B233" i="1"/>
  <c r="AJ233" i="1"/>
  <c r="AR177" i="22" s="1"/>
  <c r="AT177" i="22" s="1"/>
  <c r="AM232" i="1"/>
  <c r="AG232" i="1"/>
  <c r="AL176" i="22" s="1"/>
  <c r="AZ176" i="22" s="1"/>
  <c r="AH232" i="1"/>
  <c r="AM176" i="22" s="1"/>
  <c r="BA176" i="22" s="1"/>
  <c r="AI232" i="1"/>
  <c r="AP176" i="22" s="1"/>
  <c r="AK232" i="1"/>
  <c r="A234" i="1"/>
  <c r="AL233" i="1"/>
  <c r="AK175" i="22" l="1"/>
  <c r="BD176" i="22"/>
  <c r="AM233" i="1"/>
  <c r="AG233" i="1"/>
  <c r="AL177" i="22" s="1"/>
  <c r="AZ177" i="22" s="1"/>
  <c r="AH233" i="1"/>
  <c r="AM177" i="22" s="1"/>
  <c r="BA177" i="22" s="1"/>
  <c r="AI233" i="1"/>
  <c r="AP177" i="22" s="1"/>
  <c r="AK233" i="1"/>
  <c r="AT233" i="1"/>
  <c r="AU233" i="1" s="1"/>
  <c r="AJ234" i="1"/>
  <c r="AG234" i="1"/>
  <c r="AH234" i="1"/>
  <c r="AI234" i="1"/>
  <c r="AK234" i="1"/>
  <c r="A235" i="1"/>
  <c r="AK176" i="22" l="1"/>
  <c r="BD177" i="22"/>
  <c r="AW233" i="1"/>
  <c r="B235" i="1"/>
  <c r="AJ235" i="1"/>
  <c r="AR178" i="22" s="1"/>
  <c r="AT178" i="22" s="1"/>
  <c r="AM234" i="1"/>
  <c r="A236" i="1"/>
  <c r="B236" i="1" l="1"/>
  <c r="AG235" i="1"/>
  <c r="AL178" i="22" s="1"/>
  <c r="AZ178" i="22" s="1"/>
  <c r="AH235" i="1"/>
  <c r="AM178" i="22" s="1"/>
  <c r="BA178" i="22" s="1"/>
  <c r="AI235" i="1"/>
  <c r="AP178" i="22" s="1"/>
  <c r="AK235" i="1"/>
  <c r="AT235" i="1"/>
  <c r="AU235" i="1" s="1"/>
  <c r="AJ236" i="1"/>
  <c r="AR179" i="22" s="1"/>
  <c r="AT179" i="22" s="1"/>
  <c r="A237" i="1"/>
  <c r="B237" i="1" l="1"/>
  <c r="AK177" i="22"/>
  <c r="BD178" i="22"/>
  <c r="AW235" i="1"/>
  <c r="AM236" i="1"/>
  <c r="AJ237" i="1"/>
  <c r="AG236" i="1"/>
  <c r="AL179" i="22" s="1"/>
  <c r="AZ179" i="22" s="1"/>
  <c r="AH236" i="1"/>
  <c r="AM179" i="22" s="1"/>
  <c r="BA179" i="22" s="1"/>
  <c r="AI236" i="1"/>
  <c r="AP179" i="22" s="1"/>
  <c r="AK236" i="1"/>
  <c r="A238" i="1"/>
  <c r="B238" i="1" l="1"/>
  <c r="AK178" i="22"/>
  <c r="BD179" i="22"/>
  <c r="AM237" i="1"/>
  <c r="AJ238" i="1"/>
  <c r="AR180" i="22" s="1"/>
  <c r="AT180" i="22" s="1"/>
  <c r="AG237" i="1"/>
  <c r="AH237" i="1"/>
  <c r="AI237" i="1"/>
  <c r="AK237" i="1"/>
  <c r="AT237" i="1"/>
  <c r="AU237" i="1" s="1"/>
  <c r="AW237" i="1" s="1"/>
  <c r="A239" i="1"/>
  <c r="B239" i="1" l="1"/>
  <c r="AM238" i="1"/>
  <c r="AJ239" i="1"/>
  <c r="AR181" i="22" s="1"/>
  <c r="AT181" i="22" s="1"/>
  <c r="AG238" i="1"/>
  <c r="AL180" i="22" s="1"/>
  <c r="AZ180" i="22" s="1"/>
  <c r="AH238" i="1"/>
  <c r="AM180" i="22" s="1"/>
  <c r="BA180" i="22" s="1"/>
  <c r="AI238" i="1"/>
  <c r="AP180" i="22" s="1"/>
  <c r="AK238" i="1"/>
  <c r="AT238" i="1"/>
  <c r="AU238" i="1" s="1"/>
  <c r="AW238" i="1" s="1"/>
  <c r="A240" i="1"/>
  <c r="AL239" i="1"/>
  <c r="BD180" i="22" l="1"/>
  <c r="AK179" i="22"/>
  <c r="B240" i="1"/>
  <c r="AM239" i="1"/>
  <c r="AJ240" i="1"/>
  <c r="AR182" i="22" s="1"/>
  <c r="AT182" i="22" s="1"/>
  <c r="AG239" i="1"/>
  <c r="AL181" i="22" s="1"/>
  <c r="AZ181" i="22" s="1"/>
  <c r="AH239" i="1"/>
  <c r="AM181" i="22" s="1"/>
  <c r="BA181" i="22" s="1"/>
  <c r="AI239" i="1"/>
  <c r="AP181" i="22" s="1"/>
  <c r="AK239" i="1"/>
  <c r="AT239" i="1"/>
  <c r="AU239" i="1" s="1"/>
  <c r="AW239" i="1" s="1"/>
  <c r="A241" i="1"/>
  <c r="AL240" i="1"/>
  <c r="AK180" i="22" l="1"/>
  <c r="BD181" i="22"/>
  <c r="B241" i="1"/>
  <c r="AM240" i="1"/>
  <c r="AJ241" i="1"/>
  <c r="AR183" i="22" s="1"/>
  <c r="AT183" i="22" s="1"/>
  <c r="AG240" i="1"/>
  <c r="AL182" i="22" s="1"/>
  <c r="AZ182" i="22" s="1"/>
  <c r="AH240" i="1"/>
  <c r="AM182" i="22" s="1"/>
  <c r="BA182" i="22" s="1"/>
  <c r="AI240" i="1"/>
  <c r="AP182" i="22" s="1"/>
  <c r="AK240" i="1"/>
  <c r="AT240" i="1"/>
  <c r="AU240" i="1" s="1"/>
  <c r="AW240" i="1" s="1"/>
  <c r="A242" i="1"/>
  <c r="AL241" i="1"/>
  <c r="AK181" i="22" l="1"/>
  <c r="BD182" i="22"/>
  <c r="B242" i="1"/>
  <c r="AM241" i="1"/>
  <c r="AJ242" i="1"/>
  <c r="AR184" i="22" s="1"/>
  <c r="AT184" i="22" s="1"/>
  <c r="AG241" i="1"/>
  <c r="AL183" i="22" s="1"/>
  <c r="AZ183" i="22" s="1"/>
  <c r="AH241" i="1"/>
  <c r="AM183" i="22" s="1"/>
  <c r="BA183" i="22" s="1"/>
  <c r="AI241" i="1"/>
  <c r="AP183" i="22" s="1"/>
  <c r="AK241" i="1"/>
  <c r="AT241" i="1"/>
  <c r="AU241" i="1" s="1"/>
  <c r="AW241" i="1" s="1"/>
  <c r="A243" i="1"/>
  <c r="AL242" i="1"/>
  <c r="AK182" i="22" l="1"/>
  <c r="BD183" i="22"/>
  <c r="B243" i="1"/>
  <c r="AM242" i="1"/>
  <c r="AJ243" i="1"/>
  <c r="AR185" i="22" s="1"/>
  <c r="AT185" i="22" s="1"/>
  <c r="AG242" i="1"/>
  <c r="AL184" i="22" s="1"/>
  <c r="AZ184" i="22" s="1"/>
  <c r="AH242" i="1"/>
  <c r="AM184" i="22" s="1"/>
  <c r="BA184" i="22" s="1"/>
  <c r="AI242" i="1"/>
  <c r="AP184" i="22" s="1"/>
  <c r="AK242" i="1"/>
  <c r="AT242" i="1"/>
  <c r="AU242" i="1" s="1"/>
  <c r="AW242" i="1" s="1"/>
  <c r="A244" i="1"/>
  <c r="AL243" i="1"/>
  <c r="AK183" i="22" l="1"/>
  <c r="BD184" i="22"/>
  <c r="B244" i="1"/>
  <c r="AM243" i="1"/>
  <c r="AJ244" i="1"/>
  <c r="AR186" i="22" s="1"/>
  <c r="AT186" i="22" s="1"/>
  <c r="AG243" i="1"/>
  <c r="AL185" i="22" s="1"/>
  <c r="AZ185" i="22" s="1"/>
  <c r="AH243" i="1"/>
  <c r="AM185" i="22" s="1"/>
  <c r="BA185" i="22" s="1"/>
  <c r="AI243" i="1"/>
  <c r="AP185" i="22" s="1"/>
  <c r="AK243" i="1"/>
  <c r="AT243" i="1"/>
  <c r="AU243" i="1" s="1"/>
  <c r="AW243" i="1" s="1"/>
  <c r="A245" i="1"/>
  <c r="AL244" i="1"/>
  <c r="AK184" i="22" l="1"/>
  <c r="BD185" i="22"/>
  <c r="B245" i="1"/>
  <c r="AJ245" i="1"/>
  <c r="AR187" i="22" s="1"/>
  <c r="AT187" i="22" s="1"/>
  <c r="AM244" i="1"/>
  <c r="AG244" i="1"/>
  <c r="AL186" i="22" s="1"/>
  <c r="AZ186" i="22" s="1"/>
  <c r="AH244" i="1"/>
  <c r="AM186" i="22" s="1"/>
  <c r="BA186" i="22" s="1"/>
  <c r="AI244" i="1"/>
  <c r="AP186" i="22" s="1"/>
  <c r="AK244" i="1"/>
  <c r="AT244" i="1"/>
  <c r="AU244" i="1" s="1"/>
  <c r="AW244" i="1" s="1"/>
  <c r="A246" i="1"/>
  <c r="AL245" i="1"/>
  <c r="AK185" i="22" l="1"/>
  <c r="BD186" i="22"/>
  <c r="B246" i="1"/>
  <c r="AM245" i="1"/>
  <c r="AG245" i="1"/>
  <c r="AL187" i="22" s="1"/>
  <c r="AZ187" i="22" s="1"/>
  <c r="AH245" i="1"/>
  <c r="AM187" i="22" s="1"/>
  <c r="BA187" i="22" s="1"/>
  <c r="AI245" i="1"/>
  <c r="AP187" i="22" s="1"/>
  <c r="AK245" i="1"/>
  <c r="AT245" i="1"/>
  <c r="AU245" i="1" s="1"/>
  <c r="AW245" i="1" s="1"/>
  <c r="AJ246" i="1"/>
  <c r="AR188" i="22" s="1"/>
  <c r="AT188" i="22" s="1"/>
  <c r="A247" i="1"/>
  <c r="AK186" i="22" l="1"/>
  <c r="BD187" i="22"/>
  <c r="B247" i="1"/>
  <c r="AM246" i="1"/>
  <c r="AJ247" i="1"/>
  <c r="AR189" i="22" s="1"/>
  <c r="AT189" i="22" s="1"/>
  <c r="AG246" i="1"/>
  <c r="AL188" i="22" s="1"/>
  <c r="AZ188" i="22" s="1"/>
  <c r="AH246" i="1"/>
  <c r="AM188" i="22" s="1"/>
  <c r="BA188" i="22" s="1"/>
  <c r="AI246" i="1"/>
  <c r="AP188" i="22" s="1"/>
  <c r="AK246" i="1"/>
  <c r="A248" i="1"/>
  <c r="AL247" i="1"/>
  <c r="AK187" i="22" l="1"/>
  <c r="BD188" i="22"/>
  <c r="B248" i="1"/>
  <c r="AM247" i="1"/>
  <c r="AJ248" i="1"/>
  <c r="AG247" i="1"/>
  <c r="AL189" i="22" s="1"/>
  <c r="AZ189" i="22" s="1"/>
  <c r="AH247" i="1"/>
  <c r="AM189" i="22" s="1"/>
  <c r="BA189" i="22" s="1"/>
  <c r="AI247" i="1"/>
  <c r="AP189" i="22" s="1"/>
  <c r="AK247" i="1"/>
  <c r="A249" i="1"/>
  <c r="AK188" i="22" l="1"/>
  <c r="BD189" i="22"/>
  <c r="B249" i="1"/>
  <c r="AM248" i="1"/>
  <c r="AJ249" i="1"/>
  <c r="AR190" i="22" s="1"/>
  <c r="AT190" i="22" s="1"/>
  <c r="AG248" i="1"/>
  <c r="AH248" i="1"/>
  <c r="AI248" i="1"/>
  <c r="AK248" i="1"/>
  <c r="A250" i="1"/>
  <c r="B250" i="1" l="1"/>
  <c r="AJ250" i="1"/>
  <c r="AM250" i="1" s="1"/>
  <c r="AM249" i="1"/>
  <c r="AG249" i="1"/>
  <c r="AL190" i="22" s="1"/>
  <c r="AZ190" i="22" s="1"/>
  <c r="AH249" i="1"/>
  <c r="AM190" i="22" s="1"/>
  <c r="BA190" i="22" s="1"/>
  <c r="AI249" i="1"/>
  <c r="AP190" i="22" s="1"/>
  <c r="AK249" i="1"/>
  <c r="A251" i="1"/>
  <c r="AK189" i="22" l="1"/>
  <c r="BD190" i="22"/>
  <c r="B251" i="1"/>
  <c r="AG250" i="1"/>
  <c r="AH250" i="1"/>
  <c r="AI250" i="1"/>
  <c r="AK250" i="1"/>
  <c r="AT250" i="1"/>
  <c r="AU250" i="1" s="1"/>
  <c r="AW250" i="1" s="1"/>
  <c r="AV250" i="1"/>
  <c r="AJ251" i="1"/>
  <c r="AR191" i="22" s="1"/>
  <c r="AT191" i="22" s="1"/>
  <c r="A252" i="1"/>
  <c r="B252" i="1" l="1"/>
  <c r="AM251" i="1"/>
  <c r="AJ252" i="1"/>
  <c r="AR192" i="22" s="1"/>
  <c r="AT192" i="22" s="1"/>
  <c r="AG251" i="1"/>
  <c r="AL191" i="22" s="1"/>
  <c r="AZ191" i="22" s="1"/>
  <c r="AH251" i="1"/>
  <c r="AM191" i="22" s="1"/>
  <c r="BA191" i="22" s="1"/>
  <c r="AI251" i="1"/>
  <c r="AP191" i="22" s="1"/>
  <c r="AK251" i="1"/>
  <c r="A253" i="1"/>
  <c r="AL252" i="1"/>
  <c r="AK190" i="22" l="1"/>
  <c r="BD191" i="22"/>
  <c r="B253" i="1"/>
  <c r="AJ253" i="1"/>
  <c r="AM253" i="1" s="1"/>
  <c r="AM252" i="1"/>
  <c r="AG252" i="1"/>
  <c r="AL192" i="22" s="1"/>
  <c r="AZ192" i="22" s="1"/>
  <c r="AH252" i="1"/>
  <c r="AM192" i="22" s="1"/>
  <c r="BA192" i="22" s="1"/>
  <c r="AI252" i="1"/>
  <c r="AP192" i="22" s="1"/>
  <c r="AK252" i="1"/>
  <c r="A254" i="1"/>
  <c r="AK191" i="22" l="1"/>
  <c r="BD192" i="22"/>
  <c r="B254" i="1"/>
  <c r="AG253" i="1"/>
  <c r="AH253" i="1"/>
  <c r="AI253" i="1"/>
  <c r="AK253" i="1"/>
  <c r="AT253" i="1"/>
  <c r="AU253" i="1" s="1"/>
  <c r="AW253" i="1" s="1"/>
  <c r="AV253" i="1"/>
  <c r="AJ254" i="1"/>
  <c r="AR193" i="22" s="1"/>
  <c r="AT193" i="22" s="1"/>
  <c r="A255" i="1"/>
  <c r="B255" i="1" l="1"/>
  <c r="AM254" i="1"/>
  <c r="AJ255" i="1"/>
  <c r="AR194" i="22" s="1"/>
  <c r="AT194" i="22" s="1"/>
  <c r="AG254" i="1"/>
  <c r="AL193" i="22" s="1"/>
  <c r="AZ193" i="22" s="1"/>
  <c r="AH254" i="1"/>
  <c r="AM193" i="22" s="1"/>
  <c r="BA193" i="22" s="1"/>
  <c r="AI254" i="1"/>
  <c r="AP193" i="22" s="1"/>
  <c r="AK254" i="1"/>
  <c r="A256" i="1"/>
  <c r="AL255" i="1"/>
  <c r="AK192" i="22" l="1"/>
  <c r="BD193" i="22"/>
  <c r="B256" i="1"/>
  <c r="AM255" i="1"/>
  <c r="AJ256" i="1"/>
  <c r="AR195" i="22" s="1"/>
  <c r="AT195" i="22" s="1"/>
  <c r="AG255" i="1"/>
  <c r="AL194" i="22" s="1"/>
  <c r="AZ194" i="22" s="1"/>
  <c r="AH255" i="1"/>
  <c r="AM194" i="22" s="1"/>
  <c r="BA194" i="22" s="1"/>
  <c r="AI255" i="1"/>
  <c r="AP194" i="22" s="1"/>
  <c r="AK255" i="1"/>
  <c r="AL256" i="1"/>
  <c r="AK193" i="22" l="1"/>
  <c r="BD194" i="22"/>
  <c r="AM256" i="1"/>
  <c r="AG256" i="1"/>
  <c r="AL195" i="22" s="1"/>
  <c r="AZ195" i="22" s="1"/>
  <c r="AH256" i="1"/>
  <c r="AM195" i="22" s="1"/>
  <c r="BA195" i="22" s="1"/>
  <c r="AI256" i="1"/>
  <c r="AP195" i="22" s="1"/>
  <c r="AK256" i="1"/>
  <c r="A257" i="1"/>
  <c r="AK194" i="22" l="1"/>
  <c r="BD195" i="22"/>
  <c r="B257" i="1"/>
  <c r="AJ257" i="1"/>
  <c r="AM257" i="1" s="1"/>
  <c r="A258" i="1"/>
  <c r="B258" i="1" l="1"/>
  <c r="AG257" i="1"/>
  <c r="AH257" i="1"/>
  <c r="AI257" i="1"/>
  <c r="AK257" i="1"/>
  <c r="AT257" i="1"/>
  <c r="AU257" i="1" s="1"/>
  <c r="AW257" i="1" s="1"/>
  <c r="AV257" i="1"/>
  <c r="AJ258" i="1"/>
  <c r="AR196" i="22" s="1"/>
  <c r="AT196" i="22" s="1"/>
  <c r="A259" i="1"/>
  <c r="B259" i="1" l="1"/>
  <c r="AJ259" i="1"/>
  <c r="AR197" i="22" s="1"/>
  <c r="AT197" i="22" s="1"/>
  <c r="AM258" i="1"/>
  <c r="AG258" i="1"/>
  <c r="AL196" i="22" s="1"/>
  <c r="AZ196" i="22" s="1"/>
  <c r="AH258" i="1"/>
  <c r="AM196" i="22" s="1"/>
  <c r="BA196" i="22" s="1"/>
  <c r="AI258" i="1"/>
  <c r="AP196" i="22" s="1"/>
  <c r="AK258" i="1"/>
  <c r="A260" i="1"/>
  <c r="AL259" i="1"/>
  <c r="AK195" i="22" l="1"/>
  <c r="BD196" i="22"/>
  <c r="B260" i="1"/>
  <c r="AM259" i="1"/>
  <c r="AG259" i="1"/>
  <c r="AL197" i="22" s="1"/>
  <c r="AZ197" i="22" s="1"/>
  <c r="AH259" i="1"/>
  <c r="AM197" i="22" s="1"/>
  <c r="BA197" i="22" s="1"/>
  <c r="AI259" i="1"/>
  <c r="AP197" i="22" s="1"/>
  <c r="AK259" i="1"/>
  <c r="AT259" i="1"/>
  <c r="AU259" i="1" s="1"/>
  <c r="AW259" i="1" s="1"/>
  <c r="AJ260" i="1"/>
  <c r="AR198" i="22" s="1"/>
  <c r="AT198" i="22" s="1"/>
  <c r="A261" i="1"/>
  <c r="AK196" i="22" l="1"/>
  <c r="BD197" i="22"/>
  <c r="B261" i="1"/>
  <c r="AJ261" i="1"/>
  <c r="AR199" i="22" s="1"/>
  <c r="AT199" i="22" s="1"/>
  <c r="AM260" i="1"/>
  <c r="AG260" i="1"/>
  <c r="AL198" i="22" s="1"/>
  <c r="AZ198" i="22" s="1"/>
  <c r="AH260" i="1"/>
  <c r="AM198" i="22" s="1"/>
  <c r="BA198" i="22" s="1"/>
  <c r="AI260" i="1"/>
  <c r="AP198" i="22" s="1"/>
  <c r="AK260" i="1"/>
  <c r="A262" i="1"/>
  <c r="AL261" i="1"/>
  <c r="AK197" i="22" l="1"/>
  <c r="BD198" i="22"/>
  <c r="AM261" i="1"/>
  <c r="AG261" i="1"/>
  <c r="AL199" i="22" s="1"/>
  <c r="AZ199" i="22" s="1"/>
  <c r="AH261" i="1"/>
  <c r="AM199" i="22" s="1"/>
  <c r="BA199" i="22" s="1"/>
  <c r="AI261" i="1"/>
  <c r="AP199" i="22" s="1"/>
  <c r="AK261" i="1"/>
  <c r="AT261" i="1"/>
  <c r="AU261" i="1" s="1"/>
  <c r="AW261" i="1" s="1"/>
  <c r="B262" i="1"/>
  <c r="AJ262" i="1"/>
  <c r="A263" i="1"/>
  <c r="AK198" i="22" l="1"/>
  <c r="BD199" i="22"/>
  <c r="B263" i="1"/>
  <c r="AM262" i="1"/>
  <c r="AJ263" i="1"/>
  <c r="AR200" i="22" s="1"/>
  <c r="AT200" i="22" s="1"/>
  <c r="AG262" i="1"/>
  <c r="AH262" i="1"/>
  <c r="AI262" i="1"/>
  <c r="AK262" i="1"/>
  <c r="A264" i="1"/>
  <c r="B264" i="1" l="1"/>
  <c r="AM263" i="1"/>
  <c r="AJ264" i="1"/>
  <c r="AR201" i="22" s="1"/>
  <c r="AT201" i="22" s="1"/>
  <c r="AG263" i="1"/>
  <c r="AL200" i="22" s="1"/>
  <c r="AZ200" i="22" s="1"/>
  <c r="AH263" i="1"/>
  <c r="AM200" i="22" s="1"/>
  <c r="BA200" i="22" s="1"/>
  <c r="AI263" i="1"/>
  <c r="AP200" i="22" s="1"/>
  <c r="AK263" i="1"/>
  <c r="A265" i="1"/>
  <c r="AL264" i="1"/>
  <c r="AK199" i="22" l="1"/>
  <c r="BD200" i="22"/>
  <c r="B265" i="1"/>
  <c r="AJ265" i="1"/>
  <c r="AR202" i="22" s="1"/>
  <c r="AT202" i="22" s="1"/>
  <c r="AM264" i="1"/>
  <c r="AG264" i="1"/>
  <c r="AL201" i="22" s="1"/>
  <c r="AZ201" i="22" s="1"/>
  <c r="AH264" i="1"/>
  <c r="AM201" i="22" s="1"/>
  <c r="BA201" i="22" s="1"/>
  <c r="AI264" i="1"/>
  <c r="AP201" i="22" s="1"/>
  <c r="AK264" i="1"/>
  <c r="AL260" i="1"/>
  <c r="AL236" i="1"/>
  <c r="AC234" i="1"/>
  <c r="AD234" i="1"/>
  <c r="AC226" i="1"/>
  <c r="AD226" i="1"/>
  <c r="AC224" i="1"/>
  <c r="AD224" i="1"/>
  <c r="AC212" i="1"/>
  <c r="AD212" i="1"/>
  <c r="AL211" i="1"/>
  <c r="AC208" i="1"/>
  <c r="AD208" i="1"/>
  <c r="AC206" i="1"/>
  <c r="AD206" i="1"/>
  <c r="AC198" i="1"/>
  <c r="AD198" i="1"/>
  <c r="AC196" i="1"/>
  <c r="AD196" i="1"/>
  <c r="AC187" i="1"/>
  <c r="AD187" i="1"/>
  <c r="AC171" i="1"/>
  <c r="AD171" i="1"/>
  <c r="AC169" i="1"/>
  <c r="AD169" i="1"/>
  <c r="AC165" i="1"/>
  <c r="AD165" i="1"/>
  <c r="AL162" i="1"/>
  <c r="AL178" i="1"/>
  <c r="AC190" i="1"/>
  <c r="AD190" i="1"/>
  <c r="AC184" i="1"/>
  <c r="AD184" i="1"/>
  <c r="AL234" i="1"/>
  <c r="AC162" i="1"/>
  <c r="AD162" i="1"/>
  <c r="AC159" i="1"/>
  <c r="AD159" i="1"/>
  <c r="AC157" i="1"/>
  <c r="AD157" i="1"/>
  <c r="AL145" i="1"/>
  <c r="AC147" i="1"/>
  <c r="AD147" i="1"/>
  <c r="AC138" i="1"/>
  <c r="AD138" i="1"/>
  <c r="AL128" i="1"/>
  <c r="AC128" i="1"/>
  <c r="AD128" i="1"/>
  <c r="AL122" i="1"/>
  <c r="AL120" i="1"/>
  <c r="AL118" i="1"/>
  <c r="AC115" i="1"/>
  <c r="AD115" i="1"/>
  <c r="AC110" i="1"/>
  <c r="AD110" i="1"/>
  <c r="AL105" i="1"/>
  <c r="AC105" i="1"/>
  <c r="AD105" i="1"/>
  <c r="AC90" i="1"/>
  <c r="AD90" i="1"/>
  <c r="AC78" i="1"/>
  <c r="AD78" i="1"/>
  <c r="AL71" i="1"/>
  <c r="AC98" i="1"/>
  <c r="AD98" i="1"/>
  <c r="AL97" i="1"/>
  <c r="AC94" i="1"/>
  <c r="AD94" i="1"/>
  <c r="AC92" i="1"/>
  <c r="AD92" i="1"/>
  <c r="AC86" i="1"/>
  <c r="AD86" i="1"/>
  <c r="AC80" i="1"/>
  <c r="AD80" i="1"/>
  <c r="AL67" i="1"/>
  <c r="AL65" i="1"/>
  <c r="AL63" i="1"/>
  <c r="AC61" i="1"/>
  <c r="AD61" i="1"/>
  <c r="AC63" i="1"/>
  <c r="AD63" i="1"/>
  <c r="AL61" i="1"/>
  <c r="AL52" i="1"/>
  <c r="AL55" i="1"/>
  <c r="AL59" i="1"/>
  <c r="AL80" i="1"/>
  <c r="AC84" i="1"/>
  <c r="AD84" i="1"/>
  <c r="AL83" i="1"/>
  <c r="AC48" i="1"/>
  <c r="AD48" i="1"/>
  <c r="AL48" i="1"/>
  <c r="AC42" i="1"/>
  <c r="AD42" i="1"/>
  <c r="AL33" i="1"/>
  <c r="AL40" i="1"/>
  <c r="AL30" i="1"/>
  <c r="AL6" i="1"/>
  <c r="AL4" i="1"/>
  <c r="AC50" i="1"/>
  <c r="AC12" i="1"/>
  <c r="AC16" i="1"/>
  <c r="AD36" i="1"/>
  <c r="AD12" i="1"/>
  <c r="AC36" i="1"/>
  <c r="AD50" i="1"/>
  <c r="AC20" i="1"/>
  <c r="AD40" i="1"/>
  <c r="AD20" i="1"/>
  <c r="AC46" i="1"/>
  <c r="AD44" i="1"/>
  <c r="AD38" i="1"/>
  <c r="AC23" i="1"/>
  <c r="AD46" i="1"/>
  <c r="AD33" i="1"/>
  <c r="AC33" i="1"/>
  <c r="AC40" i="1"/>
  <c r="AD16" i="1"/>
  <c r="AC38" i="1"/>
  <c r="AC44" i="1"/>
  <c r="AD23" i="1"/>
  <c r="AL86" i="1"/>
  <c r="AC103" i="1"/>
  <c r="AD103" i="1"/>
  <c r="AC101" i="1"/>
  <c r="AD101" i="1"/>
  <c r="AL137" i="1"/>
  <c r="AC143" i="1"/>
  <c r="AD143" i="1"/>
  <c r="AC141" i="1"/>
  <c r="AD141" i="1"/>
  <c r="AL100" i="1"/>
  <c r="AL107" i="1"/>
  <c r="AL110" i="1"/>
  <c r="AL115" i="1"/>
  <c r="AL134" i="1"/>
  <c r="AL149" i="1"/>
  <c r="AC203" i="1"/>
  <c r="AD203" i="1"/>
  <c r="AC201" i="1"/>
  <c r="AD201" i="1"/>
  <c r="AL215" i="1"/>
  <c r="AL218" i="1"/>
  <c r="AL246" i="1"/>
  <c r="A266" i="1"/>
  <c r="AL265" i="1"/>
  <c r="AK200" i="22" l="1"/>
  <c r="BD201" i="22"/>
  <c r="B266" i="1"/>
  <c r="AJ266" i="1"/>
  <c r="AR203" i="22" s="1"/>
  <c r="AT203" i="22" s="1"/>
  <c r="AM265" i="1"/>
  <c r="AG265" i="1"/>
  <c r="AL202" i="22" s="1"/>
  <c r="AZ202" i="22" s="1"/>
  <c r="AH265" i="1"/>
  <c r="AM202" i="22" s="1"/>
  <c r="BA202" i="22" s="1"/>
  <c r="AI265" i="1"/>
  <c r="AP202" i="22" s="1"/>
  <c r="AK265" i="1"/>
  <c r="AT265" i="1"/>
  <c r="AU265" i="1" s="1"/>
  <c r="AW265" i="1" s="1"/>
  <c r="AL262" i="1"/>
  <c r="AK5" i="22"/>
  <c r="A267" i="1"/>
  <c r="AL266" i="1"/>
  <c r="AK201" i="22" l="1"/>
  <c r="BD202" i="22"/>
  <c r="B267" i="1"/>
  <c r="AJ267" i="1"/>
  <c r="AR204" i="22" s="1"/>
  <c r="AT204" i="22" s="1"/>
  <c r="AL258" i="1"/>
  <c r="AC256" i="1"/>
  <c r="AD256" i="1"/>
  <c r="AC249" i="1"/>
  <c r="AD249" i="1"/>
  <c r="AC247" i="1"/>
  <c r="AD247" i="1"/>
  <c r="AC252" i="1"/>
  <c r="AD252" i="1"/>
  <c r="AL251" i="1"/>
  <c r="AL254" i="1"/>
  <c r="AL263" i="1"/>
  <c r="AL238" i="1"/>
  <c r="AL249" i="1"/>
  <c r="AC261" i="1"/>
  <c r="AD261" i="1"/>
  <c r="AM266" i="1"/>
  <c r="AC266" i="1"/>
  <c r="AD266" i="1"/>
  <c r="AG266" i="1"/>
  <c r="AL203" i="22" s="1"/>
  <c r="AZ203" i="22" s="1"/>
  <c r="AH266" i="1"/>
  <c r="AM203" i="22" s="1"/>
  <c r="BA203" i="22" s="1"/>
  <c r="AI266" i="1"/>
  <c r="AP203" i="22" s="1"/>
  <c r="AK266" i="1"/>
  <c r="AT266" i="1"/>
  <c r="AU266" i="1" s="1"/>
  <c r="AW266" i="1" s="1"/>
  <c r="AC259" i="1"/>
  <c r="AD259" i="1"/>
  <c r="AC257" i="1"/>
  <c r="AD257" i="1"/>
  <c r="AL253" i="1"/>
  <c r="AC253" i="1"/>
  <c r="AD253" i="1"/>
  <c r="AC250" i="1"/>
  <c r="AD250" i="1"/>
  <c r="AL248" i="1"/>
  <c r="AC245" i="1"/>
  <c r="AD245" i="1"/>
  <c r="AC235" i="1"/>
  <c r="AD235" i="1"/>
  <c r="AC177" i="1"/>
  <c r="AD177" i="1"/>
  <c r="AC233" i="1"/>
  <c r="AD233" i="1"/>
  <c r="AL235" i="1"/>
  <c r="AL237" i="1"/>
  <c r="AL250" i="1"/>
  <c r="AL257" i="1"/>
  <c r="AL225" i="1"/>
  <c r="AL227" i="1"/>
  <c r="AC217" i="1"/>
  <c r="AD217" i="1"/>
  <c r="AL213" i="1"/>
  <c r="AC214" i="1"/>
  <c r="AD214" i="1"/>
  <c r="AL209" i="1"/>
  <c r="AC210" i="1"/>
  <c r="AD210" i="1"/>
  <c r="AL204" i="1"/>
  <c r="AL207" i="1"/>
  <c r="AL199" i="1"/>
  <c r="AL202" i="1"/>
  <c r="AL191" i="1"/>
  <c r="AL197" i="1"/>
  <c r="AL185" i="1"/>
  <c r="AL188" i="1"/>
  <c r="AL170" i="1"/>
  <c r="AL172" i="1"/>
  <c r="AL163" i="1"/>
  <c r="AL166" i="1"/>
  <c r="AC161" i="1"/>
  <c r="AD161" i="1"/>
  <c r="AL158" i="1"/>
  <c r="AL160" i="1"/>
  <c r="AL148" i="1"/>
  <c r="AC148" i="1"/>
  <c r="AD148" i="1"/>
  <c r="AL144" i="1"/>
  <c r="AC144" i="1"/>
  <c r="AD144" i="1"/>
  <c r="AL139" i="1"/>
  <c r="AL142" i="1"/>
  <c r="AC136" i="1"/>
  <c r="AD136" i="1"/>
  <c r="AL129" i="1"/>
  <c r="AC133" i="1"/>
  <c r="AD133" i="1"/>
  <c r="AC127" i="1"/>
  <c r="AD127" i="1"/>
  <c r="AC121" i="1"/>
  <c r="AD121" i="1"/>
  <c r="AC119" i="1"/>
  <c r="AD119" i="1"/>
  <c r="AL116" i="1"/>
  <c r="AC117" i="1"/>
  <c r="AD117" i="1"/>
  <c r="AL111" i="1"/>
  <c r="AC114" i="1"/>
  <c r="AD114" i="1"/>
  <c r="AC109" i="1"/>
  <c r="AD109" i="1"/>
  <c r="AL106" i="1"/>
  <c r="AC106" i="1"/>
  <c r="AD106" i="1"/>
  <c r="AC104" i="1"/>
  <c r="AD104" i="1"/>
  <c r="AL102" i="1"/>
  <c r="AL104" i="1"/>
  <c r="AL99" i="1"/>
  <c r="AC99" i="1"/>
  <c r="AD99" i="1"/>
  <c r="AC96" i="1"/>
  <c r="AD96" i="1"/>
  <c r="AL93" i="1"/>
  <c r="AL95" i="1"/>
  <c r="AL87" i="1"/>
  <c r="AL91" i="1"/>
  <c r="AL85" i="1"/>
  <c r="AC85" i="1"/>
  <c r="AD85" i="1"/>
  <c r="AL81" i="1"/>
  <c r="AC82" i="1"/>
  <c r="AD82" i="1"/>
  <c r="AL79" i="1"/>
  <c r="AC79" i="1"/>
  <c r="AD79" i="1"/>
  <c r="AC70" i="1"/>
  <c r="AD70" i="1"/>
  <c r="AC66" i="1"/>
  <c r="AD66" i="1"/>
  <c r="AL64" i="1"/>
  <c r="AC64" i="1"/>
  <c r="AD64" i="1"/>
  <c r="AL62" i="1"/>
  <c r="AC62" i="1"/>
  <c r="AD62" i="1"/>
  <c r="AC60" i="1"/>
  <c r="AD60" i="1"/>
  <c r="AC58" i="1"/>
  <c r="AD58" i="1"/>
  <c r="AC54" i="1"/>
  <c r="AD54" i="1"/>
  <c r="AC51" i="1"/>
  <c r="AD51" i="1"/>
  <c r="AL49" i="1"/>
  <c r="AL51" i="1"/>
  <c r="AD47" i="1"/>
  <c r="AC47" i="1"/>
  <c r="AL45" i="1"/>
  <c r="AL47" i="1"/>
  <c r="AL41" i="1"/>
  <c r="AL43" i="1"/>
  <c r="AL39" i="1"/>
  <c r="AD39" i="1"/>
  <c r="AC39" i="1"/>
  <c r="AD15" i="1"/>
  <c r="AC15" i="1"/>
  <c r="AL15" i="1"/>
  <c r="AL37" i="1"/>
  <c r="AL34" i="1"/>
  <c r="AL24" i="1"/>
  <c r="AL17" i="1"/>
  <c r="AL13" i="1"/>
  <c r="AL21" i="1"/>
  <c r="AC5" i="1"/>
  <c r="AC32" i="1"/>
  <c r="AC3" i="1"/>
  <c r="AD29" i="1"/>
  <c r="AD3" i="1"/>
  <c r="AD5" i="1"/>
  <c r="AD32" i="1"/>
  <c r="AC29" i="1"/>
  <c r="AC153" i="1"/>
  <c r="AD153" i="1"/>
  <c r="AC264" i="1"/>
  <c r="AD264" i="1"/>
  <c r="AC262" i="1"/>
  <c r="AD262" i="1"/>
  <c r="AC260" i="1"/>
  <c r="AD260" i="1"/>
  <c r="AC258" i="1"/>
  <c r="AD258" i="1"/>
  <c r="AC254" i="1"/>
  <c r="AD254" i="1"/>
  <c r="AC251" i="1"/>
  <c r="AD251" i="1"/>
  <c r="AC248" i="1"/>
  <c r="AD248" i="1"/>
  <c r="AC246" i="1"/>
  <c r="AD246" i="1"/>
  <c r="AC243" i="1"/>
  <c r="AD243" i="1"/>
  <c r="AC241" i="1"/>
  <c r="AD241" i="1"/>
  <c r="AC239" i="1"/>
  <c r="AD239" i="1"/>
  <c r="AC237" i="1"/>
  <c r="AD237" i="1"/>
  <c r="AC244" i="1"/>
  <c r="AD244" i="1"/>
  <c r="AC242" i="1"/>
  <c r="AD242" i="1"/>
  <c r="AC240" i="1"/>
  <c r="AD240" i="1"/>
  <c r="AC238" i="1"/>
  <c r="AD238" i="1"/>
  <c r="AC236" i="1"/>
  <c r="AD236" i="1"/>
  <c r="AC231" i="1"/>
  <c r="AD231" i="1"/>
  <c r="AC229" i="1"/>
  <c r="AD229" i="1"/>
  <c r="AC222" i="1"/>
  <c r="AD222" i="1"/>
  <c r="AC220" i="1"/>
  <c r="AD220" i="1"/>
  <c r="AC218" i="1"/>
  <c r="AD218" i="1"/>
  <c r="AC215" i="1"/>
  <c r="AD215" i="1"/>
  <c r="AC213" i="1"/>
  <c r="AD213" i="1"/>
  <c r="AC211" i="1"/>
  <c r="AD211" i="1"/>
  <c r="AC204" i="1"/>
  <c r="AD204" i="1"/>
  <c r="AC202" i="1"/>
  <c r="AD202" i="1"/>
  <c r="AC200" i="1"/>
  <c r="AD200" i="1"/>
  <c r="AC194" i="1"/>
  <c r="AD194" i="1"/>
  <c r="AC191" i="1"/>
  <c r="AD191" i="1"/>
  <c r="AC189" i="1"/>
  <c r="AD189" i="1"/>
  <c r="AC185" i="1"/>
  <c r="AD185" i="1"/>
  <c r="AC183" i="1"/>
  <c r="AD183" i="1"/>
  <c r="AC181" i="1"/>
  <c r="AD181" i="1"/>
  <c r="AC179" i="1"/>
  <c r="AD179" i="1"/>
  <c r="AC175" i="1"/>
  <c r="AD175" i="1"/>
  <c r="AC173" i="1"/>
  <c r="AD173" i="1"/>
  <c r="AC167" i="1"/>
  <c r="AD167" i="1"/>
  <c r="AC163" i="1"/>
  <c r="AD163" i="1"/>
  <c r="AC192" i="1"/>
  <c r="AD192" i="1"/>
  <c r="AC188" i="1"/>
  <c r="AD188" i="1"/>
  <c r="AC186" i="1"/>
  <c r="AD186" i="1"/>
  <c r="AC182" i="1"/>
  <c r="AD182" i="1"/>
  <c r="AC180" i="1"/>
  <c r="AD180" i="1"/>
  <c r="AC178" i="1"/>
  <c r="AD178" i="1"/>
  <c r="AC176" i="1"/>
  <c r="AD176" i="1"/>
  <c r="AC174" i="1"/>
  <c r="AD174" i="1"/>
  <c r="AC172" i="1"/>
  <c r="AD172" i="1"/>
  <c r="AC170" i="1"/>
  <c r="AD170" i="1"/>
  <c r="AC168" i="1"/>
  <c r="AD168" i="1"/>
  <c r="AC166" i="1"/>
  <c r="AD166" i="1"/>
  <c r="AC164" i="1"/>
  <c r="AD164" i="1"/>
  <c r="AC155" i="1"/>
  <c r="AD155" i="1"/>
  <c r="AC151" i="1"/>
  <c r="AD151" i="1"/>
  <c r="AC149" i="1"/>
  <c r="AD149" i="1"/>
  <c r="AC146" i="1"/>
  <c r="AD146" i="1"/>
  <c r="AC145" i="1"/>
  <c r="AD145" i="1"/>
  <c r="AC142" i="1"/>
  <c r="AD142" i="1"/>
  <c r="AC140" i="1"/>
  <c r="AD140" i="1"/>
  <c r="AC137" i="1"/>
  <c r="AD137" i="1"/>
  <c r="AC134" i="1"/>
  <c r="AD134" i="1"/>
  <c r="AC131" i="1"/>
  <c r="AD131" i="1"/>
  <c r="AC129" i="1"/>
  <c r="AD129" i="1"/>
  <c r="AC132" i="1"/>
  <c r="AD132" i="1"/>
  <c r="AC130" i="1"/>
  <c r="AD130" i="1"/>
  <c r="AC125" i="1"/>
  <c r="AD125" i="1"/>
  <c r="AC123" i="1"/>
  <c r="AD123" i="1"/>
  <c r="AC126" i="1"/>
  <c r="AD126" i="1"/>
  <c r="AC124" i="1"/>
  <c r="AD124" i="1"/>
  <c r="AC122" i="1"/>
  <c r="AD122" i="1"/>
  <c r="AC120" i="1"/>
  <c r="AD120" i="1"/>
  <c r="AC118" i="1"/>
  <c r="AD118" i="1"/>
  <c r="AC112" i="1"/>
  <c r="AD112" i="1"/>
  <c r="AC107" i="1"/>
  <c r="AD107" i="1"/>
  <c r="AC102" i="1"/>
  <c r="AD102" i="1"/>
  <c r="AC100" i="1"/>
  <c r="AD100" i="1"/>
  <c r="AC91" i="1"/>
  <c r="AD91" i="1"/>
  <c r="AC89" i="1"/>
  <c r="AD89" i="1"/>
  <c r="AL77" i="1"/>
  <c r="AC77" i="1"/>
  <c r="AD77" i="1"/>
  <c r="AL75" i="1"/>
  <c r="AC75" i="1"/>
  <c r="AD75" i="1"/>
  <c r="AC73" i="1"/>
  <c r="AD73" i="1"/>
  <c r="AC72" i="1"/>
  <c r="AD72" i="1"/>
  <c r="AC71" i="1"/>
  <c r="AD71" i="1"/>
  <c r="AC97" i="1"/>
  <c r="AD97" i="1"/>
  <c r="AC88" i="1"/>
  <c r="AD88" i="1"/>
  <c r="AC83" i="1"/>
  <c r="AD83" i="1"/>
  <c r="AC68" i="1"/>
  <c r="AD68" i="1"/>
  <c r="AC69" i="1"/>
  <c r="AD69" i="1"/>
  <c r="AC67" i="1"/>
  <c r="AD67" i="1"/>
  <c r="AC65" i="1"/>
  <c r="AD65" i="1"/>
  <c r="AC59" i="1"/>
  <c r="AD59" i="1"/>
  <c r="AC56" i="1"/>
  <c r="AD56" i="1"/>
  <c r="AC55" i="1"/>
  <c r="AD55" i="1"/>
  <c r="AC53" i="1"/>
  <c r="AD53" i="1"/>
  <c r="AC52" i="1"/>
  <c r="AD52" i="1"/>
  <c r="AC57" i="1"/>
  <c r="AD57" i="1"/>
  <c r="AC81" i="1"/>
  <c r="AD81" i="1"/>
  <c r="AL3" i="1"/>
  <c r="AC31" i="1"/>
  <c r="AD31" i="1"/>
  <c r="AL27" i="1"/>
  <c r="AD25" i="1"/>
  <c r="AC25" i="1"/>
  <c r="AC19" i="1"/>
  <c r="AD19" i="1"/>
  <c r="AC9" i="1"/>
  <c r="AD9" i="1"/>
  <c r="AC11" i="1"/>
  <c r="AD11" i="1"/>
  <c r="AL8" i="1"/>
  <c r="AD18" i="1"/>
  <c r="AC34" i="1"/>
  <c r="AD49" i="1"/>
  <c r="AC37" i="1"/>
  <c r="AC17" i="1"/>
  <c r="AD34" i="1"/>
  <c r="AD10" i="1"/>
  <c r="AD35" i="1"/>
  <c r="AC18" i="1"/>
  <c r="AD37" i="1"/>
  <c r="AD8" i="1"/>
  <c r="AC22" i="1"/>
  <c r="AC35" i="1"/>
  <c r="AD22" i="1"/>
  <c r="AD27" i="1"/>
  <c r="AC49" i="1"/>
  <c r="AC13" i="1"/>
  <c r="AC24" i="1"/>
  <c r="AC8" i="1"/>
  <c r="AD4" i="1"/>
  <c r="AD6" i="1"/>
  <c r="AD30" i="1"/>
  <c r="AC6" i="1"/>
  <c r="AC21" i="1"/>
  <c r="AC43" i="1"/>
  <c r="AC30" i="1"/>
  <c r="AD45" i="1"/>
  <c r="AC10" i="1"/>
  <c r="AD24" i="1"/>
  <c r="AC28" i="1"/>
  <c r="AD41" i="1"/>
  <c r="AC4" i="1"/>
  <c r="AC45" i="1"/>
  <c r="AD13" i="1"/>
  <c r="AC41" i="1"/>
  <c r="AC27" i="1"/>
  <c r="AD21" i="1"/>
  <c r="AD28" i="1"/>
  <c r="AD17" i="1"/>
  <c r="AD43" i="1"/>
  <c r="AC95" i="1"/>
  <c r="AD95" i="1"/>
  <c r="AC93" i="1"/>
  <c r="AD93" i="1"/>
  <c r="AC87" i="1"/>
  <c r="AD87" i="1"/>
  <c r="AC139" i="1"/>
  <c r="AD139" i="1"/>
  <c r="AC108" i="1"/>
  <c r="AD108" i="1"/>
  <c r="AC113" i="1"/>
  <c r="AD113" i="1"/>
  <c r="AC111" i="1"/>
  <c r="AD111" i="1"/>
  <c r="AC116" i="1"/>
  <c r="AD116" i="1"/>
  <c r="AC135" i="1"/>
  <c r="AD135" i="1"/>
  <c r="AC160" i="1"/>
  <c r="AD160" i="1"/>
  <c r="AC158" i="1"/>
  <c r="AD158" i="1"/>
  <c r="AC156" i="1"/>
  <c r="AD156" i="1"/>
  <c r="AC154" i="1"/>
  <c r="AD154" i="1"/>
  <c r="AC152" i="1"/>
  <c r="AD152" i="1"/>
  <c r="AC150" i="1"/>
  <c r="AD150" i="1"/>
  <c r="AC209" i="1"/>
  <c r="AD209" i="1"/>
  <c r="AC207" i="1"/>
  <c r="AD207" i="1"/>
  <c r="AC205" i="1"/>
  <c r="AD205" i="1"/>
  <c r="AC199" i="1"/>
  <c r="AD199" i="1"/>
  <c r="AC197" i="1"/>
  <c r="AD197" i="1"/>
  <c r="AC195" i="1"/>
  <c r="AD195" i="1"/>
  <c r="AL194" i="1"/>
  <c r="AC216" i="1"/>
  <c r="AD216" i="1"/>
  <c r="AC227" i="1"/>
  <c r="AD227" i="1"/>
  <c r="AC225" i="1"/>
  <c r="AD225" i="1"/>
  <c r="AC223" i="1"/>
  <c r="AD223" i="1"/>
  <c r="AC221" i="1"/>
  <c r="AD221" i="1"/>
  <c r="AC219" i="1"/>
  <c r="AD219" i="1"/>
  <c r="AC232" i="1"/>
  <c r="AD232" i="1"/>
  <c r="AC230" i="1"/>
  <c r="AD230" i="1"/>
  <c r="AL229" i="1"/>
  <c r="AC255" i="1"/>
  <c r="AD255" i="1"/>
  <c r="A268" i="1"/>
  <c r="AL267" i="1"/>
  <c r="AK202" i="22" l="1"/>
  <c r="BD203" i="22"/>
  <c r="AM267" i="1"/>
  <c r="AC267" i="1"/>
  <c r="AD267" i="1"/>
  <c r="AG267" i="1"/>
  <c r="AL204" i="22" s="1"/>
  <c r="AZ204" i="22" s="1"/>
  <c r="AH267" i="1"/>
  <c r="AM204" i="22" s="1"/>
  <c r="BA204" i="22" s="1"/>
  <c r="AI267" i="1"/>
  <c r="AP204" i="22" s="1"/>
  <c r="AK267" i="1"/>
  <c r="AT267" i="1"/>
  <c r="AU267" i="1" s="1"/>
  <c r="AW267" i="1" s="1"/>
  <c r="AC265" i="1"/>
  <c r="AD265" i="1"/>
  <c r="AC263" i="1"/>
  <c r="AD263" i="1"/>
  <c r="A269" i="1"/>
  <c r="AL268" i="1"/>
  <c r="AK203" i="22" l="1"/>
  <c r="AK204" i="22"/>
  <c r="BD204" i="22"/>
  <c r="A270" i="1"/>
  <c r="AL269" i="1"/>
  <c r="A271" i="1" l="1"/>
  <c r="AL270" i="1"/>
  <c r="A272" i="1" l="1"/>
  <c r="AL271" i="1"/>
  <c r="A273" i="1" l="1"/>
  <c r="AL272" i="1"/>
  <c r="A274" i="1" l="1"/>
  <c r="AL273" i="1"/>
  <c r="A275" i="1" l="1"/>
  <c r="AL274" i="1"/>
  <c r="A276" i="1" l="1"/>
  <c r="AL275" i="1"/>
  <c r="A277" i="1" l="1"/>
  <c r="AL276" i="1"/>
  <c r="A278" i="1" l="1"/>
  <c r="AL277" i="1"/>
  <c r="A279" i="1" l="1"/>
  <c r="AL278" i="1"/>
  <c r="A280" i="1" l="1"/>
  <c r="AL279" i="1"/>
  <c r="A281" i="1" l="1"/>
  <c r="AL280" i="1"/>
  <c r="A282" i="1" l="1"/>
  <c r="AL281" i="1"/>
  <c r="A283" i="1" l="1"/>
  <c r="AL282" i="1"/>
  <c r="A284" i="1" l="1"/>
  <c r="AL283" i="1"/>
  <c r="A285" i="1" l="1"/>
  <c r="AL284" i="1"/>
  <c r="A286" i="1" l="1"/>
  <c r="AL285" i="1"/>
  <c r="A287" i="1" l="1"/>
  <c r="AL286" i="1"/>
  <c r="A288" i="1" l="1"/>
  <c r="AL287" i="1"/>
  <c r="A289" i="1" l="1"/>
  <c r="AL288" i="1"/>
  <c r="A290" i="1" l="1"/>
  <c r="AL289" i="1"/>
  <c r="A291" i="1" l="1"/>
  <c r="AL290" i="1"/>
  <c r="A292" i="1" l="1"/>
  <c r="AL291" i="1"/>
  <c r="A293" i="1" l="1"/>
  <c r="AL292" i="1"/>
  <c r="A294" i="1" l="1"/>
  <c r="AL293" i="1"/>
  <c r="A295" i="1" l="1"/>
  <c r="AL294" i="1"/>
  <c r="A296" i="1" l="1"/>
  <c r="AL295" i="1"/>
  <c r="A297" i="1" l="1"/>
  <c r="AL296" i="1"/>
  <c r="A298" i="1" l="1"/>
  <c r="AL297" i="1"/>
  <c r="A299" i="1" l="1"/>
  <c r="AL298" i="1"/>
  <c r="A300" i="1" l="1"/>
  <c r="AL299" i="1"/>
  <c r="A301" i="1" l="1"/>
  <c r="AL300" i="1"/>
  <c r="A302" i="1" l="1"/>
  <c r="AL301" i="1"/>
  <c r="A303" i="1" l="1"/>
  <c r="AL302" i="1"/>
  <c r="A304" i="1" l="1"/>
  <c r="AL303" i="1"/>
  <c r="A305" i="1" l="1"/>
  <c r="AL304" i="1"/>
  <c r="A306" i="1" l="1"/>
  <c r="AL305" i="1"/>
  <c r="A307" i="1" l="1"/>
  <c r="AL306" i="1"/>
  <c r="A308" i="1" l="1"/>
  <c r="AL307" i="1"/>
  <c r="A309" i="1" l="1"/>
  <c r="AL308" i="1"/>
  <c r="A310" i="1" l="1"/>
  <c r="AL309" i="1"/>
  <c r="A311" i="1" l="1"/>
  <c r="AL310" i="1"/>
  <c r="A312" i="1" l="1"/>
  <c r="AL311" i="1"/>
  <c r="A313" i="1" l="1"/>
  <c r="AL312" i="1"/>
  <c r="A314" i="1" l="1"/>
  <c r="AL313" i="1"/>
  <c r="A315" i="1" l="1"/>
  <c r="AL314" i="1"/>
  <c r="A316" i="1" l="1"/>
  <c r="AL315" i="1"/>
  <c r="A317" i="1" l="1"/>
  <c r="AL316" i="1"/>
  <c r="A318" i="1" l="1"/>
  <c r="AL317" i="1"/>
  <c r="A319" i="1" l="1"/>
  <c r="AL318" i="1"/>
  <c r="A320" i="1" l="1"/>
  <c r="AL319" i="1"/>
  <c r="A321" i="1" l="1"/>
  <c r="AL320" i="1"/>
  <c r="A322" i="1" l="1"/>
  <c r="AL321" i="1"/>
  <c r="A323" i="1" l="1"/>
  <c r="AL322" i="1"/>
  <c r="A324" i="1" l="1"/>
  <c r="AL323" i="1"/>
  <c r="A325" i="1" l="1"/>
  <c r="AL324" i="1"/>
  <c r="A326" i="1" l="1"/>
  <c r="AL325" i="1"/>
  <c r="A327" i="1" l="1"/>
  <c r="AL326" i="1"/>
  <c r="A328" i="1" l="1"/>
  <c r="AL327" i="1"/>
  <c r="A329" i="1" l="1"/>
  <c r="AL328" i="1"/>
  <c r="A330" i="1" l="1"/>
  <c r="AL329" i="1"/>
  <c r="A331" i="1" l="1"/>
  <c r="AL330" i="1"/>
  <c r="A332" i="1" l="1"/>
  <c r="AL331" i="1"/>
  <c r="A333" i="1" l="1"/>
  <c r="AL332" i="1"/>
  <c r="A334" i="1" l="1"/>
  <c r="AL333" i="1"/>
  <c r="A335" i="1" l="1"/>
  <c r="AL334" i="1"/>
  <c r="A336" i="1" l="1"/>
  <c r="AL335" i="1"/>
  <c r="A337" i="1" l="1"/>
  <c r="AL336" i="1"/>
  <c r="A338" i="1" l="1"/>
  <c r="AL337" i="1"/>
  <c r="A339" i="1" l="1"/>
  <c r="AL338" i="1"/>
  <c r="A340" i="1" l="1"/>
  <c r="AL339" i="1"/>
  <c r="A341" i="1" l="1"/>
  <c r="AL340" i="1"/>
  <c r="A342" i="1" l="1"/>
  <c r="AL341" i="1"/>
  <c r="A343" i="1" l="1"/>
  <c r="AL342" i="1"/>
  <c r="A344" i="1" l="1"/>
  <c r="AL343" i="1"/>
  <c r="A345" i="1" l="1"/>
  <c r="AL344" i="1"/>
  <c r="A346" i="1" l="1"/>
  <c r="AL345" i="1"/>
  <c r="A347" i="1" l="1"/>
  <c r="AL346" i="1"/>
  <c r="A348" i="1" l="1"/>
  <c r="AL347" i="1"/>
  <c r="A349" i="1" l="1"/>
  <c r="AL348" i="1"/>
  <c r="A350" i="1" l="1"/>
  <c r="AL349" i="1"/>
  <c r="A351" i="1" l="1"/>
  <c r="AL350" i="1"/>
  <c r="A352" i="1" l="1"/>
  <c r="AL351" i="1"/>
  <c r="A353" i="1" l="1"/>
  <c r="AL352" i="1"/>
  <c r="A354" i="1" l="1"/>
  <c r="AL353" i="1"/>
  <c r="A355" i="1" l="1"/>
  <c r="AL354" i="1"/>
  <c r="A356" i="1" l="1"/>
  <c r="AL355" i="1"/>
  <c r="A357" i="1" l="1"/>
  <c r="AL356" i="1"/>
  <c r="A358" i="1" l="1"/>
  <c r="AL357" i="1"/>
  <c r="A359" i="1" l="1"/>
  <c r="AL358" i="1"/>
  <c r="A360" i="1" l="1"/>
  <c r="AL359" i="1"/>
  <c r="A361" i="1" l="1"/>
  <c r="AL360" i="1"/>
  <c r="A362" i="1" l="1"/>
  <c r="AL361" i="1"/>
  <c r="A363" i="1" l="1"/>
  <c r="AL362" i="1"/>
  <c r="A364" i="1" l="1"/>
  <c r="AL363" i="1"/>
  <c r="A365" i="1" l="1"/>
  <c r="AL364" i="1"/>
  <c r="A366" i="1" l="1"/>
  <c r="AL365" i="1"/>
  <c r="A367" i="1" l="1"/>
  <c r="AL366" i="1"/>
  <c r="A368" i="1" l="1"/>
  <c r="AL367" i="1"/>
  <c r="A369" i="1" l="1"/>
  <c r="AL368" i="1"/>
  <c r="A370" i="1" l="1"/>
  <c r="AL369" i="1"/>
  <c r="A371" i="1" l="1"/>
  <c r="AL370" i="1"/>
  <c r="A372" i="1" l="1"/>
  <c r="AL371" i="1"/>
  <c r="A373" i="1" l="1"/>
  <c r="AL372" i="1"/>
  <c r="A374" i="1" l="1"/>
  <c r="AL373" i="1"/>
  <c r="A375" i="1" l="1"/>
  <c r="AL374" i="1"/>
  <c r="A376" i="1" l="1"/>
  <c r="AL375" i="1"/>
  <c r="A377" i="1" l="1"/>
  <c r="AL376" i="1"/>
  <c r="A378" i="1" l="1"/>
  <c r="AL377" i="1"/>
  <c r="A379" i="1" l="1"/>
  <c r="AL378" i="1"/>
  <c r="A380" i="1" l="1"/>
  <c r="AL379" i="1"/>
  <c r="A381" i="1" l="1"/>
  <c r="AL380" i="1"/>
  <c r="A382" i="1" l="1"/>
  <c r="AL381" i="1"/>
  <c r="A383" i="1" l="1"/>
  <c r="AL382" i="1"/>
  <c r="A384" i="1" l="1"/>
  <c r="AL383" i="1"/>
  <c r="A385" i="1" l="1"/>
  <c r="AL384" i="1"/>
  <c r="A386" i="1" l="1"/>
  <c r="AL385" i="1"/>
  <c r="A387" i="1" l="1"/>
  <c r="AL386" i="1"/>
  <c r="A388" i="1" l="1"/>
  <c r="AL387" i="1"/>
  <c r="A389" i="1" l="1"/>
  <c r="AL388" i="1"/>
  <c r="A390" i="1" l="1"/>
  <c r="AL389" i="1"/>
  <c r="A391" i="1" l="1"/>
  <c r="AL390" i="1"/>
  <c r="A392" i="1" l="1"/>
  <c r="AL391" i="1"/>
  <c r="A393" i="1" l="1"/>
  <c r="AL392" i="1"/>
  <c r="A394" i="1" l="1"/>
  <c r="AL393" i="1"/>
  <c r="A395" i="1" l="1"/>
  <c r="AL394" i="1"/>
  <c r="A396" i="1" l="1"/>
  <c r="AL395" i="1"/>
  <c r="A397" i="1" l="1"/>
  <c r="AL396" i="1"/>
  <c r="A398" i="1" l="1"/>
  <c r="AL397" i="1"/>
  <c r="A399" i="1" l="1"/>
  <c r="AL398" i="1"/>
  <c r="A400" i="1" l="1"/>
  <c r="AL399" i="1"/>
  <c r="A401" i="1" l="1"/>
  <c r="AL400" i="1"/>
  <c r="A402" i="1" l="1"/>
  <c r="AL401" i="1"/>
  <c r="A403" i="1" l="1"/>
  <c r="AL402" i="1"/>
  <c r="A404" i="1" l="1"/>
  <c r="AL403" i="1"/>
  <c r="A405" i="1" l="1"/>
  <c r="AL404" i="1"/>
  <c r="A406" i="1" l="1"/>
  <c r="AL405" i="1"/>
  <c r="A407" i="1" l="1"/>
  <c r="AL406" i="1"/>
  <c r="A408" i="1" l="1"/>
  <c r="AL407" i="1"/>
  <c r="A409" i="1" l="1"/>
  <c r="AL408" i="1"/>
  <c r="A410" i="1" l="1"/>
  <c r="AL409" i="1"/>
  <c r="A411" i="1" l="1"/>
  <c r="AL410" i="1"/>
  <c r="A412" i="1" l="1"/>
  <c r="AL411" i="1"/>
  <c r="A413" i="1" l="1"/>
  <c r="AL412" i="1"/>
  <c r="A414" i="1" l="1"/>
  <c r="AL413" i="1"/>
  <c r="A415" i="1" l="1"/>
  <c r="AL414" i="1"/>
  <c r="A416" i="1" l="1"/>
  <c r="AL415" i="1"/>
  <c r="A417" i="1" l="1"/>
  <c r="AL416" i="1"/>
  <c r="A418" i="1" l="1"/>
  <c r="AL417" i="1"/>
  <c r="A419" i="1" l="1"/>
  <c r="AL418" i="1"/>
  <c r="A420" i="1" l="1"/>
  <c r="AL419" i="1"/>
  <c r="A421" i="1" l="1"/>
  <c r="AL420" i="1"/>
  <c r="A422" i="1" l="1"/>
  <c r="AL421" i="1"/>
  <c r="A423" i="1" l="1"/>
  <c r="AL422" i="1"/>
  <c r="A424" i="1" l="1"/>
  <c r="AL423" i="1"/>
  <c r="A425" i="1" l="1"/>
  <c r="AL424" i="1"/>
  <c r="A426" i="1" l="1"/>
  <c r="AL425" i="1"/>
  <c r="A427" i="1" l="1"/>
  <c r="AL426" i="1"/>
  <c r="A428" i="1" l="1"/>
  <c r="AL427" i="1"/>
  <c r="A429" i="1" l="1"/>
  <c r="AL428" i="1"/>
  <c r="A430" i="1" l="1"/>
  <c r="AL429" i="1"/>
  <c r="A431" i="1" l="1"/>
  <c r="AL430" i="1"/>
  <c r="A432" i="1" l="1"/>
  <c r="AL431" i="1"/>
  <c r="A433" i="1" l="1"/>
  <c r="AL432" i="1"/>
  <c r="A434" i="1" l="1"/>
  <c r="AL433" i="1"/>
  <c r="A435" i="1" l="1"/>
  <c r="AL434" i="1"/>
  <c r="A436" i="1" l="1"/>
  <c r="AL435" i="1"/>
  <c r="A437" i="1" l="1"/>
  <c r="AL436" i="1"/>
  <c r="A438" i="1" l="1"/>
  <c r="AL437" i="1"/>
  <c r="A439" i="1" l="1"/>
  <c r="AL438" i="1"/>
  <c r="A440" i="1" l="1"/>
  <c r="AL439" i="1"/>
  <c r="A441" i="1" l="1"/>
  <c r="AL440" i="1"/>
  <c r="A442" i="1" l="1"/>
  <c r="AL441" i="1"/>
  <c r="A443" i="1" l="1"/>
  <c r="AL442" i="1"/>
  <c r="A444" i="1" l="1"/>
  <c r="AL443" i="1"/>
  <c r="A445" i="1" l="1"/>
  <c r="AL444" i="1"/>
  <c r="A446" i="1" l="1"/>
  <c r="AL445" i="1"/>
  <c r="A447" i="1" l="1"/>
  <c r="AL446" i="1"/>
  <c r="A448" i="1" l="1"/>
  <c r="AL447" i="1"/>
  <c r="A449" i="1" l="1"/>
  <c r="AL448" i="1"/>
  <c r="A450" i="1" l="1"/>
  <c r="AL449" i="1"/>
  <c r="A451" i="1" l="1"/>
  <c r="AL450" i="1"/>
  <c r="A452" i="1" l="1"/>
  <c r="AL451" i="1"/>
  <c r="A453" i="1" l="1"/>
  <c r="AL452" i="1"/>
  <c r="A454" i="1" l="1"/>
  <c r="AL453" i="1"/>
  <c r="A455" i="1" l="1"/>
  <c r="AL454" i="1"/>
  <c r="A456" i="1" l="1"/>
  <c r="AL455" i="1"/>
  <c r="A457" i="1" l="1"/>
  <c r="AL456" i="1"/>
  <c r="A458" i="1" l="1"/>
  <c r="AL457" i="1"/>
  <c r="A459" i="1" l="1"/>
  <c r="AL458" i="1"/>
  <c r="A460" i="1" l="1"/>
  <c r="AL459" i="1"/>
  <c r="A461" i="1" l="1"/>
  <c r="AL460" i="1"/>
  <c r="A462" i="1" l="1"/>
  <c r="AL461" i="1"/>
  <c r="A463" i="1" l="1"/>
  <c r="AL462" i="1"/>
  <c r="A464" i="1" l="1"/>
  <c r="AL463" i="1"/>
  <c r="A465" i="1" l="1"/>
  <c r="AL464" i="1"/>
  <c r="A466" i="1" l="1"/>
  <c r="AL465" i="1"/>
  <c r="A467" i="1" l="1"/>
  <c r="AL466" i="1"/>
  <c r="A468" i="1" l="1"/>
  <c r="AL467" i="1"/>
  <c r="A469" i="1" l="1"/>
  <c r="AL468" i="1"/>
  <c r="A470" i="1" l="1"/>
  <c r="AL469" i="1"/>
  <c r="A471" i="1" l="1"/>
  <c r="AL470" i="1"/>
  <c r="A472" i="1" l="1"/>
  <c r="AL471" i="1"/>
  <c r="A473" i="1" l="1"/>
  <c r="AL472" i="1"/>
  <c r="A474" i="1" l="1"/>
  <c r="AL473" i="1"/>
  <c r="A475" i="1" l="1"/>
  <c r="AL474" i="1"/>
  <c r="A476" i="1" l="1"/>
  <c r="AL475" i="1"/>
  <c r="A477" i="1" l="1"/>
  <c r="AL476" i="1"/>
  <c r="A478" i="1" l="1"/>
  <c r="AL477" i="1"/>
  <c r="A479" i="1" l="1"/>
  <c r="AL478" i="1"/>
  <c r="A480" i="1" l="1"/>
  <c r="AL479" i="1"/>
  <c r="A481" i="1" l="1"/>
  <c r="AL480" i="1"/>
  <c r="A482" i="1" l="1"/>
  <c r="AL481" i="1"/>
  <c r="A483" i="1" l="1"/>
  <c r="AL482" i="1"/>
  <c r="A484" i="1" l="1"/>
  <c r="AL483" i="1"/>
  <c r="A485" i="1" l="1"/>
  <c r="AL484" i="1"/>
  <c r="A486" i="1" l="1"/>
  <c r="AL485" i="1"/>
  <c r="A487" i="1" l="1"/>
  <c r="AL486" i="1"/>
  <c r="A488" i="1" l="1"/>
  <c r="AL487" i="1"/>
  <c r="A489" i="1" l="1"/>
  <c r="AL488" i="1"/>
  <c r="A490" i="1" l="1"/>
  <c r="AL489" i="1"/>
  <c r="A491" i="1" l="1"/>
  <c r="AL490" i="1"/>
  <c r="A492" i="1" l="1"/>
  <c r="AL491" i="1"/>
  <c r="A493" i="1" l="1"/>
  <c r="AL492" i="1"/>
  <c r="A494" i="1" l="1"/>
  <c r="AL493" i="1"/>
  <c r="A495" i="1" l="1"/>
  <c r="AL494" i="1"/>
  <c r="A496" i="1" l="1"/>
  <c r="AL495" i="1"/>
  <c r="A497" i="1" l="1"/>
  <c r="AL496" i="1"/>
  <c r="A498" i="1" l="1"/>
  <c r="AL497" i="1"/>
  <c r="A499" i="1" l="1"/>
  <c r="AL498" i="1"/>
  <c r="A500" i="1" l="1"/>
  <c r="AL499" i="1"/>
  <c r="A501" i="1" l="1"/>
  <c r="AL500" i="1"/>
  <c r="A502" i="1" l="1"/>
  <c r="AL501" i="1"/>
  <c r="A503" i="1" l="1"/>
  <c r="AL502" i="1"/>
  <c r="A504" i="1" l="1"/>
  <c r="AL503" i="1"/>
  <c r="A505" i="1" l="1"/>
  <c r="AL504" i="1"/>
  <c r="A506" i="1" l="1"/>
  <c r="AL505" i="1"/>
  <c r="A507" i="1" l="1"/>
  <c r="AL506" i="1"/>
  <c r="A508" i="1" l="1"/>
  <c r="AL507" i="1"/>
  <c r="A509" i="1" l="1"/>
  <c r="AL508" i="1"/>
  <c r="A510" i="1" l="1"/>
  <c r="AL509" i="1"/>
  <c r="A511" i="1" l="1"/>
  <c r="AL510" i="1"/>
  <c r="A512" i="1" l="1"/>
  <c r="AL511" i="1"/>
  <c r="A513" i="1" l="1"/>
  <c r="AL512" i="1"/>
  <c r="A514" i="1" l="1"/>
  <c r="AL513" i="1"/>
  <c r="A515" i="1" l="1"/>
  <c r="AL514" i="1"/>
  <c r="A516" i="1" l="1"/>
  <c r="AL515" i="1"/>
  <c r="A517" i="1" l="1"/>
  <c r="AL516" i="1"/>
  <c r="A518" i="1" l="1"/>
  <c r="AL517" i="1"/>
  <c r="A519" i="1" l="1"/>
  <c r="AL518" i="1"/>
  <c r="A520" i="1" l="1"/>
  <c r="AL519" i="1"/>
  <c r="A521" i="1" l="1"/>
  <c r="AL520" i="1"/>
  <c r="A522" i="1" l="1"/>
  <c r="AL521" i="1"/>
  <c r="A523" i="1" l="1"/>
  <c r="AL522" i="1"/>
  <c r="A524" i="1" l="1"/>
  <c r="AL523" i="1"/>
  <c r="A525" i="1" l="1"/>
  <c r="AL524" i="1"/>
  <c r="A526" i="1" l="1"/>
  <c r="AL525" i="1"/>
  <c r="A527" i="1" l="1"/>
  <c r="AL526" i="1"/>
  <c r="A528" i="1" l="1"/>
  <c r="AL527" i="1"/>
  <c r="A529" i="1" l="1"/>
  <c r="AL528" i="1"/>
  <c r="A530" i="1" l="1"/>
  <c r="AL529" i="1"/>
  <c r="A531" i="1" l="1"/>
  <c r="AL530" i="1"/>
  <c r="A532" i="1" l="1"/>
  <c r="AL531" i="1"/>
  <c r="A533" i="1" l="1"/>
  <c r="AL532" i="1"/>
  <c r="A534" i="1" l="1"/>
  <c r="AL533" i="1"/>
  <c r="A535" i="1" l="1"/>
  <c r="AL534" i="1"/>
  <c r="A536" i="1" l="1"/>
  <c r="AL535" i="1"/>
  <c r="A537" i="1" l="1"/>
  <c r="AL536" i="1"/>
  <c r="A538" i="1" l="1"/>
  <c r="AL537" i="1"/>
  <c r="A539" i="1" l="1"/>
  <c r="AL538" i="1"/>
  <c r="A540" i="1" l="1"/>
  <c r="AL539" i="1"/>
  <c r="A541" i="1" l="1"/>
  <c r="AL540" i="1"/>
  <c r="A542" i="1" l="1"/>
  <c r="AL541" i="1"/>
  <c r="A543" i="1" l="1"/>
  <c r="AL542" i="1"/>
  <c r="A544" i="1" l="1"/>
  <c r="AL543" i="1"/>
  <c r="A545" i="1" l="1"/>
  <c r="AL544" i="1"/>
  <c r="A546" i="1" l="1"/>
  <c r="AL545" i="1"/>
  <c r="A547" i="1" l="1"/>
  <c r="AL546" i="1"/>
  <c r="A548" i="1" l="1"/>
  <c r="AL547" i="1"/>
  <c r="A549" i="1" l="1"/>
  <c r="AL548" i="1"/>
  <c r="A550" i="1" l="1"/>
  <c r="AL549" i="1"/>
  <c r="A551" i="1" l="1"/>
  <c r="AL550" i="1"/>
  <c r="A552" i="1" l="1"/>
  <c r="AL551" i="1"/>
  <c r="A553" i="1" l="1"/>
  <c r="AL552" i="1"/>
  <c r="A554" i="1" l="1"/>
  <c r="AL553" i="1"/>
  <c r="A555" i="1" l="1"/>
  <c r="AL554" i="1"/>
  <c r="A556" i="1" l="1"/>
  <c r="AL555" i="1"/>
  <c r="A557" i="1" l="1"/>
  <c r="AL556" i="1"/>
  <c r="A558" i="1" l="1"/>
  <c r="AL557" i="1"/>
  <c r="A559" i="1" l="1"/>
  <c r="AL558" i="1"/>
  <c r="A560" i="1" l="1"/>
  <c r="AL559" i="1"/>
  <c r="A561" i="1" l="1"/>
  <c r="AL560" i="1"/>
  <c r="A562" i="1" l="1"/>
  <c r="AL561" i="1"/>
  <c r="A563" i="1" l="1"/>
  <c r="AL562" i="1"/>
  <c r="A564" i="1" l="1"/>
  <c r="AL563" i="1"/>
  <c r="A565" i="1" l="1"/>
  <c r="AL564" i="1"/>
  <c r="A566" i="1" l="1"/>
  <c r="AL565" i="1"/>
  <c r="A567" i="1" l="1"/>
  <c r="AL566" i="1"/>
  <c r="A568" i="1" l="1"/>
  <c r="AL567" i="1"/>
  <c r="A569" i="1" l="1"/>
  <c r="AL568" i="1"/>
  <c r="A570" i="1" l="1"/>
  <c r="AL569" i="1"/>
  <c r="A571" i="1" l="1"/>
  <c r="AL570" i="1"/>
  <c r="A572" i="1" l="1"/>
  <c r="AL571" i="1"/>
  <c r="A573" i="1" l="1"/>
  <c r="AL572" i="1"/>
  <c r="A574" i="1" l="1"/>
  <c r="AL573" i="1"/>
  <c r="A575" i="1" l="1"/>
  <c r="AL574" i="1"/>
  <c r="A576" i="1" l="1"/>
  <c r="AL575" i="1"/>
  <c r="A577" i="1" l="1"/>
  <c r="AL576" i="1"/>
  <c r="A578" i="1" l="1"/>
  <c r="AL577" i="1"/>
  <c r="A579" i="1" l="1"/>
  <c r="AL578" i="1"/>
  <c r="A580" i="1" l="1"/>
  <c r="AL579" i="1"/>
  <c r="A581" i="1" l="1"/>
  <c r="AL580" i="1"/>
  <c r="A582" i="1" l="1"/>
  <c r="AL581" i="1"/>
  <c r="A583" i="1" l="1"/>
  <c r="AL582" i="1"/>
  <c r="A584" i="1" l="1"/>
  <c r="AL583" i="1"/>
  <c r="A585" i="1" l="1"/>
  <c r="AL584" i="1"/>
  <c r="A586" i="1" l="1"/>
  <c r="AL585" i="1"/>
  <c r="A587" i="1" l="1"/>
  <c r="AL586" i="1"/>
  <c r="A588" i="1" l="1"/>
  <c r="AL587" i="1"/>
  <c r="A589" i="1" l="1"/>
  <c r="AL588" i="1"/>
  <c r="A590" i="1" l="1"/>
  <c r="AL589" i="1"/>
  <c r="A591" i="1" l="1"/>
  <c r="AL590" i="1"/>
  <c r="A592" i="1" l="1"/>
  <c r="AL591" i="1"/>
  <c r="A593" i="1" l="1"/>
  <c r="AL592" i="1"/>
  <c r="A594" i="1" l="1"/>
  <c r="AL593" i="1"/>
  <c r="A595" i="1" l="1"/>
  <c r="AL594" i="1"/>
  <c r="A596" i="1" l="1"/>
  <c r="AL595" i="1"/>
  <c r="A597" i="1" l="1"/>
  <c r="AL596" i="1"/>
  <c r="A598" i="1" l="1"/>
  <c r="AL597" i="1"/>
  <c r="A599" i="1" l="1"/>
  <c r="AL598" i="1"/>
  <c r="A600" i="1" l="1"/>
  <c r="AL599" i="1"/>
  <c r="A601" i="1" l="1"/>
  <c r="AL600" i="1"/>
  <c r="A602" i="1" l="1"/>
  <c r="AL601" i="1"/>
  <c r="A603" i="1" l="1"/>
  <c r="AL602" i="1"/>
  <c r="A604" i="1" l="1"/>
  <c r="AL603" i="1"/>
  <c r="A605" i="1" l="1"/>
  <c r="AL604" i="1"/>
  <c r="A606" i="1" l="1"/>
  <c r="AL605" i="1"/>
  <c r="A607" i="1" l="1"/>
  <c r="AL606" i="1"/>
  <c r="A608" i="1" l="1"/>
  <c r="AL607" i="1"/>
  <c r="A609" i="1" l="1"/>
  <c r="AL608" i="1"/>
  <c r="A610" i="1" l="1"/>
  <c r="AL609" i="1"/>
  <c r="A611" i="1" l="1"/>
  <c r="AL610" i="1"/>
  <c r="A612" i="1" l="1"/>
  <c r="AL611" i="1"/>
  <c r="A613" i="1" l="1"/>
  <c r="AL612" i="1"/>
  <c r="A614" i="1" l="1"/>
  <c r="AL613" i="1"/>
  <c r="A615" i="1" l="1"/>
  <c r="AL614" i="1"/>
  <c r="A616" i="1" l="1"/>
  <c r="AL615" i="1"/>
  <c r="A617" i="1" l="1"/>
  <c r="AL616" i="1"/>
  <c r="A618" i="1" l="1"/>
  <c r="AL617" i="1"/>
  <c r="A619" i="1" l="1"/>
  <c r="AL618" i="1"/>
  <c r="A620" i="1" l="1"/>
  <c r="AL619" i="1"/>
  <c r="A621" i="1" l="1"/>
  <c r="AL620" i="1"/>
  <c r="A622" i="1" l="1"/>
  <c r="AL621" i="1"/>
  <c r="A623" i="1" l="1"/>
  <c r="AL622" i="1"/>
  <c r="A624" i="1" l="1"/>
  <c r="AL623" i="1"/>
  <c r="A625" i="1" l="1"/>
  <c r="AL624" i="1"/>
  <c r="A626" i="1" l="1"/>
  <c r="AL625" i="1"/>
  <c r="A627" i="1" l="1"/>
  <c r="AL626" i="1"/>
  <c r="A628" i="1" l="1"/>
  <c r="AL627" i="1"/>
  <c r="A629" i="1" l="1"/>
  <c r="AL628" i="1"/>
  <c r="A630" i="1" l="1"/>
  <c r="AL629" i="1"/>
  <c r="A631" i="1" l="1"/>
  <c r="AL630" i="1"/>
  <c r="A632" i="1" l="1"/>
  <c r="AL631" i="1"/>
  <c r="A633" i="1" l="1"/>
  <c r="AL632" i="1"/>
  <c r="A634" i="1" l="1"/>
  <c r="AL633" i="1"/>
  <c r="A635" i="1" l="1"/>
  <c r="AL634" i="1"/>
  <c r="A636" i="1" l="1"/>
  <c r="AL635" i="1"/>
  <c r="A637" i="1" l="1"/>
  <c r="AL636" i="1"/>
  <c r="A638" i="1" l="1"/>
  <c r="AL637" i="1"/>
  <c r="A639" i="1" l="1"/>
  <c r="AL638" i="1"/>
  <c r="A640" i="1" l="1"/>
  <c r="AL639" i="1"/>
  <c r="A641" i="1" l="1"/>
  <c r="AL640" i="1"/>
  <c r="A642" i="1" l="1"/>
  <c r="AL641" i="1"/>
  <c r="A643" i="1" l="1"/>
  <c r="AL642" i="1"/>
  <c r="A644" i="1" l="1"/>
  <c r="AL643" i="1"/>
  <c r="A645" i="1" l="1"/>
  <c r="AL644" i="1"/>
  <c r="A646" i="1" l="1"/>
  <c r="AL645" i="1"/>
  <c r="A647" i="1" l="1"/>
  <c r="AL646" i="1"/>
  <c r="A648" i="1" l="1"/>
  <c r="AL647" i="1"/>
  <c r="A649" i="1" l="1"/>
  <c r="AL648" i="1"/>
  <c r="A650" i="1" l="1"/>
  <c r="AL649" i="1"/>
  <c r="A651" i="1" l="1"/>
  <c r="AL650" i="1"/>
  <c r="A652" i="1" l="1"/>
  <c r="AL651" i="1"/>
  <c r="A653" i="1" l="1"/>
  <c r="AL652" i="1"/>
  <c r="A654" i="1" l="1"/>
  <c r="AL653" i="1"/>
  <c r="A655" i="1" l="1"/>
  <c r="AL654" i="1"/>
  <c r="A656" i="1" l="1"/>
  <c r="AL655" i="1"/>
  <c r="A657" i="1" l="1"/>
  <c r="AL656" i="1"/>
  <c r="A658" i="1" l="1"/>
  <c r="AL657" i="1"/>
  <c r="A659" i="1" l="1"/>
  <c r="AL658" i="1"/>
  <c r="A660" i="1" l="1"/>
  <c r="AL659" i="1"/>
  <c r="A661" i="1" l="1"/>
  <c r="AL660" i="1"/>
  <c r="A662" i="1" l="1"/>
  <c r="AL661" i="1"/>
  <c r="A663" i="1" l="1"/>
  <c r="AL662" i="1"/>
  <c r="A664" i="1" l="1"/>
  <c r="AL663" i="1"/>
  <c r="A665" i="1" l="1"/>
  <c r="AL664" i="1"/>
  <c r="A666" i="1" l="1"/>
  <c r="AL665" i="1"/>
  <c r="A667" i="1" l="1"/>
  <c r="AL666" i="1"/>
  <c r="A668" i="1" l="1"/>
  <c r="AL667" i="1"/>
  <c r="A669" i="1" l="1"/>
  <c r="AL668" i="1"/>
  <c r="A670" i="1" l="1"/>
  <c r="AL669" i="1"/>
  <c r="A671" i="1" l="1"/>
  <c r="AL670" i="1"/>
  <c r="A672" i="1" l="1"/>
  <c r="AL671" i="1"/>
  <c r="A673" i="1" l="1"/>
  <c r="AL672" i="1"/>
  <c r="A674" i="1" l="1"/>
  <c r="AL673" i="1"/>
  <c r="A675" i="1" l="1"/>
  <c r="AL674" i="1"/>
  <c r="A676" i="1" l="1"/>
  <c r="AL675" i="1"/>
  <c r="A677" i="1" l="1"/>
  <c r="AL676" i="1"/>
  <c r="A678" i="1" l="1"/>
  <c r="AL677" i="1"/>
  <c r="A679" i="1" l="1"/>
  <c r="AL678" i="1"/>
  <c r="A680" i="1" l="1"/>
  <c r="AL679" i="1"/>
  <c r="A681" i="1" l="1"/>
  <c r="AL680" i="1"/>
  <c r="A682" i="1" l="1"/>
  <c r="AL681" i="1"/>
  <c r="A683" i="1" l="1"/>
  <c r="AL682" i="1"/>
  <c r="A684" i="1" l="1"/>
  <c r="AL683" i="1"/>
  <c r="A685" i="1" l="1"/>
  <c r="AL684" i="1"/>
  <c r="A686" i="1" l="1"/>
  <c r="AL685" i="1"/>
  <c r="A687" i="1" l="1"/>
  <c r="AL686" i="1"/>
  <c r="A688" i="1" l="1"/>
  <c r="AL687" i="1"/>
  <c r="A689" i="1" l="1"/>
  <c r="AL688" i="1"/>
  <c r="A690" i="1" l="1"/>
  <c r="AL689" i="1"/>
  <c r="A691" i="1" l="1"/>
  <c r="AL690" i="1"/>
  <c r="A692" i="1" l="1"/>
  <c r="AL691" i="1"/>
  <c r="A693" i="1" l="1"/>
  <c r="AL692" i="1"/>
  <c r="A694" i="1" l="1"/>
  <c r="AL693" i="1"/>
  <c r="A695" i="1" l="1"/>
  <c r="AL694" i="1"/>
  <c r="A696" i="1" l="1"/>
  <c r="AL695" i="1"/>
  <c r="A697" i="1" l="1"/>
  <c r="AL696" i="1"/>
  <c r="A698" i="1" l="1"/>
  <c r="AL697" i="1"/>
  <c r="A699" i="1" l="1"/>
  <c r="AL698" i="1"/>
  <c r="A700" i="1" l="1"/>
  <c r="AL699" i="1"/>
  <c r="A701" i="1" l="1"/>
  <c r="AL700" i="1"/>
  <c r="A702" i="1" l="1"/>
  <c r="AL701" i="1"/>
  <c r="A703" i="1" l="1"/>
  <c r="AL702" i="1"/>
  <c r="A704" i="1" l="1"/>
  <c r="AL703" i="1"/>
  <c r="A705" i="1" l="1"/>
  <c r="AL704" i="1"/>
  <c r="A706" i="1" l="1"/>
  <c r="AL705" i="1"/>
  <c r="A707" i="1" l="1"/>
  <c r="AL706" i="1"/>
  <c r="A708" i="1" l="1"/>
  <c r="AL707" i="1"/>
  <c r="A709" i="1" l="1"/>
  <c r="AL708" i="1"/>
  <c r="A710" i="1" l="1"/>
  <c r="AL709" i="1"/>
  <c r="A711" i="1" l="1"/>
  <c r="AL710" i="1"/>
  <c r="A712" i="1" l="1"/>
  <c r="AL711" i="1"/>
  <c r="A713" i="1" l="1"/>
  <c r="AL712" i="1"/>
  <c r="A714" i="1" l="1"/>
  <c r="AL713" i="1"/>
  <c r="A715" i="1" l="1"/>
  <c r="AL714" i="1"/>
  <c r="A716" i="1" l="1"/>
  <c r="AL715" i="1"/>
  <c r="A717" i="1" l="1"/>
  <c r="AL716" i="1"/>
  <c r="A718" i="1" l="1"/>
  <c r="AL717" i="1"/>
  <c r="A719" i="1" l="1"/>
  <c r="AL718" i="1"/>
  <c r="A720" i="1" l="1"/>
  <c r="AL719" i="1"/>
  <c r="A721" i="1" l="1"/>
  <c r="AL720" i="1"/>
  <c r="A722" i="1" l="1"/>
  <c r="AL721" i="1"/>
  <c r="A723" i="1" l="1"/>
  <c r="AL722" i="1"/>
  <c r="A724" i="1" l="1"/>
  <c r="AL723" i="1"/>
  <c r="A725" i="1" l="1"/>
  <c r="AL724" i="1"/>
  <c r="A726" i="1" l="1"/>
  <c r="AL725" i="1"/>
  <c r="A727" i="1" l="1"/>
  <c r="AL726" i="1"/>
  <c r="A728" i="1" l="1"/>
  <c r="AL727" i="1"/>
  <c r="A729" i="1" l="1"/>
  <c r="AL728" i="1"/>
  <c r="A730" i="1" l="1"/>
  <c r="AL729" i="1"/>
  <c r="A731" i="1" l="1"/>
  <c r="AL730" i="1"/>
  <c r="A732" i="1" l="1"/>
  <c r="AL731" i="1"/>
  <c r="A733" i="1" l="1"/>
  <c r="AL732" i="1"/>
  <c r="A734" i="1" l="1"/>
  <c r="AL733" i="1"/>
  <c r="A735" i="1" l="1"/>
  <c r="AL734" i="1"/>
  <c r="A736" i="1" l="1"/>
  <c r="AL735" i="1"/>
  <c r="A737" i="1" l="1"/>
  <c r="AL736" i="1"/>
  <c r="A738" i="1" l="1"/>
  <c r="AL737" i="1"/>
  <c r="A739" i="1" l="1"/>
  <c r="AL738" i="1"/>
  <c r="A740" i="1" l="1"/>
  <c r="AL739" i="1"/>
  <c r="A741" i="1" l="1"/>
  <c r="AL740" i="1"/>
  <c r="A742" i="1" l="1"/>
  <c r="AL741" i="1"/>
  <c r="A743" i="1" l="1"/>
  <c r="AL742" i="1"/>
  <c r="A744" i="1" l="1"/>
  <c r="AL743" i="1"/>
  <c r="A745" i="1" l="1"/>
  <c r="AL744" i="1"/>
  <c r="A746" i="1" l="1"/>
  <c r="AL745" i="1"/>
  <c r="A747" i="1" l="1"/>
  <c r="AL746" i="1"/>
  <c r="A748" i="1" l="1"/>
  <c r="AL747" i="1"/>
  <c r="A749" i="1" l="1"/>
  <c r="AL748" i="1"/>
  <c r="A750" i="1" l="1"/>
  <c r="AL749" i="1"/>
  <c r="A751" i="1" l="1"/>
  <c r="AL750" i="1"/>
  <c r="A752" i="1" l="1"/>
  <c r="AL751" i="1"/>
  <c r="A753" i="1" l="1"/>
  <c r="AL752" i="1"/>
  <c r="A754" i="1" l="1"/>
  <c r="AL753" i="1"/>
  <c r="A755" i="1" l="1"/>
  <c r="AL754" i="1"/>
  <c r="A756" i="1" l="1"/>
  <c r="AL755" i="1"/>
  <c r="A757" i="1" l="1"/>
  <c r="AL756" i="1"/>
  <c r="A758" i="1" l="1"/>
  <c r="AL757" i="1"/>
  <c r="A759" i="1" l="1"/>
  <c r="AL758" i="1"/>
  <c r="A760" i="1" l="1"/>
  <c r="AL759" i="1"/>
  <c r="A761" i="1" l="1"/>
  <c r="AL760" i="1"/>
  <c r="A762" i="1" l="1"/>
  <c r="AL761" i="1"/>
  <c r="A763" i="1" l="1"/>
  <c r="AL762" i="1"/>
  <c r="A764" i="1" l="1"/>
  <c r="AL763" i="1"/>
  <c r="A765" i="1" l="1"/>
  <c r="AL764" i="1"/>
  <c r="A766" i="1" l="1"/>
  <c r="AL765" i="1"/>
  <c r="A767" i="1" l="1"/>
  <c r="AL766" i="1"/>
  <c r="A768" i="1" l="1"/>
  <c r="AL767" i="1"/>
  <c r="A769" i="1" l="1"/>
  <c r="AL768" i="1"/>
  <c r="A770" i="1" l="1"/>
  <c r="AL769" i="1"/>
  <c r="A771" i="1" l="1"/>
  <c r="AL770" i="1"/>
  <c r="A772" i="1" l="1"/>
  <c r="AL771" i="1"/>
  <c r="A773" i="1" l="1"/>
  <c r="AL772" i="1"/>
  <c r="A774" i="1" l="1"/>
  <c r="AL773" i="1"/>
  <c r="A775" i="1" l="1"/>
  <c r="AL774" i="1"/>
  <c r="A776" i="1" l="1"/>
  <c r="AL775" i="1"/>
  <c r="A777" i="1" l="1"/>
  <c r="AL776" i="1"/>
  <c r="A778" i="1" l="1"/>
  <c r="AL777" i="1"/>
  <c r="A779" i="1" l="1"/>
  <c r="AL778" i="1"/>
  <c r="A780" i="1" l="1"/>
  <c r="AL779" i="1"/>
  <c r="A781" i="1" l="1"/>
  <c r="AL780" i="1"/>
  <c r="A782" i="1" l="1"/>
  <c r="AL781" i="1"/>
  <c r="A783" i="1" l="1"/>
  <c r="AL782" i="1"/>
  <c r="A784" i="1" l="1"/>
  <c r="AL783" i="1"/>
  <c r="A785" i="1" l="1"/>
  <c r="AL784" i="1"/>
  <c r="A786" i="1" l="1"/>
  <c r="AL785" i="1"/>
  <c r="A787" i="1" l="1"/>
  <c r="AL786" i="1"/>
  <c r="A788" i="1" l="1"/>
  <c r="AL787" i="1"/>
  <c r="A789" i="1" l="1"/>
  <c r="AL788" i="1"/>
  <c r="A790" i="1" l="1"/>
  <c r="AL789" i="1"/>
  <c r="A791" i="1" l="1"/>
  <c r="AL790" i="1"/>
  <c r="A792" i="1" l="1"/>
  <c r="AL791" i="1"/>
  <c r="A793" i="1" l="1"/>
  <c r="AL792" i="1"/>
  <c r="A794" i="1" l="1"/>
  <c r="AL793" i="1"/>
  <c r="A795" i="1" l="1"/>
  <c r="AL794" i="1"/>
  <c r="A796" i="1" l="1"/>
  <c r="AL795" i="1"/>
  <c r="A797" i="1" l="1"/>
  <c r="AL796" i="1"/>
  <c r="A798" i="1" l="1"/>
  <c r="AL797" i="1"/>
  <c r="A799" i="1" l="1"/>
  <c r="AL798" i="1"/>
  <c r="A800" i="1" l="1"/>
  <c r="AL799" i="1"/>
  <c r="A801" i="1" l="1"/>
  <c r="AL800" i="1"/>
  <c r="A802" i="1" l="1"/>
  <c r="AL801" i="1"/>
  <c r="A803" i="1" l="1"/>
  <c r="AL802" i="1"/>
  <c r="A804" i="1" l="1"/>
  <c r="AL803" i="1"/>
  <c r="A805" i="1" l="1"/>
  <c r="AL804" i="1"/>
  <c r="A806" i="1" l="1"/>
  <c r="AL805" i="1"/>
  <c r="A807" i="1" l="1"/>
  <c r="AL806" i="1"/>
  <c r="A808" i="1" l="1"/>
  <c r="AL807" i="1"/>
  <c r="A809" i="1" l="1"/>
  <c r="AL808" i="1"/>
  <c r="A810" i="1" l="1"/>
  <c r="AL809" i="1"/>
  <c r="A811" i="1" l="1"/>
  <c r="AL810" i="1"/>
  <c r="A812" i="1" l="1"/>
  <c r="AL811" i="1"/>
  <c r="A813" i="1" l="1"/>
  <c r="AL812" i="1"/>
  <c r="A814" i="1" l="1"/>
  <c r="AL813" i="1"/>
  <c r="A815" i="1" l="1"/>
  <c r="AL814" i="1"/>
  <c r="A816" i="1" l="1"/>
  <c r="AL815" i="1"/>
  <c r="A817" i="1" l="1"/>
  <c r="AL816" i="1"/>
  <c r="A818" i="1" l="1"/>
  <c r="AL817" i="1"/>
  <c r="A819" i="1" l="1"/>
  <c r="AL818" i="1"/>
  <c r="A820" i="1" l="1"/>
  <c r="AL819" i="1"/>
  <c r="A821" i="1" l="1"/>
  <c r="AL820" i="1"/>
  <c r="A822" i="1" l="1"/>
  <c r="AL821" i="1"/>
  <c r="A823" i="1" l="1"/>
  <c r="AL822" i="1"/>
  <c r="A824" i="1" l="1"/>
  <c r="AL823" i="1"/>
  <c r="A825" i="1" l="1"/>
  <c r="AL824" i="1"/>
  <c r="A826" i="1" l="1"/>
  <c r="AL825" i="1"/>
  <c r="A827" i="1" l="1"/>
  <c r="AL826" i="1"/>
  <c r="A828" i="1" l="1"/>
  <c r="AL827" i="1"/>
  <c r="A829" i="1" l="1"/>
  <c r="AL828" i="1"/>
  <c r="A830" i="1" l="1"/>
  <c r="AL829" i="1"/>
  <c r="A831" i="1" l="1"/>
  <c r="AL830" i="1"/>
  <c r="A832" i="1" l="1"/>
  <c r="AL831" i="1"/>
  <c r="A833" i="1" l="1"/>
  <c r="AL832" i="1"/>
  <c r="A834" i="1" l="1"/>
  <c r="AL833" i="1"/>
  <c r="A835" i="1" l="1"/>
  <c r="AL834" i="1"/>
  <c r="A836" i="1" l="1"/>
  <c r="AL835" i="1"/>
  <c r="A837" i="1" l="1"/>
  <c r="AL836" i="1"/>
  <c r="A838" i="1" l="1"/>
  <c r="AL837" i="1"/>
  <c r="A839" i="1" l="1"/>
  <c r="AL838" i="1"/>
  <c r="A840" i="1" l="1"/>
  <c r="AL839" i="1"/>
  <c r="A841" i="1" l="1"/>
  <c r="AL840" i="1"/>
  <c r="A842" i="1" l="1"/>
  <c r="AL841" i="1"/>
  <c r="A843" i="1" l="1"/>
  <c r="AL842" i="1"/>
  <c r="A844" i="1" l="1"/>
  <c r="AL843" i="1"/>
  <c r="A845" i="1" l="1"/>
  <c r="AL844" i="1"/>
  <c r="A846" i="1" l="1"/>
  <c r="AL845" i="1"/>
  <c r="A847" i="1" l="1"/>
  <c r="AL846" i="1"/>
  <c r="A848" i="1" l="1"/>
  <c r="AL847" i="1"/>
  <c r="A849" i="1" l="1"/>
  <c r="AL848" i="1"/>
  <c r="A850" i="1" l="1"/>
  <c r="AL849" i="1"/>
  <c r="A851" i="1" l="1"/>
  <c r="AL850" i="1"/>
  <c r="A852" i="1" l="1"/>
  <c r="AL851" i="1"/>
  <c r="A853" i="1" l="1"/>
  <c r="AL852" i="1"/>
  <c r="A854" i="1" l="1"/>
  <c r="AL853" i="1"/>
  <c r="A855" i="1" l="1"/>
  <c r="AL854" i="1"/>
  <c r="A856" i="1" l="1"/>
  <c r="AL855" i="1"/>
  <c r="A857" i="1" l="1"/>
  <c r="AL856" i="1"/>
  <c r="A858" i="1" l="1"/>
  <c r="AL857" i="1"/>
  <c r="A859" i="1" l="1"/>
  <c r="AL858" i="1"/>
  <c r="A860" i="1" l="1"/>
  <c r="AL859" i="1"/>
  <c r="A861" i="1" l="1"/>
  <c r="AL860" i="1"/>
  <c r="A862" i="1" l="1"/>
  <c r="AL861" i="1"/>
  <c r="A863" i="1" l="1"/>
  <c r="AL862" i="1"/>
  <c r="A864" i="1" l="1"/>
  <c r="AL863" i="1"/>
  <c r="A865" i="1" l="1"/>
  <c r="AL864" i="1"/>
  <c r="A866" i="1" l="1"/>
  <c r="AL865" i="1"/>
  <c r="A867" i="1" l="1"/>
  <c r="AL866" i="1"/>
  <c r="A868" i="1" l="1"/>
  <c r="AL867" i="1"/>
  <c r="A869" i="1" l="1"/>
  <c r="AL868" i="1"/>
  <c r="A870" i="1" l="1"/>
  <c r="AL869" i="1"/>
  <c r="A871" i="1" l="1"/>
  <c r="AL870" i="1"/>
  <c r="A872" i="1" l="1"/>
  <c r="AL871" i="1"/>
  <c r="A873" i="1" l="1"/>
  <c r="AL872" i="1"/>
  <c r="A874" i="1" l="1"/>
  <c r="AL873" i="1"/>
  <c r="A875" i="1" l="1"/>
  <c r="AL874" i="1"/>
  <c r="A876" i="1" l="1"/>
  <c r="AL875" i="1"/>
  <c r="A877" i="1" l="1"/>
  <c r="AL876" i="1"/>
  <c r="A878" i="1" l="1"/>
  <c r="AL877" i="1"/>
  <c r="A879" i="1" l="1"/>
  <c r="AL878" i="1"/>
  <c r="A880" i="1" l="1"/>
  <c r="AL879" i="1"/>
  <c r="A881" i="1" l="1"/>
  <c r="AL880" i="1"/>
  <c r="A882" i="1" l="1"/>
  <c r="AL881" i="1"/>
  <c r="A883" i="1" l="1"/>
  <c r="AL882" i="1"/>
  <c r="A884" i="1" l="1"/>
  <c r="AL883" i="1"/>
  <c r="A885" i="1" l="1"/>
  <c r="AL884" i="1"/>
  <c r="A886" i="1" l="1"/>
  <c r="AL885" i="1"/>
  <c r="A887" i="1" l="1"/>
  <c r="AL886" i="1"/>
  <c r="A888" i="1" l="1"/>
  <c r="AL887" i="1"/>
  <c r="A889" i="1" l="1"/>
  <c r="AL888" i="1"/>
  <c r="A890" i="1" l="1"/>
  <c r="AL889" i="1"/>
  <c r="A891" i="1" l="1"/>
  <c r="AL890" i="1"/>
  <c r="A892" i="1" l="1"/>
  <c r="AL891" i="1"/>
  <c r="A893" i="1" l="1"/>
  <c r="AL892" i="1"/>
  <c r="A894" i="1" l="1"/>
  <c r="AL893" i="1"/>
  <c r="A895" i="1" l="1"/>
  <c r="AL894" i="1"/>
  <c r="A896" i="1" l="1"/>
  <c r="AL895" i="1"/>
  <c r="A897" i="1" l="1"/>
  <c r="AL896" i="1"/>
  <c r="A898" i="1" l="1"/>
  <c r="AL897" i="1"/>
  <c r="A899" i="1" l="1"/>
  <c r="AL898" i="1"/>
  <c r="A900" i="1" l="1"/>
  <c r="AL899" i="1"/>
  <c r="A901" i="1" l="1"/>
  <c r="AL900" i="1"/>
  <c r="A902" i="1" l="1"/>
  <c r="AL901" i="1"/>
  <c r="A903" i="1" l="1"/>
  <c r="AL902" i="1"/>
  <c r="A904" i="1" l="1"/>
  <c r="AL903" i="1"/>
  <c r="A905" i="1" l="1"/>
  <c r="AL904" i="1"/>
  <c r="A906" i="1" l="1"/>
  <c r="AL905" i="1"/>
  <c r="A907" i="1" l="1"/>
  <c r="AL906" i="1"/>
  <c r="A908" i="1" l="1"/>
  <c r="AL907" i="1"/>
  <c r="A909" i="1" l="1"/>
  <c r="AL908" i="1"/>
  <c r="A910" i="1" l="1"/>
  <c r="AL909" i="1"/>
  <c r="A911" i="1" l="1"/>
  <c r="AL910" i="1"/>
  <c r="A912" i="1" l="1"/>
  <c r="AL911" i="1"/>
  <c r="A913" i="1" l="1"/>
  <c r="AL912" i="1"/>
  <c r="A914" i="1" l="1"/>
  <c r="AL913" i="1"/>
  <c r="A915" i="1" l="1"/>
  <c r="AL914" i="1"/>
  <c r="A916" i="1" l="1"/>
  <c r="AL915" i="1"/>
  <c r="A917" i="1" l="1"/>
  <c r="AL916" i="1"/>
  <c r="A918" i="1" l="1"/>
  <c r="AL917" i="1"/>
  <c r="A919" i="1" l="1"/>
  <c r="AL918" i="1"/>
  <c r="A920" i="1" l="1"/>
  <c r="AL919" i="1"/>
  <c r="A921" i="1" l="1"/>
  <c r="AL920" i="1"/>
  <c r="A922" i="1" l="1"/>
  <c r="AL921" i="1"/>
  <c r="A923" i="1" l="1"/>
  <c r="AL922" i="1"/>
  <c r="A924" i="1" l="1"/>
  <c r="AL923" i="1"/>
  <c r="A925" i="1" l="1"/>
  <c r="AL924" i="1"/>
  <c r="A926" i="1" l="1"/>
  <c r="AL925" i="1"/>
  <c r="A927" i="1" l="1"/>
  <c r="AL926" i="1"/>
  <c r="A928" i="1" l="1"/>
  <c r="AL927" i="1"/>
  <c r="A929" i="1" l="1"/>
  <c r="AL928" i="1"/>
  <c r="A930" i="1" l="1"/>
  <c r="AL929" i="1"/>
  <c r="A931" i="1" l="1"/>
  <c r="AL930" i="1"/>
  <c r="A932" i="1" l="1"/>
  <c r="AL931" i="1"/>
  <c r="A933" i="1" l="1"/>
  <c r="AL932" i="1"/>
  <c r="A934" i="1" l="1"/>
  <c r="AL933" i="1"/>
  <c r="A935" i="1" l="1"/>
  <c r="AL934" i="1"/>
  <c r="A936" i="1" l="1"/>
  <c r="AL935" i="1"/>
  <c r="A937" i="1" l="1"/>
  <c r="AL936" i="1"/>
  <c r="A938" i="1" l="1"/>
  <c r="AL937" i="1"/>
  <c r="A939" i="1" l="1"/>
  <c r="AL938" i="1"/>
  <c r="A940" i="1" l="1"/>
  <c r="AL939" i="1"/>
  <c r="A941" i="1" l="1"/>
  <c r="AL940" i="1"/>
  <c r="A942" i="1" l="1"/>
  <c r="AL941" i="1"/>
  <c r="A943" i="1" l="1"/>
  <c r="AL942" i="1"/>
  <c r="A944" i="1" l="1"/>
  <c r="AL943" i="1"/>
  <c r="A945" i="1" l="1"/>
  <c r="AL944" i="1"/>
  <c r="A946" i="1" l="1"/>
  <c r="AL945" i="1"/>
  <c r="A947" i="1" l="1"/>
  <c r="AL946" i="1"/>
  <c r="A948" i="1" l="1"/>
  <c r="AL947" i="1"/>
  <c r="A949" i="1" l="1"/>
  <c r="AL948" i="1"/>
  <c r="A950" i="1" l="1"/>
  <c r="AL949" i="1"/>
  <c r="A951" i="1" l="1"/>
  <c r="AL950" i="1"/>
  <c r="A952" i="1" l="1"/>
  <c r="AL951" i="1"/>
  <c r="A953" i="1" l="1"/>
  <c r="AL952" i="1"/>
  <c r="A954" i="1" l="1"/>
  <c r="AL953" i="1"/>
  <c r="A955" i="1" l="1"/>
  <c r="AL954" i="1"/>
  <c r="A956" i="1" l="1"/>
  <c r="AL955" i="1"/>
  <c r="A957" i="1" l="1"/>
  <c r="AL956" i="1"/>
  <c r="A958" i="1" l="1"/>
  <c r="AL957" i="1"/>
  <c r="A959" i="1" l="1"/>
  <c r="AL958" i="1"/>
  <c r="A960" i="1" l="1"/>
  <c r="AL959" i="1"/>
  <c r="A961" i="1" l="1"/>
  <c r="AL960" i="1"/>
  <c r="A962" i="1" l="1"/>
  <c r="AL961" i="1"/>
  <c r="A963" i="1" l="1"/>
  <c r="AL962" i="1"/>
  <c r="A964" i="1" l="1"/>
  <c r="AL963" i="1"/>
  <c r="A965" i="1" l="1"/>
  <c r="AL964" i="1"/>
  <c r="A966" i="1" l="1"/>
  <c r="AL965" i="1"/>
  <c r="A967" i="1" l="1"/>
  <c r="AL966" i="1"/>
  <c r="A968" i="1" l="1"/>
  <c r="AL967" i="1"/>
  <c r="A969" i="1" l="1"/>
  <c r="AL968" i="1"/>
  <c r="A970" i="1" l="1"/>
  <c r="AL969" i="1"/>
  <c r="A971" i="1" l="1"/>
  <c r="AL970" i="1"/>
  <c r="A972" i="1" l="1"/>
  <c r="AL971" i="1"/>
  <c r="A973" i="1" l="1"/>
  <c r="AL972" i="1"/>
  <c r="A974" i="1" l="1"/>
  <c r="AL973" i="1"/>
  <c r="A975" i="1" l="1"/>
  <c r="AL974" i="1"/>
  <c r="A976" i="1" l="1"/>
  <c r="AL975" i="1"/>
  <c r="A977" i="1" l="1"/>
  <c r="AL976" i="1"/>
  <c r="A978" i="1" l="1"/>
  <c r="AL977" i="1"/>
  <c r="A979" i="1" l="1"/>
  <c r="AL978" i="1"/>
  <c r="A980" i="1" l="1"/>
  <c r="AL979" i="1"/>
  <c r="A981" i="1" l="1"/>
  <c r="AL980" i="1"/>
  <c r="A982" i="1" l="1"/>
  <c r="AL981" i="1"/>
  <c r="A983" i="1" l="1"/>
  <c r="AL982" i="1"/>
  <c r="A984" i="1" l="1"/>
  <c r="AL983" i="1"/>
  <c r="A985" i="1" l="1"/>
  <c r="AL984" i="1"/>
  <c r="A986" i="1" l="1"/>
  <c r="AL985" i="1"/>
  <c r="A987" i="1" l="1"/>
  <c r="AL986" i="1"/>
  <c r="A988" i="1" l="1"/>
  <c r="AL987" i="1"/>
  <c r="A989" i="1" l="1"/>
  <c r="AL988" i="1"/>
  <c r="A990" i="1" l="1"/>
  <c r="AL989" i="1"/>
  <c r="A991" i="1" l="1"/>
  <c r="AL990" i="1"/>
  <c r="A992" i="1" l="1"/>
  <c r="AL991" i="1"/>
  <c r="A993" i="1" l="1"/>
  <c r="AL992" i="1"/>
  <c r="A994" i="1" l="1"/>
  <c r="AL993" i="1"/>
  <c r="A995" i="1" l="1"/>
  <c r="AL994" i="1"/>
  <c r="A996" i="1" l="1"/>
  <c r="AL995" i="1"/>
  <c r="A997" i="1" l="1"/>
  <c r="AL996" i="1"/>
  <c r="A998" i="1" l="1"/>
  <c r="AL997" i="1"/>
  <c r="A999" i="1" l="1"/>
  <c r="AL998" i="1"/>
  <c r="A1000" i="1" l="1"/>
  <c r="AL999" i="1"/>
  <c r="A1001" i="1" l="1"/>
  <c r="AL1000" i="1"/>
  <c r="A1002" i="1" l="1"/>
  <c r="AL1001" i="1"/>
  <c r="A1003" i="1" l="1"/>
  <c r="AL1002" i="1"/>
  <c r="A1004" i="1" l="1"/>
  <c r="AL1003" i="1"/>
  <c r="A1005" i="1" l="1"/>
  <c r="AL1004" i="1"/>
  <c r="A1006" i="1" l="1"/>
  <c r="AL1005" i="1"/>
  <c r="A1007" i="1" l="1"/>
  <c r="AL1006" i="1"/>
  <c r="A1008" i="1" l="1"/>
  <c r="AL1007" i="1"/>
  <c r="A1009" i="1" l="1"/>
  <c r="AL1008" i="1"/>
  <c r="A1010" i="1" l="1"/>
  <c r="AL1009" i="1"/>
  <c r="A1011" i="1" l="1"/>
  <c r="AL1010" i="1"/>
  <c r="A1012" i="1" l="1"/>
  <c r="AL1011" i="1"/>
  <c r="AL1012" i="1" l="1"/>
  <c r="AV101" i="1" l="1"/>
  <c r="AV147" i="1"/>
  <c r="AV78" i="1"/>
  <c r="AV80" i="1"/>
  <c r="AV84" i="1"/>
  <c r="AV86" i="1"/>
  <c r="AV92" i="1"/>
  <c r="AV94" i="1"/>
  <c r="AV98" i="1"/>
  <c r="AV48" i="1"/>
  <c r="AV42" i="1"/>
  <c r="AV23" i="1"/>
  <c r="AV50" i="1"/>
  <c r="AV12" i="1"/>
  <c r="AV16" i="1"/>
  <c r="AV40" i="1"/>
  <c r="AV46" i="1"/>
  <c r="AV33" i="1"/>
  <c r="AV20" i="1"/>
  <c r="AV38" i="1"/>
  <c r="AV44" i="1"/>
  <c r="AV36" i="1"/>
  <c r="AV237" i="1"/>
  <c r="AR90" i="1" l="1"/>
  <c r="AR101" i="1"/>
  <c r="AR103" i="1"/>
  <c r="AR105" i="1"/>
  <c r="AR110" i="1"/>
  <c r="AR115" i="1"/>
  <c r="AR128" i="1"/>
  <c r="AR138" i="1"/>
  <c r="AR141" i="1"/>
  <c r="AR143" i="1"/>
  <c r="AR147" i="1"/>
  <c r="AR157" i="1"/>
  <c r="AR159" i="1"/>
  <c r="AR162" i="1"/>
  <c r="AR165" i="1"/>
  <c r="AR169" i="1"/>
  <c r="AR171" i="1"/>
  <c r="AR184" i="1"/>
  <c r="AR187" i="1"/>
  <c r="AR190" i="1"/>
  <c r="AR196" i="1"/>
  <c r="AR198" i="1"/>
  <c r="AR201" i="1"/>
  <c r="AR203" i="1"/>
  <c r="AR206" i="1"/>
  <c r="AR208" i="1"/>
  <c r="AR212" i="1"/>
  <c r="AR224" i="1"/>
  <c r="AR226" i="1"/>
  <c r="AR234" i="1"/>
  <c r="AR237" i="1"/>
  <c r="AR248" i="1"/>
  <c r="AR262" i="1"/>
  <c r="AR78" i="1"/>
  <c r="AR63" i="1"/>
  <c r="AT63" i="1" s="1"/>
  <c r="AU63" i="1" s="1"/>
  <c r="AR80" i="1"/>
  <c r="AR84" i="1"/>
  <c r="AR86" i="1"/>
  <c r="AR92" i="1"/>
  <c r="AR94" i="1"/>
  <c r="AR98" i="1"/>
  <c r="AR61" i="1"/>
  <c r="AR48" i="1"/>
  <c r="AR50" i="1"/>
  <c r="AR42" i="1"/>
  <c r="AR12" i="1"/>
  <c r="AR16" i="1"/>
  <c r="AR40" i="1"/>
  <c r="AR46" i="1"/>
  <c r="AR33" i="1"/>
  <c r="AR20" i="1"/>
  <c r="AR23" i="1"/>
  <c r="AR38" i="1"/>
  <c r="AR44" i="1"/>
  <c r="AR36" i="1"/>
  <c r="AT61" i="1" l="1"/>
  <c r="AU61" i="1" s="1"/>
  <c r="AW63" i="1"/>
  <c r="AV63" i="1"/>
  <c r="AT264" i="1"/>
  <c r="AU264" i="1" s="1"/>
  <c r="AT263" i="1"/>
  <c r="AU263" i="1" s="1"/>
  <c r="AT262" i="1"/>
  <c r="AU262" i="1" s="1"/>
  <c r="AT260" i="1"/>
  <c r="AU260" i="1" s="1"/>
  <c r="AT258" i="1"/>
  <c r="AU258" i="1" s="1"/>
  <c r="AT256" i="1"/>
  <c r="AU256" i="1" s="1"/>
  <c r="AT255" i="1"/>
  <c r="AU255" i="1" s="1"/>
  <c r="AT254" i="1"/>
  <c r="AU254" i="1" s="1"/>
  <c r="AT252" i="1"/>
  <c r="AU252" i="1" s="1"/>
  <c r="AT251" i="1"/>
  <c r="AU251" i="1" s="1"/>
  <c r="AT249" i="1"/>
  <c r="AU249" i="1" s="1"/>
  <c r="AT248" i="1"/>
  <c r="AU248" i="1" s="1"/>
  <c r="AT247" i="1"/>
  <c r="AU247" i="1" s="1"/>
  <c r="AT246" i="1"/>
  <c r="AU246" i="1" s="1"/>
  <c r="AT234" i="1"/>
  <c r="AU234" i="1" s="1"/>
  <c r="AT232" i="1"/>
  <c r="AU232" i="1" s="1"/>
  <c r="AT231" i="1"/>
  <c r="AU231" i="1" s="1"/>
  <c r="AT230" i="1"/>
  <c r="AU230" i="1" s="1"/>
  <c r="AT229" i="1"/>
  <c r="AU229" i="1" s="1"/>
  <c r="AT227" i="1"/>
  <c r="AU227" i="1" s="1"/>
  <c r="AT226" i="1"/>
  <c r="AU226" i="1" s="1"/>
  <c r="AT225" i="1"/>
  <c r="AU225" i="1" s="1"/>
  <c r="AT224" i="1"/>
  <c r="AU224" i="1" s="1"/>
  <c r="AT223" i="1"/>
  <c r="AU223" i="1" s="1"/>
  <c r="AT222" i="1"/>
  <c r="AU222" i="1" s="1"/>
  <c r="AT221" i="1"/>
  <c r="AU221" i="1" s="1"/>
  <c r="AT220" i="1"/>
  <c r="AU220" i="1" s="1"/>
  <c r="AT219" i="1"/>
  <c r="AU219" i="1" s="1"/>
  <c r="AT218" i="1"/>
  <c r="AU218" i="1" s="1"/>
  <c r="AT216" i="1"/>
  <c r="AU216" i="1" s="1"/>
  <c r="AT215" i="1"/>
  <c r="AU215" i="1" s="1"/>
  <c r="AT213" i="1"/>
  <c r="AU213" i="1" s="1"/>
  <c r="AT212" i="1"/>
  <c r="AU212" i="1" s="1"/>
  <c r="AT211" i="1"/>
  <c r="AU211" i="1" s="1"/>
  <c r="AT209" i="1"/>
  <c r="AU209" i="1" s="1"/>
  <c r="AT208" i="1"/>
  <c r="AU208" i="1" s="1"/>
  <c r="AT207" i="1"/>
  <c r="AU207" i="1" s="1"/>
  <c r="AT206" i="1"/>
  <c r="AU206" i="1" s="1"/>
  <c r="AT205" i="1"/>
  <c r="AU205" i="1" s="1"/>
  <c r="AT204" i="1"/>
  <c r="AU204" i="1" s="1"/>
  <c r="AT203" i="1"/>
  <c r="AU203" i="1" s="1"/>
  <c r="AT202" i="1"/>
  <c r="AU202" i="1" s="1"/>
  <c r="AT201" i="1"/>
  <c r="AU201" i="1" s="1"/>
  <c r="AT198" i="1"/>
  <c r="AU198" i="1" s="1"/>
  <c r="AT197" i="1"/>
  <c r="AU197" i="1" s="1"/>
  <c r="AT196" i="1"/>
  <c r="AU196" i="1" s="1"/>
  <c r="AT195" i="1"/>
  <c r="AU195" i="1" s="1"/>
  <c r="AT194" i="1"/>
  <c r="AU194" i="1" s="1"/>
  <c r="AT190" i="1"/>
  <c r="AU190" i="1" s="1"/>
  <c r="AT189" i="1"/>
  <c r="AU189" i="1" s="1"/>
  <c r="AT188" i="1"/>
  <c r="AU188" i="1" s="1"/>
  <c r="AT187" i="1"/>
  <c r="AU187" i="1" s="1"/>
  <c r="AT186" i="1"/>
  <c r="AU186" i="1" s="1"/>
  <c r="AT185" i="1"/>
  <c r="AU185" i="1" s="1"/>
  <c r="AT184" i="1"/>
  <c r="AU184" i="1" s="1"/>
  <c r="AT171" i="1"/>
  <c r="AU171" i="1" s="1"/>
  <c r="AT170" i="1"/>
  <c r="AU170" i="1" s="1"/>
  <c r="AT169" i="1"/>
  <c r="AU169" i="1" s="1"/>
  <c r="AT168" i="1"/>
  <c r="AU168" i="1" s="1"/>
  <c r="AT167" i="1"/>
  <c r="AU167" i="1" s="1"/>
  <c r="AT166" i="1"/>
  <c r="AU166" i="1" s="1"/>
  <c r="AT165" i="1"/>
  <c r="AU165" i="1" s="1"/>
  <c r="AT164" i="1"/>
  <c r="AU164" i="1" s="1"/>
  <c r="AT163" i="1"/>
  <c r="AU163" i="1" s="1"/>
  <c r="AT162" i="1"/>
  <c r="AU162" i="1" s="1"/>
  <c r="AT160" i="1"/>
  <c r="AU160" i="1" s="1"/>
  <c r="AT159" i="1"/>
  <c r="AU159" i="1" s="1"/>
  <c r="AT158" i="1"/>
  <c r="AU158" i="1" s="1"/>
  <c r="AT157" i="1"/>
  <c r="AU157" i="1" s="1"/>
  <c r="AT156" i="1"/>
  <c r="AU156" i="1" s="1"/>
  <c r="AT155" i="1"/>
  <c r="AU155" i="1" s="1"/>
  <c r="AT154" i="1"/>
  <c r="AU154" i="1" s="1"/>
  <c r="AT152" i="1"/>
  <c r="AU152" i="1" s="1"/>
  <c r="AT151" i="1"/>
  <c r="AU151" i="1" s="1"/>
  <c r="AT150" i="1"/>
  <c r="AU150" i="1" s="1"/>
  <c r="AT149" i="1"/>
  <c r="AU149" i="1" s="1"/>
  <c r="AT143" i="1"/>
  <c r="AU143" i="1" s="1"/>
  <c r="AT142" i="1"/>
  <c r="AU142" i="1" s="1"/>
  <c r="AT141" i="1"/>
  <c r="AU141" i="1" s="1"/>
  <c r="AT140" i="1"/>
  <c r="AU140" i="1" s="1"/>
  <c r="AT139" i="1"/>
  <c r="AU139" i="1" s="1"/>
  <c r="AT138" i="1"/>
  <c r="AU138" i="1" s="1"/>
  <c r="AT134" i="1"/>
  <c r="AU134" i="1" s="1"/>
  <c r="AT132" i="1"/>
  <c r="AU132" i="1" s="1"/>
  <c r="AT131" i="1"/>
  <c r="AU131" i="1" s="1"/>
  <c r="AT129" i="1"/>
  <c r="AU129" i="1" s="1"/>
  <c r="AT128" i="1"/>
  <c r="AU128" i="1" s="1"/>
  <c r="AT115" i="1"/>
  <c r="AU115" i="1" s="1"/>
  <c r="AT113" i="1"/>
  <c r="AU113" i="1" s="1"/>
  <c r="AT112" i="1"/>
  <c r="AU112" i="1" s="1"/>
  <c r="AT111" i="1"/>
  <c r="AU111" i="1" s="1"/>
  <c r="AT110" i="1"/>
  <c r="AU110" i="1" s="1"/>
  <c r="AT108" i="1"/>
  <c r="AU108" i="1" s="1"/>
  <c r="AT107" i="1"/>
  <c r="AU107" i="1" s="1"/>
  <c r="AT105" i="1"/>
  <c r="AU105" i="1" s="1"/>
  <c r="AT103" i="1"/>
  <c r="AU103" i="1" s="1"/>
  <c r="AT91" i="1"/>
  <c r="AU91" i="1" s="1"/>
  <c r="AT90" i="1"/>
  <c r="AU90" i="1" s="1"/>
  <c r="AT153" i="1"/>
  <c r="AU153" i="1" s="1"/>
  <c r="AW153" i="1" l="1"/>
  <c r="AW90" i="1"/>
  <c r="AV90" i="1"/>
  <c r="AW91" i="1"/>
  <c r="AW103" i="1"/>
  <c r="AV103" i="1"/>
  <c r="AW105" i="1"/>
  <c r="AV105" i="1"/>
  <c r="AW107" i="1"/>
  <c r="AW108" i="1"/>
  <c r="AW110" i="1"/>
  <c r="AV110" i="1"/>
  <c r="AW111" i="1"/>
  <c r="AW112" i="1"/>
  <c r="AW113" i="1"/>
  <c r="AW115" i="1"/>
  <c r="AV115" i="1"/>
  <c r="AW128" i="1"/>
  <c r="AV128" i="1"/>
  <c r="AW129" i="1"/>
  <c r="AW131" i="1"/>
  <c r="AW132" i="1"/>
  <c r="AW134" i="1"/>
  <c r="AW138" i="1"/>
  <c r="AV138" i="1"/>
  <c r="AW139" i="1"/>
  <c r="AW140" i="1"/>
  <c r="AW141" i="1"/>
  <c r="AV141" i="1"/>
  <c r="AW142" i="1"/>
  <c r="AW143" i="1"/>
  <c r="AV143" i="1"/>
  <c r="AW149" i="1"/>
  <c r="AW150" i="1"/>
  <c r="AW151" i="1"/>
  <c r="AW152" i="1"/>
  <c r="AW154" i="1"/>
  <c r="AW155" i="1"/>
  <c r="AW156" i="1"/>
  <c r="AW157" i="1"/>
  <c r="AV157" i="1"/>
  <c r="AW158" i="1"/>
  <c r="AW159" i="1"/>
  <c r="AV159" i="1"/>
  <c r="AW160" i="1"/>
  <c r="AW162" i="1"/>
  <c r="AV162" i="1"/>
  <c r="AW163" i="1"/>
  <c r="AW164" i="1"/>
  <c r="AW165" i="1"/>
  <c r="AV165" i="1"/>
  <c r="AW166" i="1"/>
  <c r="AW167" i="1"/>
  <c r="AW168" i="1"/>
  <c r="AW169" i="1"/>
  <c r="AV169" i="1"/>
  <c r="AW170" i="1"/>
  <c r="AW171" i="1"/>
  <c r="AV171" i="1"/>
  <c r="AW184" i="1"/>
  <c r="AV184" i="1"/>
  <c r="AW185" i="1"/>
  <c r="AW186" i="1"/>
  <c r="AW187" i="1"/>
  <c r="AV187" i="1"/>
  <c r="AW188" i="1"/>
  <c r="AW189" i="1"/>
  <c r="AW190" i="1"/>
  <c r="AV190" i="1"/>
  <c r="AW194" i="1"/>
  <c r="AW195" i="1"/>
  <c r="AW196" i="1"/>
  <c r="AV196" i="1"/>
  <c r="AW197" i="1"/>
  <c r="AW198" i="1"/>
  <c r="AV198" i="1"/>
  <c r="AW201" i="1"/>
  <c r="AV201" i="1"/>
  <c r="AW202" i="1"/>
  <c r="AW203" i="1"/>
  <c r="AV203" i="1"/>
  <c r="AW204" i="1"/>
  <c r="AW205" i="1"/>
  <c r="AW206" i="1"/>
  <c r="AV206" i="1"/>
  <c r="AW207" i="1"/>
  <c r="AW208" i="1"/>
  <c r="AV208" i="1"/>
  <c r="AW209" i="1"/>
  <c r="AW211" i="1"/>
  <c r="AW212" i="1"/>
  <c r="AV212" i="1"/>
  <c r="AW213" i="1"/>
  <c r="AW215" i="1"/>
  <c r="AW216" i="1"/>
  <c r="AW218" i="1"/>
  <c r="AW219" i="1"/>
  <c r="AW220" i="1"/>
  <c r="AW221" i="1"/>
  <c r="AW222" i="1"/>
  <c r="AW223" i="1"/>
  <c r="AW224" i="1"/>
  <c r="AV224" i="1"/>
  <c r="AW225" i="1"/>
  <c r="AW226" i="1"/>
  <c r="AV226" i="1"/>
  <c r="AW227" i="1"/>
  <c r="AW229" i="1"/>
  <c r="AW230" i="1"/>
  <c r="AW231" i="1"/>
  <c r="AW232" i="1"/>
  <c r="AW234" i="1"/>
  <c r="AV234" i="1"/>
  <c r="AW246" i="1"/>
  <c r="AW247" i="1"/>
  <c r="AW248" i="1"/>
  <c r="AV248" i="1"/>
  <c r="AW249" i="1"/>
  <c r="AW251" i="1"/>
  <c r="AW252" i="1"/>
  <c r="AW254" i="1"/>
  <c r="AW255" i="1"/>
  <c r="AW256" i="1"/>
  <c r="AW258" i="1"/>
  <c r="AW260" i="1"/>
  <c r="AW262" i="1"/>
  <c r="AV262" i="1"/>
  <c r="AW263" i="1"/>
  <c r="AW264" i="1"/>
  <c r="AW61" i="1"/>
  <c r="AV61" i="1"/>
  <c r="AK7" i="22" l="1"/>
  <c r="AK10" i="22"/>
  <c r="AK6" i="22"/>
  <c r="AT5" i="1" l="1"/>
  <c r="AU5" i="1" s="1"/>
  <c r="AW5" i="1" l="1"/>
  <c r="AJ29" i="22" l="1"/>
  <c r="AK30" i="22" s="1"/>
  <c r="AJ22" i="22"/>
  <c r="AK23" i="22" s="1"/>
  <c r="AJ12" i="22"/>
  <c r="AJ24" i="22"/>
  <c r="AJ26" i="22"/>
  <c r="AJ21" i="22"/>
  <c r="AJ25" i="22"/>
  <c r="AJ28" i="22"/>
  <c r="AJ5" i="22"/>
  <c r="AK54" i="22" s="1"/>
  <c r="AJ27" i="22"/>
  <c r="AK45" i="22" l="1"/>
  <c r="AK29" i="22"/>
  <c r="AJ8" i="22"/>
  <c r="AJ6" i="22"/>
  <c r="AJ23" i="22"/>
  <c r="AK26" i="22" s="1"/>
  <c r="AJ20" i="22"/>
  <c r="AK25" i="22" s="1"/>
  <c r="AJ14" i="22"/>
  <c r="AJ11" i="22"/>
  <c r="AJ19" i="22"/>
  <c r="AJ17" i="22"/>
  <c r="AJ13" i="22"/>
  <c r="AJ18" i="22"/>
  <c r="AK19" i="22" s="1"/>
  <c r="AJ16" i="22"/>
  <c r="AJ9" i="22"/>
  <c r="AJ15" i="22"/>
  <c r="AJ10" i="22"/>
  <c r="AJ7" i="22"/>
  <c r="AK13" i="22" l="1"/>
  <c r="AK24" i="22"/>
  <c r="AK17" i="22"/>
  <c r="AK20" i="22"/>
  <c r="AK22" i="22"/>
  <c r="AK14" i="22"/>
  <c r="AK21" i="22"/>
  <c r="AK27" i="22"/>
  <c r="AK12" i="22"/>
  <c r="AK18" i="22"/>
  <c r="AK16" i="22"/>
  <c r="AK11" i="22"/>
  <c r="AK15" i="22"/>
  <c r="AK8" i="22"/>
  <c r="AT45" i="1" l="1"/>
  <c r="AU45" i="1" s="1"/>
  <c r="AT43" i="1"/>
  <c r="AU43" i="1" s="1"/>
  <c r="AT41" i="1"/>
  <c r="AU41" i="1" s="1"/>
  <c r="AT49" i="1"/>
  <c r="AU49" i="1" s="1"/>
  <c r="AT47" i="1"/>
  <c r="AU47" i="1" s="1"/>
  <c r="AW47" i="1" l="1"/>
  <c r="AW49" i="1"/>
  <c r="AW41" i="1"/>
  <c r="AW43" i="1"/>
  <c r="AW45" i="1"/>
  <c r="AT52" i="1" l="1"/>
  <c r="AU52" i="1" s="1"/>
  <c r="AT53" i="1"/>
  <c r="AU53" i="1" s="1"/>
  <c r="AT55" i="1"/>
  <c r="AU55" i="1" s="1"/>
  <c r="AT56" i="1"/>
  <c r="AU56" i="1" s="1"/>
  <c r="AT57" i="1"/>
  <c r="AU57" i="1" s="1"/>
  <c r="AT59" i="1"/>
  <c r="AU59" i="1" s="1"/>
  <c r="AT97" i="1"/>
  <c r="AU97" i="1" s="1"/>
  <c r="AT95" i="1"/>
  <c r="AU95" i="1" s="1"/>
  <c r="AT93" i="1"/>
  <c r="AU93" i="1" s="1"/>
  <c r="AT83" i="1"/>
  <c r="AU83" i="1" s="1"/>
  <c r="AT81" i="1"/>
  <c r="AU81" i="1" s="1"/>
  <c r="AT69" i="1"/>
  <c r="AU69" i="1" s="1"/>
  <c r="AT68" i="1"/>
  <c r="AU68" i="1" s="1"/>
  <c r="AT67" i="1"/>
  <c r="AU67" i="1" s="1"/>
  <c r="AT65" i="1"/>
  <c r="AU65" i="1" s="1"/>
  <c r="AT73" i="1"/>
  <c r="AU73" i="1" s="1"/>
  <c r="AT72" i="1"/>
  <c r="AU72" i="1" s="1"/>
  <c r="AT71" i="1"/>
  <c r="AU71" i="1" s="1"/>
  <c r="AT75" i="1"/>
  <c r="AU75" i="1" s="1"/>
  <c r="AT77" i="1"/>
  <c r="AU77" i="1" s="1"/>
  <c r="AT146" i="1"/>
  <c r="AU146" i="1" s="1"/>
  <c r="AT145" i="1"/>
  <c r="AU145" i="1" s="1"/>
  <c r="AT137" i="1"/>
  <c r="AU137" i="1" s="1"/>
  <c r="AT135" i="1"/>
  <c r="AU135" i="1" s="1"/>
  <c r="AT130" i="1"/>
  <c r="AU130" i="1" s="1"/>
  <c r="AT125" i="1"/>
  <c r="AU125" i="1" s="1"/>
  <c r="AT102" i="1"/>
  <c r="AU102" i="1" s="1"/>
  <c r="AT100" i="1"/>
  <c r="AU100" i="1" s="1"/>
  <c r="AT133" i="1"/>
  <c r="AU133" i="1" s="1"/>
  <c r="AT119" i="1"/>
  <c r="AU119" i="1" s="1"/>
  <c r="AT3" i="1"/>
  <c r="AU3" i="1" s="1"/>
  <c r="AW52" i="1"/>
  <c r="AW53" i="1"/>
  <c r="AW55" i="1"/>
  <c r="AW56" i="1"/>
  <c r="AW57" i="1"/>
  <c r="AW59" i="1"/>
  <c r="AW97" i="1"/>
  <c r="AW95" i="1"/>
  <c r="AW93" i="1"/>
  <c r="AW83" i="1"/>
  <c r="AW81" i="1"/>
  <c r="AW69" i="1"/>
  <c r="AW68" i="1"/>
  <c r="AW67" i="1"/>
  <c r="AW65" i="1"/>
  <c r="AW73" i="1"/>
  <c r="AW72" i="1"/>
  <c r="AW71" i="1"/>
  <c r="AW75" i="1"/>
  <c r="AW77" i="1"/>
  <c r="AW146" i="1"/>
  <c r="AW145" i="1"/>
  <c r="AW137" i="1"/>
  <c r="AW135" i="1"/>
  <c r="AW130" i="1"/>
  <c r="AW125" i="1"/>
  <c r="AW102" i="1"/>
  <c r="AW100" i="1"/>
  <c r="AW133" i="1"/>
  <c r="AW119" i="1"/>
  <c r="AW3" i="1" l="1"/>
  <c r="AT192" i="1" l="1"/>
  <c r="AU192" i="1" s="1"/>
  <c r="AT191" i="1"/>
  <c r="AU191" i="1" s="1"/>
  <c r="AT183" i="1"/>
  <c r="AU183" i="1" s="1"/>
  <c r="AT182" i="1"/>
  <c r="AU182" i="1" s="1"/>
  <c r="AT181" i="1"/>
  <c r="AU181" i="1" s="1"/>
  <c r="AT180" i="1"/>
  <c r="AU180" i="1" s="1"/>
  <c r="AT179" i="1"/>
  <c r="AU179" i="1" s="1"/>
  <c r="AT178" i="1"/>
  <c r="AU178" i="1" s="1"/>
  <c r="AT176" i="1"/>
  <c r="AU176" i="1" s="1"/>
  <c r="AT175" i="1"/>
  <c r="AU175" i="1" s="1"/>
  <c r="AT174" i="1"/>
  <c r="AU174" i="1" s="1"/>
  <c r="AT173" i="1"/>
  <c r="AU173" i="1" s="1"/>
  <c r="AT172" i="1"/>
  <c r="AU172" i="1" s="1"/>
  <c r="AW192" i="1"/>
  <c r="AW191" i="1"/>
  <c r="AW183" i="1"/>
  <c r="AW182" i="1"/>
  <c r="AW181" i="1"/>
  <c r="AW180" i="1"/>
  <c r="AW179" i="1"/>
  <c r="AW178" i="1"/>
  <c r="AW176" i="1"/>
  <c r="AW175" i="1"/>
  <c r="AW174" i="1"/>
  <c r="AW173" i="1"/>
  <c r="AW172" i="1"/>
  <c r="AT236" i="1" l="1"/>
  <c r="AU236" i="1" s="1"/>
  <c r="AW236" i="1"/>
  <c r="AV245" i="1" l="1"/>
  <c r="AV259" i="1"/>
  <c r="AV261" i="1"/>
  <c r="AV265" i="1"/>
  <c r="AV266" i="1"/>
  <c r="AV267" i="1"/>
  <c r="AV238" i="1"/>
  <c r="AV239" i="1"/>
  <c r="AV240" i="1"/>
  <c r="AV241" i="1"/>
  <c r="AV242" i="1"/>
  <c r="AV243" i="1"/>
  <c r="AV244" i="1"/>
  <c r="AV246" i="1"/>
  <c r="AV247" i="1"/>
  <c r="AV249" i="1"/>
  <c r="AV251" i="1"/>
  <c r="AV252" i="1"/>
  <c r="AV254" i="1"/>
  <c r="AV255" i="1"/>
  <c r="AV256" i="1"/>
  <c r="AV258" i="1"/>
  <c r="AV260" i="1"/>
  <c r="AV263" i="1"/>
  <c r="AV264" i="1"/>
  <c r="AV15" i="1"/>
  <c r="AV32" i="1"/>
  <c r="AV62" i="1"/>
  <c r="AV66" i="1"/>
  <c r="AV79" i="1"/>
  <c r="AV85" i="1"/>
  <c r="AV99" i="1"/>
  <c r="AV31" i="1"/>
  <c r="AV29" i="1"/>
  <c r="AV104" i="1"/>
  <c r="AV106" i="1"/>
  <c r="AV109" i="1"/>
  <c r="AV13" i="1"/>
  <c r="AV28" i="1"/>
  <c r="AV34" i="1"/>
  <c r="AV30" i="1"/>
  <c r="AV37" i="1"/>
  <c r="AV4" i="1"/>
  <c r="AV27" i="1"/>
  <c r="AV35" i="1"/>
  <c r="AV6" i="1"/>
  <c r="AV148" i="1"/>
  <c r="AV210" i="1"/>
  <c r="AV107" i="1"/>
  <c r="AV108" i="1"/>
  <c r="AV139" i="1"/>
  <c r="AV140" i="1"/>
  <c r="AV149" i="1"/>
  <c r="AV150" i="1"/>
  <c r="AV151" i="1"/>
  <c r="AV152" i="1"/>
  <c r="AV158" i="1"/>
  <c r="AV167" i="1"/>
  <c r="AV170" i="1"/>
  <c r="AV186" i="1"/>
  <c r="AV197" i="1"/>
  <c r="AV202" i="1"/>
  <c r="AV204" i="1"/>
  <c r="AV205" i="1"/>
  <c r="AV209" i="1"/>
  <c r="AV231" i="1"/>
  <c r="AV232" i="1"/>
  <c r="AV5" i="1"/>
  <c r="AV47" i="1"/>
  <c r="AV45" i="1"/>
  <c r="AV3" i="1"/>
  <c r="AV119" i="1"/>
  <c r="AV100" i="1"/>
  <c r="AV102" i="1"/>
  <c r="AV65" i="1"/>
  <c r="AV93" i="1"/>
  <c r="AV95" i="1"/>
  <c r="AV97" i="1"/>
  <c r="AV51" i="1"/>
  <c r="AV54" i="1"/>
  <c r="AV58" i="1"/>
  <c r="AV60" i="1"/>
  <c r="AV64" i="1"/>
  <c r="AV70" i="1"/>
  <c r="AV82" i="1"/>
  <c r="AV96" i="1"/>
  <c r="AV25" i="1"/>
  <c r="AV21" i="1"/>
  <c r="AV24" i="1"/>
  <c r="AV22" i="1"/>
  <c r="AV136" i="1"/>
  <c r="AV144" i="1"/>
  <c r="AV161" i="1"/>
  <c r="AV177" i="1"/>
  <c r="AV214" i="1"/>
  <c r="AV217" i="1"/>
  <c r="AV233" i="1"/>
  <c r="AV235" i="1"/>
  <c r="AV153" i="1"/>
  <c r="AV91" i="1"/>
  <c r="AV111" i="1"/>
  <c r="AV112" i="1"/>
  <c r="AV113" i="1"/>
  <c r="AV129" i="1"/>
  <c r="AV131" i="1"/>
  <c r="AV132" i="1"/>
  <c r="AV134" i="1"/>
  <c r="AV142" i="1"/>
  <c r="AV154" i="1"/>
  <c r="AV155" i="1"/>
  <c r="AV156" i="1"/>
  <c r="AV160" i="1"/>
  <c r="AV163" i="1"/>
  <c r="AV164" i="1"/>
  <c r="AV166" i="1"/>
  <c r="AV168" i="1"/>
  <c r="AV185" i="1"/>
  <c r="AV188" i="1"/>
  <c r="AV189" i="1"/>
  <c r="AV194" i="1"/>
  <c r="AV195" i="1"/>
  <c r="AV207" i="1"/>
  <c r="AV211" i="1"/>
  <c r="AV213" i="1"/>
  <c r="AV215" i="1"/>
  <c r="AV216" i="1"/>
  <c r="AV218" i="1"/>
  <c r="AV219" i="1"/>
  <c r="AV220" i="1"/>
  <c r="AV221" i="1"/>
  <c r="AV222" i="1"/>
  <c r="AV223" i="1"/>
  <c r="AV225" i="1"/>
  <c r="AV227" i="1"/>
  <c r="AV229" i="1"/>
  <c r="AV230" i="1"/>
  <c r="AV49" i="1"/>
  <c r="AV41" i="1"/>
  <c r="AV43" i="1"/>
  <c r="AV133" i="1"/>
  <c r="AV125" i="1"/>
  <c r="AV130" i="1"/>
  <c r="AV135" i="1"/>
  <c r="AV137" i="1"/>
  <c r="AV145" i="1"/>
  <c r="AV146" i="1"/>
  <c r="AV77" i="1"/>
  <c r="AV75" i="1"/>
  <c r="AV71" i="1"/>
  <c r="AV72" i="1"/>
  <c r="AV73" i="1"/>
  <c r="AV67" i="1"/>
  <c r="AV68" i="1"/>
  <c r="AV69" i="1"/>
  <c r="AV81" i="1"/>
  <c r="AV83" i="1"/>
  <c r="AV59" i="1"/>
  <c r="AV57" i="1"/>
  <c r="AV56" i="1"/>
  <c r="AV55" i="1"/>
  <c r="AV53" i="1"/>
  <c r="AV52" i="1"/>
  <c r="AV172" i="1"/>
  <c r="AV173" i="1"/>
  <c r="AV174" i="1"/>
  <c r="AV175" i="1"/>
  <c r="AV176" i="1"/>
  <c r="AV178" i="1"/>
  <c r="AV179" i="1"/>
  <c r="AV180" i="1"/>
  <c r="AV181" i="1"/>
  <c r="AV182" i="1"/>
  <c r="AV183" i="1"/>
  <c r="AV191" i="1"/>
  <c r="AV192" i="1"/>
  <c r="AV236" i="1"/>
  <c r="AR245" i="1" l="1"/>
  <c r="C187" i="22" s="1"/>
  <c r="AR259" i="1"/>
  <c r="C197" i="22" s="1"/>
  <c r="AR261" i="1"/>
  <c r="C199" i="22" s="1"/>
  <c r="AR265" i="1"/>
  <c r="C202" i="22" s="1"/>
  <c r="AR266" i="1"/>
  <c r="C203" i="22" s="1"/>
  <c r="AR267" i="1"/>
  <c r="C204" i="22" s="1"/>
  <c r="AR238" i="1"/>
  <c r="C180" i="22" s="1"/>
  <c r="AR239" i="1"/>
  <c r="C181" i="22" s="1"/>
  <c r="AR240" i="1"/>
  <c r="C182" i="22" s="1"/>
  <c r="AR241" i="1"/>
  <c r="C183" i="22" s="1"/>
  <c r="AR242" i="1"/>
  <c r="C184" i="22" s="1"/>
  <c r="AR243" i="1"/>
  <c r="C185" i="22" s="1"/>
  <c r="AR244" i="1"/>
  <c r="C186" i="22" s="1"/>
  <c r="AR246" i="1"/>
  <c r="C188" i="22" s="1"/>
  <c r="AR247" i="1"/>
  <c r="C189" i="22" s="1"/>
  <c r="AR249" i="1"/>
  <c r="C190" i="22" s="1"/>
  <c r="AR251" i="1"/>
  <c r="C191" i="22" s="1"/>
  <c r="AR252" i="1"/>
  <c r="C192" i="22" s="1"/>
  <c r="AR254" i="1"/>
  <c r="C193" i="22" s="1"/>
  <c r="AR255" i="1"/>
  <c r="C194" i="22" s="1"/>
  <c r="AR256" i="1"/>
  <c r="C195" i="22" s="1"/>
  <c r="AR258" i="1"/>
  <c r="C196" i="22" s="1"/>
  <c r="AR260" i="1"/>
  <c r="C198" i="22" s="1"/>
  <c r="AR263" i="1"/>
  <c r="C200" i="22" s="1"/>
  <c r="AR264" i="1"/>
  <c r="C201" i="22" s="1"/>
  <c r="AR233" i="1"/>
  <c r="C177" i="22" s="1"/>
  <c r="AR235" i="1"/>
  <c r="C178" i="22" s="1"/>
  <c r="AR229" i="1"/>
  <c r="C173" i="22" s="1"/>
  <c r="AR230" i="1"/>
  <c r="C174" i="22" s="1"/>
  <c r="AR231" i="1"/>
  <c r="C175" i="22" s="1"/>
  <c r="AR232" i="1"/>
  <c r="C176" i="22" s="1"/>
  <c r="AR236" i="1"/>
  <c r="C179" i="22" s="1"/>
  <c r="AR225" i="1"/>
  <c r="C171" i="22" s="1"/>
  <c r="AR227" i="1"/>
  <c r="C172" i="22" s="1"/>
  <c r="AR210" i="1"/>
  <c r="C158" i="22" s="1"/>
  <c r="AR214" i="1"/>
  <c r="C161" i="22" s="1"/>
  <c r="AR217" i="1"/>
  <c r="C164" i="22" s="1"/>
  <c r="AR207" i="1"/>
  <c r="C156" i="22" s="1"/>
  <c r="AR209" i="1"/>
  <c r="C157" i="22" s="1"/>
  <c r="AR211" i="1"/>
  <c r="C159" i="22" s="1"/>
  <c r="AR213" i="1"/>
  <c r="C160" i="22" s="1"/>
  <c r="AR215" i="1"/>
  <c r="C162" i="22" s="1"/>
  <c r="AR216" i="1"/>
  <c r="C163" i="22" s="1"/>
  <c r="AR218" i="1"/>
  <c r="C165" i="22" s="1"/>
  <c r="AR219" i="1"/>
  <c r="C166" i="22" s="1"/>
  <c r="AR220" i="1"/>
  <c r="C167" i="22" s="1"/>
  <c r="AR221" i="1"/>
  <c r="C168" i="22" s="1"/>
  <c r="AR222" i="1"/>
  <c r="C169" i="22" s="1"/>
  <c r="AR223" i="1"/>
  <c r="C170" i="22" s="1"/>
  <c r="AR204" i="1"/>
  <c r="C154" i="22" s="1"/>
  <c r="AR205" i="1"/>
  <c r="C155" i="22" s="1"/>
  <c r="AR161" i="1"/>
  <c r="C123" i="22" s="1"/>
  <c r="AR177" i="1"/>
  <c r="C135" i="22" s="1"/>
  <c r="AR160" i="1"/>
  <c r="C122" i="22" s="1"/>
  <c r="AR163" i="1"/>
  <c r="C124" i="22" s="1"/>
  <c r="AR164" i="1"/>
  <c r="C125" i="22" s="1"/>
  <c r="AR166" i="1"/>
  <c r="C126" i="22" s="1"/>
  <c r="AR167" i="1"/>
  <c r="C127" i="22" s="1"/>
  <c r="AR168" i="1"/>
  <c r="C128" i="22" s="1"/>
  <c r="AR170" i="1"/>
  <c r="C129" i="22" s="1"/>
  <c r="AR172" i="1"/>
  <c r="C130" i="22" s="1"/>
  <c r="AR173" i="1"/>
  <c r="C131" i="22" s="1"/>
  <c r="AR174" i="1"/>
  <c r="C132" i="22" s="1"/>
  <c r="AR175" i="1"/>
  <c r="C133" i="22" s="1"/>
  <c r="AR176" i="1"/>
  <c r="C134" i="22" s="1"/>
  <c r="AR178" i="1"/>
  <c r="C136" i="22" s="1"/>
  <c r="AR179" i="1"/>
  <c r="C137" i="22" s="1"/>
  <c r="AR180" i="1"/>
  <c r="C138" i="22" s="1"/>
  <c r="AR181" i="1"/>
  <c r="C139" i="22" s="1"/>
  <c r="AR182" i="1"/>
  <c r="C140" i="22" s="1"/>
  <c r="AR183" i="1"/>
  <c r="C141" i="22" s="1"/>
  <c r="AR185" i="1"/>
  <c r="C142" i="22" s="1"/>
  <c r="AR186" i="1"/>
  <c r="C143" i="22" s="1"/>
  <c r="AR188" i="1"/>
  <c r="C144" i="22" s="1"/>
  <c r="AR189" i="1"/>
  <c r="C145" i="22" s="1"/>
  <c r="AR191" i="1"/>
  <c r="C146" i="22" s="1"/>
  <c r="AR192" i="1"/>
  <c r="C147" i="22" s="1"/>
  <c r="AR194" i="1"/>
  <c r="C148" i="22" s="1"/>
  <c r="AR195" i="1"/>
  <c r="C149" i="22" s="1"/>
  <c r="AR197" i="1"/>
  <c r="C150" i="22" s="1"/>
  <c r="AR199" i="1"/>
  <c r="AR200" i="1"/>
  <c r="AR202" i="1"/>
  <c r="C153" i="22" s="1"/>
  <c r="AR79" i="1"/>
  <c r="C60" i="22" s="1"/>
  <c r="AR62" i="1"/>
  <c r="C47" i="22" s="1"/>
  <c r="AR64" i="1"/>
  <c r="C48" i="22" s="1"/>
  <c r="AR66" i="1"/>
  <c r="C50" i="22" s="1"/>
  <c r="AR70" i="1"/>
  <c r="C54" i="22" s="1"/>
  <c r="AR82" i="1"/>
  <c r="C62" i="22" s="1"/>
  <c r="AR85" i="1"/>
  <c r="C64" i="22" s="1"/>
  <c r="AR96" i="1"/>
  <c r="C71" i="22" s="1"/>
  <c r="AR99" i="1"/>
  <c r="C73" i="22" s="1"/>
  <c r="AR104" i="1"/>
  <c r="C76" i="22" s="1"/>
  <c r="AR106" i="1"/>
  <c r="C77" i="22" s="1"/>
  <c r="AR109" i="1"/>
  <c r="C80" i="22" s="1"/>
  <c r="AR114" i="1"/>
  <c r="AR117" i="1"/>
  <c r="AR119" i="1"/>
  <c r="C88" i="22" s="1"/>
  <c r="AR121" i="1"/>
  <c r="AR127" i="1"/>
  <c r="AR133" i="1"/>
  <c r="C101" i="22" s="1"/>
  <c r="AR136" i="1"/>
  <c r="C104" i="22" s="1"/>
  <c r="AR144" i="1"/>
  <c r="C109" i="22" s="1"/>
  <c r="AR148" i="1"/>
  <c r="C112" i="22" s="1"/>
  <c r="AR60" i="1"/>
  <c r="C46" i="22" s="1"/>
  <c r="AR58" i="1"/>
  <c r="C44" i="22" s="1"/>
  <c r="AR54" i="1"/>
  <c r="C40" i="22" s="1"/>
  <c r="AR51" i="1"/>
  <c r="C37" i="22" s="1"/>
  <c r="AR153" i="1"/>
  <c r="C117" i="22" s="1"/>
  <c r="AR89" i="1"/>
  <c r="AR91" i="1"/>
  <c r="C68" i="22" s="1"/>
  <c r="AR100" i="1"/>
  <c r="C74" i="22" s="1"/>
  <c r="AR102" i="1"/>
  <c r="C75" i="22" s="1"/>
  <c r="AR107" i="1"/>
  <c r="C78" i="22" s="1"/>
  <c r="AR108" i="1"/>
  <c r="C79" i="22" s="1"/>
  <c r="AR111" i="1"/>
  <c r="C81" i="22" s="1"/>
  <c r="AR112" i="1"/>
  <c r="C82" i="22" s="1"/>
  <c r="AR113" i="1"/>
  <c r="C83" i="22" s="1"/>
  <c r="AR116" i="1"/>
  <c r="AR118" i="1"/>
  <c r="AR120" i="1"/>
  <c r="AR122" i="1"/>
  <c r="AR123" i="1"/>
  <c r="AR124" i="1"/>
  <c r="AR125" i="1"/>
  <c r="C94" i="22" s="1"/>
  <c r="AR126" i="1"/>
  <c r="AR129" i="1"/>
  <c r="C97" i="22" s="1"/>
  <c r="AR130" i="1"/>
  <c r="C98" i="22" s="1"/>
  <c r="AR131" i="1"/>
  <c r="C99" i="22" s="1"/>
  <c r="AR132" i="1"/>
  <c r="C100" i="22" s="1"/>
  <c r="AR134" i="1"/>
  <c r="C102" i="22" s="1"/>
  <c r="AR135" i="1"/>
  <c r="C103" i="22" s="1"/>
  <c r="AR137" i="1"/>
  <c r="C105" i="22" s="1"/>
  <c r="AR139" i="1"/>
  <c r="C106" i="22" s="1"/>
  <c r="AR140" i="1"/>
  <c r="C107" i="22" s="1"/>
  <c r="AR142" i="1"/>
  <c r="C108" i="22" s="1"/>
  <c r="AR145" i="1"/>
  <c r="C110" i="22" s="1"/>
  <c r="AR146" i="1"/>
  <c r="C111" i="22" s="1"/>
  <c r="AR149" i="1"/>
  <c r="C113" i="22" s="1"/>
  <c r="AR150" i="1"/>
  <c r="C114" i="22" s="1"/>
  <c r="AR151" i="1"/>
  <c r="C115" i="22" s="1"/>
  <c r="AR152" i="1"/>
  <c r="C116" i="22" s="1"/>
  <c r="AR154" i="1"/>
  <c r="C118" i="22" s="1"/>
  <c r="AR155" i="1"/>
  <c r="C119" i="22" s="1"/>
  <c r="AR156" i="1"/>
  <c r="C120" i="22" s="1"/>
  <c r="AR158" i="1"/>
  <c r="C121" i="22" s="1"/>
  <c r="AR77" i="1"/>
  <c r="C59" i="22" s="1"/>
  <c r="AR75" i="1"/>
  <c r="C58" i="22" s="1"/>
  <c r="AR71" i="1"/>
  <c r="C55" i="22" s="1"/>
  <c r="AR72" i="1"/>
  <c r="C56" i="22" s="1"/>
  <c r="AR73" i="1"/>
  <c r="C57" i="22" s="1"/>
  <c r="AR65" i="1"/>
  <c r="C49" i="22" s="1"/>
  <c r="AR67" i="1"/>
  <c r="C51" i="22" s="1"/>
  <c r="AR68" i="1"/>
  <c r="C52" i="22" s="1"/>
  <c r="AR69" i="1"/>
  <c r="C53" i="22" s="1"/>
  <c r="AR81" i="1"/>
  <c r="C61" i="22" s="1"/>
  <c r="AR83" i="1"/>
  <c r="C63" i="22" s="1"/>
  <c r="AR87" i="1"/>
  <c r="AR88" i="1"/>
  <c r="AR93" i="1"/>
  <c r="C69" i="22" s="1"/>
  <c r="AR95" i="1"/>
  <c r="C70" i="22" s="1"/>
  <c r="AR97" i="1"/>
  <c r="C72" i="22" s="1"/>
  <c r="AR59" i="1"/>
  <c r="C45" i="22" s="1"/>
  <c r="AR57" i="1"/>
  <c r="C43" i="22" s="1"/>
  <c r="AR56" i="1"/>
  <c r="C42" i="22" s="1"/>
  <c r="AR55" i="1"/>
  <c r="C41" i="22" s="1"/>
  <c r="AR53" i="1"/>
  <c r="C39" i="22" s="1"/>
  <c r="AR52" i="1"/>
  <c r="C38" i="22" s="1"/>
  <c r="AR15" i="1"/>
  <c r="C14" i="22" s="1"/>
  <c r="AR39" i="1"/>
  <c r="AR47" i="1"/>
  <c r="C35" i="22" s="1"/>
  <c r="AR49" i="1"/>
  <c r="C36" i="22" s="1"/>
  <c r="AR41" i="1"/>
  <c r="C32" i="22" s="1"/>
  <c r="AR43" i="1"/>
  <c r="C33" i="22" s="1"/>
  <c r="AR45" i="1"/>
  <c r="C34" i="22" s="1"/>
  <c r="AR29" i="1"/>
  <c r="C24" i="22" s="1"/>
  <c r="AR32" i="1"/>
  <c r="C27" i="22" s="1"/>
  <c r="AR5" i="1"/>
  <c r="C7" i="22" s="1"/>
  <c r="AR3" i="1"/>
  <c r="C5" i="22" s="1"/>
  <c r="AR11" i="1"/>
  <c r="AR9" i="1"/>
  <c r="AR19" i="1"/>
  <c r="AR25" i="1"/>
  <c r="C21" i="22" s="1"/>
  <c r="AR31" i="1"/>
  <c r="C26" i="22" s="1"/>
  <c r="AR13" i="1"/>
  <c r="C13" i="22" s="1"/>
  <c r="AR28" i="1"/>
  <c r="C23" i="22" s="1"/>
  <c r="AR34" i="1"/>
  <c r="C28" i="22" s="1"/>
  <c r="AR24" i="1"/>
  <c r="C20" i="22" s="1"/>
  <c r="AR30" i="1"/>
  <c r="C25" i="22" s="1"/>
  <c r="AR37" i="1"/>
  <c r="C30" i="22" s="1"/>
  <c r="AR4" i="1"/>
  <c r="C6" i="22" s="1"/>
  <c r="AR8" i="1"/>
  <c r="AR21" i="1"/>
  <c r="C18" i="22" s="1"/>
  <c r="AR17" i="1"/>
  <c r="AR22" i="1"/>
  <c r="C19" i="22" s="1"/>
  <c r="AR10" i="1"/>
  <c r="AR18" i="1"/>
  <c r="AR27" i="1"/>
  <c r="C22" i="22" s="1"/>
  <c r="AR35" i="1"/>
  <c r="C29" i="22" s="1"/>
  <c r="AR6" i="1"/>
  <c r="C8" i="22" s="1"/>
  <c r="E8" i="22" l="1"/>
  <c r="F8" i="22"/>
  <c r="D8" i="22"/>
  <c r="E29" i="22"/>
  <c r="F29" i="22"/>
  <c r="D29" i="22"/>
  <c r="E22" i="22"/>
  <c r="F22" i="22"/>
  <c r="D22" i="22"/>
  <c r="AT18" i="1"/>
  <c r="AU18" i="1" s="1"/>
  <c r="C16" i="22"/>
  <c r="C11" i="22"/>
  <c r="AT10" i="1"/>
  <c r="AU10" i="1" s="1"/>
  <c r="L19" i="22"/>
  <c r="F19" i="22"/>
  <c r="E19" i="22"/>
  <c r="M19" i="22"/>
  <c r="N19" i="22" s="1"/>
  <c r="D19" i="22"/>
  <c r="AT17" i="1"/>
  <c r="AU17" i="1" s="1"/>
  <c r="C15" i="22"/>
  <c r="F18" i="22"/>
  <c r="E18" i="22"/>
  <c r="M18" i="22"/>
  <c r="N18" i="22" s="1"/>
  <c r="L18" i="22"/>
  <c r="D18" i="22"/>
  <c r="C9" i="22"/>
  <c r="AT8" i="1"/>
  <c r="AU8" i="1" s="1"/>
  <c r="E6" i="22"/>
  <c r="F6" i="22"/>
  <c r="D6" i="22"/>
  <c r="E30" i="22"/>
  <c r="F30" i="22"/>
  <c r="L30" i="22"/>
  <c r="M30" i="22"/>
  <c r="N30" i="22" s="1"/>
  <c r="D30" i="22"/>
  <c r="F25" i="22"/>
  <c r="E25" i="22"/>
  <c r="D25" i="22"/>
  <c r="F20" i="22"/>
  <c r="E20" i="22"/>
  <c r="D20" i="22"/>
  <c r="F28" i="22"/>
  <c r="E28" i="22"/>
  <c r="D28" i="22"/>
  <c r="E23" i="22"/>
  <c r="F23" i="22"/>
  <c r="D23" i="22"/>
  <c r="F13" i="22"/>
  <c r="E13" i="22"/>
  <c r="D13" i="22"/>
  <c r="E26" i="22"/>
  <c r="F26" i="22"/>
  <c r="D26" i="22"/>
  <c r="E21" i="22"/>
  <c r="F21" i="22"/>
  <c r="D21" i="22"/>
  <c r="C17" i="22"/>
  <c r="AT19" i="1"/>
  <c r="AU19" i="1" s="1"/>
  <c r="AT9" i="1"/>
  <c r="AU9" i="1" s="1"/>
  <c r="C10" i="22"/>
  <c r="AT11" i="1"/>
  <c r="AU11" i="1" s="1"/>
  <c r="C12" i="22"/>
  <c r="E5" i="22"/>
  <c r="F5" i="22"/>
  <c r="D5" i="22"/>
  <c r="F7" i="22"/>
  <c r="E7" i="22"/>
  <c r="D7" i="22"/>
  <c r="F27" i="22"/>
  <c r="E27" i="22"/>
  <c r="D27" i="22"/>
  <c r="F24" i="22"/>
  <c r="E24" i="22"/>
  <c r="D24" i="22"/>
  <c r="E34" i="22"/>
  <c r="F34" i="22"/>
  <c r="D34" i="22"/>
  <c r="E33" i="22"/>
  <c r="F33" i="22"/>
  <c r="M33" i="22"/>
  <c r="N33" i="22" s="1"/>
  <c r="L33" i="22"/>
  <c r="D33" i="22"/>
  <c r="E32" i="22"/>
  <c r="F32" i="22"/>
  <c r="D32" i="22"/>
  <c r="E36" i="22"/>
  <c r="F36" i="22"/>
  <c r="D36" i="22"/>
  <c r="E35" i="22"/>
  <c r="F35" i="22"/>
  <c r="D35" i="22"/>
  <c r="AT39" i="1"/>
  <c r="AU39" i="1" s="1"/>
  <c r="C31" i="22"/>
  <c r="E14" i="22"/>
  <c r="F14" i="22"/>
  <c r="D14" i="22"/>
  <c r="E38" i="22"/>
  <c r="F38" i="22"/>
  <c r="L38" i="22"/>
  <c r="M38" i="22"/>
  <c r="N38" i="22" s="1"/>
  <c r="D38" i="22"/>
  <c r="E39" i="22"/>
  <c r="F39" i="22"/>
  <c r="L39" i="22"/>
  <c r="M39" i="22"/>
  <c r="N39" i="22" s="1"/>
  <c r="D39" i="22"/>
  <c r="E41" i="22"/>
  <c r="F41" i="22"/>
  <c r="L41" i="22"/>
  <c r="M41" i="22"/>
  <c r="N41" i="22" s="1"/>
  <c r="D41" i="22"/>
  <c r="E42" i="22"/>
  <c r="F42" i="22"/>
  <c r="L42" i="22"/>
  <c r="M42" i="22"/>
  <c r="N42" i="22" s="1"/>
  <c r="D42" i="22"/>
  <c r="E43" i="22"/>
  <c r="F43" i="22"/>
  <c r="L43" i="22"/>
  <c r="M43" i="22"/>
  <c r="N43" i="22" s="1"/>
  <c r="D43" i="22"/>
  <c r="E45" i="22"/>
  <c r="F45" i="22"/>
  <c r="M45" i="22"/>
  <c r="N45" i="22" s="1"/>
  <c r="L45" i="22"/>
  <c r="P45" i="22" s="1"/>
  <c r="D45" i="22"/>
  <c r="E72" i="22"/>
  <c r="F72" i="22"/>
  <c r="D72" i="22"/>
  <c r="E70" i="22"/>
  <c r="F70" i="22"/>
  <c r="D70" i="22"/>
  <c r="E69" i="22"/>
  <c r="F69" i="22"/>
  <c r="D69" i="22"/>
  <c r="C66" i="22"/>
  <c r="AT88" i="1"/>
  <c r="AU88" i="1" s="1"/>
  <c r="C65" i="22"/>
  <c r="AT87" i="1"/>
  <c r="AU87" i="1" s="1"/>
  <c r="E63" i="22"/>
  <c r="F63" i="22"/>
  <c r="L63" i="22"/>
  <c r="M63" i="22"/>
  <c r="N63" i="22" s="1"/>
  <c r="D63" i="22"/>
  <c r="E61" i="22"/>
  <c r="F61" i="22"/>
  <c r="D61" i="22"/>
  <c r="E53" i="22"/>
  <c r="F53" i="22"/>
  <c r="L53" i="22"/>
  <c r="M53" i="22"/>
  <c r="N53" i="22" s="1"/>
  <c r="D53" i="22"/>
  <c r="E52" i="22"/>
  <c r="F52" i="22"/>
  <c r="L52" i="22"/>
  <c r="M52" i="22"/>
  <c r="N52" i="22" s="1"/>
  <c r="D52" i="22"/>
  <c r="E51" i="22"/>
  <c r="F51" i="22"/>
  <c r="D51" i="22"/>
  <c r="E49" i="22"/>
  <c r="F49" i="22"/>
  <c r="D49" i="22"/>
  <c r="E57" i="22"/>
  <c r="F57" i="22"/>
  <c r="L57" i="22"/>
  <c r="M57" i="22"/>
  <c r="N57" i="22" s="1"/>
  <c r="D57" i="22"/>
  <c r="E56" i="22"/>
  <c r="F56" i="22"/>
  <c r="L56" i="22"/>
  <c r="M56" i="22"/>
  <c r="N56" i="22" s="1"/>
  <c r="D56" i="22"/>
  <c r="E55" i="22"/>
  <c r="F55" i="22"/>
  <c r="L55" i="22"/>
  <c r="M55" i="22"/>
  <c r="N55" i="22" s="1"/>
  <c r="D55" i="22"/>
  <c r="E58" i="22"/>
  <c r="F58" i="22"/>
  <c r="D58" i="22"/>
  <c r="E59" i="22"/>
  <c r="F59" i="22"/>
  <c r="M59" i="22"/>
  <c r="N59" i="22" s="1"/>
  <c r="D59" i="22"/>
  <c r="E121" i="22"/>
  <c r="F121" i="22"/>
  <c r="D121" i="22"/>
  <c r="E120" i="22"/>
  <c r="F120" i="22"/>
  <c r="L120" i="22"/>
  <c r="M120" i="22"/>
  <c r="N120" i="22" s="1"/>
  <c r="D120" i="22"/>
  <c r="E119" i="22"/>
  <c r="F119" i="22"/>
  <c r="L119" i="22"/>
  <c r="M119" i="22"/>
  <c r="N119" i="22" s="1"/>
  <c r="D119" i="22"/>
  <c r="E118" i="22"/>
  <c r="F118" i="22"/>
  <c r="L118" i="22"/>
  <c r="M118" i="22"/>
  <c r="N118" i="22" s="1"/>
  <c r="D118" i="22"/>
  <c r="E116" i="22"/>
  <c r="F116" i="22"/>
  <c r="D116" i="22"/>
  <c r="E115" i="22"/>
  <c r="F115" i="22"/>
  <c r="D115" i="22"/>
  <c r="E114" i="22"/>
  <c r="F114" i="22"/>
  <c r="D114" i="22"/>
  <c r="E113" i="22"/>
  <c r="F113" i="22"/>
  <c r="D113" i="22"/>
  <c r="E111" i="22"/>
  <c r="F111" i="22"/>
  <c r="L111" i="22"/>
  <c r="M111" i="22"/>
  <c r="N111" i="22" s="1"/>
  <c r="D111" i="22"/>
  <c r="E110" i="22"/>
  <c r="F110" i="22"/>
  <c r="L110" i="22"/>
  <c r="M110" i="22"/>
  <c r="N110" i="22" s="1"/>
  <c r="D110" i="22"/>
  <c r="E108" i="22"/>
  <c r="F108" i="22"/>
  <c r="M108" i="22"/>
  <c r="N108" i="22" s="1"/>
  <c r="D108" i="22"/>
  <c r="E107" i="22"/>
  <c r="F107" i="22"/>
  <c r="D107" i="22"/>
  <c r="E106" i="22"/>
  <c r="F106" i="22"/>
  <c r="D106" i="22"/>
  <c r="E105" i="22"/>
  <c r="F105" i="22"/>
  <c r="L105" i="22"/>
  <c r="M105" i="22"/>
  <c r="N105" i="22" s="1"/>
  <c r="D105" i="22"/>
  <c r="E103" i="22"/>
  <c r="F103" i="22"/>
  <c r="L103" i="22"/>
  <c r="M103" i="22"/>
  <c r="N103" i="22" s="1"/>
  <c r="D103" i="22"/>
  <c r="E102" i="22"/>
  <c r="F102" i="22"/>
  <c r="L102" i="22"/>
  <c r="M102" i="22"/>
  <c r="N102" i="22" s="1"/>
  <c r="D102" i="22"/>
  <c r="E100" i="22"/>
  <c r="F100" i="22"/>
  <c r="L100" i="22"/>
  <c r="M100" i="22"/>
  <c r="N100" i="22" s="1"/>
  <c r="D100" i="22"/>
  <c r="E99" i="22"/>
  <c r="F99" i="22"/>
  <c r="L99" i="22"/>
  <c r="M99" i="22"/>
  <c r="N99" i="22" s="1"/>
  <c r="D99" i="22"/>
  <c r="E98" i="22"/>
  <c r="F98" i="22"/>
  <c r="L98" i="22"/>
  <c r="M98" i="22"/>
  <c r="N98" i="22" s="1"/>
  <c r="D98" i="22"/>
  <c r="E97" i="22"/>
  <c r="F97" i="22"/>
  <c r="L97" i="22"/>
  <c r="M97" i="22"/>
  <c r="N97" i="22" s="1"/>
  <c r="D97" i="22"/>
  <c r="C95" i="22"/>
  <c r="AT126" i="1"/>
  <c r="AU126" i="1" s="1"/>
  <c r="E94" i="22"/>
  <c r="F94" i="22"/>
  <c r="D94" i="22"/>
  <c r="C93" i="22"/>
  <c r="AT124" i="1"/>
  <c r="AU124" i="1" s="1"/>
  <c r="C92" i="22"/>
  <c r="AT123" i="1"/>
  <c r="AU123" i="1" s="1"/>
  <c r="C91" i="22"/>
  <c r="AT122" i="1"/>
  <c r="AU122" i="1" s="1"/>
  <c r="C89" i="22"/>
  <c r="AT120" i="1"/>
  <c r="AU120" i="1" s="1"/>
  <c r="C87" i="22"/>
  <c r="AT118" i="1"/>
  <c r="AU118" i="1" s="1"/>
  <c r="C85" i="22"/>
  <c r="AT116" i="1"/>
  <c r="AU116" i="1" s="1"/>
  <c r="E83" i="22"/>
  <c r="F83" i="22"/>
  <c r="L83" i="22"/>
  <c r="M83" i="22"/>
  <c r="N83" i="22" s="1"/>
  <c r="D83" i="22"/>
  <c r="E82" i="22"/>
  <c r="F82" i="22"/>
  <c r="L82" i="22"/>
  <c r="M82" i="22"/>
  <c r="N82" i="22" s="1"/>
  <c r="D82" i="22"/>
  <c r="E81" i="22"/>
  <c r="F81" i="22"/>
  <c r="L81" i="22"/>
  <c r="M81" i="22"/>
  <c r="N81" i="22" s="1"/>
  <c r="D81" i="22"/>
  <c r="E79" i="22"/>
  <c r="F79" i="22"/>
  <c r="D79" i="22"/>
  <c r="E78" i="22"/>
  <c r="F78" i="22"/>
  <c r="D78" i="22"/>
  <c r="E75" i="22"/>
  <c r="F75" i="22"/>
  <c r="D75" i="22"/>
  <c r="E74" i="22"/>
  <c r="F74" i="22"/>
  <c r="D74" i="22"/>
  <c r="E68" i="22"/>
  <c r="F68" i="22"/>
  <c r="L68" i="22"/>
  <c r="M68" i="22"/>
  <c r="N68" i="22" s="1"/>
  <c r="D68" i="22"/>
  <c r="C67" i="22"/>
  <c r="AT89" i="1"/>
  <c r="AU89" i="1" s="1"/>
  <c r="E117" i="22"/>
  <c r="F117" i="22"/>
  <c r="L117" i="22"/>
  <c r="M117" i="22"/>
  <c r="N117" i="22" s="1"/>
  <c r="D117" i="22"/>
  <c r="E37" i="22"/>
  <c r="F37" i="22"/>
  <c r="L37" i="22"/>
  <c r="M37" i="22"/>
  <c r="N37" i="22" s="1"/>
  <c r="D37" i="22"/>
  <c r="E40" i="22"/>
  <c r="F40" i="22"/>
  <c r="M40" i="22"/>
  <c r="N40" i="22" s="1"/>
  <c r="L40" i="22"/>
  <c r="D40" i="22"/>
  <c r="E44" i="22"/>
  <c r="F44" i="22"/>
  <c r="M44" i="22"/>
  <c r="N44" i="22" s="1"/>
  <c r="L44" i="22"/>
  <c r="P44" i="22" s="1"/>
  <c r="D44" i="22"/>
  <c r="E46" i="22"/>
  <c r="F46" i="22"/>
  <c r="M46" i="22"/>
  <c r="N46" i="22" s="1"/>
  <c r="L46" i="22"/>
  <c r="P46" i="22" s="1"/>
  <c r="D46" i="22"/>
  <c r="E112" i="22"/>
  <c r="F112" i="22"/>
  <c r="D112" i="22"/>
  <c r="E109" i="22"/>
  <c r="F109" i="22"/>
  <c r="L109" i="22"/>
  <c r="M109" i="22"/>
  <c r="N109" i="22" s="1"/>
  <c r="D109" i="22"/>
  <c r="E104" i="22"/>
  <c r="F104" i="22"/>
  <c r="L104" i="22"/>
  <c r="M104" i="22"/>
  <c r="N104" i="22" s="1"/>
  <c r="D104" i="22"/>
  <c r="E101" i="22"/>
  <c r="F101" i="22"/>
  <c r="L101" i="22"/>
  <c r="M101" i="22"/>
  <c r="N101" i="22" s="1"/>
  <c r="D101" i="22"/>
  <c r="C96" i="22"/>
  <c r="AT127" i="1"/>
  <c r="AU127" i="1" s="1"/>
  <c r="C90" i="22"/>
  <c r="AT121" i="1"/>
  <c r="AU121" i="1" s="1"/>
  <c r="E88" i="22"/>
  <c r="F88" i="22"/>
  <c r="L88" i="22"/>
  <c r="M88" i="22"/>
  <c r="N88" i="22" s="1"/>
  <c r="D88" i="22"/>
  <c r="C86" i="22"/>
  <c r="AT117" i="1"/>
  <c r="AU117" i="1" s="1"/>
  <c r="C84" i="22"/>
  <c r="AT114" i="1"/>
  <c r="AU114" i="1" s="1"/>
  <c r="E80" i="22"/>
  <c r="F80" i="22"/>
  <c r="D80" i="22"/>
  <c r="E77" i="22"/>
  <c r="F77" i="22"/>
  <c r="D77" i="22"/>
  <c r="E76" i="22"/>
  <c r="F76" i="22"/>
  <c r="D76" i="22"/>
  <c r="E73" i="22"/>
  <c r="F73" i="22"/>
  <c r="D73" i="22"/>
  <c r="E71" i="22"/>
  <c r="F71" i="22"/>
  <c r="L71" i="22"/>
  <c r="M71" i="22"/>
  <c r="N71" i="22" s="1"/>
  <c r="D71" i="22"/>
  <c r="E64" i="22"/>
  <c r="F64" i="22"/>
  <c r="D64" i="22"/>
  <c r="E62" i="22"/>
  <c r="F62" i="22"/>
  <c r="D62" i="22"/>
  <c r="E54" i="22"/>
  <c r="F54" i="22"/>
  <c r="L54" i="22"/>
  <c r="M54" i="22"/>
  <c r="N54" i="22" s="1"/>
  <c r="D54" i="22"/>
  <c r="E50" i="22"/>
  <c r="F50" i="22"/>
  <c r="D50" i="22"/>
  <c r="E48" i="22"/>
  <c r="F48" i="22"/>
  <c r="L48" i="22"/>
  <c r="M48" i="22"/>
  <c r="N48" i="22" s="1"/>
  <c r="D48" i="22"/>
  <c r="E47" i="22"/>
  <c r="F47" i="22"/>
  <c r="D47" i="22"/>
  <c r="E60" i="22"/>
  <c r="F60" i="22"/>
  <c r="D60" i="22"/>
  <c r="E153" i="22"/>
  <c r="F153" i="22"/>
  <c r="L153" i="22"/>
  <c r="M153" i="22"/>
  <c r="N153" i="22" s="1"/>
  <c r="D153" i="22"/>
  <c r="AT200" i="1"/>
  <c r="AU200" i="1" s="1"/>
  <c r="C152" i="22"/>
  <c r="AT199" i="1"/>
  <c r="AU199" i="1" s="1"/>
  <c r="C151" i="22"/>
  <c r="E150" i="22"/>
  <c r="F150" i="22"/>
  <c r="D150" i="22"/>
  <c r="E149" i="22"/>
  <c r="F149" i="22"/>
  <c r="D149" i="22"/>
  <c r="E148" i="22"/>
  <c r="F148" i="22"/>
  <c r="D148" i="22"/>
  <c r="E147" i="22"/>
  <c r="F147" i="22"/>
  <c r="D147" i="22"/>
  <c r="E146" i="22"/>
  <c r="F146" i="22"/>
  <c r="D146" i="22"/>
  <c r="E145" i="22"/>
  <c r="F145" i="22"/>
  <c r="L145" i="22"/>
  <c r="M145" i="22"/>
  <c r="N145" i="22" s="1"/>
  <c r="D145" i="22"/>
  <c r="E144" i="22"/>
  <c r="F144" i="22"/>
  <c r="L144" i="22"/>
  <c r="M144" i="22"/>
  <c r="N144" i="22" s="1"/>
  <c r="D144" i="22"/>
  <c r="E143" i="22"/>
  <c r="F143" i="22"/>
  <c r="D143" i="22"/>
  <c r="E142" i="22"/>
  <c r="F142" i="22"/>
  <c r="D142" i="22"/>
  <c r="E141" i="22"/>
  <c r="F141" i="22"/>
  <c r="D141" i="22"/>
  <c r="E140" i="22"/>
  <c r="F140" i="22"/>
  <c r="D140" i="22"/>
  <c r="E139" i="22"/>
  <c r="F139" i="22"/>
  <c r="D139" i="22"/>
  <c r="E138" i="22"/>
  <c r="F138" i="22"/>
  <c r="D138" i="22"/>
  <c r="E137" i="22"/>
  <c r="F137" i="22"/>
  <c r="D137" i="22"/>
  <c r="E136" i="22"/>
  <c r="F136" i="22"/>
  <c r="D136" i="22"/>
  <c r="E134" i="22"/>
  <c r="F134" i="22"/>
  <c r="D134" i="22"/>
  <c r="E133" i="22"/>
  <c r="F133" i="22"/>
  <c r="D133" i="22"/>
  <c r="E132" i="22"/>
  <c r="F132" i="22"/>
  <c r="D132" i="22"/>
  <c r="E131" i="22"/>
  <c r="F131" i="22"/>
  <c r="D131" i="22"/>
  <c r="E130" i="22"/>
  <c r="F130" i="22"/>
  <c r="D130" i="22"/>
  <c r="E129" i="22"/>
  <c r="F129" i="22"/>
  <c r="D129" i="22"/>
  <c r="E128" i="22"/>
  <c r="F128" i="22"/>
  <c r="L128" i="22"/>
  <c r="M128" i="22"/>
  <c r="N128" i="22" s="1"/>
  <c r="D128" i="22"/>
  <c r="E127" i="22"/>
  <c r="F127" i="22"/>
  <c r="L127" i="22"/>
  <c r="M127" i="22"/>
  <c r="N127" i="22" s="1"/>
  <c r="D127" i="22"/>
  <c r="E126" i="22"/>
  <c r="F126" i="22"/>
  <c r="L126" i="22"/>
  <c r="D126" i="22"/>
  <c r="E125" i="22"/>
  <c r="F125" i="22"/>
  <c r="D125" i="22"/>
  <c r="E124" i="22"/>
  <c r="F124" i="22"/>
  <c r="D124" i="22"/>
  <c r="E122" i="22"/>
  <c r="F122" i="22"/>
  <c r="L122" i="22"/>
  <c r="M122" i="22"/>
  <c r="N122" i="22" s="1"/>
  <c r="D122" i="22"/>
  <c r="E135" i="22"/>
  <c r="F135" i="22"/>
  <c r="D135" i="22"/>
  <c r="E123" i="22"/>
  <c r="F123" i="22"/>
  <c r="L123" i="22"/>
  <c r="M123" i="22"/>
  <c r="N123" i="22" s="1"/>
  <c r="D123" i="22"/>
  <c r="E155" i="22"/>
  <c r="F155" i="22"/>
  <c r="D155" i="22"/>
  <c r="E154" i="22"/>
  <c r="F154" i="22"/>
  <c r="L154" i="22"/>
  <c r="M154" i="22"/>
  <c r="N154" i="22" s="1"/>
  <c r="D154" i="22"/>
  <c r="E170" i="22"/>
  <c r="F170" i="22"/>
  <c r="D170" i="22"/>
  <c r="E169" i="22"/>
  <c r="F169" i="22"/>
  <c r="L169" i="22"/>
  <c r="M169" i="22"/>
  <c r="N169" i="22" s="1"/>
  <c r="D169" i="22"/>
  <c r="E168" i="22"/>
  <c r="F168" i="22"/>
  <c r="L168" i="22"/>
  <c r="M168" i="22"/>
  <c r="N168" i="22" s="1"/>
  <c r="D168" i="22"/>
  <c r="E167" i="22"/>
  <c r="F167" i="22"/>
  <c r="L167" i="22"/>
  <c r="M167" i="22"/>
  <c r="N167" i="22" s="1"/>
  <c r="D167" i="22"/>
  <c r="E166" i="22"/>
  <c r="F166" i="22"/>
  <c r="D166" i="22"/>
  <c r="E165" i="22"/>
  <c r="F165" i="22"/>
  <c r="L165" i="22"/>
  <c r="M165" i="22"/>
  <c r="N165" i="22" s="1"/>
  <c r="D165" i="22"/>
  <c r="E163" i="22"/>
  <c r="F163" i="22"/>
  <c r="D163" i="22"/>
  <c r="E162" i="22"/>
  <c r="F162" i="22"/>
  <c r="D162" i="22"/>
  <c r="E160" i="22"/>
  <c r="F160" i="22"/>
  <c r="L160" i="22"/>
  <c r="M160" i="22"/>
  <c r="N160" i="22" s="1"/>
  <c r="D160" i="22"/>
  <c r="E159" i="22"/>
  <c r="F159" i="22"/>
  <c r="D159" i="22"/>
  <c r="E157" i="22"/>
  <c r="F157" i="22"/>
  <c r="D157" i="22"/>
  <c r="E156" i="22"/>
  <c r="F156" i="22"/>
  <c r="L156" i="22"/>
  <c r="M156" i="22"/>
  <c r="N156" i="22" s="1"/>
  <c r="D156" i="22"/>
  <c r="E164" i="22"/>
  <c r="F164" i="22"/>
  <c r="D164" i="22"/>
  <c r="E161" i="22"/>
  <c r="F161" i="22"/>
  <c r="D161" i="22"/>
  <c r="E158" i="22"/>
  <c r="F158" i="22"/>
  <c r="D158" i="22"/>
  <c r="E172" i="22"/>
  <c r="F172" i="22"/>
  <c r="D172" i="22"/>
  <c r="E171" i="22"/>
  <c r="F171" i="22"/>
  <c r="D171" i="22"/>
  <c r="E179" i="22"/>
  <c r="F179" i="22"/>
  <c r="L179" i="22"/>
  <c r="M179" i="22"/>
  <c r="N179" i="22" s="1"/>
  <c r="D179" i="22"/>
  <c r="E176" i="22"/>
  <c r="F176" i="22"/>
  <c r="D176" i="22"/>
  <c r="E175" i="22"/>
  <c r="F175" i="22"/>
  <c r="D175" i="22"/>
  <c r="E174" i="22"/>
  <c r="F174" i="22"/>
  <c r="L174" i="22"/>
  <c r="M174" i="22"/>
  <c r="N174" i="22" s="1"/>
  <c r="D174" i="22"/>
  <c r="E173" i="22"/>
  <c r="F173" i="22"/>
  <c r="L173" i="22"/>
  <c r="M173" i="22"/>
  <c r="N173" i="22" s="1"/>
  <c r="D173" i="22"/>
  <c r="E178" i="22"/>
  <c r="F178" i="22"/>
  <c r="L178" i="22"/>
  <c r="M178" i="22"/>
  <c r="N178" i="22" s="1"/>
  <c r="D178" i="22"/>
  <c r="E177" i="22"/>
  <c r="F177" i="22"/>
  <c r="L177" i="22"/>
  <c r="M177" i="22"/>
  <c r="N177" i="22" s="1"/>
  <c r="D177" i="22"/>
  <c r="D201" i="22"/>
  <c r="E201" i="22"/>
  <c r="F201" i="22"/>
  <c r="L201" i="22"/>
  <c r="M201" i="22"/>
  <c r="N201" i="22" s="1"/>
  <c r="D200" i="22"/>
  <c r="E200" i="22"/>
  <c r="F200" i="22"/>
  <c r="D198" i="22"/>
  <c r="E198" i="22"/>
  <c r="F198" i="22"/>
  <c r="L198" i="22"/>
  <c r="M198" i="22"/>
  <c r="N198" i="22" s="1"/>
  <c r="D196" i="22"/>
  <c r="E196" i="22"/>
  <c r="F196" i="22"/>
  <c r="D195" i="22"/>
  <c r="E195" i="22"/>
  <c r="F195" i="22"/>
  <c r="D194" i="22"/>
  <c r="E194" i="22"/>
  <c r="F194" i="22"/>
  <c r="D193" i="22"/>
  <c r="E193" i="22"/>
  <c r="F193" i="22"/>
  <c r="D192" i="22"/>
  <c r="E192" i="22"/>
  <c r="F192" i="22"/>
  <c r="D191" i="22"/>
  <c r="E191" i="22"/>
  <c r="F191" i="22"/>
  <c r="D190" i="22"/>
  <c r="E190" i="22"/>
  <c r="F190" i="22"/>
  <c r="M190" i="22"/>
  <c r="N190" i="22" s="1"/>
  <c r="D189" i="22"/>
  <c r="E189" i="22"/>
  <c r="F189" i="22"/>
  <c r="M189" i="22"/>
  <c r="N189" i="22" s="1"/>
  <c r="D188" i="22"/>
  <c r="E188" i="22"/>
  <c r="F188" i="22"/>
  <c r="D186" i="22"/>
  <c r="E186" i="22"/>
  <c r="F186" i="22"/>
  <c r="D185" i="22"/>
  <c r="E185" i="22"/>
  <c r="F185" i="22"/>
  <c r="D184" i="22"/>
  <c r="E184" i="22"/>
  <c r="F184" i="22"/>
  <c r="D183" i="22"/>
  <c r="E183" i="22"/>
  <c r="F183" i="22"/>
  <c r="D182" i="22"/>
  <c r="E182" i="22"/>
  <c r="F182" i="22"/>
  <c r="D181" i="22"/>
  <c r="E181" i="22"/>
  <c r="F181" i="22"/>
  <c r="D180" i="22"/>
  <c r="E180" i="22"/>
  <c r="F180" i="22"/>
  <c r="D204" i="22"/>
  <c r="E204" i="22"/>
  <c r="F204" i="22"/>
  <c r="L204" i="22"/>
  <c r="M204" i="22"/>
  <c r="N204" i="22" s="1"/>
  <c r="D203" i="22"/>
  <c r="E203" i="22"/>
  <c r="F203" i="22"/>
  <c r="L203" i="22"/>
  <c r="M203" i="22"/>
  <c r="N203" i="22" s="1"/>
  <c r="D202" i="22"/>
  <c r="E202" i="22"/>
  <c r="F202" i="22"/>
  <c r="L202" i="22"/>
  <c r="M202" i="22"/>
  <c r="N202" i="22" s="1"/>
  <c r="D199" i="22"/>
  <c r="E199" i="22"/>
  <c r="F199" i="22"/>
  <c r="L199" i="22"/>
  <c r="M199" i="22"/>
  <c r="N199" i="22" s="1"/>
  <c r="D197" i="22"/>
  <c r="E197" i="22"/>
  <c r="F197" i="22"/>
  <c r="D187" i="22"/>
  <c r="E187" i="22"/>
  <c r="F187" i="22"/>
  <c r="L163" i="22"/>
  <c r="M126" i="22"/>
  <c r="N126" i="22" s="1"/>
  <c r="L50" i="22"/>
  <c r="L49" i="22"/>
  <c r="M8" i="22"/>
  <c r="N8" i="22" s="1"/>
  <c r="L8" i="22"/>
  <c r="M58" i="22"/>
  <c r="N58" i="22" s="1"/>
  <c r="L32" i="22"/>
  <c r="L175" i="22"/>
  <c r="M50" i="22"/>
  <c r="N50" i="22" s="1"/>
  <c r="M5" i="22"/>
  <c r="N5" i="22" s="1"/>
  <c r="L5" i="22"/>
  <c r="M170" i="22"/>
  <c r="N170" i="22" s="1"/>
  <c r="M143" i="22"/>
  <c r="N143" i="22" s="1"/>
  <c r="L133" i="22"/>
  <c r="M133" i="22"/>
  <c r="N133" i="22" s="1"/>
  <c r="L36" i="22"/>
  <c r="M36" i="22"/>
  <c r="N36" i="22" s="1"/>
  <c r="L182" i="22"/>
  <c r="M182" i="22"/>
  <c r="N182" i="22" s="1"/>
  <c r="M163" i="22"/>
  <c r="N163" i="22" s="1"/>
  <c r="M147" i="22"/>
  <c r="N147" i="22" s="1"/>
  <c r="L147" i="22"/>
  <c r="M79" i="22"/>
  <c r="N79" i="22" s="1"/>
  <c r="L79" i="22"/>
  <c r="M77" i="22"/>
  <c r="N77" i="22" s="1"/>
  <c r="L77" i="22"/>
  <c r="M114" i="22"/>
  <c r="N114" i="22" s="1"/>
  <c r="L114" i="22"/>
  <c r="L137" i="22"/>
  <c r="M137" i="22"/>
  <c r="N137" i="22" s="1"/>
  <c r="M162" i="22"/>
  <c r="N162" i="22" s="1"/>
  <c r="L162" i="22"/>
  <c r="M20" i="22"/>
  <c r="N20" i="22" s="1"/>
  <c r="L20" i="22"/>
  <c r="M21" i="22"/>
  <c r="N21" i="22" s="1"/>
  <c r="L21" i="22"/>
  <c r="M200" i="22"/>
  <c r="N200" i="22" s="1"/>
  <c r="L200" i="22"/>
  <c r="M146" i="22"/>
  <c r="N146" i="22" s="1"/>
  <c r="L146" i="22"/>
  <c r="M155" i="22"/>
  <c r="N155" i="22" s="1"/>
  <c r="L155" i="22"/>
  <c r="M78" i="22"/>
  <c r="N78" i="22" s="1"/>
  <c r="L78" i="22"/>
  <c r="M188" i="22" l="1"/>
  <c r="N188" i="22" s="1"/>
  <c r="L188" i="22"/>
  <c r="L158" i="22"/>
  <c r="M158" i="22"/>
  <c r="N158" i="22" s="1"/>
  <c r="L107" i="22"/>
  <c r="L106" i="22"/>
  <c r="L47" i="22"/>
  <c r="M107" i="22"/>
  <c r="N107" i="22" s="1"/>
  <c r="M106" i="22"/>
  <c r="N106" i="22" s="1"/>
  <c r="M47" i="22"/>
  <c r="N47" i="22" s="1"/>
  <c r="L6" i="22"/>
  <c r="L7" i="22"/>
  <c r="M6" i="22"/>
  <c r="N6" i="22" s="1"/>
  <c r="M7" i="22"/>
  <c r="N7" i="22" s="1"/>
  <c r="L161" i="22"/>
  <c r="M161" i="22"/>
  <c r="N161" i="22" s="1"/>
  <c r="L166" i="22"/>
  <c r="M166" i="22"/>
  <c r="N166" i="22" s="1"/>
  <c r="L194" i="22"/>
  <c r="M194" i="22"/>
  <c r="N194" i="22" s="1"/>
  <c r="L80" i="22"/>
  <c r="M80" i="22"/>
  <c r="N80" i="22" s="1"/>
  <c r="L60" i="22"/>
  <c r="L150" i="22"/>
  <c r="L129" i="22"/>
  <c r="M60" i="22"/>
  <c r="N60" i="22" s="1"/>
  <c r="M150" i="22"/>
  <c r="N150" i="22" s="1"/>
  <c r="M129" i="22"/>
  <c r="N129" i="22" s="1"/>
  <c r="L157" i="22"/>
  <c r="M157" i="22"/>
  <c r="N157" i="22" s="1"/>
  <c r="L74" i="22"/>
  <c r="L73" i="22"/>
  <c r="L192" i="22"/>
  <c r="L191" i="22"/>
  <c r="M74" i="22"/>
  <c r="N74" i="22" s="1"/>
  <c r="M73" i="22"/>
  <c r="N73" i="22" s="1"/>
  <c r="M192" i="22"/>
  <c r="N192" i="22" s="1"/>
  <c r="M191" i="22"/>
  <c r="N191" i="22" s="1"/>
  <c r="L29" i="22"/>
  <c r="L28" i="22"/>
  <c r="M29" i="22"/>
  <c r="N29" i="22" s="1"/>
  <c r="M28" i="22"/>
  <c r="N28" i="22" s="1"/>
  <c r="M175" i="22"/>
  <c r="N175" i="22" s="1"/>
  <c r="M196" i="22"/>
  <c r="N196" i="22" s="1"/>
  <c r="L26" i="22"/>
  <c r="M180" i="22"/>
  <c r="N180" i="22" s="1"/>
  <c r="L180" i="22"/>
  <c r="M184" i="22"/>
  <c r="N184" i="22" s="1"/>
  <c r="L184" i="22"/>
  <c r="M186" i="22"/>
  <c r="N186" i="22" s="1"/>
  <c r="L186" i="22"/>
  <c r="M141" i="22"/>
  <c r="N141" i="22" s="1"/>
  <c r="L141" i="22"/>
  <c r="M51" i="22"/>
  <c r="N51" i="22" s="1"/>
  <c r="M26" i="22"/>
  <c r="N26" i="22" s="1"/>
  <c r="L196" i="22"/>
  <c r="M72" i="22"/>
  <c r="N72" i="22" s="1"/>
  <c r="M70" i="22"/>
  <c r="N70" i="22" s="1"/>
  <c r="M49" i="22"/>
  <c r="N49" i="22" s="1"/>
  <c r="L189" i="22"/>
  <c r="M172" i="22"/>
  <c r="N172" i="22" s="1"/>
  <c r="M171" i="22"/>
  <c r="N171" i="22" s="1"/>
  <c r="G187" i="22"/>
  <c r="I187" i="22" s="1"/>
  <c r="AS187" i="22" s="1"/>
  <c r="H187" i="22"/>
  <c r="R187" i="22" a="1"/>
  <c r="R187" i="22" s="1"/>
  <c r="S187" i="22" a="1"/>
  <c r="S187" i="22" s="1"/>
  <c r="G197" i="22"/>
  <c r="I197" i="22" s="1"/>
  <c r="AS197" i="22" s="1"/>
  <c r="H197" i="22"/>
  <c r="R197" i="22" a="1"/>
  <c r="R197" i="22" s="1"/>
  <c r="S197" i="22" a="1"/>
  <c r="S197" i="22" s="1"/>
  <c r="O199" i="22" a="1"/>
  <c r="O199" i="22" s="1"/>
  <c r="P199" i="22"/>
  <c r="Q199" i="22" a="1"/>
  <c r="Q199" i="22" s="1"/>
  <c r="AC199" i="22"/>
  <c r="G199" i="22"/>
  <c r="I199" i="22" s="1"/>
  <c r="AS199" i="22" s="1"/>
  <c r="H199" i="22"/>
  <c r="R199" i="22" a="1"/>
  <c r="R199" i="22" s="1"/>
  <c r="S199" i="22" a="1"/>
  <c r="S199" i="22" s="1"/>
  <c r="O202" i="22" a="1"/>
  <c r="O202" i="22" s="1"/>
  <c r="P202" i="22"/>
  <c r="Q202" i="22" a="1"/>
  <c r="Q202" i="22" s="1"/>
  <c r="AC202" i="22"/>
  <c r="G202" i="22"/>
  <c r="I202" i="22" s="1"/>
  <c r="AS202" i="22" s="1"/>
  <c r="H202" i="22"/>
  <c r="R202" i="22" a="1"/>
  <c r="R202" i="22" s="1"/>
  <c r="S202" i="22" a="1"/>
  <c r="S202" i="22" s="1"/>
  <c r="O203" i="22" a="1"/>
  <c r="O203" i="22" s="1"/>
  <c r="P203" i="22"/>
  <c r="Q203" i="22" a="1"/>
  <c r="Q203" i="22" s="1"/>
  <c r="AC203" i="22"/>
  <c r="G203" i="22"/>
  <c r="I203" i="22" s="1"/>
  <c r="AS203" i="22" s="1"/>
  <c r="H203" i="22"/>
  <c r="R203" i="22" a="1"/>
  <c r="R203" i="22" s="1"/>
  <c r="S203" i="22" a="1"/>
  <c r="S203" i="22" s="1"/>
  <c r="O204" i="22" a="1"/>
  <c r="O204" i="22" s="1"/>
  <c r="P204" i="22"/>
  <c r="Q204" i="22" a="1"/>
  <c r="Q204" i="22" s="1"/>
  <c r="AC204" i="22"/>
  <c r="G204" i="22"/>
  <c r="I204" i="22" s="1"/>
  <c r="AS204" i="22" s="1"/>
  <c r="H204" i="22"/>
  <c r="R204" i="22" a="1"/>
  <c r="R204" i="22" s="1"/>
  <c r="S204" i="22" a="1"/>
  <c r="S204" i="22" s="1"/>
  <c r="O180" i="22" a="1"/>
  <c r="O180" i="22" s="1"/>
  <c r="P180" i="22"/>
  <c r="Q180" i="22" a="1"/>
  <c r="Q180" i="22" s="1"/>
  <c r="AA180" i="22"/>
  <c r="AU180" i="22" s="1"/>
  <c r="AC180" i="22"/>
  <c r="G180" i="22"/>
  <c r="I180" i="22" s="1"/>
  <c r="AS180" i="22" s="1"/>
  <c r="H180" i="22"/>
  <c r="R180" i="22" a="1"/>
  <c r="R180" i="22" s="1"/>
  <c r="S180" i="22" a="1"/>
  <c r="S180" i="22" s="1"/>
  <c r="G181" i="22"/>
  <c r="I181" i="22" s="1"/>
  <c r="AS181" i="22" s="1"/>
  <c r="H181" i="22"/>
  <c r="R181" i="22" a="1"/>
  <c r="R181" i="22" s="1"/>
  <c r="S181" i="22" a="1"/>
  <c r="S181" i="22" s="1"/>
  <c r="O182" i="22" a="1"/>
  <c r="O182" i="22" s="1"/>
  <c r="P182" i="22"/>
  <c r="Q182" i="22" a="1"/>
  <c r="Q182" i="22" s="1"/>
  <c r="AA182" i="22"/>
  <c r="AU182" i="22" s="1"/>
  <c r="AC182" i="22"/>
  <c r="G182" i="22"/>
  <c r="I182" i="22" s="1"/>
  <c r="AS182" i="22" s="1"/>
  <c r="H182" i="22"/>
  <c r="R182" i="22" a="1"/>
  <c r="R182" i="22" s="1"/>
  <c r="S182" i="22" a="1"/>
  <c r="S182" i="22" s="1"/>
  <c r="G183" i="22"/>
  <c r="I183" i="22" s="1"/>
  <c r="AS183" i="22" s="1"/>
  <c r="H183" i="22"/>
  <c r="R183" i="22" a="1"/>
  <c r="R183" i="22" s="1"/>
  <c r="S183" i="22" a="1"/>
  <c r="S183" i="22" s="1"/>
  <c r="O184" i="22" a="1"/>
  <c r="O184" i="22" s="1"/>
  <c r="P184" i="22"/>
  <c r="Q184" i="22" a="1"/>
  <c r="Q184" i="22" s="1"/>
  <c r="AA184" i="22"/>
  <c r="AU184" i="22" s="1"/>
  <c r="AC184" i="22"/>
  <c r="G184" i="22"/>
  <c r="I184" i="22" s="1"/>
  <c r="AS184" i="22" s="1"/>
  <c r="H184" i="22"/>
  <c r="R184" i="22" a="1"/>
  <c r="R184" i="22" s="1"/>
  <c r="S184" i="22" a="1"/>
  <c r="S184" i="22" s="1"/>
  <c r="G185" i="22"/>
  <c r="I185" i="22" s="1"/>
  <c r="AS185" i="22" s="1"/>
  <c r="H185" i="22"/>
  <c r="R185" i="22" a="1"/>
  <c r="R185" i="22" s="1"/>
  <c r="S185" i="22" a="1"/>
  <c r="S185" i="22" s="1"/>
  <c r="O186" i="22" a="1"/>
  <c r="O186" i="22" s="1"/>
  <c r="P186" i="22"/>
  <c r="Q186" i="22" a="1"/>
  <c r="Q186" i="22" s="1"/>
  <c r="AA186" i="22"/>
  <c r="AU186" i="22" s="1"/>
  <c r="AC186" i="22"/>
  <c r="G186" i="22"/>
  <c r="I186" i="22" s="1"/>
  <c r="AS186" i="22" s="1"/>
  <c r="H186" i="22"/>
  <c r="R186" i="22" a="1"/>
  <c r="R186" i="22" s="1"/>
  <c r="S186" i="22" a="1"/>
  <c r="S186" i="22" s="1"/>
  <c r="O188" i="22" a="1"/>
  <c r="O188" i="22" s="1"/>
  <c r="P188" i="22"/>
  <c r="Q188" i="22" a="1"/>
  <c r="Q188" i="22" s="1"/>
  <c r="AA188" i="22"/>
  <c r="AU188" i="22" s="1"/>
  <c r="AC188" i="22"/>
  <c r="G188" i="22"/>
  <c r="I188" i="22" s="1"/>
  <c r="AS188" i="22" s="1"/>
  <c r="H188" i="22"/>
  <c r="R188" i="22" a="1"/>
  <c r="R188" i="22" s="1"/>
  <c r="S188" i="22" a="1"/>
  <c r="S188" i="22" s="1"/>
  <c r="O189" i="22" a="1"/>
  <c r="O189" i="22" s="1"/>
  <c r="P189" i="22"/>
  <c r="Q189" i="22" a="1"/>
  <c r="Q189" i="22" s="1"/>
  <c r="AC189" i="22"/>
  <c r="G189" i="22"/>
  <c r="I189" i="22" s="1"/>
  <c r="AS189" i="22" s="1"/>
  <c r="H189" i="22"/>
  <c r="R189" i="22" a="1"/>
  <c r="R189" i="22" s="1"/>
  <c r="S189" i="22" a="1"/>
  <c r="S189" i="22" s="1"/>
  <c r="O190" i="22" a="1"/>
  <c r="O190" i="22" s="1"/>
  <c r="Q190" i="22" a="1"/>
  <c r="Q190" i="22" s="1"/>
  <c r="AC190" i="22"/>
  <c r="G190" i="22"/>
  <c r="I190" i="22" s="1"/>
  <c r="AS190" i="22" s="1"/>
  <c r="H190" i="22"/>
  <c r="R190" i="22" a="1"/>
  <c r="R190" i="22" s="1"/>
  <c r="S190" i="22" a="1"/>
  <c r="S190" i="22" s="1"/>
  <c r="O191" i="22" a="1"/>
  <c r="O191" i="22" s="1"/>
  <c r="P191" i="22"/>
  <c r="Q191" i="22" a="1"/>
  <c r="Q191" i="22" s="1"/>
  <c r="AC191" i="22"/>
  <c r="G191" i="22"/>
  <c r="I191" i="22" s="1"/>
  <c r="AS191" i="22" s="1"/>
  <c r="H191" i="22"/>
  <c r="R191" i="22" a="1"/>
  <c r="R191" i="22" s="1"/>
  <c r="S191" i="22" a="1"/>
  <c r="S191" i="22" s="1"/>
  <c r="O192" i="22" a="1"/>
  <c r="O192" i="22" s="1"/>
  <c r="P192" i="22"/>
  <c r="Q192" i="22" a="1"/>
  <c r="Q192" i="22" s="1"/>
  <c r="AC192" i="22"/>
  <c r="G192" i="22"/>
  <c r="I192" i="22" s="1"/>
  <c r="AS192" i="22" s="1"/>
  <c r="H192" i="22"/>
  <c r="R192" i="22" a="1"/>
  <c r="R192" i="22" s="1"/>
  <c r="S192" i="22" a="1"/>
  <c r="S192" i="22" s="1"/>
  <c r="G193" i="22"/>
  <c r="I193" i="22" s="1"/>
  <c r="AS193" i="22" s="1"/>
  <c r="H193" i="22"/>
  <c r="R193" i="22" a="1"/>
  <c r="R193" i="22" s="1"/>
  <c r="S193" i="22" a="1"/>
  <c r="S193" i="22" s="1"/>
  <c r="O194" i="22" a="1"/>
  <c r="O194" i="22" s="1"/>
  <c r="P194" i="22"/>
  <c r="Q194" i="22" a="1"/>
  <c r="Q194" i="22" s="1"/>
  <c r="AC194" i="22"/>
  <c r="G194" i="22"/>
  <c r="I194" i="22" s="1"/>
  <c r="AS194" i="22" s="1"/>
  <c r="H194" i="22"/>
  <c r="R194" i="22" a="1"/>
  <c r="R194" i="22" s="1"/>
  <c r="S194" i="22" a="1"/>
  <c r="S194" i="22" s="1"/>
  <c r="G195" i="22"/>
  <c r="I195" i="22" s="1"/>
  <c r="AS195" i="22" s="1"/>
  <c r="H195" i="22"/>
  <c r="R195" i="22" a="1"/>
  <c r="R195" i="22" s="1"/>
  <c r="S195" i="22" a="1"/>
  <c r="S195" i="22" s="1"/>
  <c r="O196" i="22" a="1"/>
  <c r="O196" i="22" s="1"/>
  <c r="P196" i="22"/>
  <c r="Q196" i="22" a="1"/>
  <c r="Q196" i="22" s="1"/>
  <c r="AC196" i="22"/>
  <c r="G196" i="22"/>
  <c r="I196" i="22" s="1"/>
  <c r="AS196" i="22" s="1"/>
  <c r="H196" i="22"/>
  <c r="R196" i="22" a="1"/>
  <c r="R196" i="22" s="1"/>
  <c r="S196" i="22" a="1"/>
  <c r="S196" i="22" s="1"/>
  <c r="O198" i="22" a="1"/>
  <c r="O198" i="22" s="1"/>
  <c r="P198" i="22"/>
  <c r="Q198" i="22" a="1"/>
  <c r="Q198" i="22" s="1"/>
  <c r="AC198" i="22"/>
  <c r="G198" i="22"/>
  <c r="I198" i="22" s="1"/>
  <c r="AS198" i="22" s="1"/>
  <c r="H198" i="22"/>
  <c r="R198" i="22" a="1"/>
  <c r="R198" i="22" s="1"/>
  <c r="S198" i="22" a="1"/>
  <c r="S198" i="22" s="1"/>
  <c r="O200" i="22" a="1"/>
  <c r="O200" i="22" s="1"/>
  <c r="P200" i="22"/>
  <c r="Q200" i="22" a="1"/>
  <c r="Q200" i="22" s="1"/>
  <c r="AC200" i="22"/>
  <c r="G200" i="22"/>
  <c r="I200" i="22" s="1"/>
  <c r="AS200" i="22" s="1"/>
  <c r="H200" i="22"/>
  <c r="R200" i="22" a="1"/>
  <c r="R200" i="22" s="1"/>
  <c r="S200" i="22" a="1"/>
  <c r="S200" i="22" s="1"/>
  <c r="O201" i="22" a="1"/>
  <c r="O201" i="22" s="1"/>
  <c r="P201" i="22"/>
  <c r="Q201" i="22" a="1"/>
  <c r="Q201" i="22" s="1"/>
  <c r="AC201" i="22"/>
  <c r="G201" i="22"/>
  <c r="I201" i="22" s="1"/>
  <c r="AS201" i="22" s="1"/>
  <c r="H201" i="22"/>
  <c r="R201" i="22" a="1"/>
  <c r="R201" i="22" s="1"/>
  <c r="S201" i="22" a="1"/>
  <c r="S201" i="22" s="1"/>
  <c r="G177" i="22"/>
  <c r="I177" i="22" s="1"/>
  <c r="AS177" i="22" s="1"/>
  <c r="H177" i="22"/>
  <c r="R177" i="22" a="1"/>
  <c r="R177" i="22" s="1"/>
  <c r="S177" i="22" a="1"/>
  <c r="S177" i="22" s="1"/>
  <c r="O177" i="22" a="1"/>
  <c r="O177" i="22" s="1"/>
  <c r="P177" i="22"/>
  <c r="Q177" i="22" a="1"/>
  <c r="Q177" i="22" s="1"/>
  <c r="AC177" i="22"/>
  <c r="G178" i="22"/>
  <c r="I178" i="22" s="1"/>
  <c r="AS178" i="22" s="1"/>
  <c r="H178" i="22"/>
  <c r="R178" i="22" a="1"/>
  <c r="R178" i="22" s="1"/>
  <c r="S178" i="22" a="1"/>
  <c r="S178" i="22" s="1"/>
  <c r="O178" i="22" a="1"/>
  <c r="O178" i="22" s="1"/>
  <c r="P178" i="22"/>
  <c r="Q178" i="22" a="1"/>
  <c r="Q178" i="22" s="1"/>
  <c r="AC178" i="22"/>
  <c r="G173" i="22"/>
  <c r="I173" i="22" s="1"/>
  <c r="AS173" i="22" s="1"/>
  <c r="H173" i="22"/>
  <c r="R173" i="22" a="1"/>
  <c r="R173" i="22" s="1"/>
  <c r="S173" i="22" a="1"/>
  <c r="S173" i="22" s="1"/>
  <c r="O173" i="22" a="1"/>
  <c r="O173" i="22" s="1"/>
  <c r="P173" i="22"/>
  <c r="Q173" i="22" a="1"/>
  <c r="Q173" i="22" s="1"/>
  <c r="AC173" i="22"/>
  <c r="G174" i="22"/>
  <c r="I174" i="22" s="1"/>
  <c r="AS174" i="22" s="1"/>
  <c r="H174" i="22"/>
  <c r="R174" i="22" a="1"/>
  <c r="R174" i="22" s="1"/>
  <c r="S174" i="22" a="1"/>
  <c r="S174" i="22" s="1"/>
  <c r="O174" i="22" a="1"/>
  <c r="O174" i="22" s="1"/>
  <c r="P174" i="22"/>
  <c r="Q174" i="22" a="1"/>
  <c r="Q174" i="22" s="1"/>
  <c r="AC174" i="22"/>
  <c r="G175" i="22"/>
  <c r="I175" i="22" s="1"/>
  <c r="AS175" i="22" s="1"/>
  <c r="H175" i="22"/>
  <c r="R175" i="22" a="1"/>
  <c r="R175" i="22" s="1"/>
  <c r="S175" i="22" a="1"/>
  <c r="S175" i="22" s="1"/>
  <c r="O175" i="22" a="1"/>
  <c r="O175" i="22" s="1"/>
  <c r="P175" i="22"/>
  <c r="Q175" i="22" a="1"/>
  <c r="Q175" i="22" s="1"/>
  <c r="AC175" i="22"/>
  <c r="G176" i="22"/>
  <c r="I176" i="22" s="1"/>
  <c r="AS176" i="22" s="1"/>
  <c r="H176" i="22"/>
  <c r="R176" i="22" a="1"/>
  <c r="R176" i="22" s="1"/>
  <c r="S176" i="22" a="1"/>
  <c r="S176" i="22" s="1"/>
  <c r="G179" i="22"/>
  <c r="I179" i="22" s="1"/>
  <c r="AS179" i="22" s="1"/>
  <c r="H179" i="22"/>
  <c r="R179" i="22" a="1"/>
  <c r="R179" i="22" s="1"/>
  <c r="S179" i="22" a="1"/>
  <c r="S179" i="22" s="1"/>
  <c r="O179" i="22" a="1"/>
  <c r="O179" i="22" s="1"/>
  <c r="P179" i="22"/>
  <c r="Q179" i="22" a="1"/>
  <c r="Q179" i="22" s="1"/>
  <c r="AC179" i="22"/>
  <c r="G171" i="22"/>
  <c r="I171" i="22" s="1"/>
  <c r="AS171" i="22" s="1"/>
  <c r="H171" i="22"/>
  <c r="R171" i="22" a="1"/>
  <c r="R171" i="22" s="1"/>
  <c r="S171" i="22" a="1"/>
  <c r="S171" i="22" s="1"/>
  <c r="O171" i="22" a="1"/>
  <c r="O171" i="22" s="1"/>
  <c r="Q171" i="22" a="1"/>
  <c r="Q171" i="22" s="1"/>
  <c r="AC171" i="22"/>
  <c r="G172" i="22"/>
  <c r="I172" i="22" s="1"/>
  <c r="AS172" i="22" s="1"/>
  <c r="H172" i="22"/>
  <c r="R172" i="22" a="1"/>
  <c r="R172" i="22" s="1"/>
  <c r="S172" i="22" a="1"/>
  <c r="S172" i="22" s="1"/>
  <c r="O172" i="22" a="1"/>
  <c r="O172" i="22" s="1"/>
  <c r="Q172" i="22" a="1"/>
  <c r="Q172" i="22" s="1"/>
  <c r="AC172" i="22"/>
  <c r="G158" i="22"/>
  <c r="I158" i="22" s="1"/>
  <c r="AS158" i="22" s="1"/>
  <c r="H158" i="22"/>
  <c r="R158" i="22" a="1"/>
  <c r="R158" i="22" s="1"/>
  <c r="S158" i="22" a="1"/>
  <c r="S158" i="22" s="1"/>
  <c r="O158" i="22" a="1"/>
  <c r="O158" i="22" s="1"/>
  <c r="P158" i="22"/>
  <c r="Q158" i="22" a="1"/>
  <c r="Q158" i="22" s="1"/>
  <c r="AC158" i="22"/>
  <c r="G161" i="22"/>
  <c r="I161" i="22" s="1"/>
  <c r="AS161" i="22" s="1"/>
  <c r="H161" i="22"/>
  <c r="R161" i="22" a="1"/>
  <c r="R161" i="22" s="1"/>
  <c r="S161" i="22" a="1"/>
  <c r="S161" i="22" s="1"/>
  <c r="O161" i="22" a="1"/>
  <c r="O161" i="22" s="1"/>
  <c r="P161" i="22"/>
  <c r="Q161" i="22" a="1"/>
  <c r="Q161" i="22" s="1"/>
  <c r="AC161" i="22"/>
  <c r="G164" i="22"/>
  <c r="I164" i="22" s="1"/>
  <c r="AS164" i="22" s="1"/>
  <c r="H164" i="22"/>
  <c r="R164" i="22" a="1"/>
  <c r="R164" i="22" s="1"/>
  <c r="S164" i="22" a="1"/>
  <c r="S164" i="22" s="1"/>
  <c r="G156" i="22"/>
  <c r="I156" i="22" s="1"/>
  <c r="AS156" i="22" s="1"/>
  <c r="H156" i="22"/>
  <c r="R156" i="22" a="1"/>
  <c r="R156" i="22" s="1"/>
  <c r="S156" i="22" a="1"/>
  <c r="S156" i="22" s="1"/>
  <c r="O156" i="22" a="1"/>
  <c r="O156" i="22" s="1"/>
  <c r="P156" i="22"/>
  <c r="Q156" i="22" a="1"/>
  <c r="Q156" i="22" s="1"/>
  <c r="AC156" i="22"/>
  <c r="G157" i="22"/>
  <c r="I157" i="22" s="1"/>
  <c r="AS157" i="22" s="1"/>
  <c r="H157" i="22"/>
  <c r="R157" i="22" a="1"/>
  <c r="R157" i="22" s="1"/>
  <c r="S157" i="22" a="1"/>
  <c r="S157" i="22" s="1"/>
  <c r="O157" i="22" a="1"/>
  <c r="O157" i="22" s="1"/>
  <c r="P157" i="22"/>
  <c r="Q157" i="22" a="1"/>
  <c r="Q157" i="22" s="1"/>
  <c r="AC157" i="22"/>
  <c r="G159" i="22"/>
  <c r="I159" i="22" s="1"/>
  <c r="AS159" i="22" s="1"/>
  <c r="H159" i="22"/>
  <c r="R159" i="22" a="1"/>
  <c r="R159" i="22" s="1"/>
  <c r="S159" i="22" a="1"/>
  <c r="S159" i="22" s="1"/>
  <c r="G160" i="22"/>
  <c r="I160" i="22" s="1"/>
  <c r="AS160" i="22" s="1"/>
  <c r="H160" i="22"/>
  <c r="R160" i="22" a="1"/>
  <c r="R160" i="22" s="1"/>
  <c r="S160" i="22" a="1"/>
  <c r="S160" i="22" s="1"/>
  <c r="O160" i="22" a="1"/>
  <c r="O160" i="22" s="1"/>
  <c r="P160" i="22"/>
  <c r="Q160" i="22" a="1"/>
  <c r="Q160" i="22" s="1"/>
  <c r="AC160" i="22"/>
  <c r="G162" i="22"/>
  <c r="I162" i="22" s="1"/>
  <c r="AS162" i="22" s="1"/>
  <c r="H162" i="22"/>
  <c r="R162" i="22" a="1"/>
  <c r="R162" i="22" s="1"/>
  <c r="S162" i="22" a="1"/>
  <c r="S162" i="22" s="1"/>
  <c r="O162" i="22" a="1"/>
  <c r="O162" i="22" s="1"/>
  <c r="P162" i="22"/>
  <c r="Q162" i="22" a="1"/>
  <c r="Q162" i="22" s="1"/>
  <c r="AC162" i="22"/>
  <c r="G163" i="22"/>
  <c r="I163" i="22" s="1"/>
  <c r="AS163" i="22" s="1"/>
  <c r="H163" i="22"/>
  <c r="R163" i="22" a="1"/>
  <c r="R163" i="22" s="1"/>
  <c r="S163" i="22" a="1"/>
  <c r="S163" i="22" s="1"/>
  <c r="O163" i="22" a="1"/>
  <c r="O163" i="22" s="1"/>
  <c r="P163" i="22"/>
  <c r="Q163" i="22" a="1"/>
  <c r="Q163" i="22" s="1"/>
  <c r="AC163" i="22"/>
  <c r="G165" i="22"/>
  <c r="I165" i="22" s="1"/>
  <c r="AS165" i="22" s="1"/>
  <c r="H165" i="22"/>
  <c r="R165" i="22" a="1"/>
  <c r="R165" i="22" s="1"/>
  <c r="S165" i="22" a="1"/>
  <c r="S165" i="22" s="1"/>
  <c r="O165" i="22" a="1"/>
  <c r="O165" i="22" s="1"/>
  <c r="P165" i="22"/>
  <c r="Q165" i="22" a="1"/>
  <c r="Q165" i="22" s="1"/>
  <c r="AC165" i="22"/>
  <c r="G166" i="22"/>
  <c r="I166" i="22" s="1"/>
  <c r="AS166" i="22" s="1"/>
  <c r="H166" i="22"/>
  <c r="R166" i="22" a="1"/>
  <c r="R166" i="22" s="1"/>
  <c r="S166" i="22" a="1"/>
  <c r="S166" i="22" s="1"/>
  <c r="O166" i="22" a="1"/>
  <c r="O166" i="22" s="1"/>
  <c r="P166" i="22"/>
  <c r="Q166" i="22" a="1"/>
  <c r="Q166" i="22" s="1"/>
  <c r="AC166" i="22"/>
  <c r="G167" i="22"/>
  <c r="I167" i="22" s="1"/>
  <c r="AS167" i="22" s="1"/>
  <c r="H167" i="22"/>
  <c r="R167" i="22" a="1"/>
  <c r="R167" i="22" s="1"/>
  <c r="S167" i="22" a="1"/>
  <c r="S167" i="22" s="1"/>
  <c r="O167" i="22" a="1"/>
  <c r="O167" i="22" s="1"/>
  <c r="P167" i="22"/>
  <c r="Q167" i="22" a="1"/>
  <c r="Q167" i="22" s="1"/>
  <c r="AC167" i="22"/>
  <c r="G168" i="22"/>
  <c r="I168" i="22" s="1"/>
  <c r="AS168" i="22" s="1"/>
  <c r="H168" i="22"/>
  <c r="R168" i="22" a="1"/>
  <c r="R168" i="22" s="1"/>
  <c r="S168" i="22" a="1"/>
  <c r="S168" i="22" s="1"/>
  <c r="O168" i="22" a="1"/>
  <c r="O168" i="22" s="1"/>
  <c r="P168" i="22"/>
  <c r="Q168" i="22" a="1"/>
  <c r="Q168" i="22" s="1"/>
  <c r="AC168" i="22"/>
  <c r="G169" i="22"/>
  <c r="I169" i="22" s="1"/>
  <c r="AS169" i="22" s="1"/>
  <c r="H169" i="22"/>
  <c r="R169" i="22" a="1"/>
  <c r="R169" i="22" s="1"/>
  <c r="S169" i="22" a="1"/>
  <c r="S169" i="22" s="1"/>
  <c r="O169" i="22" a="1"/>
  <c r="O169" i="22" s="1"/>
  <c r="P169" i="22"/>
  <c r="Q169" i="22" a="1"/>
  <c r="Q169" i="22" s="1"/>
  <c r="AC169" i="22"/>
  <c r="G170" i="22"/>
  <c r="I170" i="22" s="1"/>
  <c r="AS170" i="22" s="1"/>
  <c r="H170" i="22"/>
  <c r="R170" i="22" a="1"/>
  <c r="R170" i="22" s="1"/>
  <c r="S170" i="22" a="1"/>
  <c r="S170" i="22" s="1"/>
  <c r="O170" i="22" a="1"/>
  <c r="O170" i="22" s="1"/>
  <c r="Q170" i="22" a="1"/>
  <c r="Q170" i="22" s="1"/>
  <c r="AC170" i="22"/>
  <c r="G154" i="22"/>
  <c r="I154" i="22" s="1"/>
  <c r="AS154" i="22" s="1"/>
  <c r="H154" i="22"/>
  <c r="R154" i="22" a="1"/>
  <c r="R154" i="22" s="1"/>
  <c r="S154" i="22" a="1"/>
  <c r="S154" i="22" s="1"/>
  <c r="O154" i="22" a="1"/>
  <c r="O154" i="22" s="1"/>
  <c r="P154" i="22"/>
  <c r="Q154" i="22" a="1"/>
  <c r="Q154" i="22" s="1"/>
  <c r="AC154" i="22"/>
  <c r="G155" i="22"/>
  <c r="I155" i="22" s="1"/>
  <c r="AS155" i="22" s="1"/>
  <c r="H155" i="22"/>
  <c r="R155" i="22" a="1"/>
  <c r="R155" i="22" s="1"/>
  <c r="S155" i="22" a="1"/>
  <c r="S155" i="22" s="1"/>
  <c r="O155" i="22" a="1"/>
  <c r="O155" i="22" s="1"/>
  <c r="P155" i="22"/>
  <c r="Q155" i="22" a="1"/>
  <c r="Q155" i="22" s="1"/>
  <c r="AC155" i="22"/>
  <c r="G123" i="22"/>
  <c r="I123" i="22" s="1"/>
  <c r="AS123" i="22" s="1"/>
  <c r="H123" i="22"/>
  <c r="R123" i="22" a="1"/>
  <c r="R123" i="22" s="1"/>
  <c r="S123" i="22" a="1"/>
  <c r="S123" i="22" s="1"/>
  <c r="O123" i="22" a="1"/>
  <c r="O123" i="22" s="1"/>
  <c r="P123" i="22"/>
  <c r="Q123" i="22" a="1"/>
  <c r="Q123" i="22" s="1"/>
  <c r="AC123" i="22"/>
  <c r="G135" i="22"/>
  <c r="I135" i="22" s="1"/>
  <c r="AS135" i="22" s="1"/>
  <c r="H135" i="22"/>
  <c r="R135" i="22" a="1"/>
  <c r="R135" i="22" s="1"/>
  <c r="S135" i="22" a="1"/>
  <c r="S135" i="22" s="1"/>
  <c r="G122" i="22"/>
  <c r="I122" i="22" s="1"/>
  <c r="AS122" i="22" s="1"/>
  <c r="H122" i="22"/>
  <c r="R122" i="22" a="1"/>
  <c r="R122" i="22" s="1"/>
  <c r="S122" i="22" a="1"/>
  <c r="S122" i="22" s="1"/>
  <c r="O122" i="22" a="1"/>
  <c r="O122" i="22" s="1"/>
  <c r="P122" i="22"/>
  <c r="Q122" i="22" a="1"/>
  <c r="Q122" i="22" s="1"/>
  <c r="AC122" i="22"/>
  <c r="G124" i="22"/>
  <c r="I124" i="22" s="1"/>
  <c r="AS124" i="22" s="1"/>
  <c r="H124" i="22"/>
  <c r="R124" i="22" a="1"/>
  <c r="R124" i="22" s="1"/>
  <c r="S124" i="22" a="1"/>
  <c r="S124" i="22" s="1"/>
  <c r="G125" i="22"/>
  <c r="I125" i="22" s="1"/>
  <c r="AS125" i="22" s="1"/>
  <c r="H125" i="22"/>
  <c r="R125" i="22" a="1"/>
  <c r="R125" i="22" s="1"/>
  <c r="S125" i="22" a="1"/>
  <c r="S125" i="22" s="1"/>
  <c r="G126" i="22"/>
  <c r="I126" i="22" s="1"/>
  <c r="AS126" i="22" s="1"/>
  <c r="H126" i="22"/>
  <c r="R126" i="22" a="1"/>
  <c r="R126" i="22" s="1"/>
  <c r="S126" i="22" a="1"/>
  <c r="S126" i="22" s="1"/>
  <c r="O126" i="22" a="1"/>
  <c r="O126" i="22" s="1"/>
  <c r="P126" i="22"/>
  <c r="Q126" i="22" a="1"/>
  <c r="Q126" i="22" s="1"/>
  <c r="AC126" i="22"/>
  <c r="G127" i="22"/>
  <c r="I127" i="22" s="1"/>
  <c r="AS127" i="22" s="1"/>
  <c r="H127" i="22"/>
  <c r="R127" i="22" a="1"/>
  <c r="R127" i="22" s="1"/>
  <c r="S127" i="22" a="1"/>
  <c r="S127" i="22" s="1"/>
  <c r="O127" i="22" a="1"/>
  <c r="O127" i="22" s="1"/>
  <c r="P127" i="22"/>
  <c r="Q127" i="22" a="1"/>
  <c r="Q127" i="22" s="1"/>
  <c r="AC127" i="22"/>
  <c r="G128" i="22"/>
  <c r="I128" i="22" s="1"/>
  <c r="AS128" i="22" s="1"/>
  <c r="H128" i="22"/>
  <c r="R128" i="22" a="1"/>
  <c r="R128" i="22" s="1"/>
  <c r="S128" i="22" a="1"/>
  <c r="S128" i="22" s="1"/>
  <c r="O128" i="22" a="1"/>
  <c r="O128" i="22" s="1"/>
  <c r="P128" i="22"/>
  <c r="Q128" i="22" a="1"/>
  <c r="Q128" i="22" s="1"/>
  <c r="AC128" i="22"/>
  <c r="G129" i="22"/>
  <c r="I129" i="22" s="1"/>
  <c r="AS129" i="22" s="1"/>
  <c r="H129" i="22"/>
  <c r="R129" i="22" a="1"/>
  <c r="R129" i="22" s="1"/>
  <c r="S129" i="22" a="1"/>
  <c r="S129" i="22" s="1"/>
  <c r="O129" i="22" a="1"/>
  <c r="O129" i="22" s="1"/>
  <c r="P129" i="22"/>
  <c r="Q129" i="22" a="1"/>
  <c r="Q129" i="22" s="1"/>
  <c r="AC129" i="22"/>
  <c r="G130" i="22"/>
  <c r="I130" i="22" s="1"/>
  <c r="AS130" i="22" s="1"/>
  <c r="H130" i="22"/>
  <c r="R130" i="22" a="1"/>
  <c r="R130" i="22" s="1"/>
  <c r="S130" i="22" a="1"/>
  <c r="S130" i="22" s="1"/>
  <c r="G131" i="22"/>
  <c r="I131" i="22" s="1"/>
  <c r="AS131" i="22" s="1"/>
  <c r="H131" i="22"/>
  <c r="R131" i="22" a="1"/>
  <c r="R131" i="22" s="1"/>
  <c r="S131" i="22" a="1"/>
  <c r="S131" i="22" s="1"/>
  <c r="G132" i="22"/>
  <c r="I132" i="22" s="1"/>
  <c r="AS132" i="22" s="1"/>
  <c r="H132" i="22"/>
  <c r="R132" i="22" a="1"/>
  <c r="R132" i="22" s="1"/>
  <c r="S132" i="22" a="1"/>
  <c r="S132" i="22" s="1"/>
  <c r="G133" i="22"/>
  <c r="I133" i="22" s="1"/>
  <c r="AS133" i="22" s="1"/>
  <c r="H133" i="22"/>
  <c r="R133" i="22" a="1"/>
  <c r="R133" i="22" s="1"/>
  <c r="S133" i="22" a="1"/>
  <c r="S133" i="22" s="1"/>
  <c r="O133" i="22" a="1"/>
  <c r="O133" i="22" s="1"/>
  <c r="P133" i="22"/>
  <c r="Q133" i="22" a="1"/>
  <c r="Q133" i="22" s="1"/>
  <c r="AC133" i="22"/>
  <c r="G134" i="22"/>
  <c r="I134" i="22" s="1"/>
  <c r="AS134" i="22" s="1"/>
  <c r="H134" i="22"/>
  <c r="R134" i="22" a="1"/>
  <c r="R134" i="22" s="1"/>
  <c r="S134" i="22" a="1"/>
  <c r="S134" i="22" s="1"/>
  <c r="G136" i="22"/>
  <c r="I136" i="22" s="1"/>
  <c r="AS136" i="22" s="1"/>
  <c r="H136" i="22"/>
  <c r="R136" i="22" a="1"/>
  <c r="R136" i="22" s="1"/>
  <c r="S136" i="22" a="1"/>
  <c r="S136" i="22" s="1"/>
  <c r="G137" i="22"/>
  <c r="I137" i="22" s="1"/>
  <c r="AS137" i="22" s="1"/>
  <c r="H137" i="22"/>
  <c r="R137" i="22" a="1"/>
  <c r="R137" i="22" s="1"/>
  <c r="S137" i="22" a="1"/>
  <c r="S137" i="22" s="1"/>
  <c r="O137" i="22" a="1"/>
  <c r="O137" i="22" s="1"/>
  <c r="P137" i="22"/>
  <c r="Q137" i="22" a="1"/>
  <c r="Q137" i="22" s="1"/>
  <c r="AC137" i="22"/>
  <c r="G138" i="22"/>
  <c r="I138" i="22" s="1"/>
  <c r="AS138" i="22" s="1"/>
  <c r="H138" i="22"/>
  <c r="R138" i="22" a="1"/>
  <c r="R138" i="22" s="1"/>
  <c r="S138" i="22" a="1"/>
  <c r="S138" i="22" s="1"/>
  <c r="G139" i="22"/>
  <c r="I139" i="22" s="1"/>
  <c r="AS139" i="22" s="1"/>
  <c r="H139" i="22"/>
  <c r="R139" i="22" a="1"/>
  <c r="R139" i="22" s="1"/>
  <c r="S139" i="22" a="1"/>
  <c r="S139" i="22" s="1"/>
  <c r="G140" i="22"/>
  <c r="I140" i="22" s="1"/>
  <c r="AS140" i="22" s="1"/>
  <c r="H140" i="22"/>
  <c r="R140" i="22" a="1"/>
  <c r="R140" i="22" s="1"/>
  <c r="S140" i="22" a="1"/>
  <c r="S140" i="22" s="1"/>
  <c r="G141" i="22"/>
  <c r="I141" i="22" s="1"/>
  <c r="AS141" i="22" s="1"/>
  <c r="H141" i="22"/>
  <c r="R141" i="22" a="1"/>
  <c r="R141" i="22" s="1"/>
  <c r="S141" i="22" a="1"/>
  <c r="S141" i="22" s="1"/>
  <c r="O141" i="22" a="1"/>
  <c r="O141" i="22" s="1"/>
  <c r="P141" i="22"/>
  <c r="Q141" i="22" a="1"/>
  <c r="Q141" i="22" s="1"/>
  <c r="AC141" i="22"/>
  <c r="G142" i="22"/>
  <c r="I142" i="22" s="1"/>
  <c r="AS142" i="22" s="1"/>
  <c r="H142" i="22"/>
  <c r="R142" i="22" a="1"/>
  <c r="R142" i="22" s="1"/>
  <c r="S142" i="22" a="1"/>
  <c r="S142" i="22" s="1"/>
  <c r="G143" i="22"/>
  <c r="I143" i="22" s="1"/>
  <c r="AS143" i="22" s="1"/>
  <c r="H143" i="22"/>
  <c r="R143" i="22" a="1"/>
  <c r="R143" i="22" s="1"/>
  <c r="S143" i="22" a="1"/>
  <c r="S143" i="22" s="1"/>
  <c r="O143" i="22" a="1"/>
  <c r="O143" i="22" s="1"/>
  <c r="Q143" i="22" a="1"/>
  <c r="Q143" i="22" s="1"/>
  <c r="AC143" i="22"/>
  <c r="G144" i="22"/>
  <c r="I144" i="22" s="1"/>
  <c r="AS144" i="22" s="1"/>
  <c r="H144" i="22"/>
  <c r="R144" i="22" a="1"/>
  <c r="R144" i="22" s="1"/>
  <c r="S144" i="22" a="1"/>
  <c r="S144" i="22" s="1"/>
  <c r="O144" i="22" a="1"/>
  <c r="O144" i="22" s="1"/>
  <c r="P144" i="22"/>
  <c r="Q144" i="22" a="1"/>
  <c r="Q144" i="22" s="1"/>
  <c r="AC144" i="22"/>
  <c r="G145" i="22"/>
  <c r="I145" i="22" s="1"/>
  <c r="AS145" i="22" s="1"/>
  <c r="H145" i="22"/>
  <c r="R145" i="22" a="1"/>
  <c r="R145" i="22" s="1"/>
  <c r="S145" i="22" a="1"/>
  <c r="S145" i="22" s="1"/>
  <c r="O145" i="22" a="1"/>
  <c r="O145" i="22" s="1"/>
  <c r="P145" i="22"/>
  <c r="Q145" i="22" a="1"/>
  <c r="Q145" i="22" s="1"/>
  <c r="AC145" i="22"/>
  <c r="G146" i="22"/>
  <c r="I146" i="22" s="1"/>
  <c r="AS146" i="22" s="1"/>
  <c r="H146" i="22"/>
  <c r="R146" i="22" a="1"/>
  <c r="R146" i="22" s="1"/>
  <c r="S146" i="22" a="1"/>
  <c r="S146" i="22" s="1"/>
  <c r="O146" i="22" a="1"/>
  <c r="O146" i="22" s="1"/>
  <c r="P146" i="22"/>
  <c r="Q146" i="22" a="1"/>
  <c r="Q146" i="22" s="1"/>
  <c r="AC146" i="22"/>
  <c r="G147" i="22"/>
  <c r="I147" i="22" s="1"/>
  <c r="AS147" i="22" s="1"/>
  <c r="H147" i="22"/>
  <c r="R147" i="22" a="1"/>
  <c r="R147" i="22" s="1"/>
  <c r="S147" i="22" a="1"/>
  <c r="S147" i="22" s="1"/>
  <c r="O147" i="22" a="1"/>
  <c r="O147" i="22" s="1"/>
  <c r="P147" i="22"/>
  <c r="Q147" i="22" a="1"/>
  <c r="Q147" i="22" s="1"/>
  <c r="AC147" i="22"/>
  <c r="G148" i="22"/>
  <c r="I148" i="22" s="1"/>
  <c r="AS148" i="22" s="1"/>
  <c r="H148" i="22"/>
  <c r="R148" i="22" a="1"/>
  <c r="R148" i="22" s="1"/>
  <c r="S148" i="22" a="1"/>
  <c r="S148" i="22" s="1"/>
  <c r="G149" i="22"/>
  <c r="I149" i="22" s="1"/>
  <c r="AS149" i="22" s="1"/>
  <c r="H149" i="22"/>
  <c r="R149" i="22" a="1"/>
  <c r="R149" i="22" s="1"/>
  <c r="S149" i="22" a="1"/>
  <c r="S149" i="22" s="1"/>
  <c r="G150" i="22"/>
  <c r="I150" i="22" s="1"/>
  <c r="AS150" i="22" s="1"/>
  <c r="H150" i="22"/>
  <c r="R150" i="22" a="1"/>
  <c r="R150" i="22" s="1"/>
  <c r="S150" i="22" a="1"/>
  <c r="S150" i="22" s="1"/>
  <c r="O150" i="22" a="1"/>
  <c r="O150" i="22" s="1"/>
  <c r="P150" i="22"/>
  <c r="Q150" i="22" a="1"/>
  <c r="Q150" i="22" s="1"/>
  <c r="AC150" i="22"/>
  <c r="E151" i="22"/>
  <c r="F151" i="22"/>
  <c r="L151" i="22"/>
  <c r="M151" i="22"/>
  <c r="N151" i="22" s="1"/>
  <c r="D151" i="22"/>
  <c r="AW199" i="1"/>
  <c r="AV199" i="1"/>
  <c r="E152" i="22"/>
  <c r="F152" i="22"/>
  <c r="L152" i="22"/>
  <c r="M152" i="22"/>
  <c r="N152" i="22" s="1"/>
  <c r="D152" i="22"/>
  <c r="AW200" i="1"/>
  <c r="AV200" i="1"/>
  <c r="G153" i="22"/>
  <c r="I153" i="22" s="1"/>
  <c r="AS153" i="22" s="1"/>
  <c r="H153" i="22"/>
  <c r="R153" i="22" a="1"/>
  <c r="R153" i="22" s="1"/>
  <c r="S153" i="22" a="1"/>
  <c r="S153" i="22" s="1"/>
  <c r="O153" i="22" a="1"/>
  <c r="O153" i="22" s="1"/>
  <c r="P153" i="22"/>
  <c r="Q153" i="22" a="1"/>
  <c r="Q153" i="22" s="1"/>
  <c r="AC153" i="22"/>
  <c r="G60" i="22"/>
  <c r="I60" i="22" s="1"/>
  <c r="AS60" i="22" s="1"/>
  <c r="H60" i="22"/>
  <c r="R60" i="22" a="1"/>
  <c r="R60" i="22" s="1"/>
  <c r="S60" i="22" a="1"/>
  <c r="S60" i="22" s="1"/>
  <c r="O60" i="22" a="1"/>
  <c r="O60" i="22" s="1"/>
  <c r="P60" i="22"/>
  <c r="Q60" i="22" a="1"/>
  <c r="Q60" i="22" s="1"/>
  <c r="AC60" i="22"/>
  <c r="G47" i="22"/>
  <c r="I47" i="22" s="1"/>
  <c r="AS47" i="22" s="1"/>
  <c r="H47" i="22"/>
  <c r="R47" i="22" a="1"/>
  <c r="R47" i="22" s="1"/>
  <c r="S47" i="22" a="1"/>
  <c r="S47" i="22" s="1"/>
  <c r="O47" i="22" a="1"/>
  <c r="O47" i="22" s="1"/>
  <c r="P47" i="22"/>
  <c r="Q47" i="22" a="1"/>
  <c r="Q47" i="22" s="1"/>
  <c r="AC47" i="22"/>
  <c r="G48" i="22"/>
  <c r="I48" i="22" s="1"/>
  <c r="AS48" i="22" s="1"/>
  <c r="H48" i="22"/>
  <c r="R48" i="22" a="1"/>
  <c r="R48" i="22" s="1"/>
  <c r="S48" i="22" a="1"/>
  <c r="S48" i="22" s="1"/>
  <c r="O48" i="22" a="1"/>
  <c r="O48" i="22" s="1"/>
  <c r="P48" i="22"/>
  <c r="Q48" i="22" a="1"/>
  <c r="Q48" i="22" s="1"/>
  <c r="AC48" i="22"/>
  <c r="G50" i="22"/>
  <c r="I50" i="22" s="1"/>
  <c r="AS50" i="22" s="1"/>
  <c r="H50" i="22"/>
  <c r="R50" i="22" a="1"/>
  <c r="R50" i="22" s="1"/>
  <c r="S50" i="22" a="1"/>
  <c r="S50" i="22" s="1"/>
  <c r="O50" i="22" a="1"/>
  <c r="O50" i="22" s="1"/>
  <c r="P50" i="22"/>
  <c r="Q50" i="22" a="1"/>
  <c r="Q50" i="22" s="1"/>
  <c r="AC50" i="22"/>
  <c r="G54" i="22"/>
  <c r="I54" i="22" s="1"/>
  <c r="AS54" i="22" s="1"/>
  <c r="H54" i="22"/>
  <c r="R54" i="22" a="1"/>
  <c r="R54" i="22" s="1"/>
  <c r="S54" i="22" a="1"/>
  <c r="S54" i="22" s="1"/>
  <c r="O54" i="22" a="1"/>
  <c r="O54" i="22" s="1"/>
  <c r="P54" i="22"/>
  <c r="Q54" i="22" a="1"/>
  <c r="Q54" i="22" s="1"/>
  <c r="AC54" i="22"/>
  <c r="G62" i="22"/>
  <c r="I62" i="22" s="1"/>
  <c r="AS62" i="22" s="1"/>
  <c r="H62" i="22"/>
  <c r="R62" i="22" a="1"/>
  <c r="R62" i="22" s="1"/>
  <c r="S62" i="22" a="1"/>
  <c r="S62" i="22" s="1"/>
  <c r="G64" i="22"/>
  <c r="I64" i="22" s="1"/>
  <c r="AS64" i="22" s="1"/>
  <c r="H64" i="22"/>
  <c r="R64" i="22" a="1"/>
  <c r="R64" i="22" s="1"/>
  <c r="S64" i="22" a="1"/>
  <c r="S64" i="22" s="1"/>
  <c r="G71" i="22"/>
  <c r="I71" i="22" s="1"/>
  <c r="AS71" i="22" s="1"/>
  <c r="H71" i="22"/>
  <c r="R71" i="22" a="1"/>
  <c r="R71" i="22" s="1"/>
  <c r="S71" i="22" a="1"/>
  <c r="S71" i="22" s="1"/>
  <c r="O71" i="22" a="1"/>
  <c r="O71" i="22" s="1"/>
  <c r="P71" i="22"/>
  <c r="Q71" i="22" a="1"/>
  <c r="Q71" i="22" s="1"/>
  <c r="AC71" i="22"/>
  <c r="G73" i="22"/>
  <c r="I73" i="22" s="1"/>
  <c r="AS73" i="22" s="1"/>
  <c r="H73" i="22"/>
  <c r="R73" i="22" a="1"/>
  <c r="R73" i="22" s="1"/>
  <c r="S73" i="22" a="1"/>
  <c r="S73" i="22" s="1"/>
  <c r="O73" i="22" a="1"/>
  <c r="O73" i="22" s="1"/>
  <c r="P73" i="22"/>
  <c r="Q73" i="22" a="1"/>
  <c r="Q73" i="22" s="1"/>
  <c r="AC73" i="22"/>
  <c r="G76" i="22"/>
  <c r="I76" i="22" s="1"/>
  <c r="AS76" i="22" s="1"/>
  <c r="H76" i="22"/>
  <c r="R76" i="22" a="1"/>
  <c r="R76" i="22" s="1"/>
  <c r="S76" i="22" a="1"/>
  <c r="S76" i="22" s="1"/>
  <c r="G77" i="22"/>
  <c r="I77" i="22" s="1"/>
  <c r="AS77" i="22" s="1"/>
  <c r="H77" i="22"/>
  <c r="R77" i="22" a="1"/>
  <c r="R77" i="22" s="1"/>
  <c r="S77" i="22" a="1"/>
  <c r="S77" i="22" s="1"/>
  <c r="O77" i="22" a="1"/>
  <c r="O77" i="22" s="1"/>
  <c r="P77" i="22"/>
  <c r="Q77" i="22" a="1"/>
  <c r="Q77" i="22" s="1"/>
  <c r="AC77" i="22"/>
  <c r="G80" i="22"/>
  <c r="I80" i="22" s="1"/>
  <c r="AS80" i="22" s="1"/>
  <c r="H80" i="22"/>
  <c r="R80" i="22" a="1"/>
  <c r="R80" i="22" s="1"/>
  <c r="S80" i="22" a="1"/>
  <c r="S80" i="22" s="1"/>
  <c r="O80" i="22" a="1"/>
  <c r="O80" i="22" s="1"/>
  <c r="P80" i="22"/>
  <c r="Q80" i="22" a="1"/>
  <c r="Q80" i="22" s="1"/>
  <c r="AC80" i="22"/>
  <c r="AW114" i="1"/>
  <c r="AV114" i="1"/>
  <c r="E84" i="22"/>
  <c r="F84" i="22"/>
  <c r="L84" i="22"/>
  <c r="M84" i="22"/>
  <c r="N84" i="22" s="1"/>
  <c r="D84" i="22"/>
  <c r="AW117" i="1"/>
  <c r="AV117" i="1"/>
  <c r="E86" i="22"/>
  <c r="F86" i="22"/>
  <c r="L86" i="22"/>
  <c r="M86" i="22"/>
  <c r="N86" i="22" s="1"/>
  <c r="D86" i="22"/>
  <c r="G88" i="22"/>
  <c r="I88" i="22" s="1"/>
  <c r="AS88" i="22" s="1"/>
  <c r="H88" i="22"/>
  <c r="R88" i="22" a="1"/>
  <c r="R88" i="22" s="1"/>
  <c r="S88" i="22" a="1"/>
  <c r="S88" i="22" s="1"/>
  <c r="O88" i="22" a="1"/>
  <c r="O88" i="22" s="1"/>
  <c r="P88" i="22"/>
  <c r="Q88" i="22" a="1"/>
  <c r="Q88" i="22" s="1"/>
  <c r="AC88" i="22"/>
  <c r="AW121" i="1"/>
  <c r="AV121" i="1"/>
  <c r="E90" i="22"/>
  <c r="F90" i="22"/>
  <c r="L90" i="22"/>
  <c r="M90" i="22"/>
  <c r="N90" i="22" s="1"/>
  <c r="D90" i="22"/>
  <c r="AW127" i="1"/>
  <c r="AV127" i="1"/>
  <c r="E96" i="22"/>
  <c r="F96" i="22"/>
  <c r="D96" i="22"/>
  <c r="G101" i="22"/>
  <c r="I101" i="22" s="1"/>
  <c r="AS101" i="22" s="1"/>
  <c r="H101" i="22"/>
  <c r="R101" i="22" a="1"/>
  <c r="R101" i="22" s="1"/>
  <c r="S101" i="22" a="1"/>
  <c r="S101" i="22" s="1"/>
  <c r="O101" i="22" a="1"/>
  <c r="O101" i="22" s="1"/>
  <c r="P101" i="22"/>
  <c r="Q101" i="22" a="1"/>
  <c r="Q101" i="22" s="1"/>
  <c r="AC101" i="22"/>
  <c r="G104" i="22"/>
  <c r="I104" i="22" s="1"/>
  <c r="AS104" i="22" s="1"/>
  <c r="H104" i="22"/>
  <c r="R104" i="22" a="1"/>
  <c r="R104" i="22" s="1"/>
  <c r="S104" i="22" a="1"/>
  <c r="S104" i="22" s="1"/>
  <c r="O104" i="22" a="1"/>
  <c r="O104" i="22" s="1"/>
  <c r="P104" i="22"/>
  <c r="Q104" i="22" a="1"/>
  <c r="Q104" i="22" s="1"/>
  <c r="AC104" i="22"/>
  <c r="G109" i="22"/>
  <c r="I109" i="22" s="1"/>
  <c r="AS109" i="22" s="1"/>
  <c r="H109" i="22"/>
  <c r="R109" i="22" a="1"/>
  <c r="R109" i="22" s="1"/>
  <c r="S109" i="22" a="1"/>
  <c r="S109" i="22" s="1"/>
  <c r="O109" i="22" a="1"/>
  <c r="O109" i="22" s="1"/>
  <c r="P109" i="22"/>
  <c r="Q109" i="22" a="1"/>
  <c r="Q109" i="22" s="1"/>
  <c r="AC109" i="22"/>
  <c r="G112" i="22"/>
  <c r="I112" i="22" s="1"/>
  <c r="AS112" i="22" s="1"/>
  <c r="H112" i="22"/>
  <c r="R112" i="22" a="1"/>
  <c r="R112" i="22" s="1"/>
  <c r="S112" i="22" a="1"/>
  <c r="S112" i="22" s="1"/>
  <c r="G46" i="22"/>
  <c r="I46" i="22" s="1"/>
  <c r="AS46" i="22" s="1"/>
  <c r="H46" i="22"/>
  <c r="R46" i="22" a="1"/>
  <c r="R46" i="22" s="1"/>
  <c r="S46" i="22" a="1"/>
  <c r="S46" i="22" s="1"/>
  <c r="O46" i="22" a="1"/>
  <c r="O46" i="22" s="1"/>
  <c r="Q46" i="22" a="1"/>
  <c r="Q46" i="22" s="1"/>
  <c r="AC46" i="22"/>
  <c r="G44" i="22"/>
  <c r="I44" i="22" s="1"/>
  <c r="AS44" i="22" s="1"/>
  <c r="H44" i="22"/>
  <c r="R44" i="22" a="1"/>
  <c r="R44" i="22" s="1"/>
  <c r="S44" i="22" a="1"/>
  <c r="S44" i="22" s="1"/>
  <c r="O44" i="22" a="1"/>
  <c r="O44" i="22" s="1"/>
  <c r="Q44" i="22" a="1"/>
  <c r="Q44" i="22" s="1"/>
  <c r="AC44" i="22"/>
  <c r="G40" i="22"/>
  <c r="I40" i="22" s="1"/>
  <c r="AS40" i="22" s="1"/>
  <c r="H40" i="22"/>
  <c r="R40" i="22" a="1"/>
  <c r="R40" i="22" s="1"/>
  <c r="S40" i="22" a="1"/>
  <c r="S40" i="22" s="1"/>
  <c r="O40" i="22" a="1"/>
  <c r="O40" i="22" s="1"/>
  <c r="P40" i="22"/>
  <c r="Q40" i="22" a="1"/>
  <c r="Q40" i="22" s="1"/>
  <c r="AC40" i="22"/>
  <c r="G37" i="22"/>
  <c r="I37" i="22" s="1"/>
  <c r="AS37" i="22" s="1"/>
  <c r="H37" i="22"/>
  <c r="R37" i="22" a="1"/>
  <c r="R37" i="22" s="1"/>
  <c r="S37" i="22" a="1"/>
  <c r="S37" i="22" s="1"/>
  <c r="O37" i="22" a="1"/>
  <c r="O37" i="22" s="1"/>
  <c r="P37" i="22"/>
  <c r="Q37" i="22" a="1"/>
  <c r="Q37" i="22" s="1"/>
  <c r="AC37" i="22"/>
  <c r="G117" i="22"/>
  <c r="I117" i="22" s="1"/>
  <c r="AS117" i="22" s="1"/>
  <c r="H117" i="22"/>
  <c r="R117" i="22" a="1"/>
  <c r="R117" i="22" s="1"/>
  <c r="S117" i="22" a="1"/>
  <c r="S117" i="22" s="1"/>
  <c r="O117" i="22" a="1"/>
  <c r="O117" i="22" s="1"/>
  <c r="P117" i="22"/>
  <c r="Q117" i="22" a="1"/>
  <c r="Q117" i="22" s="1"/>
  <c r="AC117" i="22"/>
  <c r="AW89" i="1"/>
  <c r="AV89" i="1"/>
  <c r="E67" i="22"/>
  <c r="F67" i="22"/>
  <c r="L67" i="22"/>
  <c r="M67" i="22"/>
  <c r="N67" i="22" s="1"/>
  <c r="D67" i="22"/>
  <c r="G68" i="22"/>
  <c r="I68" i="22" s="1"/>
  <c r="AS68" i="22" s="1"/>
  <c r="H68" i="22"/>
  <c r="R68" i="22" a="1"/>
  <c r="R68" i="22" s="1"/>
  <c r="S68" i="22" a="1"/>
  <c r="S68" i="22" s="1"/>
  <c r="O68" i="22" a="1"/>
  <c r="O68" i="22" s="1"/>
  <c r="P68" i="22"/>
  <c r="Q68" i="22" a="1"/>
  <c r="Q68" i="22" s="1"/>
  <c r="AC68" i="22"/>
  <c r="G74" i="22"/>
  <c r="I74" i="22" s="1"/>
  <c r="AS74" i="22" s="1"/>
  <c r="H74" i="22"/>
  <c r="R74" i="22" a="1"/>
  <c r="R74" i="22" s="1"/>
  <c r="S74" i="22" a="1"/>
  <c r="S74" i="22" s="1"/>
  <c r="O74" i="22" a="1"/>
  <c r="O74" i="22" s="1"/>
  <c r="P74" i="22"/>
  <c r="Q74" i="22" a="1"/>
  <c r="Q74" i="22" s="1"/>
  <c r="AC74" i="22"/>
  <c r="G75" i="22"/>
  <c r="I75" i="22" s="1"/>
  <c r="AS75" i="22" s="1"/>
  <c r="H75" i="22"/>
  <c r="R75" i="22" a="1"/>
  <c r="R75" i="22" s="1"/>
  <c r="S75" i="22" a="1"/>
  <c r="S75" i="22" s="1"/>
  <c r="G78" i="22"/>
  <c r="I78" i="22" s="1"/>
  <c r="AS78" i="22" s="1"/>
  <c r="H78" i="22"/>
  <c r="R78" i="22" a="1"/>
  <c r="R78" i="22" s="1"/>
  <c r="S78" i="22" a="1"/>
  <c r="S78" i="22" s="1"/>
  <c r="O78" i="22" a="1"/>
  <c r="O78" i="22" s="1"/>
  <c r="P78" i="22"/>
  <c r="Q78" i="22" a="1"/>
  <c r="Q78" i="22" s="1"/>
  <c r="AC78" i="22"/>
  <c r="G79" i="22"/>
  <c r="I79" i="22" s="1"/>
  <c r="AS79" i="22" s="1"/>
  <c r="H79" i="22"/>
  <c r="R79" i="22" a="1"/>
  <c r="R79" i="22" s="1"/>
  <c r="S79" i="22" a="1"/>
  <c r="S79" i="22" s="1"/>
  <c r="O79" i="22" a="1"/>
  <c r="O79" i="22" s="1"/>
  <c r="P79" i="22"/>
  <c r="Q79" i="22" a="1"/>
  <c r="Q79" i="22" s="1"/>
  <c r="AC79" i="22"/>
  <c r="G81" i="22"/>
  <c r="I81" i="22" s="1"/>
  <c r="AS81" i="22" s="1"/>
  <c r="H81" i="22"/>
  <c r="R81" i="22" a="1"/>
  <c r="R81" i="22" s="1"/>
  <c r="S81" i="22" a="1"/>
  <c r="S81" i="22" s="1"/>
  <c r="O81" i="22" a="1"/>
  <c r="O81" i="22" s="1"/>
  <c r="P81" i="22"/>
  <c r="Q81" i="22" a="1"/>
  <c r="Q81" i="22" s="1"/>
  <c r="AC81" i="22"/>
  <c r="G82" i="22"/>
  <c r="I82" i="22" s="1"/>
  <c r="AS82" i="22" s="1"/>
  <c r="H82" i="22"/>
  <c r="R82" i="22" a="1"/>
  <c r="R82" i="22" s="1"/>
  <c r="S82" i="22" a="1"/>
  <c r="S82" i="22" s="1"/>
  <c r="O82" i="22" a="1"/>
  <c r="O82" i="22" s="1"/>
  <c r="P82" i="22"/>
  <c r="Q82" i="22" a="1"/>
  <c r="Q82" i="22" s="1"/>
  <c r="AC82" i="22"/>
  <c r="G83" i="22"/>
  <c r="I83" i="22" s="1"/>
  <c r="AS83" i="22" s="1"/>
  <c r="H83" i="22"/>
  <c r="R83" i="22" a="1"/>
  <c r="R83" i="22" s="1"/>
  <c r="S83" i="22" a="1"/>
  <c r="S83" i="22" s="1"/>
  <c r="O83" i="22" a="1"/>
  <c r="O83" i="22" s="1"/>
  <c r="P83" i="22"/>
  <c r="Q83" i="22" a="1"/>
  <c r="Q83" i="22" s="1"/>
  <c r="AC83" i="22"/>
  <c r="AW116" i="1"/>
  <c r="AV116" i="1"/>
  <c r="E85" i="22"/>
  <c r="F85" i="22"/>
  <c r="L85" i="22"/>
  <c r="M85" i="22"/>
  <c r="N85" i="22" s="1"/>
  <c r="D85" i="22"/>
  <c r="AW118" i="1"/>
  <c r="AV118" i="1"/>
  <c r="E87" i="22"/>
  <c r="F87" i="22"/>
  <c r="L87" i="22"/>
  <c r="M87" i="22"/>
  <c r="N87" i="22" s="1"/>
  <c r="D87" i="22"/>
  <c r="AW120" i="1"/>
  <c r="AV120" i="1"/>
  <c r="E89" i="22"/>
  <c r="F89" i="22"/>
  <c r="L89" i="22"/>
  <c r="M89" i="22"/>
  <c r="N89" i="22" s="1"/>
  <c r="D89" i="22"/>
  <c r="AW122" i="1"/>
  <c r="AV122" i="1"/>
  <c r="E91" i="22"/>
  <c r="F91" i="22"/>
  <c r="D91" i="22"/>
  <c r="AW123" i="1"/>
  <c r="AV123" i="1"/>
  <c r="E92" i="22"/>
  <c r="F92" i="22"/>
  <c r="D92" i="22"/>
  <c r="AW124" i="1"/>
  <c r="AV124" i="1"/>
  <c r="E93" i="22"/>
  <c r="F93" i="22"/>
  <c r="D93" i="22"/>
  <c r="G94" i="22"/>
  <c r="I94" i="22" s="1"/>
  <c r="AS94" i="22" s="1"/>
  <c r="H94" i="22"/>
  <c r="R94" i="22" a="1"/>
  <c r="R94" i="22" s="1"/>
  <c r="S94" i="22" a="1"/>
  <c r="S94" i="22" s="1"/>
  <c r="AW126" i="1"/>
  <c r="AV126" i="1"/>
  <c r="E95" i="22"/>
  <c r="F95" i="22"/>
  <c r="D95" i="22"/>
  <c r="G97" i="22"/>
  <c r="I97" i="22" s="1"/>
  <c r="AS97" i="22" s="1"/>
  <c r="H97" i="22"/>
  <c r="R97" i="22" a="1"/>
  <c r="R97" i="22" s="1"/>
  <c r="S97" i="22" a="1"/>
  <c r="S97" i="22" s="1"/>
  <c r="O97" i="22" a="1"/>
  <c r="O97" i="22" s="1"/>
  <c r="P97" i="22"/>
  <c r="Q97" i="22" a="1"/>
  <c r="Q97" i="22" s="1"/>
  <c r="AC97" i="22"/>
  <c r="G98" i="22"/>
  <c r="I98" i="22" s="1"/>
  <c r="AS98" i="22" s="1"/>
  <c r="H98" i="22"/>
  <c r="R98" i="22" a="1"/>
  <c r="R98" i="22" s="1"/>
  <c r="S98" i="22" a="1"/>
  <c r="S98" i="22" s="1"/>
  <c r="O98" i="22" a="1"/>
  <c r="O98" i="22" s="1"/>
  <c r="P98" i="22"/>
  <c r="Q98" i="22" a="1"/>
  <c r="Q98" i="22" s="1"/>
  <c r="AC98" i="22"/>
  <c r="G99" i="22"/>
  <c r="I99" i="22" s="1"/>
  <c r="AS99" i="22" s="1"/>
  <c r="H99" i="22"/>
  <c r="R99" i="22" a="1"/>
  <c r="R99" i="22" s="1"/>
  <c r="S99" i="22" a="1"/>
  <c r="S99" i="22" s="1"/>
  <c r="O99" i="22" a="1"/>
  <c r="O99" i="22" s="1"/>
  <c r="P99" i="22"/>
  <c r="Q99" i="22" a="1"/>
  <c r="Q99" i="22" s="1"/>
  <c r="AC99" i="22"/>
  <c r="G100" i="22"/>
  <c r="I100" i="22" s="1"/>
  <c r="AS100" i="22" s="1"/>
  <c r="H100" i="22"/>
  <c r="R100" i="22" a="1"/>
  <c r="R100" i="22" s="1"/>
  <c r="S100" i="22" a="1"/>
  <c r="S100" i="22" s="1"/>
  <c r="O100" i="22" a="1"/>
  <c r="O100" i="22" s="1"/>
  <c r="P100" i="22"/>
  <c r="Q100" i="22" a="1"/>
  <c r="Q100" i="22" s="1"/>
  <c r="AC100" i="22"/>
  <c r="G102" i="22"/>
  <c r="I102" i="22" s="1"/>
  <c r="AS102" i="22" s="1"/>
  <c r="H102" i="22"/>
  <c r="R102" i="22" a="1"/>
  <c r="R102" i="22" s="1"/>
  <c r="S102" i="22" a="1"/>
  <c r="S102" i="22" s="1"/>
  <c r="O102" i="22" a="1"/>
  <c r="O102" i="22" s="1"/>
  <c r="P102" i="22"/>
  <c r="Q102" i="22" a="1"/>
  <c r="Q102" i="22" s="1"/>
  <c r="AC102" i="22"/>
  <c r="G103" i="22"/>
  <c r="I103" i="22" s="1"/>
  <c r="AS103" i="22" s="1"/>
  <c r="H103" i="22"/>
  <c r="R103" i="22" a="1"/>
  <c r="R103" i="22" s="1"/>
  <c r="S103" i="22" a="1"/>
  <c r="S103" i="22" s="1"/>
  <c r="O103" i="22" a="1"/>
  <c r="O103" i="22" s="1"/>
  <c r="P103" i="22"/>
  <c r="Q103" i="22" a="1"/>
  <c r="Q103" i="22" s="1"/>
  <c r="AC103" i="22"/>
  <c r="G105" i="22"/>
  <c r="I105" i="22" s="1"/>
  <c r="AS105" i="22" s="1"/>
  <c r="H105" i="22"/>
  <c r="R105" i="22" a="1"/>
  <c r="R105" i="22" s="1"/>
  <c r="S105" i="22" a="1"/>
  <c r="S105" i="22" s="1"/>
  <c r="O105" i="22" a="1"/>
  <c r="O105" i="22" s="1"/>
  <c r="P105" i="22"/>
  <c r="Q105" i="22" a="1"/>
  <c r="Q105" i="22" s="1"/>
  <c r="AC105" i="22"/>
  <c r="G106" i="22"/>
  <c r="I106" i="22" s="1"/>
  <c r="AS106" i="22" s="1"/>
  <c r="H106" i="22"/>
  <c r="R106" i="22" a="1"/>
  <c r="R106" i="22" s="1"/>
  <c r="S106" i="22" a="1"/>
  <c r="S106" i="22" s="1"/>
  <c r="O106" i="22" a="1"/>
  <c r="O106" i="22" s="1"/>
  <c r="P106" i="22"/>
  <c r="Q106" i="22" a="1"/>
  <c r="Q106" i="22" s="1"/>
  <c r="AC106" i="22"/>
  <c r="G107" i="22"/>
  <c r="I107" i="22" s="1"/>
  <c r="AS107" i="22" s="1"/>
  <c r="H107" i="22"/>
  <c r="R107" i="22" a="1"/>
  <c r="R107" i="22" s="1"/>
  <c r="S107" i="22" a="1"/>
  <c r="S107" i="22" s="1"/>
  <c r="O107" i="22" a="1"/>
  <c r="O107" i="22" s="1"/>
  <c r="P107" i="22"/>
  <c r="Q107" i="22" a="1"/>
  <c r="Q107" i="22" s="1"/>
  <c r="AC107" i="22"/>
  <c r="G108" i="22"/>
  <c r="I108" i="22" s="1"/>
  <c r="AS108" i="22" s="1"/>
  <c r="H108" i="22"/>
  <c r="R108" i="22" a="1"/>
  <c r="R108" i="22" s="1"/>
  <c r="S108" i="22" a="1"/>
  <c r="S108" i="22" s="1"/>
  <c r="O108" i="22" a="1"/>
  <c r="O108" i="22" s="1"/>
  <c r="Q108" i="22" a="1"/>
  <c r="Q108" i="22" s="1"/>
  <c r="AC108" i="22"/>
  <c r="G110" i="22"/>
  <c r="I110" i="22" s="1"/>
  <c r="AS110" i="22" s="1"/>
  <c r="H110" i="22"/>
  <c r="R110" i="22" a="1"/>
  <c r="R110" i="22" s="1"/>
  <c r="S110" i="22" a="1"/>
  <c r="S110" i="22" s="1"/>
  <c r="O110" i="22" a="1"/>
  <c r="O110" i="22" s="1"/>
  <c r="P110" i="22"/>
  <c r="Q110" i="22" a="1"/>
  <c r="Q110" i="22" s="1"/>
  <c r="AC110" i="22"/>
  <c r="G111" i="22"/>
  <c r="I111" i="22" s="1"/>
  <c r="AS111" i="22" s="1"/>
  <c r="H111" i="22"/>
  <c r="R111" i="22" a="1"/>
  <c r="R111" i="22" s="1"/>
  <c r="S111" i="22" a="1"/>
  <c r="S111" i="22" s="1"/>
  <c r="O111" i="22" a="1"/>
  <c r="O111" i="22" s="1"/>
  <c r="P111" i="22"/>
  <c r="Q111" i="22" a="1"/>
  <c r="Q111" i="22" s="1"/>
  <c r="AC111" i="22"/>
  <c r="G113" i="22"/>
  <c r="I113" i="22" s="1"/>
  <c r="AS113" i="22" s="1"/>
  <c r="H113" i="22"/>
  <c r="R113" i="22" a="1"/>
  <c r="R113" i="22" s="1"/>
  <c r="S113" i="22" a="1"/>
  <c r="S113" i="22" s="1"/>
  <c r="G114" i="22"/>
  <c r="I114" i="22" s="1"/>
  <c r="AS114" i="22" s="1"/>
  <c r="H114" i="22"/>
  <c r="R114" i="22" a="1"/>
  <c r="R114" i="22" s="1"/>
  <c r="S114" i="22" a="1"/>
  <c r="S114" i="22" s="1"/>
  <c r="O114" i="22" a="1"/>
  <c r="O114" i="22" s="1"/>
  <c r="P114" i="22"/>
  <c r="Q114" i="22" a="1"/>
  <c r="Q114" i="22" s="1"/>
  <c r="AC114" i="22"/>
  <c r="G115" i="22"/>
  <c r="I115" i="22" s="1"/>
  <c r="AS115" i="22" s="1"/>
  <c r="H115" i="22"/>
  <c r="R115" i="22" a="1"/>
  <c r="R115" i="22" s="1"/>
  <c r="S115" i="22" a="1"/>
  <c r="S115" i="22" s="1"/>
  <c r="G116" i="22"/>
  <c r="I116" i="22" s="1"/>
  <c r="AS116" i="22" s="1"/>
  <c r="H116" i="22"/>
  <c r="R116" i="22" a="1"/>
  <c r="R116" i="22" s="1"/>
  <c r="S116" i="22" a="1"/>
  <c r="S116" i="22" s="1"/>
  <c r="G118" i="22"/>
  <c r="I118" i="22" s="1"/>
  <c r="AS118" i="22" s="1"/>
  <c r="H118" i="22"/>
  <c r="R118" i="22" a="1"/>
  <c r="R118" i="22" s="1"/>
  <c r="S118" i="22" a="1"/>
  <c r="S118" i="22" s="1"/>
  <c r="O118" i="22" a="1"/>
  <c r="O118" i="22" s="1"/>
  <c r="P118" i="22"/>
  <c r="Q118" i="22" a="1"/>
  <c r="Q118" i="22" s="1"/>
  <c r="AC118" i="22"/>
  <c r="G119" i="22"/>
  <c r="I119" i="22" s="1"/>
  <c r="AS119" i="22" s="1"/>
  <c r="H119" i="22"/>
  <c r="R119" i="22" a="1"/>
  <c r="R119" i="22" s="1"/>
  <c r="S119" i="22" a="1"/>
  <c r="S119" i="22" s="1"/>
  <c r="O119" i="22" a="1"/>
  <c r="O119" i="22" s="1"/>
  <c r="P119" i="22"/>
  <c r="Q119" i="22" a="1"/>
  <c r="Q119" i="22" s="1"/>
  <c r="AC119" i="22"/>
  <c r="G120" i="22"/>
  <c r="I120" i="22" s="1"/>
  <c r="AS120" i="22" s="1"/>
  <c r="H120" i="22"/>
  <c r="R120" i="22" a="1"/>
  <c r="R120" i="22" s="1"/>
  <c r="S120" i="22" a="1"/>
  <c r="S120" i="22" s="1"/>
  <c r="O120" i="22" a="1"/>
  <c r="O120" i="22" s="1"/>
  <c r="P120" i="22"/>
  <c r="Q120" i="22" a="1"/>
  <c r="Q120" i="22" s="1"/>
  <c r="AC120" i="22"/>
  <c r="G121" i="22"/>
  <c r="I121" i="22" s="1"/>
  <c r="AS121" i="22" s="1"/>
  <c r="H121" i="22"/>
  <c r="R121" i="22" a="1"/>
  <c r="R121" i="22" s="1"/>
  <c r="S121" i="22" a="1"/>
  <c r="S121" i="22" s="1"/>
  <c r="G59" i="22"/>
  <c r="I59" i="22" s="1"/>
  <c r="AS59" i="22" s="1"/>
  <c r="H59" i="22"/>
  <c r="R59" i="22" a="1"/>
  <c r="R59" i="22" s="1"/>
  <c r="S59" i="22" a="1"/>
  <c r="S59" i="22" s="1"/>
  <c r="O59" i="22" a="1"/>
  <c r="O59" i="22" s="1"/>
  <c r="Q59" i="22" a="1"/>
  <c r="Q59" i="22" s="1"/>
  <c r="AC59" i="22"/>
  <c r="G58" i="22"/>
  <c r="I58" i="22" s="1"/>
  <c r="AS58" i="22" s="1"/>
  <c r="H58" i="22"/>
  <c r="R58" i="22" a="1"/>
  <c r="R58" i="22" s="1"/>
  <c r="S58" i="22" a="1"/>
  <c r="S58" i="22" s="1"/>
  <c r="O58" i="22" a="1"/>
  <c r="O58" i="22" s="1"/>
  <c r="Q58" i="22" a="1"/>
  <c r="Q58" i="22" s="1"/>
  <c r="AC58" i="22"/>
  <c r="G55" i="22"/>
  <c r="I55" i="22" s="1"/>
  <c r="AS55" i="22" s="1"/>
  <c r="H55" i="22"/>
  <c r="R55" i="22" a="1"/>
  <c r="R55" i="22" s="1"/>
  <c r="S55" i="22" a="1"/>
  <c r="S55" i="22" s="1"/>
  <c r="O55" i="22" a="1"/>
  <c r="O55" i="22" s="1"/>
  <c r="P55" i="22"/>
  <c r="Q55" i="22" a="1"/>
  <c r="Q55" i="22" s="1"/>
  <c r="AC55" i="22"/>
  <c r="G56" i="22"/>
  <c r="I56" i="22" s="1"/>
  <c r="AS56" i="22" s="1"/>
  <c r="H56" i="22"/>
  <c r="R56" i="22" a="1"/>
  <c r="R56" i="22" s="1"/>
  <c r="S56" i="22" a="1"/>
  <c r="S56" i="22" s="1"/>
  <c r="O56" i="22" a="1"/>
  <c r="O56" i="22" s="1"/>
  <c r="P56" i="22"/>
  <c r="Q56" i="22" a="1"/>
  <c r="Q56" i="22" s="1"/>
  <c r="AC56" i="22"/>
  <c r="G57" i="22"/>
  <c r="I57" i="22" s="1"/>
  <c r="AS57" i="22" s="1"/>
  <c r="H57" i="22"/>
  <c r="R57" i="22" a="1"/>
  <c r="R57" i="22" s="1"/>
  <c r="S57" i="22" a="1"/>
  <c r="S57" i="22" s="1"/>
  <c r="O57" i="22" a="1"/>
  <c r="O57" i="22" s="1"/>
  <c r="P57" i="22"/>
  <c r="Q57" i="22" a="1"/>
  <c r="Q57" i="22" s="1"/>
  <c r="AC57" i="22"/>
  <c r="G49" i="22"/>
  <c r="I49" i="22" s="1"/>
  <c r="AS49" i="22" s="1"/>
  <c r="H49" i="22"/>
  <c r="R49" i="22" a="1"/>
  <c r="R49" i="22" s="1"/>
  <c r="S49" i="22" a="1"/>
  <c r="S49" i="22" s="1"/>
  <c r="O49" i="22" a="1"/>
  <c r="O49" i="22" s="1"/>
  <c r="P49" i="22"/>
  <c r="Q49" i="22" a="1"/>
  <c r="Q49" i="22" s="1"/>
  <c r="AC49" i="22"/>
  <c r="G51" i="22"/>
  <c r="I51" i="22" s="1"/>
  <c r="AS51" i="22" s="1"/>
  <c r="H51" i="22"/>
  <c r="R51" i="22" a="1"/>
  <c r="R51" i="22" s="1"/>
  <c r="S51" i="22" a="1"/>
  <c r="S51" i="22" s="1"/>
  <c r="O51" i="22" a="1"/>
  <c r="O51" i="22" s="1"/>
  <c r="Q51" i="22" a="1"/>
  <c r="Q51" i="22" s="1"/>
  <c r="AC51" i="22"/>
  <c r="G52" i="22"/>
  <c r="I52" i="22" s="1"/>
  <c r="AS52" i="22" s="1"/>
  <c r="H52" i="22"/>
  <c r="R52" i="22" a="1"/>
  <c r="R52" i="22" s="1"/>
  <c r="S52" i="22" a="1"/>
  <c r="S52" i="22" s="1"/>
  <c r="O52" i="22" a="1"/>
  <c r="O52" i="22" s="1"/>
  <c r="P52" i="22"/>
  <c r="Q52" i="22" a="1"/>
  <c r="Q52" i="22" s="1"/>
  <c r="AC52" i="22"/>
  <c r="G53" i="22"/>
  <c r="I53" i="22" s="1"/>
  <c r="AS53" i="22" s="1"/>
  <c r="H53" i="22"/>
  <c r="R53" i="22" a="1"/>
  <c r="R53" i="22" s="1"/>
  <c r="S53" i="22" a="1"/>
  <c r="S53" i="22" s="1"/>
  <c r="O53" i="22" a="1"/>
  <c r="O53" i="22" s="1"/>
  <c r="P53" i="22"/>
  <c r="Q53" i="22" a="1"/>
  <c r="Q53" i="22" s="1"/>
  <c r="AC53" i="22"/>
  <c r="G61" i="22"/>
  <c r="I61" i="22" s="1"/>
  <c r="AS61" i="22" s="1"/>
  <c r="H61" i="22"/>
  <c r="R61" i="22" a="1"/>
  <c r="R61" i="22" s="1"/>
  <c r="S61" i="22" a="1"/>
  <c r="S61" i="22" s="1"/>
  <c r="G63" i="22"/>
  <c r="I63" i="22" s="1"/>
  <c r="AS63" i="22" s="1"/>
  <c r="H63" i="22"/>
  <c r="R63" i="22" a="1"/>
  <c r="R63" i="22" s="1"/>
  <c r="S63" i="22" a="1"/>
  <c r="S63" i="22" s="1"/>
  <c r="O63" i="22" a="1"/>
  <c r="O63" i="22" s="1"/>
  <c r="P63" i="22"/>
  <c r="Q63" i="22" a="1"/>
  <c r="Q63" i="22" s="1"/>
  <c r="AC63" i="22"/>
  <c r="AW87" i="1"/>
  <c r="AV87" i="1"/>
  <c r="E65" i="22"/>
  <c r="F65" i="22"/>
  <c r="L65" i="22"/>
  <c r="M65" i="22"/>
  <c r="N65" i="22" s="1"/>
  <c r="D65" i="22"/>
  <c r="AW88" i="1"/>
  <c r="AV88" i="1"/>
  <c r="E66" i="22"/>
  <c r="F66" i="22"/>
  <c r="L66" i="22"/>
  <c r="M66" i="22"/>
  <c r="N66" i="22" s="1"/>
  <c r="D66" i="22"/>
  <c r="G69" i="22"/>
  <c r="I69" i="22" s="1"/>
  <c r="AS69" i="22" s="1"/>
  <c r="H69" i="22"/>
  <c r="R69" i="22" a="1"/>
  <c r="R69" i="22" s="1"/>
  <c r="S69" i="22" a="1"/>
  <c r="S69" i="22" s="1"/>
  <c r="G70" i="22"/>
  <c r="I70" i="22" s="1"/>
  <c r="AS70" i="22" s="1"/>
  <c r="H70" i="22"/>
  <c r="R70" i="22" a="1"/>
  <c r="R70" i="22" s="1"/>
  <c r="S70" i="22" a="1"/>
  <c r="S70" i="22" s="1"/>
  <c r="O70" i="22" a="1"/>
  <c r="O70" i="22" s="1"/>
  <c r="Q70" i="22" a="1"/>
  <c r="Q70" i="22" s="1"/>
  <c r="AC70" i="22"/>
  <c r="G72" i="22"/>
  <c r="I72" i="22" s="1"/>
  <c r="AS72" i="22" s="1"/>
  <c r="H72" i="22"/>
  <c r="R72" i="22" a="1"/>
  <c r="R72" i="22" s="1"/>
  <c r="S72" i="22" a="1"/>
  <c r="S72" i="22" s="1"/>
  <c r="O72" i="22" a="1"/>
  <c r="O72" i="22" s="1"/>
  <c r="Q72" i="22" a="1"/>
  <c r="Q72" i="22" s="1"/>
  <c r="AC72" i="22"/>
  <c r="G45" i="22"/>
  <c r="I45" i="22" s="1"/>
  <c r="AS45" i="22" s="1"/>
  <c r="H45" i="22"/>
  <c r="R45" i="22" a="1"/>
  <c r="R45" i="22" s="1"/>
  <c r="S45" i="22" a="1"/>
  <c r="S45" i="22" s="1"/>
  <c r="O45" i="22" a="1"/>
  <c r="O45" i="22" s="1"/>
  <c r="Q45" i="22" a="1"/>
  <c r="Q45" i="22" s="1"/>
  <c r="AC45" i="22"/>
  <c r="G43" i="22"/>
  <c r="I43" i="22" s="1"/>
  <c r="AS43" i="22" s="1"/>
  <c r="H43" i="22"/>
  <c r="R43" i="22" a="1"/>
  <c r="R43" i="22" s="1"/>
  <c r="S43" i="22" a="1"/>
  <c r="S43" i="22" s="1"/>
  <c r="O43" i="22" a="1"/>
  <c r="O43" i="22" s="1"/>
  <c r="P43" i="22"/>
  <c r="Q43" i="22" a="1"/>
  <c r="Q43" i="22" s="1"/>
  <c r="AC43" i="22"/>
  <c r="G42" i="22"/>
  <c r="I42" i="22" s="1"/>
  <c r="AS42" i="22" s="1"/>
  <c r="H42" i="22"/>
  <c r="R42" i="22" a="1"/>
  <c r="R42" i="22" s="1"/>
  <c r="S42" i="22" a="1"/>
  <c r="S42" i="22" s="1"/>
  <c r="O42" i="22" a="1"/>
  <c r="O42" i="22" s="1"/>
  <c r="P42" i="22"/>
  <c r="Q42" i="22" a="1"/>
  <c r="Q42" i="22" s="1"/>
  <c r="AC42" i="22"/>
  <c r="G41" i="22"/>
  <c r="I41" i="22" s="1"/>
  <c r="AS41" i="22" s="1"/>
  <c r="H41" i="22"/>
  <c r="R41" i="22" a="1"/>
  <c r="R41" i="22" s="1"/>
  <c r="S41" i="22" a="1"/>
  <c r="S41" i="22" s="1"/>
  <c r="O41" i="22" a="1"/>
  <c r="O41" i="22" s="1"/>
  <c r="P41" i="22"/>
  <c r="Q41" i="22" a="1"/>
  <c r="Q41" i="22" s="1"/>
  <c r="AC41" i="22"/>
  <c r="G39" i="22"/>
  <c r="I39" i="22" s="1"/>
  <c r="AS39" i="22" s="1"/>
  <c r="H39" i="22"/>
  <c r="R39" i="22" a="1"/>
  <c r="R39" i="22" s="1"/>
  <c r="S39" i="22" a="1"/>
  <c r="S39" i="22" s="1"/>
  <c r="O39" i="22" a="1"/>
  <c r="O39" i="22" s="1"/>
  <c r="P39" i="22"/>
  <c r="Q39" i="22" a="1"/>
  <c r="Q39" i="22" s="1"/>
  <c r="AC39" i="22"/>
  <c r="G38" i="22"/>
  <c r="I38" i="22" s="1"/>
  <c r="AS38" i="22" s="1"/>
  <c r="H38" i="22"/>
  <c r="R38" i="22" a="1"/>
  <c r="R38" i="22" s="1"/>
  <c r="S38" i="22" a="1"/>
  <c r="S38" i="22" s="1"/>
  <c r="O38" i="22" a="1"/>
  <c r="O38" i="22" s="1"/>
  <c r="P38" i="22"/>
  <c r="Q38" i="22" a="1"/>
  <c r="Q38" i="22" s="1"/>
  <c r="AC38" i="22"/>
  <c r="R14" i="22" a="1"/>
  <c r="R14" i="22" s="1"/>
  <c r="G14" i="22"/>
  <c r="I14" i="22" s="1"/>
  <c r="AS14" i="22" s="1"/>
  <c r="S14" i="22" a="1"/>
  <c r="S14" i="22" s="1"/>
  <c r="H14" i="22"/>
  <c r="E31" i="22"/>
  <c r="F31" i="22"/>
  <c r="L31" i="22"/>
  <c r="M31" i="22"/>
  <c r="N31" i="22" s="1"/>
  <c r="D31" i="22"/>
  <c r="AV39" i="1"/>
  <c r="AW39" i="1"/>
  <c r="G35" i="22"/>
  <c r="I35" i="22" s="1"/>
  <c r="AS35" i="22" s="1"/>
  <c r="H35" i="22"/>
  <c r="R35" i="22" a="1"/>
  <c r="R35" i="22" s="1"/>
  <c r="S35" i="22" a="1"/>
  <c r="S35" i="22" s="1"/>
  <c r="G36" i="22"/>
  <c r="I36" i="22" s="1"/>
  <c r="AS36" i="22" s="1"/>
  <c r="H36" i="22"/>
  <c r="R36" i="22" a="1"/>
  <c r="R36" i="22" s="1"/>
  <c r="S36" i="22" a="1"/>
  <c r="S36" i="22" s="1"/>
  <c r="O36" i="22" a="1"/>
  <c r="O36" i="22" s="1"/>
  <c r="P36" i="22"/>
  <c r="Q36" i="22" a="1"/>
  <c r="Q36" i="22" s="1"/>
  <c r="AC36" i="22"/>
  <c r="G32" i="22"/>
  <c r="I32" i="22" s="1"/>
  <c r="AS32" i="22" s="1"/>
  <c r="H32" i="22"/>
  <c r="R32" i="22" a="1"/>
  <c r="R32" i="22" s="1"/>
  <c r="S32" i="22" a="1"/>
  <c r="S32" i="22" s="1"/>
  <c r="G33" i="22"/>
  <c r="I33" i="22" s="1"/>
  <c r="AS33" i="22" s="1"/>
  <c r="H33" i="22"/>
  <c r="R33" i="22" a="1"/>
  <c r="R33" i="22" s="1"/>
  <c r="S33" i="22" a="1"/>
  <c r="S33" i="22" s="1"/>
  <c r="O33" i="22" a="1"/>
  <c r="O33" i="22" s="1"/>
  <c r="P33" i="22"/>
  <c r="Q33" i="22" a="1"/>
  <c r="Q33" i="22" s="1"/>
  <c r="AC33" i="22"/>
  <c r="G34" i="22"/>
  <c r="I34" i="22" s="1"/>
  <c r="AS34" i="22" s="1"/>
  <c r="H34" i="22"/>
  <c r="R34" i="22" a="1"/>
  <c r="R34" i="22" s="1"/>
  <c r="S34" i="22" a="1"/>
  <c r="S34" i="22" s="1"/>
  <c r="R24" i="22" a="1"/>
  <c r="R24" i="22" s="1"/>
  <c r="G24" i="22"/>
  <c r="I24" i="22" s="1"/>
  <c r="AS24" i="22" s="1"/>
  <c r="S24" i="22" a="1"/>
  <c r="S24" i="22" s="1"/>
  <c r="H24" i="22"/>
  <c r="R27" i="22" a="1"/>
  <c r="R27" i="22" s="1"/>
  <c r="G27" i="22"/>
  <c r="I27" i="22" s="1"/>
  <c r="AS27" i="22" s="1"/>
  <c r="S27" i="22" a="1"/>
  <c r="S27" i="22" s="1"/>
  <c r="H27" i="22"/>
  <c r="R7" i="22" a="1"/>
  <c r="R7" i="22" s="1"/>
  <c r="G7" i="22"/>
  <c r="I7" i="22" s="1"/>
  <c r="AS7" i="22" s="1"/>
  <c r="S7" i="22" a="1"/>
  <c r="S7" i="22" s="1"/>
  <c r="H7" i="22"/>
  <c r="Q7" i="22" a="1"/>
  <c r="Q7" i="22" s="1"/>
  <c r="O7" i="22" a="1"/>
  <c r="O7" i="22" s="1"/>
  <c r="P7" i="22"/>
  <c r="AC7" i="22"/>
  <c r="R5" i="22" a="1"/>
  <c r="R5" i="22" s="1"/>
  <c r="G5" i="22"/>
  <c r="I5" i="22" s="1"/>
  <c r="AS5" i="22" s="1"/>
  <c r="S5" i="22" a="1"/>
  <c r="S5" i="22" s="1"/>
  <c r="H5" i="22"/>
  <c r="Q5" i="22" a="1"/>
  <c r="Q5" i="22" s="1"/>
  <c r="O5" i="22" a="1"/>
  <c r="O5" i="22" s="1"/>
  <c r="P5" i="22"/>
  <c r="AC5" i="22"/>
  <c r="L12" i="22"/>
  <c r="M12" i="22"/>
  <c r="N12" i="22" s="1"/>
  <c r="E12" i="22"/>
  <c r="F12" i="22"/>
  <c r="D12" i="22"/>
  <c r="AW11" i="1"/>
  <c r="AV11" i="1"/>
  <c r="L10" i="22"/>
  <c r="M10" i="22"/>
  <c r="N10" i="22" s="1"/>
  <c r="E10" i="22"/>
  <c r="F10" i="22"/>
  <c r="D10" i="22"/>
  <c r="AW9" i="1"/>
  <c r="AV9" i="1"/>
  <c r="AW19" i="1"/>
  <c r="AV19" i="1"/>
  <c r="E17" i="22"/>
  <c r="F17" i="22"/>
  <c r="L17" i="22"/>
  <c r="M17" i="22"/>
  <c r="N17" i="22" s="1"/>
  <c r="D17" i="22"/>
  <c r="R21" i="22" a="1"/>
  <c r="R21" i="22" s="1"/>
  <c r="G21" i="22"/>
  <c r="I21" i="22" s="1"/>
  <c r="AS21" i="22" s="1"/>
  <c r="S21" i="22" a="1"/>
  <c r="S21" i="22" s="1"/>
  <c r="H21" i="22"/>
  <c r="AC21" i="22"/>
  <c r="Q21" i="22" a="1"/>
  <c r="Q21" i="22" s="1"/>
  <c r="P21" i="22"/>
  <c r="O21" i="22" a="1"/>
  <c r="O21" i="22" s="1"/>
  <c r="R26" i="22" a="1"/>
  <c r="R26" i="22" s="1"/>
  <c r="G26" i="22"/>
  <c r="I26" i="22" s="1"/>
  <c r="AS26" i="22" s="1"/>
  <c r="S26" i="22" a="1"/>
  <c r="S26" i="22" s="1"/>
  <c r="H26" i="22"/>
  <c r="AC26" i="22"/>
  <c r="Q26" i="22" a="1"/>
  <c r="Q26" i="22" s="1"/>
  <c r="P26" i="22"/>
  <c r="O26" i="22" a="1"/>
  <c r="O26" i="22" s="1"/>
  <c r="R13" i="22" a="1"/>
  <c r="R13" i="22" s="1"/>
  <c r="G13" i="22"/>
  <c r="I13" i="22" s="1"/>
  <c r="AS13" i="22" s="1"/>
  <c r="S13" i="22" a="1"/>
  <c r="S13" i="22" s="1"/>
  <c r="H13" i="22"/>
  <c r="R23" i="22" a="1"/>
  <c r="R23" i="22" s="1"/>
  <c r="G23" i="22"/>
  <c r="I23" i="22" s="1"/>
  <c r="AS23" i="22" s="1"/>
  <c r="S23" i="22" a="1"/>
  <c r="S23" i="22" s="1"/>
  <c r="H23" i="22"/>
  <c r="R28" i="22" a="1"/>
  <c r="R28" i="22" s="1"/>
  <c r="G28" i="22"/>
  <c r="I28" i="22" s="1"/>
  <c r="AS28" i="22" s="1"/>
  <c r="S28" i="22" a="1"/>
  <c r="S28" i="22" s="1"/>
  <c r="H28" i="22"/>
  <c r="AC28" i="22"/>
  <c r="Q28" i="22" a="1"/>
  <c r="Q28" i="22" s="1"/>
  <c r="P28" i="22"/>
  <c r="O28" i="22" a="1"/>
  <c r="O28" i="22" s="1"/>
  <c r="R20" i="22" a="1"/>
  <c r="R20" i="22" s="1"/>
  <c r="G20" i="22"/>
  <c r="I20" i="22" s="1"/>
  <c r="AS20" i="22" s="1"/>
  <c r="S20" i="22" a="1"/>
  <c r="S20" i="22" s="1"/>
  <c r="H20" i="22"/>
  <c r="AC20" i="22"/>
  <c r="Q20" i="22" a="1"/>
  <c r="Q20" i="22" s="1"/>
  <c r="P20" i="22"/>
  <c r="O20" i="22" a="1"/>
  <c r="O20" i="22" s="1"/>
  <c r="R25" i="22" a="1"/>
  <c r="R25" i="22" s="1"/>
  <c r="G25" i="22"/>
  <c r="I25" i="22" s="1"/>
  <c r="AS25" i="22" s="1"/>
  <c r="S25" i="22" a="1"/>
  <c r="S25" i="22" s="1"/>
  <c r="H25" i="22"/>
  <c r="H30" i="22"/>
  <c r="R30" i="22" a="1"/>
  <c r="R30" i="22" s="1"/>
  <c r="G30" i="22"/>
  <c r="I30" i="22" s="1"/>
  <c r="AS30" i="22" s="1"/>
  <c r="S30" i="22" a="1"/>
  <c r="S30" i="22" s="1"/>
  <c r="AC30" i="22"/>
  <c r="O30" i="22" a="1"/>
  <c r="O30" i="22" s="1"/>
  <c r="P30" i="22"/>
  <c r="Q30" i="22" a="1"/>
  <c r="Q30" i="22" s="1"/>
  <c r="R6" i="22" a="1"/>
  <c r="R6" i="22" s="1"/>
  <c r="G6" i="22"/>
  <c r="I6" i="22" s="1"/>
  <c r="AS6" i="22" s="1"/>
  <c r="S6" i="22" a="1"/>
  <c r="S6" i="22" s="1"/>
  <c r="H6" i="22"/>
  <c r="Q6" i="22" a="1"/>
  <c r="Q6" i="22" s="1"/>
  <c r="O6" i="22" a="1"/>
  <c r="O6" i="22" s="1"/>
  <c r="P6" i="22"/>
  <c r="AC6" i="22"/>
  <c r="AW8" i="1"/>
  <c r="AV8" i="1"/>
  <c r="L9" i="22"/>
  <c r="M9" i="22"/>
  <c r="N9" i="22" s="1"/>
  <c r="F9" i="22"/>
  <c r="E9" i="22"/>
  <c r="D9" i="22"/>
  <c r="R18" i="22" a="1"/>
  <c r="R18" i="22" s="1"/>
  <c r="G18" i="22"/>
  <c r="I18" i="22" s="1"/>
  <c r="AS18" i="22" s="1"/>
  <c r="S18" i="22" a="1"/>
  <c r="S18" i="22" s="1"/>
  <c r="H18" i="22"/>
  <c r="AC18" i="22"/>
  <c r="Q18" i="22" a="1"/>
  <c r="Q18" i="22" s="1"/>
  <c r="P18" i="22"/>
  <c r="O18" i="22" a="1"/>
  <c r="O18" i="22" s="1"/>
  <c r="F15" i="22"/>
  <c r="E15" i="22"/>
  <c r="L15" i="22"/>
  <c r="M15" i="22"/>
  <c r="N15" i="22" s="1"/>
  <c r="D15" i="22"/>
  <c r="AW17" i="1"/>
  <c r="AV17" i="1"/>
  <c r="R19" i="22" a="1"/>
  <c r="R19" i="22" s="1"/>
  <c r="G19" i="22"/>
  <c r="I19" i="22" s="1"/>
  <c r="AS19" i="22" s="1"/>
  <c r="S19" i="22" a="1"/>
  <c r="S19" i="22" s="1"/>
  <c r="H19" i="22"/>
  <c r="Q19" i="22" a="1"/>
  <c r="Q19" i="22" s="1"/>
  <c r="O19" i="22" a="1"/>
  <c r="O19" i="22" s="1"/>
  <c r="AC19" i="22"/>
  <c r="P19" i="22"/>
  <c r="AW10" i="1"/>
  <c r="AV10" i="1"/>
  <c r="L11" i="22"/>
  <c r="M11" i="22"/>
  <c r="N11" i="22" s="1"/>
  <c r="F11" i="22"/>
  <c r="E11" i="22"/>
  <c r="D11" i="22"/>
  <c r="L16" i="22"/>
  <c r="M16" i="22"/>
  <c r="N16" i="22" s="1"/>
  <c r="E16" i="22"/>
  <c r="F16" i="22"/>
  <c r="D16" i="22"/>
  <c r="AW18" i="1"/>
  <c r="AV18" i="1"/>
  <c r="R22" i="22" a="1"/>
  <c r="R22" i="22" s="1"/>
  <c r="G22" i="22"/>
  <c r="I22" i="22" s="1"/>
  <c r="AS22" i="22" s="1"/>
  <c r="S22" i="22" a="1"/>
  <c r="S22" i="22" s="1"/>
  <c r="H22" i="22"/>
  <c r="H29" i="22"/>
  <c r="R29" i="22" a="1"/>
  <c r="R29" i="22" s="1"/>
  <c r="G29" i="22"/>
  <c r="I29" i="22" s="1"/>
  <c r="AS29" i="22" s="1"/>
  <c r="S29" i="22" a="1"/>
  <c r="S29" i="22" s="1"/>
  <c r="AC29" i="22"/>
  <c r="Q29" i="22" a="1"/>
  <c r="Q29" i="22" s="1"/>
  <c r="P29" i="22"/>
  <c r="O29" i="22" a="1"/>
  <c r="O29" i="22" s="1"/>
  <c r="R8" i="22" a="1"/>
  <c r="R8" i="22" s="1"/>
  <c r="G8" i="22"/>
  <c r="I8" i="22" s="1"/>
  <c r="AS8" i="22" s="1"/>
  <c r="S8" i="22" a="1"/>
  <c r="S8" i="22" s="1"/>
  <c r="H8" i="22"/>
  <c r="Q8" i="22" a="1"/>
  <c r="Q8" i="22" s="1"/>
  <c r="O8" i="22" a="1"/>
  <c r="O8" i="22" s="1"/>
  <c r="P8" i="22"/>
  <c r="AC8" i="22"/>
  <c r="M185" i="22"/>
  <c r="N185" i="22" s="1"/>
  <c r="L58" i="22"/>
  <c r="P58" i="22" s="1"/>
  <c r="L164" i="22"/>
  <c r="M164" i="22"/>
  <c r="N164" i="22" s="1"/>
  <c r="L143" i="22"/>
  <c r="P143" i="22" s="1"/>
  <c r="L170" i="22"/>
  <c r="P170" i="22" s="1"/>
  <c r="L95" i="22"/>
  <c r="M95" i="22"/>
  <c r="N95" i="22" s="1"/>
  <c r="L64" i="22"/>
  <c r="M64" i="22"/>
  <c r="N64" i="22" s="1"/>
  <c r="L22" i="22"/>
  <c r="M22" i="22"/>
  <c r="N22" i="22" s="1"/>
  <c r="L27" i="22"/>
  <c r="M27" i="22"/>
  <c r="N27" i="22" s="1"/>
  <c r="L23" i="22"/>
  <c r="M23" i="22"/>
  <c r="N23" i="22" s="1"/>
  <c r="L62" i="22"/>
  <c r="M62" i="22"/>
  <c r="N62" i="22" s="1"/>
  <c r="L136" i="22"/>
  <c r="M136" i="22"/>
  <c r="N136" i="22" s="1"/>
  <c r="L61" i="22"/>
  <c r="M61" i="22"/>
  <c r="N61" i="22" s="1"/>
  <c r="L135" i="22"/>
  <c r="M135" i="22"/>
  <c r="N135" i="22" s="1"/>
  <c r="L75" i="22"/>
  <c r="M75" i="22"/>
  <c r="N75" i="22" s="1"/>
  <c r="L134" i="22"/>
  <c r="M134" i="22"/>
  <c r="N134" i="22" s="1"/>
  <c r="L195" i="22"/>
  <c r="M115" i="22"/>
  <c r="N115" i="22" s="1"/>
  <c r="L115" i="22"/>
  <c r="L69" i="22"/>
  <c r="M69" i="22"/>
  <c r="N69" i="22" s="1"/>
  <c r="L96" i="22"/>
  <c r="M96" i="22"/>
  <c r="N96" i="22" s="1"/>
  <c r="L24" i="22"/>
  <c r="M24" i="22"/>
  <c r="N24" i="22" s="1"/>
  <c r="L25" i="22"/>
  <c r="M25" i="22"/>
  <c r="N25" i="22" s="1"/>
  <c r="L197" i="22"/>
  <c r="M197" i="22"/>
  <c r="N197" i="22" s="1"/>
  <c r="L132" i="22"/>
  <c r="M132" i="22"/>
  <c r="N132" i="22" s="1"/>
  <c r="L140" i="22"/>
  <c r="M140" i="22"/>
  <c r="N140" i="22" s="1"/>
  <c r="L131" i="22"/>
  <c r="M131" i="22"/>
  <c r="N131" i="22" s="1"/>
  <c r="L139" i="22"/>
  <c r="M139" i="22"/>
  <c r="N139" i="22" s="1"/>
  <c r="L35" i="22"/>
  <c r="M35" i="22"/>
  <c r="N35" i="22" s="1"/>
  <c r="L130" i="22"/>
  <c r="M130" i="22"/>
  <c r="N130" i="22" s="1"/>
  <c r="L185" i="22" l="1"/>
  <c r="M138" i="22"/>
  <c r="N138" i="22" s="1"/>
  <c r="L138" i="22"/>
  <c r="O130" i="22" a="1"/>
  <c r="O130" i="22" s="1"/>
  <c r="P130" i="22"/>
  <c r="Q130" i="22" a="1"/>
  <c r="Q130" i="22" s="1"/>
  <c r="AC130" i="22"/>
  <c r="O35" i="22" a="1"/>
  <c r="O35" i="22" s="1"/>
  <c r="P35" i="22"/>
  <c r="Q35" i="22" a="1"/>
  <c r="Q35" i="22" s="1"/>
  <c r="AC35" i="22"/>
  <c r="M116" i="22"/>
  <c r="N116" i="22" s="1"/>
  <c r="L116" i="22"/>
  <c r="O139" i="22" a="1"/>
  <c r="O139" i="22" s="1"/>
  <c r="P139" i="22"/>
  <c r="Q139" i="22" a="1"/>
  <c r="Q139" i="22" s="1"/>
  <c r="AC139" i="22"/>
  <c r="O131" i="22" a="1"/>
  <c r="O131" i="22" s="1"/>
  <c r="P131" i="22"/>
  <c r="Q131" i="22" a="1"/>
  <c r="Q131" i="22" s="1"/>
  <c r="AC131" i="22"/>
  <c r="M183" i="22"/>
  <c r="N183" i="22" s="1"/>
  <c r="L183" i="22"/>
  <c r="O140" i="22" a="1"/>
  <c r="O140" i="22" s="1"/>
  <c r="P140" i="22"/>
  <c r="Q140" i="22" a="1"/>
  <c r="Q140" i="22" s="1"/>
  <c r="AC140" i="22"/>
  <c r="O132" i="22" a="1"/>
  <c r="O132" i="22" s="1"/>
  <c r="P132" i="22"/>
  <c r="Q132" i="22" a="1"/>
  <c r="Q132" i="22" s="1"/>
  <c r="AC132" i="22"/>
  <c r="L59" i="22"/>
  <c r="P59" i="22" s="1"/>
  <c r="L108" i="22"/>
  <c r="P108" i="22" s="1"/>
  <c r="L190" i="22"/>
  <c r="P190" i="22" s="1"/>
  <c r="O197" i="22" a="1"/>
  <c r="O197" i="22" s="1"/>
  <c r="P197" i="22"/>
  <c r="Q197" i="22" a="1"/>
  <c r="Q197" i="22" s="1"/>
  <c r="AC197" i="22"/>
  <c r="M94" i="22"/>
  <c r="N94" i="22" s="1"/>
  <c r="L94" i="22"/>
  <c r="AC25" i="22"/>
  <c r="Q25" i="22" a="1"/>
  <c r="Q25" i="22" s="1"/>
  <c r="P25" i="22"/>
  <c r="O25" i="22" a="1"/>
  <c r="O25" i="22" s="1"/>
  <c r="AC24" i="22"/>
  <c r="Q24" i="22" a="1"/>
  <c r="Q24" i="22" s="1"/>
  <c r="P24" i="22"/>
  <c r="O24" i="22" a="1"/>
  <c r="O24" i="22" s="1"/>
  <c r="M92" i="22"/>
  <c r="N92" i="22" s="1"/>
  <c r="M93" i="22"/>
  <c r="N93" i="22" s="1"/>
  <c r="L92" i="22"/>
  <c r="L93" i="22"/>
  <c r="O69" i="22" a="1"/>
  <c r="O69" i="22" s="1"/>
  <c r="P69" i="22"/>
  <c r="Q69" i="22" a="1"/>
  <c r="Q69" i="22" s="1"/>
  <c r="AC69" i="22"/>
  <c r="O115" i="22" a="1"/>
  <c r="O115" i="22" s="1"/>
  <c r="P115" i="22"/>
  <c r="Q115" i="22" a="1"/>
  <c r="Q115" i="22" s="1"/>
  <c r="AC115" i="22"/>
  <c r="M193" i="22"/>
  <c r="N193" i="22" s="1"/>
  <c r="L193" i="22"/>
  <c r="M34" i="22"/>
  <c r="N34" i="22" s="1"/>
  <c r="M14" i="22"/>
  <c r="N14" i="22" s="1"/>
  <c r="L34" i="22"/>
  <c r="L14" i="22"/>
  <c r="M13" i="22"/>
  <c r="N13" i="22" s="1"/>
  <c r="M121" i="22"/>
  <c r="N121" i="22" s="1"/>
  <c r="M76" i="22"/>
  <c r="N76" i="22" s="1"/>
  <c r="L13" i="22"/>
  <c r="L121" i="22"/>
  <c r="L76" i="22"/>
  <c r="M195" i="22"/>
  <c r="N195" i="22" s="1"/>
  <c r="M112" i="22"/>
  <c r="N112" i="22" s="1"/>
  <c r="L112" i="22"/>
  <c r="O134" i="22" a="1"/>
  <c r="O134" i="22" s="1"/>
  <c r="P134" i="22"/>
  <c r="Q134" i="22" a="1"/>
  <c r="Q134" i="22" s="1"/>
  <c r="AC134" i="22"/>
  <c r="O75" i="22" a="1"/>
  <c r="O75" i="22" s="1"/>
  <c r="P75" i="22"/>
  <c r="Q75" i="22" a="1"/>
  <c r="Q75" i="22" s="1"/>
  <c r="AC75" i="22"/>
  <c r="O135" i="22" a="1"/>
  <c r="O135" i="22" s="1"/>
  <c r="P135" i="22"/>
  <c r="Q135" i="22" a="1"/>
  <c r="Q135" i="22" s="1"/>
  <c r="AC135" i="22"/>
  <c r="O61" i="22" a="1"/>
  <c r="O61" i="22" s="1"/>
  <c r="P61" i="22"/>
  <c r="Q61" i="22" a="1"/>
  <c r="Q61" i="22" s="1"/>
  <c r="AC61" i="22"/>
  <c r="M181" i="22"/>
  <c r="N181" i="22" s="1"/>
  <c r="L181" i="22"/>
  <c r="O136" i="22" a="1"/>
  <c r="O136" i="22" s="1"/>
  <c r="P136" i="22"/>
  <c r="Q136" i="22" a="1"/>
  <c r="Q136" i="22" s="1"/>
  <c r="AC136" i="22"/>
  <c r="O62" i="22" a="1"/>
  <c r="O62" i="22" s="1"/>
  <c r="P62" i="22"/>
  <c r="Q62" i="22" a="1"/>
  <c r="Q62" i="22" s="1"/>
  <c r="AC62" i="22"/>
  <c r="AC23" i="22"/>
  <c r="Q23" i="22" a="1"/>
  <c r="Q23" i="22" s="1"/>
  <c r="P23" i="22"/>
  <c r="O23" i="22" a="1"/>
  <c r="O23" i="22" s="1"/>
  <c r="AC27" i="22"/>
  <c r="Q27" i="22" a="1"/>
  <c r="Q27" i="22" s="1"/>
  <c r="P27" i="22"/>
  <c r="O27" i="22" a="1"/>
  <c r="O27" i="22" s="1"/>
  <c r="AC22" i="22"/>
  <c r="Q22" i="22" a="1"/>
  <c r="Q22" i="22" s="1"/>
  <c r="P22" i="22"/>
  <c r="O22" i="22" a="1"/>
  <c r="O22" i="22" s="1"/>
  <c r="O64" i="22" a="1"/>
  <c r="O64" i="22" s="1"/>
  <c r="P64" i="22"/>
  <c r="Q64" i="22" a="1"/>
  <c r="Q64" i="22" s="1"/>
  <c r="AC64" i="22"/>
  <c r="M91" i="22"/>
  <c r="N91" i="22" s="1"/>
  <c r="L91" i="22"/>
  <c r="M176" i="22"/>
  <c r="N176" i="22" s="1"/>
  <c r="L176" i="22"/>
  <c r="L113" i="22"/>
  <c r="M113" i="22"/>
  <c r="N113" i="22" s="1"/>
  <c r="L149" i="22"/>
  <c r="M149" i="22"/>
  <c r="N149" i="22" s="1"/>
  <c r="M142" i="22"/>
  <c r="N142" i="22" s="1"/>
  <c r="M159" i="22"/>
  <c r="N159" i="22" s="1"/>
  <c r="L142" i="22"/>
  <c r="L159" i="22"/>
  <c r="M148" i="22"/>
  <c r="N148" i="22" s="1"/>
  <c r="L148" i="22"/>
  <c r="P148" i="22" s="1"/>
  <c r="L51" i="22"/>
  <c r="P51" i="22" s="1"/>
  <c r="L125" i="22"/>
  <c r="L124" i="22"/>
  <c r="M125" i="22"/>
  <c r="N125" i="22" s="1"/>
  <c r="M124" i="22"/>
  <c r="N124" i="22" s="1"/>
  <c r="L172" i="22"/>
  <c r="P172" i="22" s="1"/>
  <c r="L171" i="22"/>
  <c r="P171" i="22" s="1"/>
  <c r="O164" i="22" a="1"/>
  <c r="O164" i="22" s="1"/>
  <c r="P164" i="22"/>
  <c r="Q164" i="22" a="1"/>
  <c r="Q164" i="22" s="1"/>
  <c r="AC164" i="22"/>
  <c r="M187" i="22"/>
  <c r="N187" i="22" s="1"/>
  <c r="L187" i="22"/>
  <c r="O185" i="22" a="1"/>
  <c r="O185" i="22" s="1"/>
  <c r="P185" i="22"/>
  <c r="Q185" i="22" a="1"/>
  <c r="Q185" i="22" s="1"/>
  <c r="AA185" i="22"/>
  <c r="AU185" i="22" s="1"/>
  <c r="AC185" i="22"/>
  <c r="M32" i="22"/>
  <c r="N32" i="22" s="1"/>
  <c r="L72" i="22"/>
  <c r="P72" i="22" s="1"/>
  <c r="L70" i="22"/>
  <c r="P70" i="22" s="1"/>
  <c r="U8" i="22"/>
  <c r="T8" i="22"/>
  <c r="Y8" i="22" s="1"/>
  <c r="U29" i="22"/>
  <c r="T29" i="22"/>
  <c r="Y29" i="22" s="1"/>
  <c r="U22" i="22"/>
  <c r="T22" i="22"/>
  <c r="Y22" i="22" s="1"/>
  <c r="R16" i="22" a="1"/>
  <c r="R16" i="22" s="1"/>
  <c r="G16" i="22"/>
  <c r="I16" i="22" s="1"/>
  <c r="AS16" i="22" s="1"/>
  <c r="S16" i="22" a="1"/>
  <c r="S16" i="22" s="1"/>
  <c r="H16" i="22"/>
  <c r="AC16" i="22"/>
  <c r="Q16" i="22" a="1"/>
  <c r="Q16" i="22" s="1"/>
  <c r="P16" i="22"/>
  <c r="O16" i="22" a="1"/>
  <c r="O16" i="22" s="1"/>
  <c r="R11" i="22" a="1"/>
  <c r="R11" i="22" s="1"/>
  <c r="G11" i="22"/>
  <c r="I11" i="22" s="1"/>
  <c r="AS11" i="22" s="1"/>
  <c r="S11" i="22" a="1"/>
  <c r="S11" i="22" s="1"/>
  <c r="H11" i="22"/>
  <c r="AC11" i="22"/>
  <c r="Q11" i="22" a="1"/>
  <c r="Q11" i="22" s="1"/>
  <c r="P11" i="22"/>
  <c r="O11" i="22" a="1"/>
  <c r="O11" i="22" s="1"/>
  <c r="U19" i="22"/>
  <c r="T19" i="22"/>
  <c r="Y19" i="22" s="1"/>
  <c r="R15" i="22" a="1"/>
  <c r="R15" i="22" s="1"/>
  <c r="G15" i="22"/>
  <c r="I15" i="22" s="1"/>
  <c r="AS15" i="22" s="1"/>
  <c r="S15" i="22" a="1"/>
  <c r="S15" i="22" s="1"/>
  <c r="H15" i="22"/>
  <c r="AC15" i="22"/>
  <c r="Q15" i="22" a="1"/>
  <c r="Q15" i="22" s="1"/>
  <c r="P15" i="22"/>
  <c r="O15" i="22" a="1"/>
  <c r="O15" i="22" s="1"/>
  <c r="U18" i="22"/>
  <c r="T18" i="22"/>
  <c r="Y18" i="22" s="1"/>
  <c r="R9" i="22" a="1"/>
  <c r="R9" i="22" s="1"/>
  <c r="G9" i="22"/>
  <c r="I9" i="22" s="1"/>
  <c r="AS9" i="22" s="1"/>
  <c r="S9" i="22" a="1"/>
  <c r="S9" i="22" s="1"/>
  <c r="H9" i="22"/>
  <c r="AC9" i="22"/>
  <c r="Q9" i="22" a="1"/>
  <c r="Q9" i="22" s="1"/>
  <c r="P9" i="22"/>
  <c r="O9" i="22" a="1"/>
  <c r="O9" i="22" s="1"/>
  <c r="U6" i="22"/>
  <c r="T6" i="22"/>
  <c r="Y6" i="22" s="1"/>
  <c r="U30" i="22"/>
  <c r="T30" i="22"/>
  <c r="Y30" i="22" s="1"/>
  <c r="U25" i="22"/>
  <c r="T25" i="22"/>
  <c r="Y25" i="22" s="1"/>
  <c r="U20" i="22"/>
  <c r="T20" i="22"/>
  <c r="Y20" i="22" s="1"/>
  <c r="U28" i="22"/>
  <c r="T28" i="22"/>
  <c r="Y28" i="22" s="1"/>
  <c r="U23" i="22"/>
  <c r="T23" i="22"/>
  <c r="Y23" i="22" s="1"/>
  <c r="U13" i="22"/>
  <c r="T13" i="22"/>
  <c r="Y13" i="22" s="1"/>
  <c r="AV13" i="22" s="1"/>
  <c r="U26" i="22"/>
  <c r="T26" i="22"/>
  <c r="Y26" i="22" s="1"/>
  <c r="U21" i="22"/>
  <c r="T21" i="22"/>
  <c r="Y21" i="22" s="1"/>
  <c r="R17" i="22" a="1"/>
  <c r="R17" i="22" s="1"/>
  <c r="G17" i="22"/>
  <c r="I17" i="22" s="1"/>
  <c r="AS17" i="22" s="1"/>
  <c r="S17" i="22" a="1"/>
  <c r="S17" i="22" s="1"/>
  <c r="H17" i="22"/>
  <c r="AC17" i="22"/>
  <c r="Q17" i="22" a="1"/>
  <c r="Q17" i="22" s="1"/>
  <c r="P17" i="22"/>
  <c r="O17" i="22" a="1"/>
  <c r="O17" i="22" s="1"/>
  <c r="R10" i="22" a="1"/>
  <c r="R10" i="22" s="1"/>
  <c r="G10" i="22"/>
  <c r="I10" i="22" s="1"/>
  <c r="AS10" i="22" s="1"/>
  <c r="S10" i="22" a="1"/>
  <c r="S10" i="22" s="1"/>
  <c r="H10" i="22"/>
  <c r="AC10" i="22"/>
  <c r="Q10" i="22" a="1"/>
  <c r="Q10" i="22" s="1"/>
  <c r="P10" i="22"/>
  <c r="O10" i="22" a="1"/>
  <c r="O10" i="22" s="1"/>
  <c r="R12" i="22" a="1"/>
  <c r="R12" i="22" s="1"/>
  <c r="G12" i="22"/>
  <c r="I12" i="22" s="1"/>
  <c r="AS12" i="22" s="1"/>
  <c r="S12" i="22" a="1"/>
  <c r="S12" i="22" s="1"/>
  <c r="H12" i="22"/>
  <c r="AC12" i="22"/>
  <c r="Q12" i="22" a="1"/>
  <c r="Q12" i="22" s="1"/>
  <c r="P12" i="22"/>
  <c r="O12" i="22" a="1"/>
  <c r="O12" i="22" s="1"/>
  <c r="U5" i="22"/>
  <c r="T5" i="22"/>
  <c r="Y5" i="22" s="1"/>
  <c r="U7" i="22"/>
  <c r="T7" i="22"/>
  <c r="Y7" i="22" s="1"/>
  <c r="U27" i="22"/>
  <c r="T27" i="22"/>
  <c r="Y27" i="22" s="1"/>
  <c r="U24" i="22"/>
  <c r="T24" i="22"/>
  <c r="Y24" i="22" s="1"/>
  <c r="T34" i="22"/>
  <c r="Y34" i="22" s="1"/>
  <c r="AV34" i="22" s="1"/>
  <c r="U34" i="22"/>
  <c r="T33" i="22"/>
  <c r="Y33" i="22" s="1"/>
  <c r="U33" i="22"/>
  <c r="T32" i="22"/>
  <c r="Y32" i="22" s="1"/>
  <c r="AV32" i="22" s="1"/>
  <c r="U32" i="22"/>
  <c r="T36" i="22"/>
  <c r="Y36" i="22" s="1"/>
  <c r="U36" i="22"/>
  <c r="T35" i="22"/>
  <c r="Y35" i="22" s="1"/>
  <c r="U35" i="22"/>
  <c r="G31" i="22"/>
  <c r="I31" i="22" s="1"/>
  <c r="AS31" i="22" s="1"/>
  <c r="H31" i="22"/>
  <c r="R31" i="22" a="1"/>
  <c r="R31" i="22" s="1"/>
  <c r="S31" i="22" a="1"/>
  <c r="S31" i="22" s="1"/>
  <c r="O31" i="22" a="1"/>
  <c r="O31" i="22" s="1"/>
  <c r="P31" i="22"/>
  <c r="Q31" i="22" a="1"/>
  <c r="Q31" i="22" s="1"/>
  <c r="AC31" i="22"/>
  <c r="U14" i="22"/>
  <c r="T14" i="22"/>
  <c r="Y14" i="22" s="1"/>
  <c r="AV14" i="22" s="1"/>
  <c r="T38" i="22"/>
  <c r="Y38" i="22" s="1"/>
  <c r="U38" i="22"/>
  <c r="T39" i="22"/>
  <c r="Y39" i="22" s="1"/>
  <c r="U39" i="22"/>
  <c r="T41" i="22"/>
  <c r="Y41" i="22" s="1"/>
  <c r="U41" i="22"/>
  <c r="T42" i="22"/>
  <c r="Y42" i="22" s="1"/>
  <c r="U42" i="22"/>
  <c r="T43" i="22"/>
  <c r="Y43" i="22" s="1"/>
  <c r="U43" i="22"/>
  <c r="T45" i="22"/>
  <c r="Y45" i="22" s="1"/>
  <c r="U45" i="22"/>
  <c r="T72" i="22"/>
  <c r="Y72" i="22" s="1"/>
  <c r="U72" i="22"/>
  <c r="T70" i="22"/>
  <c r="Y70" i="22" s="1"/>
  <c r="U70" i="22"/>
  <c r="T69" i="22"/>
  <c r="Y69" i="22" s="1"/>
  <c r="U69" i="22"/>
  <c r="G66" i="22"/>
  <c r="I66" i="22" s="1"/>
  <c r="AS66" i="22" s="1"/>
  <c r="H66" i="22"/>
  <c r="R66" i="22" a="1"/>
  <c r="R66" i="22" s="1"/>
  <c r="S66" i="22" a="1"/>
  <c r="S66" i="22" s="1"/>
  <c r="O66" i="22" a="1"/>
  <c r="O66" i="22" s="1"/>
  <c r="P66" i="22"/>
  <c r="Q66" i="22" a="1"/>
  <c r="Q66" i="22" s="1"/>
  <c r="AC66" i="22"/>
  <c r="G65" i="22"/>
  <c r="I65" i="22" s="1"/>
  <c r="AS65" i="22" s="1"/>
  <c r="H65" i="22"/>
  <c r="R65" i="22" a="1"/>
  <c r="R65" i="22" s="1"/>
  <c r="S65" i="22" a="1"/>
  <c r="S65" i="22" s="1"/>
  <c r="O65" i="22" a="1"/>
  <c r="O65" i="22" s="1"/>
  <c r="P65" i="22"/>
  <c r="Q65" i="22" a="1"/>
  <c r="Q65" i="22" s="1"/>
  <c r="AC65" i="22"/>
  <c r="T63" i="22"/>
  <c r="Y63" i="22" s="1"/>
  <c r="U63" i="22"/>
  <c r="T61" i="22"/>
  <c r="Y61" i="22" s="1"/>
  <c r="U61" i="22"/>
  <c r="T53" i="22"/>
  <c r="Y53" i="22" s="1"/>
  <c r="U53" i="22"/>
  <c r="T52" i="22"/>
  <c r="Y52" i="22" s="1"/>
  <c r="U52" i="22"/>
  <c r="T51" i="22"/>
  <c r="Y51" i="22" s="1"/>
  <c r="U51" i="22"/>
  <c r="T49" i="22"/>
  <c r="Y49" i="22" s="1"/>
  <c r="U49" i="22"/>
  <c r="T57" i="22"/>
  <c r="Y57" i="22" s="1"/>
  <c r="U57" i="22"/>
  <c r="T56" i="22"/>
  <c r="Y56" i="22" s="1"/>
  <c r="U56" i="22"/>
  <c r="T55" i="22"/>
  <c r="Y55" i="22" s="1"/>
  <c r="U55" i="22"/>
  <c r="T58" i="22"/>
  <c r="Y58" i="22" s="1"/>
  <c r="U58" i="22"/>
  <c r="T59" i="22"/>
  <c r="Y59" i="22" s="1"/>
  <c r="U59" i="22"/>
  <c r="T121" i="22"/>
  <c r="Y121" i="22" s="1"/>
  <c r="AV121" i="22" s="1"/>
  <c r="U121" i="22"/>
  <c r="T120" i="22"/>
  <c r="Y120" i="22" s="1"/>
  <c r="U120" i="22"/>
  <c r="T119" i="22"/>
  <c r="Y119" i="22" s="1"/>
  <c r="U119" i="22"/>
  <c r="T118" i="22"/>
  <c r="Y118" i="22" s="1"/>
  <c r="U118" i="22"/>
  <c r="T116" i="22"/>
  <c r="Y116" i="22" s="1"/>
  <c r="AV116" i="22" s="1"/>
  <c r="U116" i="22"/>
  <c r="T115" i="22"/>
  <c r="Y115" i="22" s="1"/>
  <c r="U115" i="22"/>
  <c r="T114" i="22"/>
  <c r="Y114" i="22" s="1"/>
  <c r="U114" i="22"/>
  <c r="T113" i="22"/>
  <c r="Y113" i="22" s="1"/>
  <c r="AV113" i="22" s="1"/>
  <c r="U113" i="22"/>
  <c r="T111" i="22"/>
  <c r="Y111" i="22" s="1"/>
  <c r="U111" i="22"/>
  <c r="T110" i="22"/>
  <c r="Y110" i="22" s="1"/>
  <c r="U110" i="22"/>
  <c r="T108" i="22"/>
  <c r="Y108" i="22" s="1"/>
  <c r="U108" i="22"/>
  <c r="T107" i="22"/>
  <c r="Y107" i="22" s="1"/>
  <c r="U107" i="22"/>
  <c r="T106" i="22"/>
  <c r="Y106" i="22" s="1"/>
  <c r="U106" i="22"/>
  <c r="T105" i="22"/>
  <c r="Y105" i="22" s="1"/>
  <c r="U105" i="22"/>
  <c r="T103" i="22"/>
  <c r="Y103" i="22" s="1"/>
  <c r="U103" i="22"/>
  <c r="T102" i="22"/>
  <c r="Y102" i="22" s="1"/>
  <c r="U102" i="22"/>
  <c r="T100" i="22"/>
  <c r="Y100" i="22" s="1"/>
  <c r="U100" i="22"/>
  <c r="T99" i="22"/>
  <c r="Y99" i="22" s="1"/>
  <c r="U99" i="22"/>
  <c r="T98" i="22"/>
  <c r="Y98" i="22" s="1"/>
  <c r="U98" i="22"/>
  <c r="T97" i="22"/>
  <c r="Y97" i="22" s="1"/>
  <c r="U97" i="22"/>
  <c r="G95" i="22"/>
  <c r="I95" i="22" s="1"/>
  <c r="AS95" i="22" s="1"/>
  <c r="H95" i="22"/>
  <c r="R95" i="22" a="1"/>
  <c r="R95" i="22" s="1"/>
  <c r="S95" i="22" a="1"/>
  <c r="S95" i="22" s="1"/>
  <c r="O95" i="22" a="1"/>
  <c r="O95" i="22" s="1"/>
  <c r="P95" i="22"/>
  <c r="Q95" i="22" a="1"/>
  <c r="Q95" i="22" s="1"/>
  <c r="AC95" i="22"/>
  <c r="T94" i="22"/>
  <c r="Y94" i="22" s="1"/>
  <c r="AV94" i="22" s="1"/>
  <c r="U94" i="22"/>
  <c r="G93" i="22"/>
  <c r="I93" i="22" s="1"/>
  <c r="AS93" i="22" s="1"/>
  <c r="H93" i="22"/>
  <c r="R93" i="22" a="1"/>
  <c r="R93" i="22" s="1"/>
  <c r="S93" i="22" a="1"/>
  <c r="S93" i="22" s="1"/>
  <c r="O93" i="22" a="1"/>
  <c r="O93" i="22" s="1"/>
  <c r="P93" i="22"/>
  <c r="Q93" i="22" a="1"/>
  <c r="Q93" i="22" s="1"/>
  <c r="AC93" i="22"/>
  <c r="G92" i="22"/>
  <c r="I92" i="22" s="1"/>
  <c r="AS92" i="22" s="1"/>
  <c r="H92" i="22"/>
  <c r="R92" i="22" a="1"/>
  <c r="R92" i="22" s="1"/>
  <c r="S92" i="22" a="1"/>
  <c r="S92" i="22" s="1"/>
  <c r="O92" i="22" a="1"/>
  <c r="O92" i="22" s="1"/>
  <c r="P92" i="22"/>
  <c r="Q92" i="22" a="1"/>
  <c r="Q92" i="22" s="1"/>
  <c r="AC92" i="22"/>
  <c r="G91" i="22"/>
  <c r="I91" i="22" s="1"/>
  <c r="AS91" i="22" s="1"/>
  <c r="H91" i="22"/>
  <c r="R91" i="22" a="1"/>
  <c r="R91" i="22" s="1"/>
  <c r="S91" i="22" a="1"/>
  <c r="S91" i="22" s="1"/>
  <c r="O91" i="22" a="1"/>
  <c r="O91" i="22" s="1"/>
  <c r="P91" i="22"/>
  <c r="Q91" i="22" a="1"/>
  <c r="Q91" i="22" s="1"/>
  <c r="AC91" i="22"/>
  <c r="G89" i="22"/>
  <c r="I89" i="22" s="1"/>
  <c r="AS89" i="22" s="1"/>
  <c r="H89" i="22"/>
  <c r="R89" i="22" a="1"/>
  <c r="R89" i="22" s="1"/>
  <c r="S89" i="22" a="1"/>
  <c r="S89" i="22" s="1"/>
  <c r="O89" i="22" a="1"/>
  <c r="O89" i="22" s="1"/>
  <c r="P89" i="22"/>
  <c r="Q89" i="22" a="1"/>
  <c r="Q89" i="22" s="1"/>
  <c r="AC89" i="22"/>
  <c r="G87" i="22"/>
  <c r="I87" i="22" s="1"/>
  <c r="AS87" i="22" s="1"/>
  <c r="H87" i="22"/>
  <c r="R87" i="22" a="1"/>
  <c r="R87" i="22" s="1"/>
  <c r="S87" i="22" a="1"/>
  <c r="S87" i="22" s="1"/>
  <c r="O87" i="22" a="1"/>
  <c r="O87" i="22" s="1"/>
  <c r="P87" i="22"/>
  <c r="Q87" i="22" a="1"/>
  <c r="Q87" i="22" s="1"/>
  <c r="AC87" i="22"/>
  <c r="G85" i="22"/>
  <c r="I85" i="22" s="1"/>
  <c r="AS85" i="22" s="1"/>
  <c r="H85" i="22"/>
  <c r="R85" i="22" a="1"/>
  <c r="R85" i="22" s="1"/>
  <c r="S85" i="22" a="1"/>
  <c r="S85" i="22" s="1"/>
  <c r="O85" i="22" a="1"/>
  <c r="O85" i="22" s="1"/>
  <c r="P85" i="22"/>
  <c r="Q85" i="22" a="1"/>
  <c r="Q85" i="22" s="1"/>
  <c r="AC85" i="22"/>
  <c r="T83" i="22"/>
  <c r="Y83" i="22" s="1"/>
  <c r="U83" i="22"/>
  <c r="T82" i="22"/>
  <c r="Y82" i="22" s="1"/>
  <c r="U82" i="22"/>
  <c r="T81" i="22"/>
  <c r="Y81" i="22" s="1"/>
  <c r="U81" i="22"/>
  <c r="T79" i="22"/>
  <c r="Y79" i="22" s="1"/>
  <c r="U79" i="22"/>
  <c r="T78" i="22"/>
  <c r="Y78" i="22" s="1"/>
  <c r="U78" i="22"/>
  <c r="T75" i="22"/>
  <c r="Y75" i="22" s="1"/>
  <c r="U75" i="22"/>
  <c r="T74" i="22"/>
  <c r="Y74" i="22" s="1"/>
  <c r="U74" i="22"/>
  <c r="T68" i="22"/>
  <c r="Y68" i="22" s="1"/>
  <c r="U68" i="22"/>
  <c r="G67" i="22"/>
  <c r="I67" i="22" s="1"/>
  <c r="AS67" i="22" s="1"/>
  <c r="H67" i="22"/>
  <c r="R67" i="22" a="1"/>
  <c r="R67" i="22" s="1"/>
  <c r="S67" i="22" a="1"/>
  <c r="S67" i="22" s="1"/>
  <c r="O67" i="22" a="1"/>
  <c r="O67" i="22" s="1"/>
  <c r="P67" i="22"/>
  <c r="Q67" i="22" a="1"/>
  <c r="Q67" i="22" s="1"/>
  <c r="AC67" i="22"/>
  <c r="T117" i="22"/>
  <c r="Y117" i="22" s="1"/>
  <c r="U117" i="22"/>
  <c r="T37" i="22"/>
  <c r="Y37" i="22" s="1"/>
  <c r="U37" i="22"/>
  <c r="T40" i="22"/>
  <c r="Y40" i="22" s="1"/>
  <c r="U40" i="22"/>
  <c r="T44" i="22"/>
  <c r="Y44" i="22" s="1"/>
  <c r="U44" i="22"/>
  <c r="T46" i="22"/>
  <c r="Y46" i="22" s="1"/>
  <c r="U46" i="22"/>
  <c r="T112" i="22"/>
  <c r="Y112" i="22" s="1"/>
  <c r="AV112" i="22" s="1"/>
  <c r="U112" i="22"/>
  <c r="T109" i="22"/>
  <c r="Y109" i="22" s="1"/>
  <c r="U109" i="22"/>
  <c r="T104" i="22"/>
  <c r="Y104" i="22" s="1"/>
  <c r="U104" i="22"/>
  <c r="T101" i="22"/>
  <c r="Y101" i="22" s="1"/>
  <c r="U101" i="22"/>
  <c r="G96" i="22"/>
  <c r="I96" i="22" s="1"/>
  <c r="AS96" i="22" s="1"/>
  <c r="H96" i="22"/>
  <c r="R96" i="22" a="1"/>
  <c r="R96" i="22" s="1"/>
  <c r="S96" i="22" a="1"/>
  <c r="S96" i="22" s="1"/>
  <c r="O96" i="22" a="1"/>
  <c r="O96" i="22" s="1"/>
  <c r="P96" i="22"/>
  <c r="Q96" i="22" a="1"/>
  <c r="Q96" i="22" s="1"/>
  <c r="AC96" i="22"/>
  <c r="G90" i="22"/>
  <c r="I90" i="22" s="1"/>
  <c r="AS90" i="22" s="1"/>
  <c r="H90" i="22"/>
  <c r="R90" i="22" a="1"/>
  <c r="R90" i="22" s="1"/>
  <c r="S90" i="22" a="1"/>
  <c r="S90" i="22" s="1"/>
  <c r="O90" i="22" a="1"/>
  <c r="O90" i="22" s="1"/>
  <c r="P90" i="22"/>
  <c r="Q90" i="22" a="1"/>
  <c r="Q90" i="22" s="1"/>
  <c r="AC90" i="22"/>
  <c r="T88" i="22"/>
  <c r="Y88" i="22" s="1"/>
  <c r="U88" i="22"/>
  <c r="G86" i="22"/>
  <c r="I86" i="22" s="1"/>
  <c r="AS86" i="22" s="1"/>
  <c r="H86" i="22"/>
  <c r="R86" i="22" a="1"/>
  <c r="R86" i="22" s="1"/>
  <c r="S86" i="22" a="1"/>
  <c r="S86" i="22" s="1"/>
  <c r="O86" i="22" a="1"/>
  <c r="O86" i="22" s="1"/>
  <c r="P86" i="22"/>
  <c r="Q86" i="22" a="1"/>
  <c r="Q86" i="22" s="1"/>
  <c r="AC86" i="22"/>
  <c r="G84" i="22"/>
  <c r="I84" i="22" s="1"/>
  <c r="AS84" i="22" s="1"/>
  <c r="H84" i="22"/>
  <c r="R84" i="22" a="1"/>
  <c r="R84" i="22" s="1"/>
  <c r="S84" i="22" a="1"/>
  <c r="S84" i="22" s="1"/>
  <c r="O84" i="22" a="1"/>
  <c r="O84" i="22" s="1"/>
  <c r="P84" i="22"/>
  <c r="Q84" i="22" a="1"/>
  <c r="Q84" i="22" s="1"/>
  <c r="AC84" i="22"/>
  <c r="T80" i="22"/>
  <c r="Y80" i="22" s="1"/>
  <c r="U80" i="22"/>
  <c r="T77" i="22"/>
  <c r="Y77" i="22" s="1"/>
  <c r="U77" i="22"/>
  <c r="T76" i="22"/>
  <c r="Y76" i="22" s="1"/>
  <c r="AV76" i="22" s="1"/>
  <c r="U76" i="22"/>
  <c r="T73" i="22"/>
  <c r="Y73" i="22" s="1"/>
  <c r="U73" i="22"/>
  <c r="T71" i="22"/>
  <c r="Y71" i="22" s="1"/>
  <c r="U71" i="22"/>
  <c r="T64" i="22"/>
  <c r="Y64" i="22" s="1"/>
  <c r="U64" i="22"/>
  <c r="T62" i="22"/>
  <c r="Y62" i="22" s="1"/>
  <c r="U62" i="22"/>
  <c r="T54" i="22"/>
  <c r="Y54" i="22" s="1"/>
  <c r="U54" i="22"/>
  <c r="T50" i="22"/>
  <c r="Y50" i="22" s="1"/>
  <c r="U50" i="22"/>
  <c r="T48" i="22"/>
  <c r="Y48" i="22" s="1"/>
  <c r="U48" i="22"/>
  <c r="T47" i="22"/>
  <c r="Y47" i="22" s="1"/>
  <c r="U47" i="22"/>
  <c r="T60" i="22"/>
  <c r="Y60" i="22" s="1"/>
  <c r="U60" i="22"/>
  <c r="T153" i="22"/>
  <c r="Y153" i="22" s="1"/>
  <c r="U153" i="22"/>
  <c r="G152" i="22"/>
  <c r="I152" i="22" s="1"/>
  <c r="AS152" i="22" s="1"/>
  <c r="H152" i="22"/>
  <c r="R152" i="22" a="1"/>
  <c r="R152" i="22" s="1"/>
  <c r="S152" i="22" a="1"/>
  <c r="S152" i="22" s="1"/>
  <c r="O152" i="22" a="1"/>
  <c r="O152" i="22" s="1"/>
  <c r="P152" i="22"/>
  <c r="Q152" i="22" a="1"/>
  <c r="Q152" i="22" s="1"/>
  <c r="AC152" i="22"/>
  <c r="G151" i="22"/>
  <c r="I151" i="22" s="1"/>
  <c r="AS151" i="22" s="1"/>
  <c r="H151" i="22"/>
  <c r="R151" i="22" a="1"/>
  <c r="R151" i="22" s="1"/>
  <c r="S151" i="22" a="1"/>
  <c r="S151" i="22" s="1"/>
  <c r="O151" i="22" a="1"/>
  <c r="O151" i="22" s="1"/>
  <c r="P151" i="22"/>
  <c r="Q151" i="22" a="1"/>
  <c r="Q151" i="22" s="1"/>
  <c r="AC151" i="22"/>
  <c r="T150" i="22"/>
  <c r="Y150" i="22" s="1"/>
  <c r="U150" i="22"/>
  <c r="T149" i="22"/>
  <c r="Y149" i="22" s="1"/>
  <c r="AV149" i="22" s="1"/>
  <c r="U149" i="22"/>
  <c r="T148" i="22"/>
  <c r="Y148" i="22" s="1"/>
  <c r="AV148" i="22" s="1"/>
  <c r="U148" i="22"/>
  <c r="T147" i="22"/>
  <c r="Y147" i="22" s="1"/>
  <c r="U147" i="22"/>
  <c r="T146" i="22"/>
  <c r="Y146" i="22" s="1"/>
  <c r="U146" i="22"/>
  <c r="T145" i="22"/>
  <c r="Y145" i="22" s="1"/>
  <c r="U145" i="22"/>
  <c r="T144" i="22"/>
  <c r="Y144" i="22" s="1"/>
  <c r="U144" i="22"/>
  <c r="T143" i="22"/>
  <c r="Y143" i="22" s="1"/>
  <c r="U143" i="22"/>
  <c r="T142" i="22"/>
  <c r="Y142" i="22" s="1"/>
  <c r="AV142" i="22" s="1"/>
  <c r="U142" i="22"/>
  <c r="T141" i="22"/>
  <c r="Y141" i="22" s="1"/>
  <c r="U141" i="22"/>
  <c r="T140" i="22"/>
  <c r="Y140" i="22" s="1"/>
  <c r="U140" i="22"/>
  <c r="T139" i="22"/>
  <c r="Y139" i="22" s="1"/>
  <c r="U139" i="22"/>
  <c r="T138" i="22"/>
  <c r="Y138" i="22" s="1"/>
  <c r="AV138" i="22" s="1"/>
  <c r="U138" i="22"/>
  <c r="T137" i="22"/>
  <c r="Y137" i="22" s="1"/>
  <c r="U137" i="22"/>
  <c r="T136" i="22"/>
  <c r="Y136" i="22" s="1"/>
  <c r="U136" i="22"/>
  <c r="T134" i="22"/>
  <c r="Y134" i="22" s="1"/>
  <c r="U134" i="22"/>
  <c r="T133" i="22"/>
  <c r="Y133" i="22" s="1"/>
  <c r="U133" i="22"/>
  <c r="T132" i="22"/>
  <c r="Y132" i="22" s="1"/>
  <c r="U132" i="22"/>
  <c r="T131" i="22"/>
  <c r="Y131" i="22" s="1"/>
  <c r="U131" i="22"/>
  <c r="T130" i="22"/>
  <c r="Y130" i="22" s="1"/>
  <c r="U130" i="22"/>
  <c r="T129" i="22"/>
  <c r="Y129" i="22" s="1"/>
  <c r="U129" i="22"/>
  <c r="T128" i="22"/>
  <c r="Y128" i="22" s="1"/>
  <c r="U128" i="22"/>
  <c r="T127" i="22"/>
  <c r="Y127" i="22" s="1"/>
  <c r="U127" i="22"/>
  <c r="T126" i="22"/>
  <c r="Y126" i="22" s="1"/>
  <c r="U126" i="22"/>
  <c r="T125" i="22"/>
  <c r="Y125" i="22" s="1"/>
  <c r="AV125" i="22" s="1"/>
  <c r="U125" i="22"/>
  <c r="T124" i="22"/>
  <c r="Y124" i="22" s="1"/>
  <c r="AV124" i="22" s="1"/>
  <c r="U124" i="22"/>
  <c r="T122" i="22"/>
  <c r="Y122" i="22" s="1"/>
  <c r="U122" i="22"/>
  <c r="T135" i="22"/>
  <c r="Y135" i="22" s="1"/>
  <c r="U135" i="22"/>
  <c r="T123" i="22"/>
  <c r="Y123" i="22" s="1"/>
  <c r="U123" i="22"/>
  <c r="T155" i="22"/>
  <c r="Y155" i="22" s="1"/>
  <c r="U155" i="22"/>
  <c r="T154" i="22"/>
  <c r="Y154" i="22" s="1"/>
  <c r="U154" i="22"/>
  <c r="T170" i="22"/>
  <c r="Y170" i="22" s="1"/>
  <c r="U170" i="22"/>
  <c r="T169" i="22"/>
  <c r="Y169" i="22" s="1"/>
  <c r="U169" i="22"/>
  <c r="T168" i="22"/>
  <c r="Y168" i="22" s="1"/>
  <c r="U168" i="22"/>
  <c r="T167" i="22"/>
  <c r="Y167" i="22" s="1"/>
  <c r="U167" i="22"/>
  <c r="T166" i="22"/>
  <c r="Y166" i="22" s="1"/>
  <c r="U166" i="22"/>
  <c r="T165" i="22"/>
  <c r="Y165" i="22" s="1"/>
  <c r="U165" i="22"/>
  <c r="T163" i="22"/>
  <c r="Y163" i="22" s="1"/>
  <c r="U163" i="22"/>
  <c r="T162" i="22"/>
  <c r="Y162" i="22" s="1"/>
  <c r="U162" i="22"/>
  <c r="T160" i="22"/>
  <c r="Y160" i="22" s="1"/>
  <c r="U160" i="22"/>
  <c r="T159" i="22"/>
  <c r="Y159" i="22" s="1"/>
  <c r="AV159" i="22" s="1"/>
  <c r="U159" i="22"/>
  <c r="T157" i="22"/>
  <c r="Y157" i="22" s="1"/>
  <c r="U157" i="22"/>
  <c r="T156" i="22"/>
  <c r="Y156" i="22" s="1"/>
  <c r="U156" i="22"/>
  <c r="T164" i="22"/>
  <c r="Y164" i="22" s="1"/>
  <c r="U164" i="22"/>
  <c r="T161" i="22"/>
  <c r="Y161" i="22" s="1"/>
  <c r="U161" i="22"/>
  <c r="T158" i="22"/>
  <c r="Y158" i="22" s="1"/>
  <c r="U158" i="22"/>
  <c r="T172" i="22"/>
  <c r="Y172" i="22" s="1"/>
  <c r="U172" i="22"/>
  <c r="T171" i="22"/>
  <c r="Y171" i="22" s="1"/>
  <c r="U171" i="22"/>
  <c r="T179" i="22"/>
  <c r="Y179" i="22" s="1"/>
  <c r="U179" i="22"/>
  <c r="T176" i="22"/>
  <c r="Y176" i="22" s="1"/>
  <c r="AV176" i="22" s="1"/>
  <c r="U176" i="22"/>
  <c r="T175" i="22"/>
  <c r="Y175" i="22" s="1"/>
  <c r="U175" i="22"/>
  <c r="T174" i="22"/>
  <c r="Y174" i="22" s="1"/>
  <c r="U174" i="22"/>
  <c r="T173" i="22"/>
  <c r="Y173" i="22" s="1"/>
  <c r="U173" i="22"/>
  <c r="T178" i="22"/>
  <c r="Y178" i="22" s="1"/>
  <c r="U178" i="22"/>
  <c r="T177" i="22"/>
  <c r="Y177" i="22" s="1"/>
  <c r="U177" i="22"/>
  <c r="T201" i="22"/>
  <c r="Y201" i="22" s="1"/>
  <c r="U201" i="22"/>
  <c r="T200" i="22"/>
  <c r="Y200" i="22" s="1"/>
  <c r="U200" i="22"/>
  <c r="T198" i="22"/>
  <c r="Y198" i="22" s="1"/>
  <c r="U198" i="22"/>
  <c r="T196" i="22"/>
  <c r="Y196" i="22" s="1"/>
  <c r="U196" i="22"/>
  <c r="T195" i="22"/>
  <c r="Y195" i="22" s="1"/>
  <c r="AV195" i="22" s="1"/>
  <c r="U195" i="22"/>
  <c r="T194" i="22"/>
  <c r="Y194" i="22" s="1"/>
  <c r="U194" i="22"/>
  <c r="T193" i="22"/>
  <c r="Y193" i="22" s="1"/>
  <c r="AV193" i="22" s="1"/>
  <c r="U193" i="22"/>
  <c r="T192" i="22"/>
  <c r="Y192" i="22" s="1"/>
  <c r="U192" i="22"/>
  <c r="T191" i="22"/>
  <c r="Y191" i="22" s="1"/>
  <c r="U191" i="22"/>
  <c r="T190" i="22"/>
  <c r="Y190" i="22" s="1"/>
  <c r="U190" i="22"/>
  <c r="T189" i="22"/>
  <c r="Y189" i="22" s="1"/>
  <c r="U189" i="22"/>
  <c r="T188" i="22"/>
  <c r="Y188" i="22" s="1"/>
  <c r="AV188" i="22" s="1"/>
  <c r="U188" i="22"/>
  <c r="T186" i="22"/>
  <c r="Y186" i="22" s="1"/>
  <c r="AV186" i="22" s="1"/>
  <c r="U186" i="22"/>
  <c r="T185" i="22"/>
  <c r="Y185" i="22" s="1"/>
  <c r="AV185" i="22" s="1"/>
  <c r="U185" i="22"/>
  <c r="T184" i="22"/>
  <c r="Y184" i="22" s="1"/>
  <c r="AV184" i="22" s="1"/>
  <c r="U184" i="22"/>
  <c r="T183" i="22"/>
  <c r="Y183" i="22" s="1"/>
  <c r="AV183" i="22" s="1"/>
  <c r="U183" i="22"/>
  <c r="T182" i="22"/>
  <c r="Y182" i="22" s="1"/>
  <c r="AV182" i="22" s="1"/>
  <c r="U182" i="22"/>
  <c r="T181" i="22"/>
  <c r="Y181" i="22" s="1"/>
  <c r="AV181" i="22" s="1"/>
  <c r="U181" i="22"/>
  <c r="T180" i="22"/>
  <c r="Y180" i="22" s="1"/>
  <c r="AV180" i="22" s="1"/>
  <c r="U180" i="22"/>
  <c r="T204" i="22"/>
  <c r="Y204" i="22" s="1"/>
  <c r="U204" i="22"/>
  <c r="T203" i="22"/>
  <c r="Y203" i="22" s="1"/>
  <c r="U203" i="22"/>
  <c r="T202" i="22"/>
  <c r="Y202" i="22" s="1"/>
  <c r="U202" i="22"/>
  <c r="T199" i="22"/>
  <c r="Y199" i="22" s="1"/>
  <c r="U199" i="22"/>
  <c r="T197" i="22"/>
  <c r="Y197" i="22" s="1"/>
  <c r="U197" i="22"/>
  <c r="T187" i="22"/>
  <c r="Y187" i="22" s="1"/>
  <c r="AV187" i="22" s="1"/>
  <c r="U187" i="22"/>
  <c r="AV198" i="22" l="1"/>
  <c r="AA198" i="22"/>
  <c r="AU198" i="22" s="1"/>
  <c r="AV197" i="22"/>
  <c r="AA197" i="22"/>
  <c r="AU197" i="22" s="1"/>
  <c r="AA199" i="22"/>
  <c r="AU199" i="22" s="1"/>
  <c r="AV202" i="22"/>
  <c r="AA202" i="22"/>
  <c r="AU202" i="22" s="1"/>
  <c r="AV203" i="22"/>
  <c r="AA203" i="22"/>
  <c r="AU203" i="22" s="1"/>
  <c r="AV204" i="22"/>
  <c r="AA204" i="22"/>
  <c r="AU204" i="22" s="1"/>
  <c r="AV189" i="22"/>
  <c r="AA189" i="22"/>
  <c r="AU189" i="22" s="1"/>
  <c r="AV190" i="22"/>
  <c r="AA190" i="22"/>
  <c r="AU190" i="22" s="1"/>
  <c r="AV191" i="22"/>
  <c r="AA191" i="22"/>
  <c r="AU191" i="22" s="1"/>
  <c r="AV192" i="22"/>
  <c r="AA192" i="22"/>
  <c r="AU192" i="22" s="1"/>
  <c r="AV194" i="22"/>
  <c r="AA194" i="22"/>
  <c r="AU194" i="22" s="1"/>
  <c r="AV196" i="22"/>
  <c r="AA196" i="22"/>
  <c r="AU196" i="22" s="1"/>
  <c r="AV200" i="22"/>
  <c r="AA200" i="22"/>
  <c r="AU200" i="22" s="1"/>
  <c r="AV201" i="22"/>
  <c r="AA201" i="22"/>
  <c r="AU201" i="22" s="1"/>
  <c r="AV177" i="22"/>
  <c r="AA177" i="22"/>
  <c r="AU177" i="22" s="1"/>
  <c r="AV178" i="22"/>
  <c r="AA178" i="22"/>
  <c r="AU178" i="22" s="1"/>
  <c r="AV173" i="22"/>
  <c r="AA173" i="22"/>
  <c r="AU173" i="22" s="1"/>
  <c r="AV174" i="22"/>
  <c r="AA174" i="22"/>
  <c r="AU174" i="22" s="1"/>
  <c r="AV175" i="22"/>
  <c r="AA175" i="22"/>
  <c r="AU175" i="22" s="1"/>
  <c r="AV179" i="22"/>
  <c r="AA179" i="22"/>
  <c r="AU179" i="22" s="1"/>
  <c r="AV171" i="22"/>
  <c r="AA171" i="22"/>
  <c r="AU171" i="22" s="1"/>
  <c r="AV172" i="22"/>
  <c r="AA172" i="22"/>
  <c r="AU172" i="22" s="1"/>
  <c r="AV158" i="22"/>
  <c r="AA158" i="22"/>
  <c r="AU158" i="22" s="1"/>
  <c r="AV161" i="22"/>
  <c r="AA161" i="22"/>
  <c r="AU161" i="22" s="1"/>
  <c r="AV164" i="22"/>
  <c r="AA164" i="22"/>
  <c r="AU164" i="22" s="1"/>
  <c r="AV156" i="22"/>
  <c r="AA156" i="22"/>
  <c r="AU156" i="22" s="1"/>
  <c r="AV157" i="22"/>
  <c r="AA157" i="22"/>
  <c r="AU157" i="22" s="1"/>
  <c r="AV160" i="22"/>
  <c r="AA160" i="22"/>
  <c r="AU160" i="22" s="1"/>
  <c r="AV162" i="22"/>
  <c r="AA162" i="22"/>
  <c r="AU162" i="22" s="1"/>
  <c r="AV163" i="22"/>
  <c r="AA163" i="22"/>
  <c r="AU163" i="22" s="1"/>
  <c r="AV165" i="22"/>
  <c r="AA165" i="22"/>
  <c r="AU165" i="22" s="1"/>
  <c r="AV166" i="22"/>
  <c r="AA166" i="22"/>
  <c r="AU166" i="22" s="1"/>
  <c r="AV167" i="22"/>
  <c r="AA167" i="22"/>
  <c r="AU167" i="22" s="1"/>
  <c r="AV168" i="22"/>
  <c r="AA168" i="22"/>
  <c r="AU168" i="22" s="1"/>
  <c r="AV169" i="22"/>
  <c r="AA169" i="22"/>
  <c r="AU169" i="22" s="1"/>
  <c r="AV170" i="22"/>
  <c r="AA170" i="22"/>
  <c r="AU170" i="22" s="1"/>
  <c r="AV154" i="22"/>
  <c r="AA154" i="22"/>
  <c r="AU154" i="22" s="1"/>
  <c r="AV155" i="22"/>
  <c r="AA155" i="22"/>
  <c r="AU155" i="22" s="1"/>
  <c r="AV123" i="22"/>
  <c r="AA123" i="22"/>
  <c r="AU123" i="22" s="1"/>
  <c r="AV135" i="22"/>
  <c r="AA135" i="22"/>
  <c r="AU135" i="22" s="1"/>
  <c r="AV122" i="22"/>
  <c r="AA122" i="22"/>
  <c r="AU122" i="22" s="1"/>
  <c r="AV126" i="22"/>
  <c r="AA126" i="22"/>
  <c r="AU126" i="22" s="1"/>
  <c r="AV127" i="22"/>
  <c r="AA127" i="22"/>
  <c r="AU127" i="22" s="1"/>
  <c r="AV128" i="22"/>
  <c r="AA128" i="22"/>
  <c r="AU128" i="22" s="1"/>
  <c r="AV129" i="22"/>
  <c r="AA129" i="22"/>
  <c r="AU129" i="22" s="1"/>
  <c r="AV130" i="22"/>
  <c r="AA130" i="22"/>
  <c r="AU130" i="22" s="1"/>
  <c r="AV131" i="22"/>
  <c r="AA131" i="22"/>
  <c r="AU131" i="22" s="1"/>
  <c r="AV132" i="22"/>
  <c r="AA132" i="22"/>
  <c r="AU132" i="22" s="1"/>
  <c r="AV133" i="22"/>
  <c r="AA133" i="22"/>
  <c r="AU133" i="22" s="1"/>
  <c r="AV134" i="22"/>
  <c r="AA134" i="22"/>
  <c r="AU134" i="22" s="1"/>
  <c r="AV136" i="22"/>
  <c r="AA136" i="22"/>
  <c r="AU136" i="22" s="1"/>
  <c r="AV137" i="22"/>
  <c r="AA137" i="22"/>
  <c r="AU137" i="22" s="1"/>
  <c r="AV139" i="22"/>
  <c r="AA139" i="22"/>
  <c r="AU139" i="22" s="1"/>
  <c r="AV140" i="22"/>
  <c r="AA140" i="22"/>
  <c r="AU140" i="22" s="1"/>
  <c r="AV141" i="22"/>
  <c r="AA141" i="22"/>
  <c r="AU141" i="22" s="1"/>
  <c r="AV143" i="22"/>
  <c r="AA143" i="22"/>
  <c r="AU143" i="22" s="1"/>
  <c r="AV144" i="22"/>
  <c r="AA144" i="22"/>
  <c r="AU144" i="22" s="1"/>
  <c r="AV145" i="22"/>
  <c r="AA145" i="22"/>
  <c r="AU145" i="22" s="1"/>
  <c r="AV146" i="22"/>
  <c r="AA146" i="22"/>
  <c r="AU146" i="22" s="1"/>
  <c r="AV147" i="22"/>
  <c r="AA147" i="22"/>
  <c r="AU147" i="22" s="1"/>
  <c r="AV150" i="22"/>
  <c r="AA150" i="22"/>
  <c r="AU150" i="22" s="1"/>
  <c r="AV153" i="22"/>
  <c r="AA153" i="22"/>
  <c r="AU153" i="22" s="1"/>
  <c r="AV60" i="22"/>
  <c r="AA60" i="22"/>
  <c r="AU60" i="22" s="1"/>
  <c r="AV47" i="22"/>
  <c r="AA47" i="22"/>
  <c r="AU47" i="22" s="1"/>
  <c r="AV48" i="22"/>
  <c r="AA48" i="22"/>
  <c r="AU48" i="22" s="1"/>
  <c r="AV50" i="22"/>
  <c r="AA50" i="22"/>
  <c r="AU50" i="22" s="1"/>
  <c r="AV54" i="22"/>
  <c r="AA54" i="22"/>
  <c r="AU54" i="22" s="1"/>
  <c r="AV62" i="22"/>
  <c r="AA62" i="22"/>
  <c r="AU62" i="22" s="1"/>
  <c r="AV64" i="22"/>
  <c r="AA64" i="22"/>
  <c r="AU64" i="22" s="1"/>
  <c r="AV71" i="22"/>
  <c r="AA71" i="22"/>
  <c r="AU71" i="22" s="1"/>
  <c r="AV73" i="22"/>
  <c r="AA73" i="22"/>
  <c r="AU73" i="22" s="1"/>
  <c r="AV77" i="22"/>
  <c r="AA77" i="22"/>
  <c r="AU77" i="22" s="1"/>
  <c r="AV80" i="22"/>
  <c r="AA80" i="22"/>
  <c r="AU80" i="22" s="1"/>
  <c r="AV88" i="22"/>
  <c r="AA88" i="22"/>
  <c r="AU88" i="22" s="1"/>
  <c r="AV101" i="22"/>
  <c r="AA101" i="22"/>
  <c r="AU101" i="22" s="1"/>
  <c r="AV104" i="22"/>
  <c r="AA104" i="22"/>
  <c r="AU104" i="22" s="1"/>
  <c r="AV109" i="22"/>
  <c r="AA109" i="22"/>
  <c r="AU109" i="22" s="1"/>
  <c r="AV46" i="22"/>
  <c r="AA46" i="22"/>
  <c r="AU46" i="22" s="1"/>
  <c r="AV44" i="22"/>
  <c r="AA44" i="22"/>
  <c r="AU44" i="22" s="1"/>
  <c r="AV40" i="22"/>
  <c r="AA40" i="22"/>
  <c r="AU40" i="22" s="1"/>
  <c r="AV37" i="22"/>
  <c r="AA37" i="22"/>
  <c r="AU37" i="22" s="1"/>
  <c r="AV117" i="22"/>
  <c r="AA117" i="22"/>
  <c r="AU117" i="22" s="1"/>
  <c r="AV68" i="22"/>
  <c r="AA68" i="22"/>
  <c r="AU68" i="22" s="1"/>
  <c r="AV74" i="22"/>
  <c r="AA74" i="22"/>
  <c r="AU74" i="22" s="1"/>
  <c r="AV75" i="22"/>
  <c r="AA75" i="22"/>
  <c r="AU75" i="22" s="1"/>
  <c r="AV78" i="22"/>
  <c r="AA78" i="22"/>
  <c r="AU78" i="22" s="1"/>
  <c r="AV79" i="22"/>
  <c r="AA79" i="22"/>
  <c r="AU79" i="22" s="1"/>
  <c r="AV81" i="22"/>
  <c r="AA81" i="22"/>
  <c r="AU81" i="22" s="1"/>
  <c r="AV82" i="22"/>
  <c r="AA82" i="22"/>
  <c r="AU82" i="22" s="1"/>
  <c r="AV83" i="22"/>
  <c r="AA83" i="22"/>
  <c r="AU83" i="22" s="1"/>
  <c r="AV97" i="22"/>
  <c r="AA97" i="22"/>
  <c r="AU97" i="22" s="1"/>
  <c r="AV98" i="22"/>
  <c r="AA98" i="22"/>
  <c r="AU98" i="22" s="1"/>
  <c r="AV99" i="22"/>
  <c r="AA99" i="22"/>
  <c r="AU99" i="22" s="1"/>
  <c r="AV100" i="22"/>
  <c r="AA100" i="22"/>
  <c r="AU100" i="22" s="1"/>
  <c r="AV102" i="22"/>
  <c r="AA102" i="22"/>
  <c r="AU102" i="22" s="1"/>
  <c r="AV103" i="22"/>
  <c r="AA103" i="22"/>
  <c r="AU103" i="22" s="1"/>
  <c r="AV105" i="22"/>
  <c r="AA105" i="22"/>
  <c r="AU105" i="22" s="1"/>
  <c r="AV106" i="22"/>
  <c r="AA106" i="22"/>
  <c r="AU106" i="22" s="1"/>
  <c r="AV107" i="22"/>
  <c r="AA107" i="22"/>
  <c r="AU107" i="22" s="1"/>
  <c r="AV108" i="22"/>
  <c r="AA108" i="22"/>
  <c r="AU108" i="22" s="1"/>
  <c r="AV110" i="22"/>
  <c r="AA110" i="22"/>
  <c r="AU110" i="22" s="1"/>
  <c r="AV111" i="22"/>
  <c r="AA111" i="22"/>
  <c r="AU111" i="22" s="1"/>
  <c r="AV114" i="22"/>
  <c r="AA114" i="22"/>
  <c r="AU114" i="22" s="1"/>
  <c r="AV115" i="22"/>
  <c r="AA115" i="22"/>
  <c r="AU115" i="22" s="1"/>
  <c r="AV118" i="22"/>
  <c r="AA118" i="22"/>
  <c r="AU118" i="22" s="1"/>
  <c r="AV119" i="22"/>
  <c r="AA119" i="22"/>
  <c r="AU119" i="22" s="1"/>
  <c r="AV120" i="22"/>
  <c r="AA120" i="22"/>
  <c r="AU120" i="22" s="1"/>
  <c r="AV59" i="22"/>
  <c r="AA59" i="22"/>
  <c r="AU59" i="22" s="1"/>
  <c r="AV58" i="22"/>
  <c r="AA58" i="22"/>
  <c r="AU58" i="22" s="1"/>
  <c r="AV55" i="22"/>
  <c r="AA55" i="22"/>
  <c r="AU55" i="22" s="1"/>
  <c r="AV56" i="22"/>
  <c r="AA56" i="22"/>
  <c r="AU56" i="22" s="1"/>
  <c r="AV57" i="22"/>
  <c r="AA57" i="22"/>
  <c r="AU57" i="22" s="1"/>
  <c r="AV49" i="22"/>
  <c r="AA49" i="22"/>
  <c r="AU49" i="22" s="1"/>
  <c r="AV51" i="22"/>
  <c r="AA51" i="22"/>
  <c r="AU51" i="22" s="1"/>
  <c r="AV52" i="22"/>
  <c r="AA52" i="22"/>
  <c r="AU52" i="22" s="1"/>
  <c r="AV53" i="22"/>
  <c r="AA53" i="22"/>
  <c r="AU53" i="22" s="1"/>
  <c r="AV61" i="22"/>
  <c r="AA61" i="22"/>
  <c r="AU61" i="22" s="1"/>
  <c r="AV63" i="22"/>
  <c r="AA63" i="22"/>
  <c r="AU63" i="22" s="1"/>
  <c r="AV69" i="22"/>
  <c r="AA69" i="22"/>
  <c r="AU69" i="22" s="1"/>
  <c r="AV70" i="22"/>
  <c r="AA70" i="22"/>
  <c r="AU70" i="22" s="1"/>
  <c r="AV72" i="22"/>
  <c r="AA72" i="22"/>
  <c r="AU72" i="22" s="1"/>
  <c r="AV45" i="22"/>
  <c r="AA45" i="22"/>
  <c r="AU45" i="22" s="1"/>
  <c r="AV43" i="22"/>
  <c r="AA43" i="22"/>
  <c r="AU43" i="22" s="1"/>
  <c r="AV42" i="22"/>
  <c r="AA42" i="22"/>
  <c r="AU42" i="22" s="1"/>
  <c r="AV41" i="22"/>
  <c r="AA41" i="22"/>
  <c r="AU41" i="22" s="1"/>
  <c r="AV39" i="22"/>
  <c r="AA39" i="22"/>
  <c r="AU39" i="22" s="1"/>
  <c r="AV38" i="22"/>
  <c r="AA38" i="22"/>
  <c r="AU38" i="22" s="1"/>
  <c r="AV35" i="22"/>
  <c r="AA35" i="22"/>
  <c r="AU35" i="22" s="1"/>
  <c r="AV36" i="22"/>
  <c r="AA36" i="22"/>
  <c r="AU36" i="22" s="1"/>
  <c r="AV33" i="22"/>
  <c r="AA33" i="22"/>
  <c r="AU33" i="22" s="1"/>
  <c r="AV24" i="22"/>
  <c r="AA24" i="22"/>
  <c r="AU24" i="22" s="1"/>
  <c r="AV27" i="22"/>
  <c r="AA27" i="22"/>
  <c r="AU27" i="22" s="1"/>
  <c r="AV7" i="22"/>
  <c r="AA7" i="22"/>
  <c r="AU7" i="22" s="1"/>
  <c r="AV5" i="22"/>
  <c r="AA5" i="22"/>
  <c r="AU5" i="22" s="1"/>
  <c r="AV21" i="22"/>
  <c r="AA21" i="22"/>
  <c r="AU21" i="22" s="1"/>
  <c r="AV26" i="22"/>
  <c r="AA26" i="22"/>
  <c r="AU26" i="22" s="1"/>
  <c r="AV23" i="22"/>
  <c r="AA23" i="22"/>
  <c r="AU23" i="22" s="1"/>
  <c r="AV28" i="22"/>
  <c r="AA28" i="22"/>
  <c r="AU28" i="22" s="1"/>
  <c r="AV20" i="22"/>
  <c r="AA20" i="22"/>
  <c r="AU20" i="22" s="1"/>
  <c r="AV25" i="22"/>
  <c r="AA25" i="22"/>
  <c r="AU25" i="22" s="1"/>
  <c r="AV30" i="22"/>
  <c r="AA30" i="22"/>
  <c r="AU30" i="22" s="1"/>
  <c r="AV6" i="22"/>
  <c r="AA6" i="22"/>
  <c r="AU6" i="22" s="1"/>
  <c r="AV18" i="22"/>
  <c r="AA18" i="22"/>
  <c r="AU18" i="22" s="1"/>
  <c r="AV19" i="22"/>
  <c r="AA19" i="22"/>
  <c r="AU19" i="22" s="1"/>
  <c r="AV22" i="22"/>
  <c r="AA22" i="22"/>
  <c r="AU22" i="22" s="1"/>
  <c r="AV29" i="22"/>
  <c r="AA29" i="22"/>
  <c r="AU29" i="22" s="1"/>
  <c r="AV8" i="22"/>
  <c r="AA8" i="22"/>
  <c r="AU8" i="22" s="1"/>
  <c r="O32" i="22" a="1"/>
  <c r="O32" i="22" s="1"/>
  <c r="P32" i="22"/>
  <c r="Q32" i="22" a="1"/>
  <c r="Q32" i="22" s="1"/>
  <c r="AC32" i="22"/>
  <c r="AA32" i="22"/>
  <c r="AU32" i="22" s="1"/>
  <c r="O187" i="22" a="1"/>
  <c r="O187" i="22" s="1"/>
  <c r="P187" i="22"/>
  <c r="Q187" i="22" a="1"/>
  <c r="Q187" i="22" s="1"/>
  <c r="AA187" i="22"/>
  <c r="AU187" i="22" s="1"/>
  <c r="AC187" i="22"/>
  <c r="O124" i="22" a="1"/>
  <c r="O124" i="22" s="1"/>
  <c r="P124" i="22"/>
  <c r="Q124" i="22" a="1"/>
  <c r="Q124" i="22" s="1"/>
  <c r="AC124" i="22"/>
  <c r="AA124" i="22"/>
  <c r="AU124" i="22" s="1"/>
  <c r="O125" i="22" a="1"/>
  <c r="O125" i="22" s="1"/>
  <c r="P125" i="22"/>
  <c r="Q125" i="22" a="1"/>
  <c r="Q125" i="22" s="1"/>
  <c r="AC125" i="22"/>
  <c r="AA125" i="22"/>
  <c r="AU125" i="22" s="1"/>
  <c r="O148" i="22" a="1"/>
  <c r="O148" i="22" s="1"/>
  <c r="Q148" i="22" a="1"/>
  <c r="Q148" i="22" s="1"/>
  <c r="AC148" i="22"/>
  <c r="AA148" i="22"/>
  <c r="AU148" i="22" s="1"/>
  <c r="O159" i="22" a="1"/>
  <c r="O159" i="22" s="1"/>
  <c r="P159" i="22"/>
  <c r="Q159" i="22" a="1"/>
  <c r="Q159" i="22" s="1"/>
  <c r="AC159" i="22"/>
  <c r="AA159" i="22"/>
  <c r="AU159" i="22" s="1"/>
  <c r="O142" i="22" a="1"/>
  <c r="O142" i="22" s="1"/>
  <c r="P142" i="22"/>
  <c r="Q142" i="22" a="1"/>
  <c r="Q142" i="22" s="1"/>
  <c r="AC142" i="22"/>
  <c r="AA142" i="22"/>
  <c r="AU142" i="22" s="1"/>
  <c r="O149" i="22" a="1"/>
  <c r="O149" i="22" s="1"/>
  <c r="P149" i="22"/>
  <c r="Q149" i="22" a="1"/>
  <c r="Q149" i="22" s="1"/>
  <c r="AC149" i="22"/>
  <c r="AA149" i="22"/>
  <c r="AU149" i="22" s="1"/>
  <c r="O113" i="22" a="1"/>
  <c r="O113" i="22" s="1"/>
  <c r="P113" i="22"/>
  <c r="Q113" i="22" a="1"/>
  <c r="Q113" i="22" s="1"/>
  <c r="AC113" i="22"/>
  <c r="AA113" i="22"/>
  <c r="AU113" i="22" s="1"/>
  <c r="O176" i="22" a="1"/>
  <c r="O176" i="22" s="1"/>
  <c r="P176" i="22"/>
  <c r="Q176" i="22" a="1"/>
  <c r="Q176" i="22" s="1"/>
  <c r="AC176" i="22"/>
  <c r="AA176" i="22"/>
  <c r="AU176" i="22" s="1"/>
  <c r="O181" i="22" a="1"/>
  <c r="O181" i="22" s="1"/>
  <c r="P181" i="22"/>
  <c r="Q181" i="22" a="1"/>
  <c r="Q181" i="22" s="1"/>
  <c r="AA181" i="22"/>
  <c r="AU181" i="22" s="1"/>
  <c r="AC181" i="22"/>
  <c r="O112" i="22" a="1"/>
  <c r="O112" i="22" s="1"/>
  <c r="P112" i="22"/>
  <c r="Q112" i="22" a="1"/>
  <c r="Q112" i="22" s="1"/>
  <c r="AC112" i="22"/>
  <c r="AA112" i="22"/>
  <c r="AU112" i="22" s="1"/>
  <c r="O195" i="22" a="1"/>
  <c r="O195" i="22" s="1"/>
  <c r="P195" i="22"/>
  <c r="Q195" i="22" a="1"/>
  <c r="Q195" i="22" s="1"/>
  <c r="AA195" i="22"/>
  <c r="AU195" i="22" s="1"/>
  <c r="AC195" i="22"/>
  <c r="O76" i="22" a="1"/>
  <c r="O76" i="22" s="1"/>
  <c r="P76" i="22"/>
  <c r="Q76" i="22" a="1"/>
  <c r="Q76" i="22" s="1"/>
  <c r="AC76" i="22"/>
  <c r="AA76" i="22"/>
  <c r="AU76" i="22" s="1"/>
  <c r="O121" i="22" a="1"/>
  <c r="O121" i="22" s="1"/>
  <c r="P121" i="22"/>
  <c r="Q121" i="22" a="1"/>
  <c r="Q121" i="22" s="1"/>
  <c r="AC121" i="22"/>
  <c r="AA121" i="22"/>
  <c r="AU121" i="22" s="1"/>
  <c r="AC13" i="22"/>
  <c r="Q13" i="22" a="1"/>
  <c r="Q13" i="22" s="1"/>
  <c r="P13" i="22"/>
  <c r="O13" i="22" a="1"/>
  <c r="O13" i="22" s="1"/>
  <c r="AA13" i="22"/>
  <c r="AU13" i="22" s="1"/>
  <c r="AC14" i="22"/>
  <c r="Q14" i="22" a="1"/>
  <c r="Q14" i="22" s="1"/>
  <c r="P14" i="22"/>
  <c r="O14" i="22" a="1"/>
  <c r="O14" i="22" s="1"/>
  <c r="AA14" i="22"/>
  <c r="AU14" i="22" s="1"/>
  <c r="O34" i="22" a="1"/>
  <c r="O34" i="22" s="1"/>
  <c r="P34" i="22"/>
  <c r="Q34" i="22" a="1"/>
  <c r="Q34" i="22" s="1"/>
  <c r="AC34" i="22"/>
  <c r="AA34" i="22"/>
  <c r="AU34" i="22" s="1"/>
  <c r="O193" i="22" a="1"/>
  <c r="O193" i="22" s="1"/>
  <c r="P193" i="22"/>
  <c r="Q193" i="22" a="1"/>
  <c r="Q193" i="22" s="1"/>
  <c r="AA193" i="22"/>
  <c r="AU193" i="22" s="1"/>
  <c r="AC193" i="22"/>
  <c r="O94" i="22" a="1"/>
  <c r="O94" i="22" s="1"/>
  <c r="P94" i="22"/>
  <c r="Q94" i="22" a="1"/>
  <c r="Q94" i="22" s="1"/>
  <c r="AC94" i="22"/>
  <c r="AA94" i="22"/>
  <c r="AU94" i="22" s="1"/>
  <c r="O183" i="22" a="1"/>
  <c r="O183" i="22" s="1"/>
  <c r="P183" i="22"/>
  <c r="Q183" i="22" a="1"/>
  <c r="Q183" i="22" s="1"/>
  <c r="AA183" i="22"/>
  <c r="AU183" i="22" s="1"/>
  <c r="AC183" i="22"/>
  <c r="O116" i="22" a="1"/>
  <c r="O116" i="22" s="1"/>
  <c r="P116" i="22"/>
  <c r="Q116" i="22" a="1"/>
  <c r="Q116" i="22" s="1"/>
  <c r="AC116" i="22"/>
  <c r="AA116" i="22"/>
  <c r="AU116" i="22" s="1"/>
  <c r="O138" i="22" a="1"/>
  <c r="O138" i="22" s="1"/>
  <c r="P138" i="22"/>
  <c r="Q138" i="22" a="1"/>
  <c r="Q138" i="22" s="1"/>
  <c r="AC138" i="22"/>
  <c r="AA138" i="22"/>
  <c r="AU138" i="22" s="1"/>
  <c r="V187" i="22"/>
  <c r="X187" i="22" s="1" a="1"/>
  <c r="X187" i="22" s="1"/>
  <c r="Z187" i="22"/>
  <c r="AW187" i="22" s="1"/>
  <c r="AD187" i="22"/>
  <c r="AX187" i="22" s="1"/>
  <c r="V197" i="22"/>
  <c r="X197" i="22" s="1" a="1"/>
  <c r="X197" i="22" s="1"/>
  <c r="Z197" i="22"/>
  <c r="AW197" i="22" s="1"/>
  <c r="AD197" i="22"/>
  <c r="AX197" i="22" s="1"/>
  <c r="V199" i="22"/>
  <c r="X199" i="22" s="1" a="1"/>
  <c r="X199" i="22" s="1"/>
  <c r="Z199" i="22"/>
  <c r="AW199" i="22" s="1"/>
  <c r="AD199" i="22"/>
  <c r="AX199" i="22" s="1"/>
  <c r="V202" i="22"/>
  <c r="X202" i="22" s="1" a="1"/>
  <c r="X202" i="22" s="1"/>
  <c r="Z202" i="22"/>
  <c r="AW202" i="22" s="1"/>
  <c r="AD202" i="22"/>
  <c r="AX202" i="22" s="1"/>
  <c r="V203" i="22"/>
  <c r="X203" i="22" s="1" a="1"/>
  <c r="X203" i="22" s="1"/>
  <c r="Z203" i="22"/>
  <c r="AW203" i="22" s="1"/>
  <c r="AD203" i="22"/>
  <c r="AX203" i="22" s="1"/>
  <c r="V204" i="22"/>
  <c r="X204" i="22" s="1" a="1"/>
  <c r="X204" i="22" s="1"/>
  <c r="Z204" i="22"/>
  <c r="AW204" i="22" s="1"/>
  <c r="AD204" i="22"/>
  <c r="AX204" i="22" s="1"/>
  <c r="V180" i="22"/>
  <c r="X180" i="22" s="1" a="1"/>
  <c r="X180" i="22" s="1"/>
  <c r="Z180" i="22"/>
  <c r="AW180" i="22" s="1"/>
  <c r="AD180" i="22"/>
  <c r="AX180" i="22" s="1"/>
  <c r="V181" i="22"/>
  <c r="X181" i="22" s="1" a="1"/>
  <c r="X181" i="22" s="1"/>
  <c r="Z181" i="22"/>
  <c r="AW181" i="22" s="1"/>
  <c r="AD181" i="22"/>
  <c r="AX181" i="22" s="1"/>
  <c r="V182" i="22"/>
  <c r="X182" i="22" s="1" a="1"/>
  <c r="X182" i="22" s="1"/>
  <c r="Z182" i="22"/>
  <c r="AW182" i="22" s="1"/>
  <c r="AD182" i="22"/>
  <c r="AX182" i="22" s="1"/>
  <c r="V183" i="22"/>
  <c r="X183" i="22" s="1" a="1"/>
  <c r="X183" i="22" s="1"/>
  <c r="Z183" i="22"/>
  <c r="AW183" i="22" s="1"/>
  <c r="AD183" i="22"/>
  <c r="AX183" i="22" s="1"/>
  <c r="V184" i="22"/>
  <c r="X184" i="22" s="1" a="1"/>
  <c r="X184" i="22" s="1"/>
  <c r="Z184" i="22"/>
  <c r="AW184" i="22" s="1"/>
  <c r="AD184" i="22"/>
  <c r="AX184" i="22" s="1"/>
  <c r="V185" i="22"/>
  <c r="X185" i="22" s="1" a="1"/>
  <c r="X185" i="22" s="1"/>
  <c r="Z185" i="22"/>
  <c r="AW185" i="22" s="1"/>
  <c r="AD185" i="22"/>
  <c r="AX185" i="22" s="1"/>
  <c r="V186" i="22"/>
  <c r="X186" i="22" s="1" a="1"/>
  <c r="X186" i="22" s="1"/>
  <c r="Z186" i="22"/>
  <c r="AW186" i="22" s="1"/>
  <c r="AD186" i="22"/>
  <c r="AX186" i="22" s="1"/>
  <c r="V188" i="22"/>
  <c r="X188" i="22" s="1" a="1"/>
  <c r="X188" i="22" s="1"/>
  <c r="Z188" i="22"/>
  <c r="AW188" i="22" s="1"/>
  <c r="AD188" i="22"/>
  <c r="AX188" i="22" s="1"/>
  <c r="V189" i="22"/>
  <c r="X189" i="22" s="1" a="1"/>
  <c r="X189" i="22" s="1"/>
  <c r="Z189" i="22"/>
  <c r="AW189" i="22" s="1"/>
  <c r="AD189" i="22"/>
  <c r="AX189" i="22" s="1"/>
  <c r="V190" i="22"/>
  <c r="X190" i="22" s="1" a="1"/>
  <c r="X190" i="22" s="1"/>
  <c r="Z190" i="22"/>
  <c r="AW190" i="22" s="1"/>
  <c r="AD190" i="22"/>
  <c r="AX190" i="22" s="1"/>
  <c r="V191" i="22"/>
  <c r="X191" i="22" s="1" a="1"/>
  <c r="X191" i="22" s="1"/>
  <c r="Z191" i="22"/>
  <c r="AW191" i="22" s="1"/>
  <c r="AD191" i="22"/>
  <c r="AX191" i="22" s="1"/>
  <c r="V192" i="22"/>
  <c r="X192" i="22" s="1" a="1"/>
  <c r="X192" i="22" s="1"/>
  <c r="Z192" i="22"/>
  <c r="AW192" i="22" s="1"/>
  <c r="AD192" i="22"/>
  <c r="AX192" i="22" s="1"/>
  <c r="V193" i="22"/>
  <c r="X193" i="22" s="1" a="1"/>
  <c r="X193" i="22" s="1"/>
  <c r="Z193" i="22"/>
  <c r="AW193" i="22" s="1"/>
  <c r="AD193" i="22"/>
  <c r="AX193" i="22" s="1"/>
  <c r="V194" i="22"/>
  <c r="X194" i="22" s="1" a="1"/>
  <c r="X194" i="22" s="1"/>
  <c r="Z194" i="22"/>
  <c r="AW194" i="22" s="1"/>
  <c r="AD194" i="22"/>
  <c r="AX194" i="22" s="1"/>
  <c r="V195" i="22"/>
  <c r="X195" i="22" s="1" a="1"/>
  <c r="X195" i="22" s="1"/>
  <c r="Z195" i="22"/>
  <c r="AW195" i="22" s="1"/>
  <c r="AD195" i="22"/>
  <c r="AX195" i="22" s="1"/>
  <c r="V196" i="22"/>
  <c r="X196" i="22" s="1" a="1"/>
  <c r="X196" i="22" s="1"/>
  <c r="Z196" i="22"/>
  <c r="AW196" i="22" s="1"/>
  <c r="AD196" i="22"/>
  <c r="AX196" i="22" s="1"/>
  <c r="V198" i="22"/>
  <c r="X198" i="22" s="1" a="1"/>
  <c r="X198" i="22" s="1"/>
  <c r="Z198" i="22"/>
  <c r="AW198" i="22" s="1"/>
  <c r="AD198" i="22"/>
  <c r="AX198" i="22" s="1"/>
  <c r="V200" i="22"/>
  <c r="X200" i="22" s="1" a="1"/>
  <c r="X200" i="22" s="1"/>
  <c r="Z200" i="22"/>
  <c r="AW200" i="22" s="1"/>
  <c r="AD200" i="22"/>
  <c r="AX200" i="22" s="1"/>
  <c r="V201" i="22"/>
  <c r="X201" i="22" s="1" a="1"/>
  <c r="X201" i="22" s="1"/>
  <c r="Z201" i="22"/>
  <c r="AW201" i="22" s="1"/>
  <c r="AD201" i="22"/>
  <c r="AX201" i="22" s="1"/>
  <c r="V177" i="22"/>
  <c r="X177" i="22" s="1" a="1"/>
  <c r="X177" i="22" s="1"/>
  <c r="Z177" i="22"/>
  <c r="AW177" i="22" s="1"/>
  <c r="AD177" i="22"/>
  <c r="AX177" i="22" s="1"/>
  <c r="V178" i="22"/>
  <c r="X178" i="22" s="1" a="1"/>
  <c r="X178" i="22" s="1"/>
  <c r="Z178" i="22"/>
  <c r="AW178" i="22" s="1"/>
  <c r="AD178" i="22"/>
  <c r="AX178" i="22" s="1"/>
  <c r="V173" i="22"/>
  <c r="X173" i="22" s="1" a="1"/>
  <c r="X173" i="22" s="1"/>
  <c r="Z173" i="22"/>
  <c r="AW173" i="22" s="1"/>
  <c r="AD173" i="22"/>
  <c r="AX173" i="22" s="1"/>
  <c r="V174" i="22"/>
  <c r="X174" i="22" s="1" a="1"/>
  <c r="X174" i="22" s="1"/>
  <c r="Z174" i="22"/>
  <c r="AW174" i="22" s="1"/>
  <c r="AD174" i="22"/>
  <c r="AX174" i="22" s="1"/>
  <c r="V175" i="22"/>
  <c r="X175" i="22" s="1" a="1"/>
  <c r="X175" i="22" s="1"/>
  <c r="Z175" i="22"/>
  <c r="AW175" i="22" s="1"/>
  <c r="AD175" i="22"/>
  <c r="AX175" i="22" s="1"/>
  <c r="V176" i="22"/>
  <c r="X176" i="22" s="1" a="1"/>
  <c r="X176" i="22" s="1"/>
  <c r="Z176" i="22"/>
  <c r="AW176" i="22" s="1"/>
  <c r="AD176" i="22"/>
  <c r="AX176" i="22" s="1"/>
  <c r="V179" i="22"/>
  <c r="X179" i="22" s="1" a="1"/>
  <c r="X179" i="22" s="1"/>
  <c r="Z179" i="22"/>
  <c r="AW179" i="22" s="1"/>
  <c r="AD179" i="22"/>
  <c r="AX179" i="22" s="1"/>
  <c r="V171" i="22"/>
  <c r="X171" i="22" s="1" a="1"/>
  <c r="X171" i="22" s="1"/>
  <c r="Z171" i="22"/>
  <c r="AW171" i="22" s="1"/>
  <c r="AD171" i="22"/>
  <c r="AX171" i="22" s="1"/>
  <c r="V172" i="22"/>
  <c r="X172" i="22" s="1" a="1"/>
  <c r="X172" i="22" s="1"/>
  <c r="Z172" i="22"/>
  <c r="AW172" i="22" s="1"/>
  <c r="AD172" i="22"/>
  <c r="AX172" i="22" s="1"/>
  <c r="V158" i="22"/>
  <c r="X158" i="22" s="1" a="1"/>
  <c r="X158" i="22" s="1"/>
  <c r="Z158" i="22"/>
  <c r="AW158" i="22" s="1"/>
  <c r="AD158" i="22"/>
  <c r="AX158" i="22" s="1"/>
  <c r="V161" i="22"/>
  <c r="X161" i="22" s="1" a="1"/>
  <c r="X161" i="22" s="1"/>
  <c r="AD161" i="22" s="1"/>
  <c r="AX161" i="22" s="1"/>
  <c r="Z161" i="22"/>
  <c r="AW161" i="22" s="1"/>
  <c r="V164" i="22"/>
  <c r="X164" i="22" s="1" a="1"/>
  <c r="X164" i="22" s="1"/>
  <c r="Z164" i="22"/>
  <c r="AW164" i="22" s="1"/>
  <c r="AD164" i="22"/>
  <c r="AX164" i="22" s="1"/>
  <c r="V156" i="22"/>
  <c r="X156" i="22" s="1" a="1"/>
  <c r="X156" i="22" s="1"/>
  <c r="Z156" i="22"/>
  <c r="AW156" i="22" s="1"/>
  <c r="AD156" i="22"/>
  <c r="AX156" i="22" s="1"/>
  <c r="V157" i="22"/>
  <c r="X157" i="22" s="1" a="1"/>
  <c r="X157" i="22" s="1"/>
  <c r="Z157" i="22"/>
  <c r="AW157" i="22" s="1"/>
  <c r="AD157" i="22"/>
  <c r="AX157" i="22" s="1"/>
  <c r="V159" i="22"/>
  <c r="X159" i="22" s="1" a="1"/>
  <c r="X159" i="22" s="1"/>
  <c r="Z159" i="22"/>
  <c r="AW159" i="22" s="1"/>
  <c r="AD159" i="22"/>
  <c r="AX159" i="22" s="1"/>
  <c r="V160" i="22"/>
  <c r="X160" i="22" s="1" a="1"/>
  <c r="X160" i="22" s="1"/>
  <c r="Z160" i="22"/>
  <c r="AW160" i="22" s="1"/>
  <c r="AD160" i="22"/>
  <c r="AX160" i="22" s="1"/>
  <c r="V162" i="22"/>
  <c r="X162" i="22" s="1" a="1"/>
  <c r="X162" i="22" s="1"/>
  <c r="AD162" i="22" s="1"/>
  <c r="AX162" i="22" s="1"/>
  <c r="Z162" i="22"/>
  <c r="AW162" i="22" s="1"/>
  <c r="V163" i="22"/>
  <c r="X163" i="22" s="1" a="1"/>
  <c r="X163" i="22" s="1"/>
  <c r="Z163" i="22"/>
  <c r="AW163" i="22" s="1"/>
  <c r="AD163" i="22"/>
  <c r="AX163" i="22" s="1"/>
  <c r="V165" i="22"/>
  <c r="X165" i="22" s="1" a="1"/>
  <c r="X165" i="22" s="1"/>
  <c r="Z165" i="22"/>
  <c r="AW165" i="22" s="1"/>
  <c r="AD165" i="22"/>
  <c r="AX165" i="22" s="1"/>
  <c r="V166" i="22"/>
  <c r="X166" i="22" s="1" a="1"/>
  <c r="X166" i="22" s="1"/>
  <c r="Z166" i="22"/>
  <c r="AW166" i="22" s="1"/>
  <c r="AD166" i="22"/>
  <c r="AX166" i="22" s="1"/>
  <c r="V167" i="22"/>
  <c r="X167" i="22" s="1" a="1"/>
  <c r="X167" i="22" s="1"/>
  <c r="Z167" i="22"/>
  <c r="AW167" i="22" s="1"/>
  <c r="AD167" i="22"/>
  <c r="AX167" i="22" s="1"/>
  <c r="V168" i="22"/>
  <c r="X168" i="22" s="1" a="1"/>
  <c r="X168" i="22" s="1"/>
  <c r="AD168" i="22" s="1"/>
  <c r="AX168" i="22" s="1"/>
  <c r="Z168" i="22"/>
  <c r="AW168" i="22" s="1"/>
  <c r="V169" i="22"/>
  <c r="X169" i="22" s="1" a="1"/>
  <c r="X169" i="22" s="1"/>
  <c r="Z169" i="22"/>
  <c r="AW169" i="22" s="1"/>
  <c r="AD169" i="22"/>
  <c r="AX169" i="22" s="1"/>
  <c r="V170" i="22"/>
  <c r="X170" i="22" s="1" a="1"/>
  <c r="X170" i="22" s="1"/>
  <c r="Z170" i="22"/>
  <c r="AW170" i="22" s="1"/>
  <c r="AD170" i="22"/>
  <c r="AX170" i="22" s="1"/>
  <c r="V154" i="22"/>
  <c r="X154" i="22" s="1" a="1"/>
  <c r="X154" i="22" s="1"/>
  <c r="Z154" i="22"/>
  <c r="AW154" i="22" s="1"/>
  <c r="AD154" i="22"/>
  <c r="AX154" i="22" s="1"/>
  <c r="V155" i="22"/>
  <c r="X155" i="22" s="1" a="1"/>
  <c r="X155" i="22" s="1"/>
  <c r="Z155" i="22"/>
  <c r="AW155" i="22" s="1"/>
  <c r="AD155" i="22"/>
  <c r="AX155" i="22" s="1"/>
  <c r="V123" i="22"/>
  <c r="X123" i="22" s="1" a="1"/>
  <c r="X123" i="22" s="1"/>
  <c r="Z123" i="22"/>
  <c r="AW123" i="22" s="1"/>
  <c r="AD123" i="22"/>
  <c r="AX123" i="22" s="1"/>
  <c r="V135" i="22"/>
  <c r="X135" i="22" s="1" a="1"/>
  <c r="X135" i="22" s="1"/>
  <c r="Z135" i="22"/>
  <c r="AW135" i="22" s="1"/>
  <c r="AD135" i="22"/>
  <c r="AX135" i="22" s="1"/>
  <c r="V122" i="22"/>
  <c r="X122" i="22" s="1" a="1"/>
  <c r="X122" i="22" s="1"/>
  <c r="Z122" i="22"/>
  <c r="AW122" i="22" s="1"/>
  <c r="AD122" i="22"/>
  <c r="AX122" i="22" s="1"/>
  <c r="V124" i="22"/>
  <c r="X124" i="22" s="1" a="1"/>
  <c r="X124" i="22" s="1"/>
  <c r="Z124" i="22"/>
  <c r="AW124" i="22" s="1"/>
  <c r="AD124" i="22"/>
  <c r="AX124" i="22" s="1"/>
  <c r="V125" i="22"/>
  <c r="X125" i="22" s="1" a="1"/>
  <c r="X125" i="22" s="1"/>
  <c r="Z125" i="22"/>
  <c r="AW125" i="22" s="1"/>
  <c r="AD125" i="22"/>
  <c r="AX125" i="22" s="1"/>
  <c r="V126" i="22"/>
  <c r="X126" i="22" s="1" a="1"/>
  <c r="X126" i="22" s="1"/>
  <c r="AD126" i="22" s="1"/>
  <c r="AX126" i="22" s="1"/>
  <c r="Z126" i="22"/>
  <c r="AW126" i="22" s="1"/>
  <c r="V127" i="22"/>
  <c r="X127" i="22" s="1" a="1"/>
  <c r="X127" i="22" s="1"/>
  <c r="Z127" i="22"/>
  <c r="AW127" i="22" s="1"/>
  <c r="AD127" i="22"/>
  <c r="AX127" i="22" s="1"/>
  <c r="V128" i="22"/>
  <c r="X128" i="22" s="1" a="1"/>
  <c r="X128" i="22" s="1"/>
  <c r="Z128" i="22"/>
  <c r="AW128" i="22" s="1"/>
  <c r="AD128" i="22"/>
  <c r="AX128" i="22" s="1"/>
  <c r="V129" i="22"/>
  <c r="X129" i="22" s="1" a="1"/>
  <c r="X129" i="22" s="1"/>
  <c r="Z129" i="22"/>
  <c r="AW129" i="22" s="1"/>
  <c r="AD129" i="22"/>
  <c r="AX129" i="22" s="1"/>
  <c r="V130" i="22"/>
  <c r="X130" i="22" s="1" a="1"/>
  <c r="X130" i="22" s="1"/>
  <c r="Z130" i="22"/>
  <c r="AW130" i="22" s="1"/>
  <c r="AD130" i="22"/>
  <c r="AX130" i="22" s="1"/>
  <c r="V131" i="22"/>
  <c r="X131" i="22" s="1" a="1"/>
  <c r="X131" i="22" s="1"/>
  <c r="Z131" i="22"/>
  <c r="AW131" i="22" s="1"/>
  <c r="AD131" i="22"/>
  <c r="AX131" i="22" s="1"/>
  <c r="V132" i="22"/>
  <c r="X132" i="22" s="1" a="1"/>
  <c r="X132" i="22" s="1"/>
  <c r="Z132" i="22"/>
  <c r="AW132" i="22" s="1"/>
  <c r="AD132" i="22"/>
  <c r="AX132" i="22" s="1"/>
  <c r="V133" i="22"/>
  <c r="X133" i="22" s="1" a="1"/>
  <c r="X133" i="22" s="1"/>
  <c r="Z133" i="22"/>
  <c r="AW133" i="22" s="1"/>
  <c r="AD133" i="22"/>
  <c r="AX133" i="22" s="1"/>
  <c r="V134" i="22"/>
  <c r="X134" i="22" s="1" a="1"/>
  <c r="X134" i="22" s="1"/>
  <c r="Z134" i="22"/>
  <c r="AW134" i="22" s="1"/>
  <c r="AD134" i="22"/>
  <c r="AX134" i="22" s="1"/>
  <c r="V136" i="22"/>
  <c r="X136" i="22" s="1" a="1"/>
  <c r="X136" i="22" s="1"/>
  <c r="Z136" i="22"/>
  <c r="AW136" i="22" s="1"/>
  <c r="AD136" i="22"/>
  <c r="AX136" i="22" s="1"/>
  <c r="V137" i="22"/>
  <c r="X137" i="22" s="1" a="1"/>
  <c r="X137" i="22" s="1"/>
  <c r="Z137" i="22"/>
  <c r="AW137" i="22" s="1"/>
  <c r="AD137" i="22"/>
  <c r="AX137" i="22" s="1"/>
  <c r="V138" i="22"/>
  <c r="X138" i="22" s="1" a="1"/>
  <c r="X138" i="22" s="1"/>
  <c r="Z138" i="22"/>
  <c r="AW138" i="22" s="1"/>
  <c r="AD138" i="22"/>
  <c r="AX138" i="22" s="1"/>
  <c r="V139" i="22"/>
  <c r="X139" i="22" s="1" a="1"/>
  <c r="X139" i="22" s="1"/>
  <c r="Z139" i="22"/>
  <c r="AW139" i="22" s="1"/>
  <c r="AD139" i="22"/>
  <c r="AX139" i="22" s="1"/>
  <c r="V140" i="22"/>
  <c r="X140" i="22" s="1" a="1"/>
  <c r="X140" i="22" s="1"/>
  <c r="Z140" i="22"/>
  <c r="AW140" i="22" s="1"/>
  <c r="AD140" i="22"/>
  <c r="AX140" i="22" s="1"/>
  <c r="V141" i="22"/>
  <c r="X141" i="22" s="1" a="1"/>
  <c r="X141" i="22" s="1"/>
  <c r="Z141" i="22"/>
  <c r="AW141" i="22" s="1"/>
  <c r="AD141" i="22"/>
  <c r="AX141" i="22" s="1"/>
  <c r="V142" i="22"/>
  <c r="X142" i="22" s="1" a="1"/>
  <c r="X142" i="22" s="1"/>
  <c r="Z142" i="22"/>
  <c r="AW142" i="22" s="1"/>
  <c r="AD142" i="22"/>
  <c r="AX142" i="22" s="1"/>
  <c r="V143" i="22"/>
  <c r="X143" i="22" s="1" a="1"/>
  <c r="X143" i="22" s="1"/>
  <c r="Z143" i="22"/>
  <c r="AW143" i="22" s="1"/>
  <c r="AD143" i="22"/>
  <c r="AX143" i="22" s="1"/>
  <c r="V144" i="22"/>
  <c r="X144" i="22" s="1" a="1"/>
  <c r="X144" i="22" s="1"/>
  <c r="Z144" i="22"/>
  <c r="AW144" i="22" s="1"/>
  <c r="AD144" i="22"/>
  <c r="AX144" i="22" s="1"/>
  <c r="V145" i="22"/>
  <c r="X145" i="22" s="1" a="1"/>
  <c r="X145" i="22" s="1"/>
  <c r="Z145" i="22"/>
  <c r="AW145" i="22" s="1"/>
  <c r="AD145" i="22"/>
  <c r="AX145" i="22" s="1"/>
  <c r="V146" i="22"/>
  <c r="X146" i="22" s="1" a="1"/>
  <c r="X146" i="22" s="1"/>
  <c r="Z146" i="22"/>
  <c r="AW146" i="22" s="1"/>
  <c r="AD146" i="22"/>
  <c r="AX146" i="22" s="1"/>
  <c r="V147" i="22"/>
  <c r="X147" i="22" s="1" a="1"/>
  <c r="X147" i="22" s="1"/>
  <c r="Z147" i="22"/>
  <c r="AW147" i="22" s="1"/>
  <c r="AD147" i="22"/>
  <c r="AX147" i="22" s="1"/>
  <c r="V148" i="22"/>
  <c r="X148" i="22" s="1" a="1"/>
  <c r="X148" i="22" s="1"/>
  <c r="Z148" i="22"/>
  <c r="AW148" i="22" s="1"/>
  <c r="AD148" i="22"/>
  <c r="AX148" i="22" s="1"/>
  <c r="V149" i="22"/>
  <c r="X149" i="22" s="1" a="1"/>
  <c r="X149" i="22" s="1"/>
  <c r="Z149" i="22"/>
  <c r="AW149" i="22" s="1"/>
  <c r="AD149" i="22"/>
  <c r="AX149" i="22" s="1"/>
  <c r="V150" i="22"/>
  <c r="X150" i="22" s="1" a="1"/>
  <c r="X150" i="22" s="1"/>
  <c r="Z150" i="22"/>
  <c r="AW150" i="22" s="1"/>
  <c r="AD150" i="22"/>
  <c r="AX150" i="22" s="1"/>
  <c r="T151" i="22"/>
  <c r="Y151" i="22" s="1"/>
  <c r="U151" i="22"/>
  <c r="T152" i="22"/>
  <c r="Y152" i="22" s="1"/>
  <c r="U152" i="22"/>
  <c r="V153" i="22"/>
  <c r="X153" i="22" s="1" a="1"/>
  <c r="X153" i="22" s="1"/>
  <c r="AD153" i="22" s="1"/>
  <c r="AX153" i="22" s="1"/>
  <c r="Z153" i="22"/>
  <c r="AW153" i="22" s="1"/>
  <c r="V60" i="22"/>
  <c r="X60" i="22" s="1" a="1"/>
  <c r="X60" i="22" s="1"/>
  <c r="Z60" i="22"/>
  <c r="AW60" i="22" s="1"/>
  <c r="AD60" i="22"/>
  <c r="AX60" i="22" s="1"/>
  <c r="V47" i="22"/>
  <c r="X47" i="22" s="1" a="1"/>
  <c r="X47" i="22" s="1"/>
  <c r="Z47" i="22"/>
  <c r="AW47" i="22" s="1"/>
  <c r="AD47" i="22"/>
  <c r="AX47" i="22" s="1"/>
  <c r="V48" i="22"/>
  <c r="X48" i="22" s="1" a="1"/>
  <c r="X48" i="22" s="1"/>
  <c r="Z48" i="22"/>
  <c r="AW48" i="22" s="1"/>
  <c r="AD48" i="22"/>
  <c r="AX48" i="22" s="1"/>
  <c r="V50" i="22"/>
  <c r="X50" i="22" s="1" a="1"/>
  <c r="X50" i="22" s="1"/>
  <c r="Z50" i="22"/>
  <c r="AW50" i="22" s="1"/>
  <c r="AD50" i="22"/>
  <c r="AX50" i="22" s="1"/>
  <c r="V54" i="22"/>
  <c r="X54" i="22" s="1" a="1"/>
  <c r="X54" i="22" s="1"/>
  <c r="Z54" i="22"/>
  <c r="AW54" i="22" s="1"/>
  <c r="AD54" i="22"/>
  <c r="AX54" i="22" s="1"/>
  <c r="V62" i="22"/>
  <c r="X62" i="22" s="1" a="1"/>
  <c r="X62" i="22" s="1"/>
  <c r="Z62" i="22"/>
  <c r="AW62" i="22" s="1"/>
  <c r="AD62" i="22"/>
  <c r="AX62" i="22" s="1"/>
  <c r="V64" i="22"/>
  <c r="X64" i="22" s="1" a="1"/>
  <c r="X64" i="22" s="1"/>
  <c r="Z64" i="22"/>
  <c r="AW64" i="22" s="1"/>
  <c r="AD64" i="22"/>
  <c r="AX64" i="22" s="1"/>
  <c r="V71" i="22"/>
  <c r="X71" i="22" s="1" a="1"/>
  <c r="X71" i="22" s="1"/>
  <c r="Z71" i="22"/>
  <c r="AW71" i="22" s="1"/>
  <c r="AD71" i="22"/>
  <c r="AX71" i="22" s="1"/>
  <c r="V73" i="22"/>
  <c r="X73" i="22" s="1" a="1"/>
  <c r="X73" i="22" s="1"/>
  <c r="Z73" i="22"/>
  <c r="AW73" i="22" s="1"/>
  <c r="AD73" i="22"/>
  <c r="AX73" i="22" s="1"/>
  <c r="V76" i="22"/>
  <c r="X76" i="22" s="1" a="1"/>
  <c r="X76" i="22" s="1"/>
  <c r="Z76" i="22"/>
  <c r="AW76" i="22" s="1"/>
  <c r="AD76" i="22"/>
  <c r="AX76" i="22" s="1"/>
  <c r="V77" i="22"/>
  <c r="X77" i="22" s="1" a="1"/>
  <c r="X77" i="22" s="1"/>
  <c r="Z77" i="22"/>
  <c r="AW77" i="22" s="1"/>
  <c r="AD77" i="22"/>
  <c r="AX77" i="22" s="1"/>
  <c r="V80" i="22"/>
  <c r="X80" i="22" s="1" a="1"/>
  <c r="X80" i="22" s="1"/>
  <c r="Z80" i="22"/>
  <c r="AW80" i="22" s="1"/>
  <c r="AD80" i="22"/>
  <c r="AX80" i="22" s="1"/>
  <c r="T84" i="22"/>
  <c r="Y84" i="22" s="1"/>
  <c r="U84" i="22"/>
  <c r="T86" i="22"/>
  <c r="Y86" i="22" s="1"/>
  <c r="U86" i="22"/>
  <c r="V88" i="22"/>
  <c r="X88" i="22" s="1" a="1"/>
  <c r="X88" i="22" s="1"/>
  <c r="Z88" i="22"/>
  <c r="AW88" i="22" s="1"/>
  <c r="AD88" i="22"/>
  <c r="AX88" i="22" s="1"/>
  <c r="T90" i="22"/>
  <c r="Y90" i="22" s="1"/>
  <c r="U90" i="22"/>
  <c r="T96" i="22"/>
  <c r="Y96" i="22" s="1"/>
  <c r="U96" i="22"/>
  <c r="V101" i="22"/>
  <c r="X101" i="22" s="1" a="1"/>
  <c r="X101" i="22" s="1"/>
  <c r="Z101" i="22"/>
  <c r="AW101" i="22" s="1"/>
  <c r="AD101" i="22"/>
  <c r="AX101" i="22" s="1"/>
  <c r="V104" i="22"/>
  <c r="X104" i="22" s="1" a="1"/>
  <c r="X104" i="22" s="1"/>
  <c r="Z104" i="22"/>
  <c r="AW104" i="22" s="1"/>
  <c r="AD104" i="22"/>
  <c r="AX104" i="22" s="1"/>
  <c r="V109" i="22"/>
  <c r="X109" i="22" s="1" a="1"/>
  <c r="X109" i="22" s="1"/>
  <c r="Z109" i="22"/>
  <c r="AW109" i="22" s="1"/>
  <c r="AD109" i="22"/>
  <c r="AX109" i="22" s="1"/>
  <c r="V112" i="22"/>
  <c r="X112" i="22" s="1" a="1"/>
  <c r="X112" i="22" s="1"/>
  <c r="AD112" i="22" s="1"/>
  <c r="AX112" i="22" s="1"/>
  <c r="Z112" i="22"/>
  <c r="AW112" i="22" s="1"/>
  <c r="V46" i="22"/>
  <c r="X46" i="22" s="1" a="1"/>
  <c r="X46" i="22" s="1"/>
  <c r="Z46" i="22"/>
  <c r="AW46" i="22" s="1"/>
  <c r="AD46" i="22"/>
  <c r="AX46" i="22" s="1"/>
  <c r="V44" i="22"/>
  <c r="X44" i="22" s="1" a="1"/>
  <c r="X44" i="22" s="1"/>
  <c r="Z44" i="22"/>
  <c r="AW44" i="22" s="1"/>
  <c r="AD44" i="22"/>
  <c r="AX44" i="22" s="1"/>
  <c r="V40" i="22"/>
  <c r="X40" i="22" s="1" a="1"/>
  <c r="X40" i="22" s="1"/>
  <c r="Z40" i="22"/>
  <c r="AW40" i="22" s="1"/>
  <c r="AD40" i="22"/>
  <c r="AX40" i="22" s="1"/>
  <c r="V37" i="22"/>
  <c r="X37" i="22" s="1" a="1"/>
  <c r="X37" i="22" s="1"/>
  <c r="Z37" i="22"/>
  <c r="AW37" i="22" s="1"/>
  <c r="AD37" i="22"/>
  <c r="AX37" i="22" s="1"/>
  <c r="V117" i="22"/>
  <c r="X117" i="22" s="1" a="1"/>
  <c r="X117" i="22" s="1"/>
  <c r="Z117" i="22"/>
  <c r="AW117" i="22" s="1"/>
  <c r="AD117" i="22"/>
  <c r="AX117" i="22" s="1"/>
  <c r="T67" i="22"/>
  <c r="Y67" i="22" s="1"/>
  <c r="U67" i="22"/>
  <c r="V68" i="22"/>
  <c r="X68" i="22" s="1" a="1"/>
  <c r="X68" i="22" s="1"/>
  <c r="Z68" i="22"/>
  <c r="AW68" i="22" s="1"/>
  <c r="AD68" i="22"/>
  <c r="AX68" i="22" s="1"/>
  <c r="V74" i="22"/>
  <c r="X74" i="22" s="1" a="1"/>
  <c r="X74" i="22" s="1"/>
  <c r="Z74" i="22"/>
  <c r="AW74" i="22" s="1"/>
  <c r="AD74" i="22"/>
  <c r="AX74" i="22" s="1"/>
  <c r="V75" i="22"/>
  <c r="X75" i="22" s="1" a="1"/>
  <c r="X75" i="22" s="1"/>
  <c r="Z75" i="22"/>
  <c r="AW75" i="22" s="1"/>
  <c r="AD75" i="22"/>
  <c r="AX75" i="22" s="1"/>
  <c r="V78" i="22"/>
  <c r="X78" i="22" s="1" a="1"/>
  <c r="X78" i="22" s="1"/>
  <c r="Z78" i="22"/>
  <c r="AW78" i="22" s="1"/>
  <c r="AD78" i="22"/>
  <c r="AX78" i="22" s="1"/>
  <c r="V79" i="22"/>
  <c r="X79" i="22" s="1" a="1"/>
  <c r="X79" i="22" s="1"/>
  <c r="Z79" i="22"/>
  <c r="AW79" i="22" s="1"/>
  <c r="AD79" i="22"/>
  <c r="AX79" i="22" s="1"/>
  <c r="V81" i="22"/>
  <c r="X81" i="22" s="1" a="1"/>
  <c r="X81" i="22" s="1"/>
  <c r="Z81" i="22"/>
  <c r="AW81" i="22" s="1"/>
  <c r="AD81" i="22"/>
  <c r="AX81" i="22" s="1"/>
  <c r="V82" i="22"/>
  <c r="X82" i="22" s="1" a="1"/>
  <c r="X82" i="22" s="1"/>
  <c r="Z82" i="22"/>
  <c r="AW82" i="22" s="1"/>
  <c r="AD82" i="22"/>
  <c r="AX82" i="22" s="1"/>
  <c r="V83" i="22"/>
  <c r="X83" i="22" s="1" a="1"/>
  <c r="X83" i="22" s="1"/>
  <c r="Z83" i="22"/>
  <c r="AW83" i="22" s="1"/>
  <c r="AD83" i="22"/>
  <c r="AX83" i="22" s="1"/>
  <c r="T85" i="22"/>
  <c r="Y85" i="22" s="1"/>
  <c r="U85" i="22"/>
  <c r="T87" i="22"/>
  <c r="Y87" i="22" s="1"/>
  <c r="U87" i="22"/>
  <c r="T89" i="22"/>
  <c r="Y89" i="22" s="1"/>
  <c r="U89" i="22"/>
  <c r="T91" i="22"/>
  <c r="Y91" i="22" s="1"/>
  <c r="U91" i="22"/>
  <c r="T92" i="22"/>
  <c r="Y92" i="22" s="1"/>
  <c r="U92" i="22"/>
  <c r="T93" i="22"/>
  <c r="Y93" i="22" s="1"/>
  <c r="U93" i="22"/>
  <c r="V94" i="22"/>
  <c r="X94" i="22" s="1" a="1"/>
  <c r="X94" i="22" s="1"/>
  <c r="Z94" i="22"/>
  <c r="AW94" i="22" s="1"/>
  <c r="AD94" i="22"/>
  <c r="AX94" i="22" s="1"/>
  <c r="T95" i="22"/>
  <c r="Y95" i="22" s="1"/>
  <c r="U95" i="22"/>
  <c r="V97" i="22"/>
  <c r="X97" i="22" s="1" a="1"/>
  <c r="X97" i="22" s="1"/>
  <c r="Z97" i="22"/>
  <c r="AW97" i="22" s="1"/>
  <c r="AD97" i="22"/>
  <c r="AX97" i="22" s="1"/>
  <c r="V98" i="22"/>
  <c r="X98" i="22" s="1" a="1"/>
  <c r="X98" i="22" s="1"/>
  <c r="Z98" i="22"/>
  <c r="AW98" i="22" s="1"/>
  <c r="AD98" i="22"/>
  <c r="AX98" i="22" s="1"/>
  <c r="V99" i="22"/>
  <c r="X99" i="22" s="1" a="1"/>
  <c r="X99" i="22" s="1"/>
  <c r="Z99" i="22"/>
  <c r="AW99" i="22" s="1"/>
  <c r="AD99" i="22"/>
  <c r="AX99" i="22" s="1"/>
  <c r="V100" i="22"/>
  <c r="X100" i="22" s="1" a="1"/>
  <c r="X100" i="22" s="1"/>
  <c r="Z100" i="22"/>
  <c r="AW100" i="22" s="1"/>
  <c r="AD100" i="22"/>
  <c r="AX100" i="22" s="1"/>
  <c r="V102" i="22"/>
  <c r="X102" i="22" s="1" a="1"/>
  <c r="X102" i="22" s="1"/>
  <c r="Z102" i="22"/>
  <c r="AW102" i="22" s="1"/>
  <c r="AD102" i="22"/>
  <c r="AX102" i="22" s="1"/>
  <c r="V103" i="22"/>
  <c r="X103" i="22" s="1" a="1"/>
  <c r="X103" i="22" s="1"/>
  <c r="Z103" i="22"/>
  <c r="AW103" i="22" s="1"/>
  <c r="AD103" i="22"/>
  <c r="AX103" i="22" s="1"/>
  <c r="V105" i="22"/>
  <c r="X105" i="22" s="1" a="1"/>
  <c r="X105" i="22" s="1"/>
  <c r="Z105" i="22"/>
  <c r="AW105" i="22" s="1"/>
  <c r="AD105" i="22"/>
  <c r="AX105" i="22" s="1"/>
  <c r="V106" i="22"/>
  <c r="X106" i="22" s="1" a="1"/>
  <c r="X106" i="22" s="1"/>
  <c r="Z106" i="22"/>
  <c r="AW106" i="22" s="1"/>
  <c r="AD106" i="22"/>
  <c r="AX106" i="22" s="1"/>
  <c r="V107" i="22"/>
  <c r="X107" i="22" s="1" a="1"/>
  <c r="X107" i="22" s="1"/>
  <c r="Z107" i="22"/>
  <c r="AW107" i="22" s="1"/>
  <c r="AD107" i="22"/>
  <c r="AX107" i="22" s="1"/>
  <c r="V108" i="22"/>
  <c r="X108" i="22" s="1" a="1"/>
  <c r="X108" i="22" s="1"/>
  <c r="Z108" i="22"/>
  <c r="AW108" i="22" s="1"/>
  <c r="AD108" i="22"/>
  <c r="AX108" i="22" s="1"/>
  <c r="V110" i="22"/>
  <c r="X110" i="22" s="1" a="1"/>
  <c r="X110" i="22" s="1"/>
  <c r="Z110" i="22"/>
  <c r="AW110" i="22" s="1"/>
  <c r="AD110" i="22"/>
  <c r="AX110" i="22" s="1"/>
  <c r="V111" i="22"/>
  <c r="X111" i="22" s="1" a="1"/>
  <c r="X111" i="22" s="1"/>
  <c r="Z111" i="22"/>
  <c r="AW111" i="22" s="1"/>
  <c r="AD111" i="22"/>
  <c r="AX111" i="22" s="1"/>
  <c r="V113" i="22"/>
  <c r="X113" i="22" s="1" a="1"/>
  <c r="X113" i="22" s="1"/>
  <c r="AD113" i="22" s="1"/>
  <c r="AX113" i="22" s="1"/>
  <c r="Z113" i="22"/>
  <c r="AW113" i="22" s="1"/>
  <c r="V114" i="22"/>
  <c r="X114" i="22" s="1" a="1"/>
  <c r="X114" i="22" s="1"/>
  <c r="AD114" i="22" s="1"/>
  <c r="AX114" i="22" s="1"/>
  <c r="Z114" i="22"/>
  <c r="AW114" i="22" s="1"/>
  <c r="V115" i="22"/>
  <c r="X115" i="22" s="1" a="1"/>
  <c r="X115" i="22" s="1"/>
  <c r="AD115" i="22" s="1"/>
  <c r="AX115" i="22" s="1"/>
  <c r="Z115" i="22"/>
  <c r="AW115" i="22" s="1"/>
  <c r="V116" i="22"/>
  <c r="X116" i="22" s="1" a="1"/>
  <c r="X116" i="22" s="1"/>
  <c r="AD116" i="22" s="1"/>
  <c r="AX116" i="22" s="1"/>
  <c r="Z116" i="22"/>
  <c r="AW116" i="22" s="1"/>
  <c r="V118" i="22"/>
  <c r="X118" i="22" s="1" a="1"/>
  <c r="X118" i="22" s="1"/>
  <c r="Z118" i="22"/>
  <c r="AW118" i="22" s="1"/>
  <c r="AD118" i="22"/>
  <c r="AX118" i="22" s="1"/>
  <c r="V119" i="22"/>
  <c r="X119" i="22" s="1" a="1"/>
  <c r="X119" i="22" s="1"/>
  <c r="Z119" i="22"/>
  <c r="AW119" i="22" s="1"/>
  <c r="AD119" i="22"/>
  <c r="AX119" i="22" s="1"/>
  <c r="V120" i="22"/>
  <c r="X120" i="22" s="1" a="1"/>
  <c r="X120" i="22" s="1"/>
  <c r="Z120" i="22"/>
  <c r="AW120" i="22" s="1"/>
  <c r="AD120" i="22"/>
  <c r="AX120" i="22" s="1"/>
  <c r="V121" i="22"/>
  <c r="X121" i="22" s="1" a="1"/>
  <c r="X121" i="22" s="1"/>
  <c r="Z121" i="22"/>
  <c r="AW121" i="22" s="1"/>
  <c r="AD121" i="22"/>
  <c r="AX121" i="22" s="1"/>
  <c r="V59" i="22"/>
  <c r="X59" i="22" s="1" a="1"/>
  <c r="X59" i="22" s="1"/>
  <c r="Z59" i="22"/>
  <c r="AW59" i="22" s="1"/>
  <c r="AD59" i="22"/>
  <c r="AX59" i="22" s="1"/>
  <c r="V58" i="22"/>
  <c r="X58" i="22" s="1" a="1"/>
  <c r="X58" i="22" s="1"/>
  <c r="Z58" i="22"/>
  <c r="AW58" i="22" s="1"/>
  <c r="AD58" i="22"/>
  <c r="AX58" i="22" s="1"/>
  <c r="V55" i="22"/>
  <c r="X55" i="22" s="1" a="1"/>
  <c r="X55" i="22" s="1"/>
  <c r="Z55" i="22"/>
  <c r="AW55" i="22" s="1"/>
  <c r="AD55" i="22"/>
  <c r="AX55" i="22" s="1"/>
  <c r="V56" i="22"/>
  <c r="X56" i="22" s="1" a="1"/>
  <c r="X56" i="22" s="1"/>
  <c r="Z56" i="22"/>
  <c r="AW56" i="22" s="1"/>
  <c r="AD56" i="22"/>
  <c r="AX56" i="22" s="1"/>
  <c r="V57" i="22"/>
  <c r="X57" i="22" s="1" a="1"/>
  <c r="X57" i="22" s="1"/>
  <c r="Z57" i="22"/>
  <c r="AW57" i="22" s="1"/>
  <c r="AD57" i="22"/>
  <c r="AX57" i="22" s="1"/>
  <c r="V49" i="22"/>
  <c r="X49" i="22" s="1" a="1"/>
  <c r="X49" i="22" s="1"/>
  <c r="Z49" i="22"/>
  <c r="AW49" i="22" s="1"/>
  <c r="AD49" i="22"/>
  <c r="AX49" i="22" s="1"/>
  <c r="V51" i="22"/>
  <c r="X51" i="22" s="1" a="1"/>
  <c r="X51" i="22" s="1"/>
  <c r="AD51" i="22" s="1"/>
  <c r="AX51" i="22" s="1"/>
  <c r="Z51" i="22"/>
  <c r="AW51" i="22" s="1"/>
  <c r="V52" i="22"/>
  <c r="X52" i="22" s="1" a="1"/>
  <c r="X52" i="22" s="1"/>
  <c r="Z52" i="22"/>
  <c r="AW52" i="22" s="1"/>
  <c r="AD52" i="22"/>
  <c r="AX52" i="22" s="1"/>
  <c r="V53" i="22"/>
  <c r="X53" i="22" s="1" a="1"/>
  <c r="X53" i="22" s="1"/>
  <c r="Z53" i="22"/>
  <c r="AW53" i="22" s="1"/>
  <c r="AD53" i="22"/>
  <c r="AX53" i="22" s="1"/>
  <c r="V61" i="22"/>
  <c r="X61" i="22" s="1" a="1"/>
  <c r="X61" i="22" s="1"/>
  <c r="Z61" i="22"/>
  <c r="AW61" i="22" s="1"/>
  <c r="AD61" i="22"/>
  <c r="AX61" i="22" s="1"/>
  <c r="V63" i="22"/>
  <c r="X63" i="22" s="1" a="1"/>
  <c r="X63" i="22" s="1"/>
  <c r="Z63" i="22"/>
  <c r="AW63" i="22" s="1"/>
  <c r="AD63" i="22"/>
  <c r="AX63" i="22" s="1"/>
  <c r="T65" i="22"/>
  <c r="Y65" i="22" s="1"/>
  <c r="U65" i="22"/>
  <c r="T66" i="22"/>
  <c r="Y66" i="22" s="1"/>
  <c r="U66" i="22"/>
  <c r="V69" i="22"/>
  <c r="X69" i="22" s="1" a="1"/>
  <c r="X69" i="22" s="1"/>
  <c r="Z69" i="22"/>
  <c r="AW69" i="22" s="1"/>
  <c r="AD69" i="22"/>
  <c r="AX69" i="22" s="1"/>
  <c r="V70" i="22"/>
  <c r="X70" i="22" s="1" a="1"/>
  <c r="X70" i="22" s="1"/>
  <c r="Z70" i="22"/>
  <c r="AW70" i="22" s="1"/>
  <c r="AD70" i="22"/>
  <c r="AX70" i="22" s="1"/>
  <c r="V72" i="22"/>
  <c r="X72" i="22" s="1" a="1"/>
  <c r="X72" i="22" s="1"/>
  <c r="Z72" i="22"/>
  <c r="AW72" i="22" s="1"/>
  <c r="AD72" i="22"/>
  <c r="AX72" i="22" s="1"/>
  <c r="V45" i="22"/>
  <c r="X45" i="22" s="1" a="1"/>
  <c r="X45" i="22" s="1"/>
  <c r="Z45" i="22"/>
  <c r="AW45" i="22" s="1"/>
  <c r="AD45" i="22"/>
  <c r="AX45" i="22" s="1"/>
  <c r="V43" i="22"/>
  <c r="X43" i="22" s="1" a="1"/>
  <c r="X43" i="22" s="1"/>
  <c r="Z43" i="22"/>
  <c r="AW43" i="22" s="1"/>
  <c r="AD43" i="22"/>
  <c r="AX43" i="22" s="1"/>
  <c r="V42" i="22"/>
  <c r="X42" i="22" s="1" a="1"/>
  <c r="X42" i="22" s="1"/>
  <c r="Z42" i="22"/>
  <c r="AW42" i="22" s="1"/>
  <c r="AD42" i="22"/>
  <c r="AX42" i="22" s="1"/>
  <c r="V41" i="22"/>
  <c r="X41" i="22" s="1" a="1"/>
  <c r="X41" i="22" s="1"/>
  <c r="Z41" i="22"/>
  <c r="AW41" i="22" s="1"/>
  <c r="AD41" i="22"/>
  <c r="AX41" i="22" s="1"/>
  <c r="V39" i="22"/>
  <c r="X39" i="22" s="1" a="1"/>
  <c r="X39" i="22" s="1"/>
  <c r="Z39" i="22"/>
  <c r="AW39" i="22" s="1"/>
  <c r="AD39" i="22"/>
  <c r="AX39" i="22" s="1"/>
  <c r="V38" i="22"/>
  <c r="X38" i="22" s="1" a="1"/>
  <c r="X38" i="22" s="1"/>
  <c r="Z38" i="22"/>
  <c r="AW38" i="22" s="1"/>
  <c r="AD38" i="22"/>
  <c r="AX38" i="22" s="1"/>
  <c r="V14" i="22"/>
  <c r="X14" i="22" s="1" a="1"/>
  <c r="X14" i="22" s="1"/>
  <c r="Z14" i="22"/>
  <c r="AW14" i="22" s="1"/>
  <c r="AD14" i="22"/>
  <c r="AX14" i="22" s="1"/>
  <c r="T31" i="22"/>
  <c r="Y31" i="22" s="1"/>
  <c r="U31" i="22"/>
  <c r="V35" i="22"/>
  <c r="X35" i="22" s="1" a="1"/>
  <c r="X35" i="22" s="1"/>
  <c r="Z35" i="22"/>
  <c r="AW35" i="22" s="1"/>
  <c r="AD35" i="22"/>
  <c r="AX35" i="22" s="1"/>
  <c r="V36" i="22"/>
  <c r="X36" i="22" s="1" a="1"/>
  <c r="X36" i="22" s="1"/>
  <c r="Z36" i="22"/>
  <c r="AW36" i="22" s="1"/>
  <c r="AD36" i="22"/>
  <c r="AX36" i="22" s="1"/>
  <c r="V32" i="22"/>
  <c r="X32" i="22" s="1" a="1"/>
  <c r="X32" i="22" s="1"/>
  <c r="Z32" i="22"/>
  <c r="AW32" i="22" s="1"/>
  <c r="AD32" i="22"/>
  <c r="AX32" i="22" s="1"/>
  <c r="AD33" i="22"/>
  <c r="AX33" i="22" s="1"/>
  <c r="V33" i="22"/>
  <c r="X33" i="22" s="1" a="1"/>
  <c r="X33" i="22" s="1"/>
  <c r="Z33" i="22"/>
  <c r="AW33" i="22" s="1"/>
  <c r="V34" i="22"/>
  <c r="X34" i="22" s="1" a="1"/>
  <c r="X34" i="22" s="1"/>
  <c r="Z34" i="22"/>
  <c r="AW34" i="22" s="1"/>
  <c r="AD34" i="22"/>
  <c r="AX34" i="22" s="1"/>
  <c r="V24" i="22"/>
  <c r="X24" i="22" s="1" a="1"/>
  <c r="X24" i="22" s="1"/>
  <c r="Z24" i="22"/>
  <c r="AW24" i="22" s="1"/>
  <c r="AD24" i="22"/>
  <c r="AX24" i="22" s="1"/>
  <c r="AD27" i="22"/>
  <c r="AX27" i="22" s="1"/>
  <c r="V27" i="22"/>
  <c r="X27" i="22" s="1" a="1"/>
  <c r="X27" i="22" s="1"/>
  <c r="Z27" i="22"/>
  <c r="AW27" i="22" s="1"/>
  <c r="V7" i="22"/>
  <c r="X7" i="22" s="1" a="1"/>
  <c r="X7" i="22" s="1"/>
  <c r="Z7" i="22"/>
  <c r="AW7" i="22" s="1"/>
  <c r="AD7" i="22"/>
  <c r="AX7" i="22" s="1"/>
  <c r="V5" i="22"/>
  <c r="X5" i="22" s="1" a="1"/>
  <c r="X5" i="22" s="1"/>
  <c r="Z5" i="22"/>
  <c r="AW5" i="22" s="1"/>
  <c r="AD5" i="22"/>
  <c r="AX5" i="22" s="1"/>
  <c r="U12" i="22"/>
  <c r="T12" i="22"/>
  <c r="Y12" i="22" s="1"/>
  <c r="U10" i="22"/>
  <c r="T10" i="22"/>
  <c r="Y10" i="22" s="1"/>
  <c r="U17" i="22"/>
  <c r="T17" i="22"/>
  <c r="Y17" i="22" s="1"/>
  <c r="V21" i="22"/>
  <c r="X21" i="22" s="1" a="1"/>
  <c r="X21" i="22" s="1"/>
  <c r="Z21" i="22"/>
  <c r="AW21" i="22" s="1"/>
  <c r="AD21" i="22"/>
  <c r="AX21" i="22" s="1"/>
  <c r="V26" i="22"/>
  <c r="X26" i="22" s="1" a="1"/>
  <c r="X26" i="22" s="1"/>
  <c r="Z26" i="22"/>
  <c r="AW26" i="22" s="1"/>
  <c r="AD26" i="22"/>
  <c r="AX26" i="22" s="1"/>
  <c r="V13" i="22"/>
  <c r="X13" i="22" s="1" a="1"/>
  <c r="X13" i="22" s="1"/>
  <c r="Z13" i="22"/>
  <c r="AW13" i="22" s="1"/>
  <c r="AD13" i="22"/>
  <c r="AX13" i="22" s="1"/>
  <c r="V23" i="22"/>
  <c r="X23" i="22" s="1" a="1"/>
  <c r="X23" i="22" s="1"/>
  <c r="Z23" i="22"/>
  <c r="AW23" i="22" s="1"/>
  <c r="AD23" i="22"/>
  <c r="AX23" i="22" s="1"/>
  <c r="V28" i="22"/>
  <c r="X28" i="22" s="1" a="1"/>
  <c r="X28" i="22" s="1"/>
  <c r="Z28" i="22"/>
  <c r="AW28" i="22" s="1"/>
  <c r="AD28" i="22"/>
  <c r="AX28" i="22" s="1"/>
  <c r="V20" i="22"/>
  <c r="X20" i="22" s="1" a="1"/>
  <c r="X20" i="22" s="1"/>
  <c r="Z20" i="22"/>
  <c r="AW20" i="22" s="1"/>
  <c r="AD20" i="22"/>
  <c r="AX20" i="22" s="1"/>
  <c r="AD25" i="22"/>
  <c r="AX25" i="22" s="1"/>
  <c r="V25" i="22"/>
  <c r="X25" i="22" s="1" a="1"/>
  <c r="X25" i="22" s="1"/>
  <c r="Z25" i="22"/>
  <c r="AW25" i="22" s="1"/>
  <c r="V30" i="22"/>
  <c r="X30" i="22" s="1" a="1"/>
  <c r="X30" i="22" s="1"/>
  <c r="Z30" i="22"/>
  <c r="AW30" i="22" s="1"/>
  <c r="AD30" i="22"/>
  <c r="AX30" i="22" s="1"/>
  <c r="V6" i="22"/>
  <c r="X6" i="22" s="1" a="1"/>
  <c r="X6" i="22" s="1"/>
  <c r="Z6" i="22"/>
  <c r="AW6" i="22" s="1"/>
  <c r="AD6" i="22"/>
  <c r="AX6" i="22" s="1"/>
  <c r="U9" i="22"/>
  <c r="T9" i="22"/>
  <c r="Y9" i="22" s="1"/>
  <c r="AD18" i="22"/>
  <c r="AX18" i="22" s="1"/>
  <c r="V18" i="22"/>
  <c r="X18" i="22" s="1" a="1"/>
  <c r="X18" i="22" s="1"/>
  <c r="Z18" i="22"/>
  <c r="AW18" i="22" s="1"/>
  <c r="U15" i="22"/>
  <c r="T15" i="22"/>
  <c r="Y15" i="22" s="1"/>
  <c r="V19" i="22"/>
  <c r="X19" i="22" s="1" a="1"/>
  <c r="X19" i="22" s="1"/>
  <c r="Z19" i="22"/>
  <c r="AW19" i="22" s="1"/>
  <c r="AD19" i="22"/>
  <c r="AX19" i="22" s="1"/>
  <c r="U11" i="22"/>
  <c r="T11" i="22"/>
  <c r="Y11" i="22" s="1"/>
  <c r="U16" i="22"/>
  <c r="T16" i="22"/>
  <c r="Y16" i="22" s="1"/>
  <c r="V22" i="22"/>
  <c r="X22" i="22" s="1" a="1"/>
  <c r="X22" i="22" s="1"/>
  <c r="Z22" i="22"/>
  <c r="AW22" i="22" s="1"/>
  <c r="AD22" i="22"/>
  <c r="AX22" i="22" s="1"/>
  <c r="V29" i="22"/>
  <c r="X29" i="22" s="1" a="1"/>
  <c r="X29" i="22" s="1"/>
  <c r="Z29" i="22"/>
  <c r="AW29" i="22" s="1"/>
  <c r="AD29" i="22"/>
  <c r="AX29" i="22" s="1"/>
  <c r="AD8" i="22"/>
  <c r="AX8" i="22" s="1"/>
  <c r="V8" i="22"/>
  <c r="X8" i="22" s="1" a="1"/>
  <c r="X8" i="22" s="1"/>
  <c r="Z8" i="22"/>
  <c r="AW8" i="22" s="1"/>
  <c r="AV16" i="22" l="1"/>
  <c r="AA16" i="22"/>
  <c r="AU16" i="22" s="1"/>
  <c r="AV11" i="22"/>
  <c r="AA11" i="22"/>
  <c r="AU11" i="22" s="1"/>
  <c r="AV15" i="22"/>
  <c r="AA15" i="22"/>
  <c r="AU15" i="22" s="1"/>
  <c r="AV9" i="22"/>
  <c r="AA9" i="22"/>
  <c r="AU9" i="22" s="1"/>
  <c r="AV17" i="22"/>
  <c r="AA17" i="22"/>
  <c r="AU17" i="22" s="1"/>
  <c r="AV10" i="22"/>
  <c r="AA10" i="22"/>
  <c r="AU10" i="22" s="1"/>
  <c r="AV12" i="22"/>
  <c r="AA12" i="22"/>
  <c r="AU12" i="22" s="1"/>
  <c r="AV31" i="22"/>
  <c r="AA31" i="22"/>
  <c r="AU31" i="22" s="1"/>
  <c r="AV66" i="22"/>
  <c r="AA66" i="22"/>
  <c r="AU66" i="22" s="1"/>
  <c r="AV65" i="22"/>
  <c r="AA65" i="22"/>
  <c r="AU65" i="22" s="1"/>
  <c r="AV95" i="22"/>
  <c r="AA95" i="22"/>
  <c r="AU95" i="22" s="1"/>
  <c r="AV93" i="22"/>
  <c r="AA93" i="22"/>
  <c r="AU93" i="22" s="1"/>
  <c r="AV92" i="22"/>
  <c r="AA92" i="22"/>
  <c r="AU92" i="22" s="1"/>
  <c r="AV91" i="22"/>
  <c r="AA91" i="22"/>
  <c r="AU91" i="22" s="1"/>
  <c r="AV89" i="22"/>
  <c r="AA89" i="22"/>
  <c r="AU89" i="22" s="1"/>
  <c r="AV87" i="22"/>
  <c r="AA87" i="22"/>
  <c r="AU87" i="22" s="1"/>
  <c r="AV85" i="22"/>
  <c r="AA85" i="22"/>
  <c r="AU85" i="22" s="1"/>
  <c r="AV67" i="22"/>
  <c r="AA67" i="22"/>
  <c r="AU67" i="22" s="1"/>
  <c r="AV96" i="22"/>
  <c r="AA96" i="22"/>
  <c r="AU96" i="22" s="1"/>
  <c r="AV90" i="22"/>
  <c r="AA90" i="22"/>
  <c r="AU90" i="22" s="1"/>
  <c r="AV86" i="22"/>
  <c r="AA86" i="22"/>
  <c r="AU86" i="22" s="1"/>
  <c r="AV84" i="22"/>
  <c r="AA84" i="22"/>
  <c r="AU84" i="22" s="1"/>
  <c r="AV152" i="22"/>
  <c r="AA152" i="22"/>
  <c r="AU152" i="22" s="1"/>
  <c r="AV151" i="22"/>
  <c r="AA151" i="22"/>
  <c r="AU151" i="22" s="1"/>
  <c r="V16" i="22"/>
  <c r="X16" i="22" s="1" a="1"/>
  <c r="X16" i="22" s="1"/>
  <c r="Z16" i="22"/>
  <c r="AW16" i="22" s="1"/>
  <c r="AD16" i="22"/>
  <c r="AX16" i="22" s="1"/>
  <c r="V11" i="22"/>
  <c r="X11" i="22" s="1" a="1"/>
  <c r="X11" i="22" s="1"/>
  <c r="Z11" i="22"/>
  <c r="AW11" i="22" s="1"/>
  <c r="AD11" i="22"/>
  <c r="AX11" i="22" s="1"/>
  <c r="V15" i="22"/>
  <c r="X15" i="22" s="1" a="1"/>
  <c r="X15" i="22" s="1"/>
  <c r="Z15" i="22"/>
  <c r="AW15" i="22" s="1"/>
  <c r="AD15" i="22"/>
  <c r="AX15" i="22" s="1"/>
  <c r="V9" i="22"/>
  <c r="X9" i="22" s="1" a="1"/>
  <c r="X9" i="22" s="1"/>
  <c r="Z9" i="22"/>
  <c r="AW9" i="22" s="1"/>
  <c r="AD9" i="22"/>
  <c r="AX9" i="22" s="1"/>
  <c r="V17" i="22"/>
  <c r="X17" i="22" s="1" a="1"/>
  <c r="X17" i="22" s="1"/>
  <c r="Z17" i="22"/>
  <c r="AW17" i="22" s="1"/>
  <c r="AD17" i="22"/>
  <c r="AX17" i="22" s="1"/>
  <c r="V10" i="22"/>
  <c r="X10" i="22" s="1" a="1"/>
  <c r="X10" i="22" s="1"/>
  <c r="Z10" i="22"/>
  <c r="AW10" i="22" s="1"/>
  <c r="AD10" i="22"/>
  <c r="AX10" i="22" s="1"/>
  <c r="V12" i="22"/>
  <c r="X12" i="22" s="1" a="1"/>
  <c r="X12" i="22" s="1"/>
  <c r="Z12" i="22"/>
  <c r="AW12" i="22" s="1"/>
  <c r="AD12" i="22"/>
  <c r="AX12" i="22" s="1"/>
  <c r="V31" i="22"/>
  <c r="X31" i="22" s="1" a="1"/>
  <c r="X31" i="22" s="1"/>
  <c r="Z31" i="22"/>
  <c r="AW31" i="22" s="1"/>
  <c r="AD31" i="22"/>
  <c r="AX31" i="22" s="1"/>
  <c r="V66" i="22"/>
  <c r="X66" i="22" s="1" a="1"/>
  <c r="X66" i="22" s="1"/>
  <c r="Z66" i="22"/>
  <c r="AW66" i="22" s="1"/>
  <c r="AD66" i="22"/>
  <c r="AX66" i="22" s="1"/>
  <c r="V65" i="22"/>
  <c r="X65" i="22" s="1" a="1"/>
  <c r="X65" i="22" s="1"/>
  <c r="Z65" i="22"/>
  <c r="AW65" i="22" s="1"/>
  <c r="AD65" i="22"/>
  <c r="AX65" i="22" s="1"/>
  <c r="V95" i="22"/>
  <c r="X95" i="22" s="1" a="1"/>
  <c r="X95" i="22" s="1"/>
  <c r="Z95" i="22"/>
  <c r="AW95" i="22" s="1"/>
  <c r="AD95" i="22"/>
  <c r="AX95" i="22" s="1"/>
  <c r="V93" i="22"/>
  <c r="X93" i="22" s="1" a="1"/>
  <c r="X93" i="22" s="1"/>
  <c r="Z93" i="22"/>
  <c r="AW93" i="22" s="1"/>
  <c r="AD93" i="22"/>
  <c r="AX93" i="22" s="1"/>
  <c r="V92" i="22"/>
  <c r="X92" i="22" s="1" a="1"/>
  <c r="X92" i="22" s="1"/>
  <c r="Z92" i="22"/>
  <c r="AW92" i="22" s="1"/>
  <c r="AD92" i="22"/>
  <c r="AX92" i="22" s="1"/>
  <c r="V91" i="22"/>
  <c r="X91" i="22" s="1" a="1"/>
  <c r="X91" i="22" s="1"/>
  <c r="Z91" i="22"/>
  <c r="AW91" i="22" s="1"/>
  <c r="AD91" i="22"/>
  <c r="AX91" i="22" s="1"/>
  <c r="V89" i="22"/>
  <c r="X89" i="22" s="1" a="1"/>
  <c r="X89" i="22" s="1"/>
  <c r="Z89" i="22"/>
  <c r="AW89" i="22" s="1"/>
  <c r="AD89" i="22"/>
  <c r="AX89" i="22" s="1"/>
  <c r="V87" i="22"/>
  <c r="X87" i="22" s="1" a="1"/>
  <c r="X87" i="22" s="1"/>
  <c r="Z87" i="22"/>
  <c r="AW87" i="22" s="1"/>
  <c r="AD87" i="22"/>
  <c r="AX87" i="22" s="1"/>
  <c r="V85" i="22"/>
  <c r="X85" i="22" s="1" a="1"/>
  <c r="X85" i="22" s="1"/>
  <c r="Z85" i="22"/>
  <c r="AW85" i="22" s="1"/>
  <c r="AD85" i="22"/>
  <c r="AX85" i="22" s="1"/>
  <c r="V67" i="22"/>
  <c r="X67" i="22" s="1" a="1"/>
  <c r="X67" i="22" s="1"/>
  <c r="Z67" i="22"/>
  <c r="AW67" i="22" s="1"/>
  <c r="AD67" i="22"/>
  <c r="AX67" i="22" s="1"/>
  <c r="V96" i="22"/>
  <c r="X96" i="22" s="1" a="1"/>
  <c r="X96" i="22" s="1"/>
  <c r="Z96" i="22"/>
  <c r="AW96" i="22" s="1"/>
  <c r="AD96" i="22"/>
  <c r="AX96" i="22" s="1"/>
  <c r="V90" i="22"/>
  <c r="X90" i="22" s="1" a="1"/>
  <c r="X90" i="22" s="1"/>
  <c r="Z90" i="22"/>
  <c r="AW90" i="22" s="1"/>
  <c r="AD90" i="22"/>
  <c r="AX90" i="22" s="1"/>
  <c r="V86" i="22"/>
  <c r="X86" i="22" s="1" a="1"/>
  <c r="X86" i="22" s="1"/>
  <c r="Z86" i="22"/>
  <c r="AW86" i="22" s="1"/>
  <c r="AD86" i="22"/>
  <c r="AX86" i="22" s="1"/>
  <c r="V84" i="22"/>
  <c r="X84" i="22" s="1" a="1"/>
  <c r="X84" i="22" s="1"/>
  <c r="Z84" i="22"/>
  <c r="AW84" i="22" s="1"/>
  <c r="AD84" i="22"/>
  <c r="AX84" i="22" s="1"/>
  <c r="V152" i="22"/>
  <c r="X152" i="22" s="1" a="1"/>
  <c r="X152" i="22" s="1"/>
  <c r="Z152" i="22"/>
  <c r="AW152" i="22" s="1"/>
  <c r="AD152" i="22"/>
  <c r="AX152" i="22" s="1"/>
  <c r="V151" i="22"/>
  <c r="X151" i="22" s="1" a="1"/>
  <c r="X151" i="22" s="1"/>
  <c r="Z151" i="22"/>
  <c r="AW151" i="22" s="1"/>
  <c r="AD151" i="22"/>
  <c r="AX151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<sst xmlns="http://schemas.openxmlformats.org/spreadsheetml/2006/main" count="1024" uniqueCount="467">
  <si>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</si>
  <si>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</si>
  <si>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</si>
  <si>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</si>
  <si>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</si>
  <si>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</si>
  <si>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</si>
  <si>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</si>
  <si>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</si>
  <si>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</si>
  <si>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</si>
  <si>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</si>
  <si>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</si>
  <si>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DISC 1</t>
  </si>
  <si>
    <t>DISC 2</t>
  </si>
  <si>
    <t>JUMLAH</t>
  </si>
  <si>
    <t>DISC 1-</t>
  </si>
  <si>
    <t>DISC 2-</t>
  </si>
  <si>
    <t>DISC</t>
  </si>
  <si>
    <t>TOTAL</t>
  </si>
  <si>
    <t>DISC TOTAL</t>
  </si>
  <si>
    <t>TOTAL INVOICE</t>
  </si>
  <si>
    <t>TGL_H</t>
  </si>
  <si>
    <t>ID_H</t>
  </si>
  <si>
    <t>HARGA/ CTN_H</t>
  </si>
  <si>
    <t>SUPPLIER_H</t>
  </si>
  <si>
    <t>Column1</t>
  </si>
  <si>
    <t>1</t>
  </si>
  <si>
    <t>2</t>
  </si>
  <si>
    <t>3</t>
  </si>
  <si>
    <t>qb</t>
  </si>
  <si>
    <t>JUMLAH_H</t>
  </si>
  <si>
    <t>--</t>
  </si>
  <si>
    <t>FAKTUR_H</t>
  </si>
  <si>
    <t>CONCAT2</t>
  </si>
  <si>
    <t>CONCAT1</t>
  </si>
  <si>
    <t>//DB</t>
  </si>
  <si>
    <t>CONCAT3</t>
  </si>
  <si>
    <t>CONCAT4</t>
  </si>
  <si>
    <t>Column2</t>
  </si>
  <si>
    <t>QTY/ CTN_H</t>
  </si>
  <si>
    <t>Column3</t>
  </si>
  <si>
    <t>//DB2</t>
  </si>
  <si>
    <t>NB NOTA_C_QTY</t>
  </si>
  <si>
    <t>ID BARANG</t>
  </si>
  <si>
    <t>B</t>
  </si>
  <si>
    <t>Column4</t>
  </si>
  <si>
    <t>DISC 3</t>
  </si>
  <si>
    <t>DISC 3-</t>
  </si>
  <si>
    <t>UNTANA</t>
  </si>
  <si>
    <t>LSN</t>
  </si>
  <si>
    <t>PCS</t>
  </si>
  <si>
    <t>TGL.NOTA_H</t>
  </si>
  <si>
    <t>NO.NOTA_H</t>
  </si>
  <si>
    <t>Row Labels</t>
  </si>
  <si>
    <t>Grand Total</t>
  </si>
  <si>
    <t>Column5</t>
  </si>
  <si>
    <t>Column6</t>
  </si>
  <si>
    <t>Column13</t>
  </si>
  <si>
    <t>//db</t>
  </si>
  <si>
    <t>dbconcat</t>
  </si>
  <si>
    <t>TGL DATANG</t>
  </si>
  <si>
    <t>TGL INPUT</t>
  </si>
  <si>
    <t>KETERANGAN CONDRO</t>
  </si>
  <si>
    <t>HRG / CTN</t>
  </si>
  <si>
    <t>Column7</t>
  </si>
  <si>
    <t>Column8</t>
  </si>
  <si>
    <t>Column9</t>
  </si>
  <si>
    <t>Column32</t>
  </si>
  <si>
    <t>Column10</t>
  </si>
  <si>
    <t>60 LSN</t>
  </si>
  <si>
    <t>BONUS</t>
  </si>
  <si>
    <t>72 PCS</t>
  </si>
  <si>
    <t>(All)</t>
  </si>
  <si>
    <t>DUTA BUANA</t>
  </si>
  <si>
    <t>BALLPEN GEL TF-1190 HTM 0.3MM HIGHTECH</t>
  </si>
  <si>
    <t>96 LSN</t>
  </si>
  <si>
    <t>COMBI</t>
  </si>
  <si>
    <t>8 LSN</t>
  </si>
  <si>
    <t>48 LSN</t>
  </si>
  <si>
    <t>HANSA</t>
  </si>
  <si>
    <t>PMJP</t>
  </si>
  <si>
    <t>0644</t>
  </si>
  <si>
    <t>DOC RIT PRESTIGE MERAH</t>
  </si>
  <si>
    <t>DOC RIT PRESTIGE HITAM</t>
  </si>
  <si>
    <t>DOC RIT PRESTIGE BIRU</t>
  </si>
  <si>
    <t>HN062024317</t>
  </si>
  <si>
    <t>LILIN ANGKA SHINTOENG NO.4</t>
  </si>
  <si>
    <t>LILIN ANGKA SHINTOENG NO.5</t>
  </si>
  <si>
    <t>LILIN ANGKA SHINTOENG NO.6</t>
  </si>
  <si>
    <t>LILIN ANGKA SHINTOENG NO.7</t>
  </si>
  <si>
    <t>HM/119/06-24H</t>
  </si>
  <si>
    <t>HM/118/06-24H</t>
  </si>
  <si>
    <t>CLIPBOARD ACRYLIC TF-013</t>
  </si>
  <si>
    <t>CLIPBOARD ACRYLIC TF-015</t>
  </si>
  <si>
    <t>CLIPBOARD ACRYLIC TF-016</t>
  </si>
  <si>
    <t>03185</t>
  </si>
  <si>
    <t>SERUTAN 009</t>
  </si>
  <si>
    <t>PUTRA HARAPAN SUKSES</t>
  </si>
  <si>
    <t>01883</t>
  </si>
  <si>
    <t>PENGHAPUS W/B CLEAR KECIL</t>
  </si>
  <si>
    <t>PENGHAPUS W/B CLEAR BESAR</t>
  </si>
  <si>
    <t>D-R</t>
  </si>
  <si>
    <t>2406099</t>
  </si>
  <si>
    <t>GUNTING DR6 IDEAL</t>
  </si>
  <si>
    <t>GUNTING DR8 IDEAL</t>
  </si>
  <si>
    <t>GUNTING DR9 IDEAL</t>
  </si>
  <si>
    <t>GUNTING JUNIOR J200 JUNIOR</t>
  </si>
  <si>
    <t>GUNTING JUNIOR J300 JUNIOR</t>
  </si>
  <si>
    <t>GUNTING JUNIOR J400 JUNIOR</t>
  </si>
  <si>
    <t>2406079</t>
  </si>
  <si>
    <t>CUTTER TACO 78 KECIL</t>
  </si>
  <si>
    <t>0702</t>
  </si>
  <si>
    <t>DOC RIT PRESTIGE HIJAU</t>
  </si>
  <si>
    <t>NAMA_C</t>
  </si>
  <si>
    <t>NAMA_1</t>
  </si>
  <si>
    <t>NAMA_2</t>
  </si>
  <si>
    <t>NAMA_3</t>
  </si>
  <si>
    <t>30 LSN</t>
  </si>
  <si>
    <t>24 LSN</t>
  </si>
  <si>
    <t>120 LSN</t>
  </si>
  <si>
    <t>GRS</t>
  </si>
  <si>
    <t>SET</t>
  </si>
  <si>
    <t>BOX (40)</t>
  </si>
  <si>
    <t>PAK (40)</t>
  </si>
  <si>
    <t>PAK (30)</t>
  </si>
  <si>
    <t>BOX (100)</t>
  </si>
  <si>
    <t>PAK (48)</t>
  </si>
  <si>
    <t>PAK (50)</t>
  </si>
  <si>
    <t>PAK (120)</t>
  </si>
  <si>
    <t>PAK (24)</t>
  </si>
  <si>
    <t>PAK (36)</t>
  </si>
  <si>
    <t>BOX (72)</t>
  </si>
  <si>
    <t>BOX (56)</t>
  </si>
  <si>
    <t>BOX (42)</t>
  </si>
  <si>
    <t>BOX (80)</t>
  </si>
  <si>
    <t>BOX (26)</t>
  </si>
  <si>
    <t>BOX (12)</t>
  </si>
  <si>
    <t>BOX (32)</t>
  </si>
  <si>
    <t>BOX (36)</t>
  </si>
  <si>
    <t>BOX (24)</t>
  </si>
  <si>
    <t>BOX (50)</t>
  </si>
  <si>
    <t>BOX (48)</t>
  </si>
  <si>
    <t>PAK (10)</t>
  </si>
  <si>
    <t>BOX (60)</t>
  </si>
  <si>
    <t>PAK</t>
  </si>
  <si>
    <t>BOX</t>
  </si>
  <si>
    <t>PAK (12)</t>
  </si>
  <si>
    <t>BOX (10 LSN)</t>
  </si>
  <si>
    <t>BOX (58)</t>
  </si>
  <si>
    <t>BOX (10)</t>
  </si>
  <si>
    <t>PAK (42)</t>
  </si>
  <si>
    <t>BOX (30)</t>
  </si>
  <si>
    <t>BOX (120)</t>
  </si>
  <si>
    <t>BOX (20)</t>
  </si>
  <si>
    <t>PAK (72)</t>
  </si>
  <si>
    <t>PAK (32)</t>
  </si>
  <si>
    <t>DISP (12)</t>
  </si>
  <si>
    <t>PAK (100)</t>
  </si>
  <si>
    <t>4</t>
  </si>
  <si>
    <t>ISI NOTA</t>
  </si>
  <si>
    <t>SATUAN NOTA</t>
  </si>
  <si>
    <t>ISI DB</t>
  </si>
  <si>
    <t>SATUAN DB</t>
  </si>
  <si>
    <t>ISI DB CONV</t>
  </si>
  <si>
    <t>//CONV</t>
  </si>
  <si>
    <t>CONV VAR</t>
  </si>
  <si>
    <t>ISI S</t>
  </si>
  <si>
    <t>SATUAN S</t>
  </si>
  <si>
    <t>SATUAN CONV</t>
  </si>
  <si>
    <t>CTN</t>
  </si>
  <si>
    <t>CC</t>
  </si>
  <si>
    <t>BALLPEN GEL TF-3115 0.3MM HIGHTECH KNOCK</t>
  </si>
  <si>
    <t>CEK ISI S</t>
  </si>
  <si>
    <t>CEK STN S</t>
  </si>
  <si>
    <t>ISI_C</t>
  </si>
  <si>
    <t>SATUAN_C</t>
  </si>
  <si>
    <t>HARGA NOTA</t>
  </si>
  <si>
    <t>HARGA CONV</t>
  </si>
  <si>
    <t>NAMA BARANG_C</t>
  </si>
  <si>
    <t>SUPPLIER_C</t>
  </si>
  <si>
    <t>JUMLAH KARTON_C</t>
  </si>
  <si>
    <t>ISI_C2</t>
  </si>
  <si>
    <t>SATUAN_C2</t>
  </si>
  <si>
    <t>HARGA PER ISI_C</t>
  </si>
  <si>
    <t>DISKON_C</t>
  </si>
  <si>
    <t>TGL DATANG_C</t>
  </si>
  <si>
    <t>TGL NOTA_C</t>
  </si>
  <si>
    <t>TGL INPUT_C</t>
  </si>
  <si>
    <t>KETERANGAN CONDRO_C</t>
  </si>
  <si>
    <t>MO NOTA</t>
  </si>
  <si>
    <t>GLORY</t>
  </si>
  <si>
    <t>014</t>
  </si>
  <si>
    <t>BT BATIK</t>
  </si>
  <si>
    <t>DISKON CASH 56,500 (5%)</t>
  </si>
  <si>
    <t>ALPINDO</t>
  </si>
  <si>
    <t>H20</t>
  </si>
  <si>
    <t>SP BAG JASMIN KECIL</t>
  </si>
  <si>
    <t>45 LSN</t>
  </si>
  <si>
    <t>DB STATIONERY</t>
  </si>
  <si>
    <t>JUG016/24</t>
  </si>
  <si>
    <t>GEL DEBOZZ 0,28 DB-GP800B</t>
  </si>
  <si>
    <t>HM/123/07-24H</t>
  </si>
  <si>
    <t>144 LSN</t>
  </si>
  <si>
    <t>HM/129/07-24H</t>
  </si>
  <si>
    <t>BALLPEN GEL TF G-3114 0.3MM HIGHTECH KNOCK</t>
  </si>
  <si>
    <t>HM/130/07-24H</t>
  </si>
  <si>
    <t>STABILLO TF-1145 LIVE COLOUR (PASTEL)</t>
  </si>
  <si>
    <t>BINTANG SAUDARA</t>
  </si>
  <si>
    <t>SO2024070086563</t>
  </si>
  <si>
    <t>GEL PEN KOALA GP-168-A MERAH</t>
  </si>
  <si>
    <t>GEL PEN KOALA GP-168-B BR</t>
  </si>
  <si>
    <t>GEL PEN KOALA GP-168-C HJ</t>
  </si>
  <si>
    <t>GEL PEN KOALA GP-168-D VL</t>
  </si>
  <si>
    <t>GEL PEN KOALA GP-168-E OR</t>
  </si>
  <si>
    <t>GEL PEN KOALA GP-168-F BR TUA</t>
  </si>
  <si>
    <t>GEL PEN KOALA GP-168-G PK</t>
  </si>
  <si>
    <t>GEL PEN KOALA GP-168-H HJ MUDA</t>
  </si>
  <si>
    <t>GEL PEN KOALA GP-168-I COKLAT</t>
  </si>
  <si>
    <t>GEL PEN KOALA GP-168-J KNG</t>
  </si>
  <si>
    <t>0717</t>
  </si>
  <si>
    <t>DOC RIT INFINITY</t>
  </si>
  <si>
    <t>ETJ</t>
  </si>
  <si>
    <t>JX7,24</t>
  </si>
  <si>
    <t>ENTER DISP BESI 505</t>
  </si>
  <si>
    <t>ENTER 30CM 675</t>
  </si>
  <si>
    <t>KOJIKO LABEL 99</t>
  </si>
  <si>
    <t>ENTER BUSUR NO 120</t>
  </si>
  <si>
    <t>ENTER BUSUR NO 110</t>
  </si>
  <si>
    <t>ENTER GB 40 CM TBL</t>
  </si>
  <si>
    <t>ENTER GB 50 CM TBL</t>
  </si>
  <si>
    <t>ENTER GB 60 CM TBL</t>
  </si>
  <si>
    <t>KOJIKO BK TABUNGAN</t>
  </si>
  <si>
    <t>ROL</t>
  </si>
  <si>
    <t>100 PCS</t>
  </si>
  <si>
    <t>200 LSN</t>
  </si>
  <si>
    <t>800 PAK</t>
  </si>
  <si>
    <t>25 LSN</t>
  </si>
  <si>
    <t>500 ROL</t>
  </si>
  <si>
    <t>6000 PCS</t>
  </si>
  <si>
    <t>MIRACLE ABADI</t>
  </si>
  <si>
    <t>KERTAS CREPE SMALL JERSY</t>
  </si>
  <si>
    <t>235 PAK</t>
  </si>
  <si>
    <t>SBS</t>
  </si>
  <si>
    <t>W0001BB</t>
  </si>
  <si>
    <t>PPW</t>
  </si>
  <si>
    <t>0033/HW/VII/24</t>
  </si>
  <si>
    <t>BT 30 CM</t>
  </si>
  <si>
    <t>100 LSN</t>
  </si>
  <si>
    <t>MSI</t>
  </si>
  <si>
    <t>24/VII/024</t>
  </si>
  <si>
    <t>STAMP PAD HERO NO.2 (E-1460) BIG</t>
  </si>
  <si>
    <t>STAMP PAD HERO NO.3 (E-2460) SMALL</t>
  </si>
  <si>
    <t>POSTER COLORS PAINT</t>
  </si>
  <si>
    <t>20 LSN</t>
  </si>
  <si>
    <t>24/VII/058</t>
  </si>
  <si>
    <t>GEL PEN ZUI ZHUA HY-1020 HITAM</t>
  </si>
  <si>
    <t>192 LSN</t>
  </si>
  <si>
    <t>HN072024137</t>
  </si>
  <si>
    <t>LILIN SHINTOENG 12 BTG</t>
  </si>
  <si>
    <t>LILIN SHINTOENG 24 BTG</t>
  </si>
  <si>
    <t>LILIN ANGKA SHINTOENG</t>
  </si>
  <si>
    <t>NO 1/2/7 @2LSN</t>
  </si>
  <si>
    <t>JEFFRY</t>
  </si>
  <si>
    <t>500 PAK</t>
  </si>
  <si>
    <t>EMICO</t>
  </si>
  <si>
    <t>J2407002</t>
  </si>
  <si>
    <t>FINETECH GEL PEN 0,3 BLACK</t>
  </si>
  <si>
    <t>D-R ORIGINAL</t>
  </si>
  <si>
    <t>GUNTING DR5 IDEAL</t>
  </si>
  <si>
    <t>GUNTING DR2 IDEAL</t>
  </si>
  <si>
    <t>CUTTER BESAR 88 TACO</t>
  </si>
  <si>
    <t>HM/132/07-24H</t>
  </si>
  <si>
    <t>BALLPEN GEL TF-1191 BODY WR 0,3MM HIGHTECH</t>
  </si>
  <si>
    <t>HM/131/07-24H</t>
  </si>
  <si>
    <t>DUTA BAHAGIA</t>
  </si>
  <si>
    <t>DHM/059/07-24C</t>
  </si>
  <si>
    <t>BINDER NOTE FPHY001-A5-60</t>
  </si>
  <si>
    <t>BINDER NOTE FPHY002-A5-60</t>
  </si>
  <si>
    <t>BINDER NOTE FPHY001-B5-60</t>
  </si>
  <si>
    <t>BINDER NOTE FPHY002-B5-60</t>
  </si>
  <si>
    <t>96 PCS</t>
  </si>
  <si>
    <t>JUG191/24</t>
  </si>
  <si>
    <t>R BOTOL SUSU 20PCS R-5833</t>
  </si>
  <si>
    <t>RAUTAN TOPLES 25 PCS XLG R-5861</t>
  </si>
  <si>
    <t>R TOPLES XLG 17PCS R-5857</t>
  </si>
  <si>
    <t>RAUTAN MEJA BONEKA SX-0065 L</t>
  </si>
  <si>
    <t>TOP</t>
  </si>
  <si>
    <t>24 TOP</t>
  </si>
  <si>
    <t>MEK PENSIL 2.0 TIZO TM 01800-A</t>
  </si>
  <si>
    <t>JUG190/24</t>
  </si>
  <si>
    <t>MEK PENSIL 2.0 TIZO TM 030A-2</t>
  </si>
  <si>
    <t>GEL TIZO 1.0 TG630-A</t>
  </si>
  <si>
    <t>GEL DEBOZZ 0.7+REFILL DB-530</t>
  </si>
  <si>
    <t>HIGHLIGHTER 24 PCS TF616</t>
  </si>
  <si>
    <t>GEL TIZO KLIK TG3300</t>
  </si>
  <si>
    <t>GEL INK TIANJIAO TZ-501</t>
  </si>
  <si>
    <t>GEL 1.0 TG340BI BIRU</t>
  </si>
  <si>
    <t>GEL DEBOZZ 0.7 DB-G07</t>
  </si>
  <si>
    <t>GEL DEBOZZ 0.5 DB-G05</t>
  </si>
  <si>
    <t>GEL DEBOZZ KLIK 09 DB-G09</t>
  </si>
  <si>
    <t>SINAR KOTA</t>
  </si>
  <si>
    <t>81127</t>
  </si>
  <si>
    <t>260 PCS</t>
  </si>
  <si>
    <t>SERUTAN + STIP 660 (3 FUNGSI)</t>
  </si>
  <si>
    <t>SERUTAN MEJA HELLO KITY KT 8009</t>
  </si>
  <si>
    <t>1152 PCS</t>
  </si>
  <si>
    <t>SERUTAN MEJA HELLO KITTY KT 8009</t>
  </si>
  <si>
    <t>200 PCS</t>
  </si>
  <si>
    <t>800 PCS</t>
  </si>
  <si>
    <t>0724</t>
  </si>
  <si>
    <t xml:space="preserve"> 8 LSN</t>
  </si>
  <si>
    <t>WG00189</t>
  </si>
  <si>
    <t>WG0248B</t>
  </si>
  <si>
    <t>BINDER NOTE FANCY SLIP A5-1903CT/ VINTAGE</t>
  </si>
  <si>
    <t>120 PCS</t>
  </si>
  <si>
    <t>BINDER NOTE FANCY SLIP A5-1903SS/SKY</t>
  </si>
  <si>
    <t>BINDER NOTE FANCY SLIP A5-SF1925/ CUTE</t>
  </si>
  <si>
    <t>HM/136/07-24H</t>
  </si>
  <si>
    <t>72 SET</t>
  </si>
  <si>
    <t>60 SET</t>
  </si>
  <si>
    <t>ACRYLIC MARKER TF-AM301-12</t>
  </si>
  <si>
    <t>144 SET</t>
  </si>
  <si>
    <t>BALLPEN GEL CS-G89 0,5MM</t>
  </si>
  <si>
    <t>HM/134/07-24H</t>
  </si>
  <si>
    <t>DUST 344</t>
  </si>
  <si>
    <t>STAMP PAD HERO (K)</t>
  </si>
  <si>
    <t>KARET PENTIL MINI SWAN (KECIL)</t>
  </si>
  <si>
    <t>DIARI RING 272-274</t>
  </si>
  <si>
    <t>NOTEBOOK AA0920-3 (0929)</t>
  </si>
  <si>
    <t>AGENDA 50K BC-511 (35-50)</t>
  </si>
  <si>
    <t>ACRYLIC COLOUR TF-AC-001 (12 X 6ML)</t>
  </si>
  <si>
    <t>ACRYLIC COLOUR TF-AC-002 (12X12ML)</t>
  </si>
  <si>
    <t>ACRYLIC COLOUR TF-AC-004N (12 X 6 ML) NEON</t>
  </si>
  <si>
    <t>ACRYLIC COLOUR TF-AC-005P (12 X 6 ML) PASTEL</t>
  </si>
  <si>
    <t>ACRYLIC COLOUR TF-AC-006M 12 X 6 ML( METALIC</t>
  </si>
  <si>
    <t>BALLPEN PROMOSI WY 851A 4WR</t>
  </si>
  <si>
    <t>KERTAS CREPE SMALL JERSY MP</t>
  </si>
  <si>
    <t>KERTAS CREPE SMALL JERSY WARNA</t>
  </si>
  <si>
    <t>PELNA</t>
  </si>
  <si>
    <t>PELNA LAPTOP TABLE</t>
  </si>
  <si>
    <t>10 PCS</t>
  </si>
  <si>
    <t>JUG329/24</t>
  </si>
  <si>
    <t>PENSIL KAYAGI 2B COKLAT KY-OF122B-2</t>
  </si>
  <si>
    <t>360 LSN</t>
  </si>
  <si>
    <t>72 LSN</t>
  </si>
  <si>
    <t>0149/HW/VII/24</t>
  </si>
  <si>
    <t>TOPLA</t>
  </si>
  <si>
    <t>PK-240700068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</si>
  <si>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</si>
  <si>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</si>
  <si>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</si>
  <si>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</si>
  <si>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</si>
  <si>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</si>
  <si>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</si>
  <si>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</si>
  <si>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</si>
  <si>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</si>
  <si>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</si>
  <si>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</si>
  <si>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K20,24</t>
  </si>
  <si>
    <t>N TAG D/BIRU 300</t>
  </si>
  <si>
    <t>4000 PCS</t>
  </si>
  <si>
    <t>DAVIS MANDIRI GLOBALINDO</t>
  </si>
  <si>
    <t>81175/JL/UTM/0724</t>
  </si>
  <si>
    <t>TAPE DISPENSER ISOLASI TS-0032</t>
  </si>
  <si>
    <t>24 PCS</t>
  </si>
  <si>
    <t>CUTTER L500-JZ</t>
  </si>
  <si>
    <t>240 PCS</t>
  </si>
  <si>
    <t>HN072024183</t>
  </si>
  <si>
    <t>I13</t>
  </si>
  <si>
    <t>P BAG BATIK TG TALI PUTIH</t>
  </si>
  <si>
    <t>P BAG BATIK B TALI PUTIH</t>
  </si>
  <si>
    <t>50 LSN</t>
  </si>
  <si>
    <t>0264/HW/VII/24</t>
  </si>
  <si>
    <t>085/EPW/VII/24</t>
  </si>
  <si>
    <t>BT R5</t>
  </si>
  <si>
    <t>BT R3</t>
  </si>
  <si>
    <t>MAJU MAPAN JAYA</t>
  </si>
  <si>
    <t>EMMJ-2407-00887</t>
  </si>
  <si>
    <t>BALON MERAH  PUTIH BL-10178</t>
  </si>
  <si>
    <t>100 PAK</t>
  </si>
  <si>
    <t>K41,24</t>
  </si>
  <si>
    <t>ENTER 345</t>
  </si>
  <si>
    <t>DUST 454</t>
  </si>
  <si>
    <t>400 ROL</t>
  </si>
  <si>
    <t>300 ROL</t>
  </si>
  <si>
    <t>K50,24</t>
  </si>
  <si>
    <t>SEMPOA 17T</t>
  </si>
  <si>
    <t>300 PCS</t>
  </si>
  <si>
    <t>K55,24</t>
  </si>
  <si>
    <t>BUSUR 3 1/2 MIKA</t>
  </si>
  <si>
    <t>BUSUR NO.4 MIKA</t>
  </si>
  <si>
    <t>1500 LSN</t>
  </si>
  <si>
    <t>1000 LSN</t>
  </si>
  <si>
    <t>JUG481/24</t>
  </si>
  <si>
    <t>PENSIL KAYAGI SKIN KY-PF2025</t>
  </si>
  <si>
    <t>PENSIL 2B KAYAGI KY-PF3053</t>
  </si>
  <si>
    <t>PENSIL 2B KAYAGI KY-PF3060</t>
  </si>
  <si>
    <t>PENSIL 2B FANCY KY-PF3066</t>
  </si>
  <si>
    <t>PENSIL 2B KAYAGI KY-PF3055</t>
  </si>
  <si>
    <t>PENSIL 2B KAYAGI KY-PF3090</t>
  </si>
  <si>
    <t>PENSIL 2B KAYAGI KY-PF3091</t>
  </si>
  <si>
    <t>PENSIL 2B KAYAGI KY-PF3092</t>
  </si>
  <si>
    <t>PENSIL 2B KAYAGI KY-PF3093</t>
  </si>
  <si>
    <t>PENSIL 2B KAYAGI KY-PF3058</t>
  </si>
  <si>
    <t>TAS CABIN ELPIDA HIJAU EP-CB007HJ</t>
  </si>
  <si>
    <t>1 PCS</t>
  </si>
  <si>
    <t>SAPUTRO OFFICE</t>
  </si>
  <si>
    <t>MEJA IPAD IMPORT JUMBO KARAKTER</t>
  </si>
  <si>
    <t>H-1768,INV,SOS</t>
  </si>
  <si>
    <t>P WARNA KAYAGI 24W KY-CP0724</t>
  </si>
  <si>
    <t>40 LSN</t>
  </si>
  <si>
    <t>60 PCS</t>
  </si>
  <si>
    <t>ENTER WHITE BOARD 802 (K)</t>
  </si>
  <si>
    <t>HARGA CONV2</t>
  </si>
  <si>
    <t>CONV2_//</t>
  </si>
  <si>
    <t>CONV2 VAR</t>
  </si>
  <si>
    <t>DISP</t>
  </si>
  <si>
    <t>ANDY (YOEKER)</t>
  </si>
  <si>
    <t>SO24/2225</t>
  </si>
  <si>
    <t>SMM</t>
  </si>
  <si>
    <t>030/B/VIII/24</t>
  </si>
  <si>
    <t>SEMPOA 17 BARIS JAYA</t>
  </si>
  <si>
    <t>SEMPOA 13 BARIS JAYA</t>
  </si>
  <si>
    <t>PENGGARIS BESI 15 CM YOEKER</t>
  </si>
  <si>
    <t>PENGGARIS BESI 20 CM YOEKER</t>
  </si>
  <si>
    <t>PENGGARIS BESI 40 CM YOEKER</t>
  </si>
  <si>
    <t>PENGGARIS BESI 50 CM YOEKER</t>
  </si>
  <si>
    <t>PENGGARIS BESI 60 CM YOEKER</t>
  </si>
  <si>
    <t>TH034/7/2024</t>
  </si>
  <si>
    <t>PERUNCING PAYU PU-823/ MINI/ AYAM</t>
  </si>
  <si>
    <t>BARANG TITIP</t>
  </si>
  <si>
    <t>PERUNCING PAYU PU-830/ MINI/ KUPU</t>
  </si>
  <si>
    <t>PERUNCING PAYU PU-831/ MINI/ IKAN</t>
  </si>
  <si>
    <t>PERUNCING PAYU PU-845/ MINI/ KEPITING</t>
  </si>
  <si>
    <t>PERUNCING PAYU PU-846/ MINI/ KUDA GOYANG</t>
  </si>
  <si>
    <t>PERUNCING PAYU PU-847/ MINI/ KURA</t>
  </si>
  <si>
    <t>PERUNCING PAYU PU-849/ MINI/ S.BERY</t>
  </si>
  <si>
    <t>PERUNCING PAYU PU-827/ MINI/ ANGSA</t>
  </si>
  <si>
    <t>PERUNCING PAYU PU-856</t>
  </si>
  <si>
    <t>ELEVATED TRAY MICROTOP 602 HITAM</t>
  </si>
  <si>
    <t>12 PCS</t>
  </si>
  <si>
    <t>WG05288</t>
  </si>
  <si>
    <t>CDS2407063</t>
  </si>
  <si>
    <t>SO2024070087011</t>
  </si>
  <si>
    <t>ACRYLIC SISIPAN KERTAS A4 T (21X30 CM)</t>
  </si>
  <si>
    <t>40 PCS</t>
  </si>
  <si>
    <t>ACRYLIC SISIPAN KERTAS FOLIO (21.5X33CM)</t>
  </si>
  <si>
    <t>WIN'S SENTOSA</t>
  </si>
  <si>
    <t>SI-2024/07-0207/M</t>
  </si>
  <si>
    <t>GLUE STICK 7X29</t>
  </si>
  <si>
    <t>GLUE STICK 11 X 29</t>
  </si>
  <si>
    <t>TEROMPET TR OW-02</t>
  </si>
  <si>
    <t>RULER 30CM ISI 40</t>
  </si>
  <si>
    <t>DB STATIONERI</t>
  </si>
  <si>
    <t>JUG225824</t>
  </si>
  <si>
    <t>MEK PENSIL TIZO TM01730</t>
  </si>
  <si>
    <t>TP BD XLG BD191-27</t>
  </si>
  <si>
    <t>180 PCS</t>
  </si>
  <si>
    <t>TP BD XLG BD193-27</t>
  </si>
  <si>
    <t>TP BD XLG BD194-26</t>
  </si>
  <si>
    <t>TP BD XLG BD331-23</t>
  </si>
  <si>
    <t>ACRYLIC SISIPAN KERTAS A5 T(15 X21 CM)</t>
  </si>
  <si>
    <t>25 PAK</t>
  </si>
  <si>
    <t>40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</si>
</sst>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[$-409]d\-mmm\-yy;@"/>
  </numFmts>
  <fonts count="8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Arial Unicode MS"/>
      <family val="2"/>
    </font>
    <font>
      <b/>
      <sz val="10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right"/>
    </xf>
    <xf numFmtId="14" fontId="0" fillId="0" borderId="1" xfId="0" applyNumberFormat="1" applyBorder="1"/>
    <xf numFmtId="0" fontId="7" fillId="2" borderId="0" xfId="0" applyFont="1" applyFill="1" applyAlignment="1">
      <alignment horizontal="left"/>
    </xf>
    <xf numFmtId="0" fontId="7" fillId="2" borderId="0" xfId="0" applyFont="1" applyFill="1"/>
    <xf numFmtId="10" fontId="7" fillId="2" borderId="0" xfId="0" applyNumberFormat="1" applyFont="1" applyFill="1" applyAlignment="1">
      <alignment horizontal="right"/>
    </xf>
    <xf numFmtId="164" fontId="7" fillId="2" borderId="0" xfId="0" applyNumberFormat="1" applyFont="1" applyFill="1"/>
    <xf numFmtId="166" fontId="7" fillId="2" borderId="0" xfId="0" applyNumberFormat="1" applyFont="1" applyFill="1"/>
    <xf numFmtId="167" fontId="7" fillId="2" borderId="0" xfId="0" applyNumberFormat="1" applyFont="1" applyFill="1"/>
    <xf numFmtId="14" fontId="7" fillId="2" borderId="0" xfId="0" applyNumberFormat="1" applyFont="1" applyFill="1"/>
    <xf numFmtId="0" fontId="7" fillId="2" borderId="1" xfId="0" applyFont="1" applyFill="1" applyBorder="1"/>
    <xf numFmtId="10" fontId="7" fillId="2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right"/>
    </xf>
    <xf numFmtId="164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4" fontId="0" fillId="2" borderId="0" xfId="0" applyNumberFormat="1" applyFill="1"/>
    <xf numFmtId="0" fontId="0" fillId="2" borderId="1" xfId="0" applyFill="1" applyBorder="1"/>
    <xf numFmtId="10" fontId="0" fillId="2" borderId="0" xfId="0" applyNumberFormat="1" applyFill="1"/>
    <xf numFmtId="0" fontId="1" fillId="0" borderId="0" xfId="0" quotePrefix="1" applyFont="1" applyFill="1" applyAlignment="1">
      <alignment vertical="center"/>
    </xf>
    <xf numFmtId="1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vertical="center"/>
    </xf>
    <xf numFmtId="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0" fontId="1" fillId="0" borderId="0" xfId="0" applyNumberFormat="1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10" fontId="0" fillId="0" borderId="0" xfId="0" applyNumberFormat="1" applyFill="1" applyAlignment="1">
      <alignment horizontal="right"/>
    </xf>
    <xf numFmtId="164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14" fontId="0" fillId="0" borderId="0" xfId="0" applyNumberFormat="1" applyFill="1"/>
    <xf numFmtId="0" fontId="0" fillId="0" borderId="1" xfId="0" applyNumberFormat="1" applyFill="1" applyBorder="1"/>
    <xf numFmtId="10" fontId="0" fillId="0" borderId="0" xfId="0" applyNumberFormat="1" applyFill="1"/>
    <xf numFmtId="0" fontId="7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418"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00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7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6" formatCode="_(* #,##0.00_);_(* \(#,##0.0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417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03.562935879629" createdVersion="5" refreshedVersion="8" minRefreshableVersion="3" recordCount="1010" xr:uid="{00000000-000A-0000-FFFF-FFFF0D000000}">
  <cacheSource type="worksheet">
    <worksheetSource name="NOTA"/>
  </cacheSource>
  <cacheFields count="50">
    <cacheField name="ID" numFmtId="3">
      <sharedItems containsMixedTypes="1" containsNumber="1" containsInteger="1" minValue="1" maxValue="66"/>
    </cacheField>
    <cacheField name="ID_H" numFmtId="0">
      <sharedItems containsMixedTypes="1" containsNumber="1" containsInteger="1" minValue="1" maxValue="66"/>
    </cacheField>
    <cacheField name="TANGGAL" numFmtId="0">
      <sharedItems containsNonDate="0" containsDate="1" containsString="0" containsBlank="1" minDate="2024-06-27T00:00:00" maxDate="2024-07-2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6-26T00:00:00" maxDate="2024-07-28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20000"/>
    </cacheField>
    <cacheField name="STN" numFmtId="0">
      <sharedItems containsBlank="1"/>
    </cacheField>
    <cacheField name="HARGA SATUAN" numFmtId="0">
      <sharedItems containsString="0" containsBlank="1" containsNumber="1" containsInteger="1" minValue="325" maxValue="279000"/>
    </cacheField>
    <cacheField name="HARGA/ CTN" numFmtId="0">
      <sharedItems containsNonDate="0" containsString="0" containsBlank="1"/>
    </cacheField>
    <cacheField name="Column5" numFmtId="3">
      <sharedItems containsBlank="1"/>
    </cacheField>
    <cacheField name="Column6" numFmtId="10">
      <sharedItems containsString="0" containsBlank="1" containsNumber="1" minValue="0.03" maxValue="1"/>
    </cacheField>
    <cacheField name="Column7" numFmtId="10">
      <sharedItems containsString="0" containsBlank="1" containsNumber="1" minValue="0.03" maxValue="0.1"/>
    </cacheField>
    <cacheField name="Column8" numFmtId="10">
      <sharedItems containsString="0" containsBlank="1" containsNumber="1" minValue="0.1" maxValue="0.1"/>
    </cacheField>
    <cacheField name="Column9" numFmtId="165">
      <sharedItems containsNonDate="0" containsString="0" containsBlank="1"/>
    </cacheField>
    <cacheField name="Column10" numFmtId="49">
      <sharedItems containsBlank="1"/>
    </cacheField>
    <cacheField name="JUMLAH" numFmtId="165">
      <sharedItems containsMixedTypes="1" containsNumber="1" containsInteger="1" minValue="13000" maxValue="57600000"/>
    </cacheField>
    <cacheField name="DISC 1-" numFmtId="165">
      <sharedItems containsMixedTypes="1" containsNumber="1" containsInteger="1" minValue="0" maxValue="6048000"/>
    </cacheField>
    <cacheField name="DISC 2-" numFmtId="165">
      <sharedItems containsMixedTypes="1" containsNumber="1" minValue="0" maxValue="2332800"/>
    </cacheField>
    <cacheField name="DISC 3-" numFmtId="165">
      <sharedItems containsMixedTypes="1" containsNumber="1" containsInteger="1" minValue="0" maxValue="1807920"/>
    </cacheField>
    <cacheField name="DISC" numFmtId="165">
      <sharedItems containsMixedTypes="1" containsNumber="1" minValue="0" maxValue="7804800"/>
    </cacheField>
    <cacheField name="TOTAL" numFmtId="165">
      <sharedItems containsMixedTypes="1" containsNumber="1" minValue="0" maxValue="57600000"/>
    </cacheField>
    <cacheField name="Column2" numFmtId="165">
      <sharedItems containsNonDate="0" containsString="0" containsBlank="1"/>
    </cacheField>
    <cacheField name="DISC TOTAL" numFmtId="165">
      <sharedItems containsMixedTypes="1" containsNumber="1" minValue="0" maxValue="10367376"/>
    </cacheField>
    <cacheField name="TOTAL INVOICE" numFmtId="165">
      <sharedItems containsMixedTypes="1" containsNumber="1" minValue="0" maxValue="80000000"/>
    </cacheField>
    <cacheField name="HARGA/ CTN_H" numFmtId="3">
      <sharedItems containsMixedTypes="1" containsNumber="1" minValue="0" maxValue="7500000"/>
    </cacheField>
    <cacheField name="JUMLAH_H" numFmtId="165">
      <sharedItems containsMixedTypes="1" containsNumber="1" containsInteger="1" minValue="13000" maxValue="57600000"/>
    </cacheField>
    <cacheField name="TGL_H" numFmtId="14">
      <sharedItems containsDate="1" containsMixedTypes="1" minDate="2024-03-01T00:00:00" maxDate="2024-07-26T00:00:00" count="86">
        <d v="2024-06-27T00:00:00"/>
        <s v=""/>
        <d v="2024-06-28T00:00:00"/>
        <d v="2024-06-29T00:00:00"/>
        <d v="2024-07-01T00:00:00"/>
        <d v="2024-07-04T00:00:00"/>
        <d v="2024-07-05T00:00:00"/>
        <d v="2024-07-08T00:00:00"/>
        <d v="2024-07-10T00:00:00"/>
        <d v="2024-07-13T00:00:00"/>
        <d v="2024-07-09T00:00:00"/>
        <d v="2024-07-06T00:00:00"/>
        <d v="2024-07-11T00:00:00"/>
        <d v="2024-07-12T00:00:00"/>
        <d v="2024-07-17T00:00:00"/>
        <d v="2024-07-16T00:00:00"/>
        <d v="2024-07-15T00:00:00"/>
        <d v="2024-07-18T00:00:00"/>
        <d v="2024-07-19T00:00:00"/>
        <d v="2024-07-22T00:00:00"/>
        <d v="2024-07-23T00:00:00"/>
        <d v="2024-07-24T00:00:00"/>
        <d v="2024-07-25T00:00:00"/>
        <d v="2024-05-28T00:00:00" u="1"/>
        <d v="2024-05-29T00:00:00" u="1"/>
        <d v="2024-05-27T00:00:00" u="1"/>
        <d v="2024-05-30T00:00:00" u="1"/>
        <d v="2024-06-03T00:00:00" u="1"/>
        <d v="2024-06-04T00:00:00" u="1"/>
        <d v="2024-06-05T00:00:00" u="1"/>
        <d v="2024-06-06T00:00:00" u="1"/>
        <d v="2024-06-10T00:00:00" u="1"/>
        <d v="2024-06-13T00:00:00" u="1"/>
        <d v="2024-06-12T00:00:00" u="1"/>
        <d v="2024-06-11T00:00:00" u="1"/>
        <d v="2024-06-14T00:00:00" u="1"/>
        <d v="2024-06-18T00:00:00" u="1"/>
        <d v="2024-06-22T00:00:00" u="1"/>
        <d v="2024-06-19T00:00:00" u="1"/>
        <d v="2024-05-02T00:00:00" u="1"/>
        <d v="2024-05-03T00:00:00" u="1"/>
        <d v="2024-05-04T00:00:00" u="1"/>
        <d v="2024-04-30T00:00:00" u="1"/>
        <d v="2024-05-07T00:00:00" u="1"/>
        <d v="2024-05-08T00:00:00" u="1"/>
        <d v="2024-05-10T00:00:00" u="1"/>
        <d v="2024-05-11T00:00:00" u="1"/>
        <d v="2024-05-13T00:00:00" u="1"/>
        <d v="2024-05-15T00:00:00" u="1"/>
        <d v="2024-05-16T00:00:00" u="1"/>
        <d v="2024-05-17T00:00:00" u="1"/>
        <d v="2024-05-20T00:00:00" u="1"/>
        <d v="2024-05-21T00:00:00" u="1"/>
        <d v="2024-05-22T00:00:00" u="1"/>
        <d v="2024-05-25T00:00:00" u="1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Date="1" containsMixedTypes="1" minDate="2024-06-26T00:00:00" maxDate="2024-07-28T00:00:00"/>
    </cacheField>
    <cacheField name="NO.NOTA_H" numFmtId="14">
      <sharedItems containsDate="1" containsMixedTypes="1" minDate="1899-12-30T00:00:00" maxDate="1899-12-31T00:00:00"/>
    </cacheField>
    <cacheField name="SUPPLIER_H" numFmtId="3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6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//DB" numFmtId="0">
      <sharedItems containsMixedTypes="1" containsNumber="1" containsInteger="1" minValue="27" maxValue="3478"/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27" maxValue="3478"/>
    </cacheField>
    <cacheField name="ID BARANG" numFmtId="1">
      <sharedItems containsMixedTypes="1" containsNumber="1" containsInteger="1" minValue="1" maxValue="531" count="465">
        <n v="1"/>
        <n v="2"/>
        <n v="3"/>
        <n v="4"/>
        <s v=""/>
        <n v="6"/>
        <n v="7"/>
        <n v="8"/>
        <n v="9"/>
        <n v="11"/>
        <n v="13"/>
        <n v="15"/>
        <n v="16"/>
        <n v="17"/>
        <n v="19"/>
        <n v="20"/>
        <n v="22"/>
        <n v="23"/>
        <n v="25"/>
        <n v="26"/>
        <n v="27"/>
        <n v="28"/>
        <n v="29"/>
        <n v="30"/>
        <n v="32"/>
        <n v="33"/>
        <n v="35"/>
        <n v="37"/>
        <n v="39"/>
        <n v="41"/>
        <n v="43"/>
        <n v="45"/>
        <n v="47"/>
        <n v="49"/>
        <n v="50"/>
        <n v="51"/>
        <n v="52"/>
        <n v="53"/>
        <n v="54"/>
        <n v="55"/>
        <n v="56"/>
        <n v="57"/>
        <n v="58"/>
        <n v="60"/>
        <n v="62"/>
        <n v="63"/>
        <n v="64"/>
        <n v="65"/>
        <n v="66"/>
        <n v="67"/>
        <n v="68"/>
        <n v="69"/>
        <n v="70"/>
        <n v="71"/>
        <n v="73"/>
        <n v="75"/>
        <n v="77"/>
        <n v="79"/>
        <n v="80"/>
        <n v="81"/>
        <n v="83"/>
        <n v="85"/>
        <n v="86"/>
        <n v="87"/>
        <n v="89"/>
        <n v="91"/>
        <n v="93"/>
        <n v="94"/>
        <n v="95"/>
        <n v="97"/>
        <n v="98"/>
        <n v="100"/>
        <n v="102"/>
        <n v="104"/>
        <n v="105"/>
        <n v="106"/>
        <n v="107"/>
        <n v="109"/>
        <n v="110"/>
        <n v="111"/>
        <n v="112"/>
        <n v="114"/>
        <n v="115"/>
        <n v="116"/>
        <n v="117"/>
        <n v="118"/>
        <n v="119"/>
        <n v="120"/>
        <n v="121"/>
        <n v="122"/>
        <n v="123"/>
        <n v="124"/>
        <n v="125"/>
        <n v="127"/>
        <n v="128"/>
        <n v="129"/>
        <n v="130"/>
        <n v="131"/>
        <n v="132"/>
        <n v="133"/>
        <n v="134"/>
        <n v="135"/>
        <n v="137"/>
        <n v="138"/>
        <n v="140"/>
        <n v="142"/>
        <n v="143"/>
        <n v="144"/>
        <n v="146"/>
        <n v="147"/>
        <n v="148"/>
        <n v="149"/>
        <n v="150"/>
        <n v="151"/>
        <n v="152"/>
        <n v="153"/>
        <n v="154"/>
        <n v="156"/>
        <n v="158"/>
        <n v="159"/>
        <n v="161"/>
        <n v="162"/>
        <n v="164"/>
        <n v="165"/>
        <n v="166"/>
        <n v="168"/>
        <n v="170"/>
        <n v="171"/>
        <n v="172"/>
        <n v="173"/>
        <n v="174"/>
        <n v="175"/>
        <n v="176"/>
        <n v="177"/>
        <n v="178"/>
        <n v="179"/>
        <n v="180"/>
        <n v="181"/>
        <n v="183"/>
        <n v="184"/>
        <n v="186"/>
        <n v="187"/>
        <n v="189"/>
        <n v="190"/>
        <n v="192"/>
        <n v="193"/>
        <n v="195"/>
        <n v="197"/>
        <n v="198"/>
        <n v="200"/>
        <n v="202"/>
        <n v="203"/>
        <n v="205"/>
        <n v="207"/>
        <n v="208"/>
        <n v="209"/>
        <n v="211"/>
        <n v="212"/>
        <n v="213"/>
        <n v="214"/>
        <n v="215"/>
        <n v="216"/>
        <n v="217"/>
        <n v="218"/>
        <n v="219"/>
        <n v="220"/>
        <n v="221"/>
        <n v="223"/>
        <n v="225"/>
        <n v="227"/>
        <n v="228"/>
        <n v="229"/>
        <n v="230"/>
        <n v="231"/>
        <n v="233"/>
        <n v="234"/>
        <n v="236"/>
        <n v="237"/>
        <n v="238"/>
        <n v="239"/>
        <n v="240"/>
        <n v="241"/>
        <n v="242"/>
        <n v="243"/>
        <n v="244"/>
        <n v="245"/>
        <n v="247"/>
        <n v="249"/>
        <n v="250"/>
        <n v="252"/>
        <n v="253"/>
        <n v="254"/>
        <n v="256"/>
        <n v="257"/>
        <n v="258"/>
        <n v="259"/>
        <n v="261"/>
        <n v="262"/>
        <n v="263"/>
        <n v="264"/>
        <n v="265"/>
        <n v="14" u="1"/>
        <n v="18" u="1"/>
        <n v="21" u="1"/>
        <n v="24" u="1"/>
        <n v="31" u="1"/>
        <n v="10" u="1"/>
        <n v="12" u="1"/>
        <n v="34" u="1"/>
        <n v="36" u="1"/>
        <n v="38" u="1"/>
        <n v="40" u="1"/>
        <n v="42" u="1"/>
        <n v="44" u="1"/>
        <n v="46" u="1"/>
        <n v="48" u="1"/>
        <n v="59" u="1"/>
        <n v="61" u="1"/>
        <n v="74" u="1"/>
        <n v="76" u="1"/>
        <n v="82" u="1"/>
        <n v="84" u="1"/>
        <n v="88" u="1"/>
        <n v="90" u="1"/>
        <n v="96" u="1"/>
        <n v="99" u="1"/>
        <n v="101" u="1"/>
        <n v="103" u="1"/>
        <n v="108" u="1"/>
        <n v="126" u="1"/>
        <n v="136" u="1"/>
        <n v="139" u="1"/>
        <n v="141" u="1"/>
        <n v="145" u="1"/>
        <n v="155" u="1"/>
        <n v="160" u="1"/>
        <n v="163" u="1"/>
        <n v="167" u="1"/>
        <n v="169" u="1"/>
        <n v="182" u="1"/>
        <n v="185" u="1"/>
        <n v="188" u="1"/>
        <n v="191" u="1"/>
        <n v="194" u="1"/>
        <n v="196" u="1"/>
        <n v="199" u="1"/>
        <n v="201" u="1"/>
        <n v="204" u="1"/>
        <n v="222" u="1"/>
        <n v="226" u="1"/>
        <n v="232" u="1"/>
        <n v="235" u="1"/>
        <n v="248" u="1"/>
        <n v="251" u="1"/>
        <n v="255" u="1"/>
        <n v="260" u="1"/>
        <n v="92" u="1"/>
        <n v="72" u="1"/>
        <n v="78" u="1"/>
        <n v="113" u="1"/>
        <n v="157" u="1"/>
        <n v="206" u="1"/>
        <n v="210" u="1"/>
        <n v="224" u="1"/>
        <n v="369" u="1"/>
        <n v="440" u="1"/>
        <n v="511" u="1"/>
        <n v="327" u="1"/>
        <n v="469" u="1"/>
        <n v="285" u="1"/>
        <n v="356" u="1"/>
        <n v="427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288" u="1"/>
        <n v="359" u="1"/>
        <n v="501" u="1"/>
        <n v="317" u="1"/>
        <n v="388" u="1"/>
        <n v="459" u="1"/>
        <n v="5" u="1"/>
        <n v="275" u="1"/>
        <n v="346" u="1"/>
        <n v="417" u="1"/>
        <n v="446" u="1"/>
        <n v="52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407" u="1"/>
        <n v="515" u="1"/>
        <n v="294" u="1"/>
        <n v="436" u="1"/>
        <n v="507" u="1"/>
        <n v="323" u="1"/>
        <n v="394" u="1"/>
        <n v="465" u="1"/>
        <n v="352" u="1"/>
        <n v="494" u="1"/>
        <n v="310" u="1"/>
        <n v="381" u="1"/>
        <n v="452" u="1"/>
        <n v="268" u="1"/>
        <n v="410" u="1"/>
        <n v="439" u="1"/>
        <n v="510" u="1"/>
        <n v="326" u="1"/>
        <n v="397" u="1"/>
        <n v="468" u="1"/>
        <n v="284" u="1"/>
        <n v="355" u="1"/>
        <n v="497" u="1"/>
        <n v="313" u="1"/>
        <n v="384" u="1"/>
        <n v="455" u="1"/>
        <n v="271" u="1"/>
        <n v="342" u="1"/>
        <n v="413" u="1"/>
        <n v="484" u="1"/>
        <n v="514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303" u="1"/>
        <n v="374" u="1"/>
        <n v="445" u="1"/>
        <n v="520" u="1"/>
        <n v="332" u="1"/>
        <n v="403" u="1"/>
        <n v="290" u="1"/>
        <n v="361" u="1"/>
        <n v="432" u="1"/>
        <n v="461" u="1"/>
        <n v="277" u="1"/>
        <n v="419" u="1"/>
        <n v="490" u="1"/>
        <n v="377" u="1"/>
        <n v="448" u="1"/>
        <n v="406" u="1"/>
        <n v="477" u="1"/>
        <n v="513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270" u="1"/>
        <n v="483" u="1"/>
        <n v="525" u="1"/>
        <n v="370" u="1"/>
        <n v="441" u="1"/>
        <n v="328" u="1"/>
        <n v="399" u="1"/>
        <n v="286" u="1"/>
        <n v="357" u="1"/>
        <n v="428" u="1"/>
        <n v="499" u="1"/>
        <n v="315" u="1"/>
        <n v="457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276" u="1"/>
        <n v="347" u="1"/>
        <n v="418" u="1"/>
        <n v="489" u="1"/>
        <n v="376" u="1"/>
        <n v="524" u="1"/>
        <n v="405" u="1"/>
        <n v="476" u="1"/>
        <n v="292" u="1"/>
        <n v="363" u="1"/>
        <n v="434" u="1"/>
        <n v="505" u="1"/>
        <n v="321" u="1"/>
        <n v="392" u="1"/>
        <n v="463" u="1"/>
        <n v="279" u="1"/>
        <n v="350" u="1"/>
        <n v="421" u="1"/>
        <n v="492" u="1"/>
        <n v="379" u="1"/>
        <n v="450" u="1"/>
        <n v="530" u="1"/>
        <n v="266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0">
  <r>
    <n v="1"/>
    <n v="1"/>
    <d v="2024-06-27T00:00:00"/>
    <s v="COMBI"/>
    <s v="UNTANA"/>
    <s v="0644"/>
    <m/>
    <d v="2024-06-27T00:00:00"/>
    <m/>
    <s v="DOC RIT PRESTIGE MERAH"/>
    <m/>
    <n v="55"/>
    <s v="PCS"/>
    <n v="16250"/>
    <m/>
    <s v="8 LSN"/>
    <m/>
    <m/>
    <m/>
    <m/>
    <m/>
    <n v="893750"/>
    <n v="0"/>
    <n v="0"/>
    <n v="0"/>
    <n v="0"/>
    <n v="893750"/>
    <m/>
    <s v=""/>
    <s v=""/>
    <n v="893750"/>
    <n v="893750"/>
    <x v="0"/>
    <d v="2024-06-27T00:00:00"/>
    <s v="0644"/>
    <s v="COMBI"/>
    <x v="0"/>
    <n v="4"/>
    <n v="6"/>
    <s v="docritprestigemerah"/>
    <s v="docritprestigemerah893750"/>
    <s v="docritprestigemerah16250"/>
    <s v="COMBIUNTANA064445470docritprestigemerah"/>
    <n v="876"/>
    <b v="1"/>
    <s v="8 LSN"/>
    <s v="docritprestigemerah8lsnuntana"/>
    <n v="876"/>
    <x v="0"/>
    <m/>
  </r>
  <r>
    <s v=""/>
    <n v="1"/>
    <m/>
    <m/>
    <m/>
    <m/>
    <m/>
    <m/>
    <m/>
    <s v="DOC RIT PRESTIGE HITAM"/>
    <m/>
    <n v="6"/>
    <s v="PCS"/>
    <n v="16250"/>
    <m/>
    <s v="8 LSN"/>
    <m/>
    <m/>
    <m/>
    <m/>
    <m/>
    <n v="97500"/>
    <n v="0"/>
    <n v="0"/>
    <n v="0"/>
    <n v="0"/>
    <n v="97500"/>
    <m/>
    <s v=""/>
    <s v=""/>
    <n v="97500"/>
    <n v="97500"/>
    <x v="0"/>
    <d v="2024-06-27T00:00:00"/>
    <s v="0644"/>
    <s v="COMBI"/>
    <x v="0"/>
    <s v=""/>
    <e v="#REF!"/>
    <s v="docritprestigehitam"/>
    <s v="docritprestigehitam97500"/>
    <s v="docritprestigehitam16250"/>
    <s v=""/>
    <n v="875"/>
    <b v="1"/>
    <s v="8 LSN"/>
    <s v="docritprestigehitam8lsnuntana"/>
    <n v="875"/>
    <x v="1"/>
    <m/>
  </r>
  <r>
    <s v=""/>
    <n v="1"/>
    <m/>
    <m/>
    <m/>
    <m/>
    <m/>
    <m/>
    <m/>
    <s v="DOC RIT PRESTIGE HITAM"/>
    <m/>
    <n v="6"/>
    <s v="PCS"/>
    <n v="16250"/>
    <m/>
    <s v="8 LSN"/>
    <m/>
    <m/>
    <m/>
    <m/>
    <m/>
    <n v="97500"/>
    <n v="0"/>
    <n v="0"/>
    <n v="0"/>
    <n v="0"/>
    <n v="97500"/>
    <m/>
    <s v=""/>
    <s v=""/>
    <n v="97500"/>
    <n v="97500"/>
    <x v="0"/>
    <d v="2024-06-27T00:00:00"/>
    <s v="0644"/>
    <s v="COMBI"/>
    <x v="0"/>
    <s v=""/>
    <e v="#REF!"/>
    <s v="docritprestigehitam"/>
    <s v="docritprestigehitam97500"/>
    <s v="docritprestigehitam16250"/>
    <s v=""/>
    <n v="875"/>
    <b v="1"/>
    <s v="8 LSN"/>
    <s v="docritprestigehitam8lsnuntana"/>
    <n v="875"/>
    <x v="2"/>
    <m/>
  </r>
  <r>
    <s v=""/>
    <n v="1"/>
    <m/>
    <m/>
    <m/>
    <m/>
    <m/>
    <m/>
    <m/>
    <s v="DOC RIT PRESTIGE BIRU"/>
    <m/>
    <n v="90"/>
    <s v="PCS"/>
    <n v="16250"/>
    <m/>
    <s v="8 LSN"/>
    <m/>
    <m/>
    <m/>
    <m/>
    <m/>
    <n v="1462500"/>
    <n v="0"/>
    <n v="0"/>
    <n v="0"/>
    <n v="0"/>
    <n v="1462500"/>
    <m/>
    <n v="0"/>
    <n v="2551250"/>
    <n v="1462500"/>
    <n v="1462500"/>
    <x v="0"/>
    <d v="2024-06-27T00:00:00"/>
    <s v="0644"/>
    <s v="COMBI"/>
    <x v="0"/>
    <s v=""/>
    <e v="#REF!"/>
    <s v="docritprestigebiru"/>
    <s v="docritprestigebiru1462500"/>
    <s v="docritprestigebiru16250"/>
    <s v=""/>
    <n v="874"/>
    <b v="1"/>
    <s v="8 LSN"/>
    <s v="docritprestigebiru8lsnuntana"/>
    <n v="874"/>
    <x v="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"/>
    <n v="2"/>
    <d v="2024-06-27T00:00:00"/>
    <s v="HANSA"/>
    <s v="UNTANA"/>
    <s v="HN062024317"/>
    <m/>
    <d v="2024-06-27T00:00:00"/>
    <m/>
    <s v="LILIN ANGKA SHINTOENG NO.4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0"/>
    <d v="2024-06-27T00:00:00"/>
    <s v="HN062024317"/>
    <s v="HANSA"/>
    <x v="0"/>
    <n v="4"/>
    <n v="6"/>
    <s v="lilinangkashintoengno4"/>
    <s v="lilinangkashintoengno413000"/>
    <s v="lilinangkashintoengno413000"/>
    <s v="HANSAUNTANAHN06202431745470lilinangkashintoengno4"/>
    <n v="1976"/>
    <s v=""/>
    <s v="100 LSN"/>
    <s v="lilinangkashintoengno4100lsnuntana"/>
    <n v="1976"/>
    <x v="5"/>
    <m/>
  </r>
  <r>
    <s v=""/>
    <n v="2"/>
    <m/>
    <m/>
    <m/>
    <m/>
    <m/>
    <m/>
    <m/>
    <s v="LILIN ANGKA SHINTOENG NO.5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0"/>
    <d v="2024-06-27T00:00:00"/>
    <s v="HN062024317"/>
    <s v="HANSA"/>
    <x v="0"/>
    <s v=""/>
    <n v="6"/>
    <s v="lilinangkashintoengno5"/>
    <s v="lilinangkashintoengno513000"/>
    <s v="lilinangkashintoengno513000"/>
    <s v=""/>
    <n v="1977"/>
    <s v=""/>
    <s v="100 LSN"/>
    <s v="lilinangkashintoengno5100lsnuntana"/>
    <n v="1977"/>
    <x v="6"/>
    <m/>
  </r>
  <r>
    <s v=""/>
    <n v="2"/>
    <m/>
    <m/>
    <m/>
    <m/>
    <m/>
    <m/>
    <m/>
    <s v="LILIN ANGKA SHINTOENG NO.6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0"/>
    <d v="2024-06-27T00:00:00"/>
    <s v="HN062024317"/>
    <s v="HANSA"/>
    <x v="0"/>
    <s v=""/>
    <n v="6"/>
    <s v="lilinangkashintoengno6"/>
    <s v="lilinangkashintoengno613000"/>
    <s v="lilinangkashintoengno613000"/>
    <s v=""/>
    <n v="1978"/>
    <s v=""/>
    <s v="100 LSN"/>
    <s v="lilinangkashintoengno6100lsnuntana"/>
    <n v="1978"/>
    <x v="7"/>
    <m/>
  </r>
  <r>
    <s v=""/>
    <n v="2"/>
    <m/>
    <m/>
    <m/>
    <m/>
    <m/>
    <m/>
    <m/>
    <s v="LILIN ANGKA SHINTOENG NO.7"/>
    <m/>
    <n v="1"/>
    <s v="LSN"/>
    <n v="13000"/>
    <m/>
    <m/>
    <m/>
    <m/>
    <m/>
    <m/>
    <m/>
    <n v="13000"/>
    <n v="0"/>
    <n v="0"/>
    <n v="0"/>
    <n v="0"/>
    <n v="13000"/>
    <m/>
    <n v="0"/>
    <n v="52000"/>
    <n v="13000"/>
    <n v="13000"/>
    <x v="0"/>
    <d v="2024-06-27T00:00:00"/>
    <s v="HN062024317"/>
    <s v="HANSA"/>
    <x v="0"/>
    <s v=""/>
    <n v="6"/>
    <s v="lilinangkashintoengno7"/>
    <s v="lilinangkashintoengno713000"/>
    <s v="lilinangkashintoengno713000"/>
    <s v=""/>
    <n v="1970"/>
    <s v=""/>
    <s v="100 LSN"/>
    <s v="lilinangkashintoengno7100lsnuntana"/>
    <n v="1970"/>
    <x v="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"/>
    <n v="3"/>
    <d v="2024-06-28T00:00:00"/>
    <s v="DUTA BUANA"/>
    <s v="UNTANA"/>
    <s v="HM/119/06-24H"/>
    <m/>
    <d v="2024-06-26T00:00:00"/>
    <m/>
    <s v="BALLPEN GEL TF-1190 HTM 0.3MM HIGHTECH"/>
    <n v="6"/>
    <n v="576"/>
    <s v="LSN"/>
    <n v="26500"/>
    <m/>
    <s v="96 LSN"/>
    <n v="0.03"/>
    <m/>
    <m/>
    <m/>
    <m/>
    <n v="15264000"/>
    <n v="457920"/>
    <n v="0"/>
    <n v="0"/>
    <n v="457920"/>
    <n v="14806080"/>
    <m/>
    <n v="457920"/>
    <n v="14806080"/>
    <n v="2544000"/>
    <n v="15264000"/>
    <x v="2"/>
    <d v="2024-06-26T00:00:00"/>
    <s v="HM/119/06-24H"/>
    <s v="DUTA BUANA"/>
    <x v="0"/>
    <n v="1"/>
    <n v="6"/>
    <s v="ballpengeltf1190htm03mmhightech"/>
    <s v="ballpengeltf1190htm03mmhightech25440000,03"/>
    <s v="ballpengeltf1190htm03mmhightech25440000,03"/>
    <s v="DUTA BUANAUNTANAHM/119/06-24H45469ballpengeltf1190htm03mmhightech"/>
    <n v="150"/>
    <b v="1"/>
    <s v="96 LSN"/>
    <s v="ballpengeltf1190htm03mmhightech96lsnuntana"/>
    <n v="151"/>
    <x v="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"/>
    <n v="4"/>
    <d v="2024-06-28T00:00:00"/>
    <s v="CC"/>
    <s v="UNTANA"/>
    <s v="CC"/>
    <m/>
    <d v="2024-06-26T00:00:00"/>
    <m/>
    <s v="BALLPEN GEL TF-3115 0.3MM HIGHTECH KNOCK"/>
    <n v="6"/>
    <n v="576"/>
    <s v="LSN"/>
    <n v="26500"/>
    <m/>
    <s v="96 LSN"/>
    <n v="0.03"/>
    <m/>
    <m/>
    <m/>
    <m/>
    <n v="15264000"/>
    <n v="457920"/>
    <n v="0"/>
    <n v="0"/>
    <n v="457920"/>
    <n v="14806080"/>
    <m/>
    <n v="457920"/>
    <n v="14806080"/>
    <n v="2544000"/>
    <n v="15264000"/>
    <x v="2"/>
    <d v="2024-06-26T00:00:00"/>
    <s v="CC"/>
    <s v="CC"/>
    <x v="0"/>
    <n v="1"/>
    <n v="6"/>
    <s v="ballpengeltf311503mmhightechknock"/>
    <s v="ballpengeltf311503mmhightechknock25440000,03"/>
    <s v="ballpengeltf311503mmhightechknock25440000,03"/>
    <s v="CCUNTANACC45469ballpengeltf311503mmhightechknock"/>
    <n v="155"/>
    <b v="1"/>
    <s v="96 LSN"/>
    <s v="ballpengeltf311503mmhightechknock96lsnuntana"/>
    <n v="155"/>
    <x v="1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"/>
    <n v="5"/>
    <m/>
    <s v="DUTA BUANA"/>
    <s v="UNTANA"/>
    <s v="HM/118/06-24H"/>
    <m/>
    <d v="2024-06-26T00:00:00"/>
    <m/>
    <s v="CLIPBOARD ACRYLIC TF-013"/>
    <n v="1"/>
    <n v="96"/>
    <s v="PCS"/>
    <n v="15000"/>
    <m/>
    <m/>
    <n v="0.03"/>
    <m/>
    <m/>
    <m/>
    <m/>
    <n v="1440000"/>
    <n v="43200"/>
    <n v="0"/>
    <n v="0"/>
    <n v="43200"/>
    <n v="1396800"/>
    <m/>
    <s v=""/>
    <s v=""/>
    <n v="1440000"/>
    <n v="1440000"/>
    <x v="2"/>
    <d v="2024-06-26T00:00:00"/>
    <s v="HM/118/06-24H"/>
    <s v="DUTA BUANA"/>
    <x v="0"/>
    <n v="3"/>
    <n v="6"/>
    <s v="clipboardacrylictf013"/>
    <s v="clipboardacrylictf01314400000,03"/>
    <s v="clipboardacrylictf01314400000,03"/>
    <s v="DUTA BUANAUNTANAHM/118/06-24H45469clipboardacrylictf013"/>
    <n v="3376"/>
    <s v=""/>
    <s v="96 PCS"/>
    <s v="clipboardacrylictf01396pcsuntana"/>
    <n v="3376"/>
    <x v="11"/>
    <m/>
  </r>
  <r>
    <s v=""/>
    <n v="5"/>
    <m/>
    <m/>
    <m/>
    <m/>
    <m/>
    <m/>
    <m/>
    <s v="CLIPBOARD ACRYLIC TF-015"/>
    <n v="1"/>
    <n v="96"/>
    <s v="PCS"/>
    <n v="15000"/>
    <m/>
    <m/>
    <n v="0.03"/>
    <m/>
    <m/>
    <m/>
    <m/>
    <n v="1440000"/>
    <n v="43200"/>
    <n v="0"/>
    <n v="0"/>
    <n v="43200"/>
    <n v="1396800"/>
    <m/>
    <s v=""/>
    <s v=""/>
    <n v="1440000"/>
    <n v="1440000"/>
    <x v="2"/>
    <d v="2024-06-26T00:00:00"/>
    <s v="HM/118/06-24H"/>
    <s v="DUTA BUANA"/>
    <x v="0"/>
    <s v=""/>
    <n v="6"/>
    <s v="clipboardacrylictf015"/>
    <s v="clipboardacrylictf01514400000,03"/>
    <s v="clipboardacrylictf01514400000,03"/>
    <s v=""/>
    <n v="3377"/>
    <s v=""/>
    <s v="96 PCS"/>
    <s v="clipboardacrylictf01596pcsuntana"/>
    <n v="3377"/>
    <x v="12"/>
    <m/>
  </r>
  <r>
    <s v=""/>
    <n v="5"/>
    <m/>
    <m/>
    <m/>
    <m/>
    <m/>
    <m/>
    <m/>
    <s v="CLIPBOARD ACRYLIC TF-016"/>
    <n v="1"/>
    <n v="96"/>
    <s v="PCS"/>
    <n v="15000"/>
    <m/>
    <m/>
    <n v="0.03"/>
    <m/>
    <m/>
    <m/>
    <m/>
    <n v="1440000"/>
    <n v="43200"/>
    <n v="0"/>
    <n v="0"/>
    <n v="43200"/>
    <n v="1396800"/>
    <m/>
    <n v="129600"/>
    <n v="4190400"/>
    <n v="1440000"/>
    <n v="1440000"/>
    <x v="2"/>
    <d v="2024-06-26T00:00:00"/>
    <s v="HM/118/06-24H"/>
    <s v="DUTA BUANA"/>
    <x v="0"/>
    <s v=""/>
    <n v="6"/>
    <s v="clipboardacrylictf016"/>
    <s v="clipboardacrylictf01614400000,03"/>
    <s v="clipboardacrylictf01614400000,03"/>
    <s v=""/>
    <n v="3378"/>
    <s v=""/>
    <s v="96 PCS"/>
    <s v="clipboardacrylictf01696pcsuntana"/>
    <n v="3378"/>
    <x v="1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"/>
    <n v="6"/>
    <d v="2024-06-29T00:00:00"/>
    <s v="PMJP"/>
    <s v="UNTANA"/>
    <s v="03185"/>
    <m/>
    <d v="2024-06-26T00:00:00"/>
    <m/>
    <s v="SERUTAN 009"/>
    <n v="2"/>
    <n v="144"/>
    <s v="PCS"/>
    <n v="22500"/>
    <m/>
    <s v="72 PCS"/>
    <m/>
    <m/>
    <m/>
    <m/>
    <m/>
    <n v="3240000"/>
    <n v="0"/>
    <n v="0"/>
    <n v="0"/>
    <n v="0"/>
    <n v="3240000"/>
    <m/>
    <s v=""/>
    <s v=""/>
    <n v="1620000"/>
    <n v="3240000"/>
    <x v="3"/>
    <d v="2024-06-26T00:00:00"/>
    <s v="03185"/>
    <s v="PMJP"/>
    <x v="0"/>
    <n v="2"/>
    <n v="6"/>
    <s v="serutan009"/>
    <s v="serutan0091620000"/>
    <s v="serutan0091620000"/>
    <s v="PMJPUNTANA0318545469serutan009"/>
    <n v="2884"/>
    <b v="1"/>
    <s v="72 PCS"/>
    <s v="serutan00972pcsuntana"/>
    <n v="2884"/>
    <x v="14"/>
    <m/>
  </r>
  <r>
    <s v=""/>
    <n v="6"/>
    <m/>
    <m/>
    <m/>
    <m/>
    <m/>
    <m/>
    <m/>
    <s v="SERUTAN 009"/>
    <n v="1"/>
    <n v="73"/>
    <s v="PCS"/>
    <n v="22500"/>
    <m/>
    <s v="72 PCS"/>
    <m/>
    <m/>
    <m/>
    <m/>
    <m/>
    <n v="1642500"/>
    <n v="0"/>
    <n v="0"/>
    <n v="0"/>
    <n v="0"/>
    <n v="1642500"/>
    <m/>
    <n v="0"/>
    <n v="4882500"/>
    <n v="1642500"/>
    <n v="1642500"/>
    <x v="3"/>
    <d v="2024-06-26T00:00:00"/>
    <s v="03185"/>
    <s v="PMJP"/>
    <x v="0"/>
    <s v=""/>
    <n v="6"/>
    <s v="serutan009"/>
    <s v="serutan0091642500"/>
    <s v="serutan0091642500"/>
    <s v=""/>
    <n v="2884"/>
    <b v="1"/>
    <s v="72 PCS"/>
    <s v="serutan00972pcsuntana"/>
    <n v="2884"/>
    <x v="1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7"/>
    <n v="7"/>
    <d v="2024-07-01T00:00:00"/>
    <s v="PUTRA HARAPAN SUKSES"/>
    <s v="UNTANA"/>
    <s v="01883"/>
    <m/>
    <d v="2024-06-27T00:00:00"/>
    <m/>
    <s v="PENGHAPUS W/B CLEAR KECIL"/>
    <n v="6"/>
    <n v="360"/>
    <s v="LSN"/>
    <n v="26500"/>
    <m/>
    <s v="60 LSN"/>
    <n v="0.05"/>
    <n v="0.03"/>
    <m/>
    <m/>
    <m/>
    <n v="9540000"/>
    <n v="477000"/>
    <n v="271890"/>
    <n v="0"/>
    <n v="748890"/>
    <n v="8791110"/>
    <m/>
    <s v=""/>
    <s v=""/>
    <n v="1590000"/>
    <n v="9540000"/>
    <x v="4"/>
    <d v="2024-06-27T00:00:00"/>
    <s v="01883"/>
    <s v="PUTRA HARAPAN SUKSES"/>
    <x v="0"/>
    <n v="2"/>
    <n v="6"/>
    <s v="penghapuswbclearkecil"/>
    <s v="penghapuswbclearkecil15900000,050,03"/>
    <s v="penghapuswbclearkecil15900000,050,03"/>
    <s v="PUTRA HARAPAN SUKSESUNTANA0188345470penghapuswbclearkecil"/>
    <n v="2640"/>
    <b v="1"/>
    <s v="60 LSN"/>
    <s v="penghapuswbclearkecil60lsnuntana"/>
    <n v="2640"/>
    <x v="16"/>
    <m/>
  </r>
  <r>
    <s v=""/>
    <n v="7"/>
    <m/>
    <m/>
    <m/>
    <m/>
    <m/>
    <m/>
    <m/>
    <s v="PENGHAPUS W/B CLEAR BESAR"/>
    <n v="9"/>
    <n v="432"/>
    <s v="LSN"/>
    <n v="38000"/>
    <m/>
    <s v="48 LSN"/>
    <n v="0.05"/>
    <n v="0.03"/>
    <m/>
    <m/>
    <m/>
    <n v="16416000"/>
    <n v="820800"/>
    <n v="467856"/>
    <n v="0"/>
    <n v="1288656"/>
    <n v="15127344"/>
    <m/>
    <n v="2037546"/>
    <n v="23918454"/>
    <n v="1824000"/>
    <n v="16416000"/>
    <x v="4"/>
    <d v="2024-06-27T00:00:00"/>
    <s v="01883"/>
    <s v="PUTRA HARAPAN SUKSES"/>
    <x v="0"/>
    <s v=""/>
    <n v="6"/>
    <s v="penghapuswbclearbesar"/>
    <s v="penghapuswbclearbesar18240000,050,03"/>
    <s v="penghapuswbclearbesar18240000,050,03"/>
    <s v=""/>
    <n v="2638"/>
    <b v="1"/>
    <s v="48 LSN"/>
    <s v="penghapuswbclearbesar48lsnuntana"/>
    <n v="2638"/>
    <x v="1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8"/>
    <n v="8"/>
    <d v="2024-07-01T00:00:00"/>
    <s v="D-R"/>
    <s v="UNTANA"/>
    <s v="2406099"/>
    <m/>
    <d v="2024-06-29T00:00:00"/>
    <m/>
    <s v="GUNTING DR6 IDEAL"/>
    <n v="3"/>
    <n v="180"/>
    <s v="LSN"/>
    <n v="61000"/>
    <m/>
    <s v="60 LSN"/>
    <n v="0.19"/>
    <n v="0.1"/>
    <m/>
    <m/>
    <m/>
    <n v="10980000"/>
    <n v="2086200"/>
    <n v="889380"/>
    <n v="0"/>
    <n v="2975580"/>
    <n v="8004420"/>
    <m/>
    <s v=""/>
    <s v=""/>
    <n v="3660000"/>
    <n v="10980000"/>
    <x v="4"/>
    <d v="2024-06-29T00:00:00"/>
    <s v="2406099"/>
    <s v="D-R"/>
    <x v="0"/>
    <n v="6"/>
    <n v="6"/>
    <s v="guntingdr6ideal"/>
    <s v="guntingdr6ideal36600000,190,1"/>
    <s v="guntingdr6ideal36600000,190,1"/>
    <s v="D-RUNTANA240609945472guntingdr6ideal"/>
    <n v="1417"/>
    <b v="1"/>
    <s v="60 LSN"/>
    <s v="guntingdr6ideal60lsnuntana"/>
    <n v="1417"/>
    <x v="18"/>
    <m/>
  </r>
  <r>
    <s v=""/>
    <n v="8"/>
    <m/>
    <m/>
    <m/>
    <m/>
    <m/>
    <m/>
    <m/>
    <s v="GUNTING DR8 IDEAL"/>
    <n v="2"/>
    <n v="60"/>
    <s v="LSN"/>
    <n v="109000"/>
    <m/>
    <s v="30 LSN"/>
    <n v="0.19"/>
    <n v="0.1"/>
    <m/>
    <m/>
    <m/>
    <n v="6540000"/>
    <n v="1242600"/>
    <n v="529740"/>
    <n v="0"/>
    <n v="1772340"/>
    <n v="4767660"/>
    <m/>
    <s v=""/>
    <s v=""/>
    <n v="3270000"/>
    <n v="6540000"/>
    <x v="4"/>
    <d v="2024-06-29T00:00:00"/>
    <s v="2406099"/>
    <s v="D-R"/>
    <x v="0"/>
    <s v=""/>
    <n v="6"/>
    <s v="guntingdr8ideal"/>
    <s v="guntingdr8ideal32700000,190,1"/>
    <s v="guntingdr8ideal32700000,190,1"/>
    <s v=""/>
    <n v="1418"/>
    <b v="1"/>
    <s v="30 LSN"/>
    <s v="guntingdr8ideal30lsnuntana"/>
    <n v="1418"/>
    <x v="19"/>
    <m/>
  </r>
  <r>
    <s v=""/>
    <n v="8"/>
    <m/>
    <m/>
    <m/>
    <m/>
    <m/>
    <m/>
    <m/>
    <s v="GUNTING DR9 IDEAL"/>
    <n v="2"/>
    <n v="60"/>
    <s v="LSN"/>
    <n v="116000"/>
    <m/>
    <s v="30 LSN"/>
    <n v="0.19"/>
    <n v="0.1"/>
    <m/>
    <m/>
    <m/>
    <n v="6960000"/>
    <n v="1322400"/>
    <n v="563760"/>
    <n v="0"/>
    <n v="1886160"/>
    <n v="5073840"/>
    <m/>
    <s v=""/>
    <s v=""/>
    <n v="3480000"/>
    <n v="6960000"/>
    <x v="4"/>
    <d v="2024-06-29T00:00:00"/>
    <s v="2406099"/>
    <s v="D-R"/>
    <x v="0"/>
    <s v=""/>
    <n v="6"/>
    <s v="guntingdr9ideal"/>
    <s v="guntingdr9ideal34800000,190,1"/>
    <s v="guntingdr9ideal34800000,190,1"/>
    <s v=""/>
    <n v="1419"/>
    <b v="1"/>
    <s v="30 LSN"/>
    <s v="guntingdr9ideal30lsnuntana"/>
    <n v="1419"/>
    <x v="20"/>
    <m/>
  </r>
  <r>
    <s v=""/>
    <n v="8"/>
    <m/>
    <m/>
    <m/>
    <m/>
    <m/>
    <m/>
    <m/>
    <s v="GUNTING JUNIOR J200 JUNIOR"/>
    <n v="3"/>
    <n v="144"/>
    <s v="LSN"/>
    <n v="38000"/>
    <m/>
    <s v="48 LSN"/>
    <n v="0.19"/>
    <n v="0.1"/>
    <m/>
    <m/>
    <m/>
    <n v="5472000"/>
    <n v="1039680"/>
    <n v="443232"/>
    <n v="0"/>
    <n v="1482912"/>
    <n v="3989088"/>
    <m/>
    <s v=""/>
    <s v=""/>
    <n v="1824000"/>
    <n v="5472000"/>
    <x v="4"/>
    <d v="2024-06-29T00:00:00"/>
    <s v="2406099"/>
    <s v="D-R"/>
    <x v="0"/>
    <s v=""/>
    <n v="6"/>
    <s v="guntingjuniorj200junior"/>
    <s v="guntingjuniorj200junior18240000,190,1"/>
    <s v="guntingjuniorj200junior18240000,190,1"/>
    <s v=""/>
    <n v="1423"/>
    <b v="1"/>
    <s v="48 LSN"/>
    <s v="guntingjuniorj200junior48lsnuntana"/>
    <n v="1423"/>
    <x v="21"/>
    <m/>
  </r>
  <r>
    <s v=""/>
    <n v="8"/>
    <m/>
    <m/>
    <m/>
    <m/>
    <m/>
    <m/>
    <m/>
    <s v="GUNTING JUNIOR J300 JUNIOR"/>
    <n v="3"/>
    <n v="72"/>
    <s v="LSN"/>
    <n v="46000"/>
    <m/>
    <s v="24 LSN"/>
    <n v="0.19"/>
    <n v="0.1"/>
    <m/>
    <m/>
    <m/>
    <n v="3312000"/>
    <n v="629280"/>
    <n v="268272"/>
    <n v="0"/>
    <n v="897552"/>
    <n v="2414448"/>
    <m/>
    <s v=""/>
    <s v=""/>
    <n v="1104000"/>
    <n v="3312000"/>
    <x v="4"/>
    <d v="2024-06-29T00:00:00"/>
    <s v="2406099"/>
    <s v="D-R"/>
    <x v="0"/>
    <s v=""/>
    <n v="6"/>
    <s v="guntingjuniorj300junior"/>
    <s v="guntingjuniorj300junior11040000,190,1"/>
    <s v="guntingjuniorj300junior11040000,190,1"/>
    <s v=""/>
    <n v="1424"/>
    <b v="1"/>
    <s v="24 LSN"/>
    <s v="guntingjuniorj300junior24lsnuntana"/>
    <n v="1424"/>
    <x v="22"/>
    <m/>
  </r>
  <r>
    <s v=""/>
    <n v="8"/>
    <m/>
    <m/>
    <m/>
    <m/>
    <m/>
    <m/>
    <m/>
    <s v="GUNTING JUNIOR J400 JUNIOR"/>
    <n v="4"/>
    <n v="96"/>
    <s v="LSN"/>
    <n v="52000"/>
    <m/>
    <s v="24 LSN"/>
    <n v="0.19"/>
    <n v="0.1"/>
    <m/>
    <m/>
    <m/>
    <n v="4992000"/>
    <n v="948480"/>
    <n v="404352"/>
    <n v="0"/>
    <n v="1352832"/>
    <n v="3639168"/>
    <m/>
    <n v="10367376"/>
    <n v="27888624"/>
    <n v="1248000"/>
    <n v="4992000"/>
    <x v="4"/>
    <d v="2024-06-29T00:00:00"/>
    <s v="2406099"/>
    <s v="D-R"/>
    <x v="0"/>
    <s v=""/>
    <n v="6"/>
    <s v="guntingjuniorj400junior"/>
    <s v="guntingjuniorj400junior12480000,190,1"/>
    <s v="guntingjuniorj400junior12480000,190,1"/>
    <s v=""/>
    <n v="1425"/>
    <b v="1"/>
    <s v="24 LSN"/>
    <s v="guntingjuniorj400junior24lsnuntana"/>
    <n v="1425"/>
    <x v="2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9"/>
    <n v="9"/>
    <m/>
    <s v="D-R"/>
    <s v="UNTANA"/>
    <s v="2406079"/>
    <m/>
    <d v="2024-06-29T00:00:00"/>
    <m/>
    <s v="CUTTER TACO 78 KECIL"/>
    <n v="12"/>
    <n v="1440"/>
    <s v="LSN"/>
    <n v="20000"/>
    <m/>
    <s v="120 LSN"/>
    <n v="0.19"/>
    <n v="0.1"/>
    <m/>
    <m/>
    <m/>
    <n v="28800000"/>
    <n v="5472000"/>
    <n v="2332800"/>
    <n v="0"/>
    <n v="7804800"/>
    <n v="20995200"/>
    <m/>
    <s v=""/>
    <s v=""/>
    <n v="2400000"/>
    <n v="28800000"/>
    <x v="4"/>
    <d v="2024-06-29T00:00:00"/>
    <s v="2406079"/>
    <s v="D-R"/>
    <x v="0"/>
    <n v="2"/>
    <n v="6"/>
    <s v="cuttertaco78kecil"/>
    <s v="cuttertaco78kecil24000000,190,1"/>
    <s v="cuttertaco78kecil24000000,190,1"/>
    <s v="D-RUNTANA240607945472cuttertaco78kecil"/>
    <n v="809"/>
    <b v="1"/>
    <s v="120 LSN"/>
    <s v="cuttertaco78kecil120lsnuntana"/>
    <n v="809"/>
    <x v="24"/>
    <m/>
  </r>
  <r>
    <s v=""/>
    <n v="9"/>
    <m/>
    <m/>
    <m/>
    <m/>
    <m/>
    <m/>
    <m/>
    <s v="CUTTER TACO 78 KECIL"/>
    <n v="1"/>
    <n v="120"/>
    <s v="LSN"/>
    <n v="20000"/>
    <m/>
    <s v="120 LSN"/>
    <n v="1"/>
    <m/>
    <m/>
    <m/>
    <s v="BONUS"/>
    <n v="2400000"/>
    <n v="2400000"/>
    <n v="0"/>
    <n v="0"/>
    <n v="2400000"/>
    <n v="0"/>
    <m/>
    <n v="10204800"/>
    <n v="20995200"/>
    <n v="2400000"/>
    <n v="2400000"/>
    <x v="4"/>
    <d v="2024-06-29T00:00:00"/>
    <s v="2406079"/>
    <s v="D-R"/>
    <x v="0"/>
    <s v=""/>
    <n v="6"/>
    <s v="cuttertaco78kecil"/>
    <s v="cuttertaco78kecil24000001"/>
    <s v="cuttertaco78kecil24000001"/>
    <s v=""/>
    <n v="809"/>
    <b v="1"/>
    <s v="120 LSN"/>
    <s v="cuttertaco78kecil120lsnuntana"/>
    <n v="809"/>
    <x v="2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0"/>
    <n v="10"/>
    <m/>
    <s v="COMBI"/>
    <s v="UNTANA"/>
    <s v="0702"/>
    <m/>
    <d v="2024-07-01T00:00:00"/>
    <m/>
    <s v="DOC RIT PRESTIGE HIJAU"/>
    <m/>
    <n v="8"/>
    <s v="LSN"/>
    <n v="195000"/>
    <m/>
    <s v="8 LSN"/>
    <m/>
    <m/>
    <m/>
    <m/>
    <m/>
    <n v="1560000"/>
    <n v="0"/>
    <n v="0"/>
    <n v="0"/>
    <n v="0"/>
    <n v="1560000"/>
    <m/>
    <n v="0"/>
    <n v="1560000"/>
    <n v="1560000"/>
    <n v="1560000"/>
    <x v="4"/>
    <d v="2024-07-01T00:00:00"/>
    <s v="0702"/>
    <s v="COMBI"/>
    <x v="0"/>
    <n v="1"/>
    <n v="7"/>
    <s v="docritprestigehijau"/>
    <s v="docritprestigehijau1560000"/>
    <s v="docritprestigehijau195000"/>
    <s v="COMBIUNTANA070245474docritprestigehijau"/>
    <n v="877"/>
    <b v="1"/>
    <s v="8 LSN"/>
    <s v="docritprestigehijau8lsnuntana"/>
    <n v="877"/>
    <x v="2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1"/>
    <n v="11"/>
    <d v="2024-07-04T00:00:00"/>
    <s v="GLORY"/>
    <s v="UNTANA"/>
    <s v="014"/>
    <m/>
    <d v="2024-07-04T00:00:00"/>
    <m/>
    <s v="BT BATIK"/>
    <m/>
    <n v="7"/>
    <s v="LSN"/>
    <n v="161000"/>
    <m/>
    <m/>
    <n v="0.05"/>
    <m/>
    <m/>
    <m/>
    <s v="DISKON CASH 56,500 (5%)"/>
    <n v="1127000"/>
    <n v="56350"/>
    <n v="0"/>
    <n v="0"/>
    <n v="56350"/>
    <n v="1070650"/>
    <m/>
    <n v="56350"/>
    <n v="1070650"/>
    <n v="1127000"/>
    <n v="1127000"/>
    <x v="5"/>
    <d v="2024-07-04T00:00:00"/>
    <s v="014"/>
    <s v="GLORY"/>
    <x v="0"/>
    <n v="1"/>
    <n v="7"/>
    <s v="btbatik"/>
    <s v="btbatik11270000,05"/>
    <s v="btbatik1610000,05"/>
    <s v="GLORYUNTANA01445477btbatik"/>
    <n v="519"/>
    <s v=""/>
    <s v="7 LSN"/>
    <s v="btbatik7lsnuntana"/>
    <n v="519"/>
    <x v="2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2"/>
    <n v="12"/>
    <d v="2024-07-05T00:00:00"/>
    <s v="ALPINDO"/>
    <s v="UNTANA"/>
    <s v="H20"/>
    <m/>
    <d v="2024-07-02T00:00:00"/>
    <m/>
    <s v="SP BAG JASMIN KECIL"/>
    <n v="9"/>
    <n v="405"/>
    <s v="LSN"/>
    <n v="27500"/>
    <m/>
    <s v="45 LSN"/>
    <m/>
    <m/>
    <m/>
    <m/>
    <m/>
    <n v="11137500"/>
    <n v="0"/>
    <n v="0"/>
    <n v="0"/>
    <n v="0"/>
    <n v="11137500"/>
    <m/>
    <n v="0"/>
    <n v="11137500"/>
    <n v="1237500"/>
    <n v="11137500"/>
    <x v="6"/>
    <d v="2024-07-02T00:00:00"/>
    <s v="H20"/>
    <s v="ALPINDO"/>
    <x v="0"/>
    <n v="1"/>
    <n v="7"/>
    <s v="spbagjasminkecil"/>
    <s v="spbagjasminkecil1237500"/>
    <s v="spbagjasminkecil1237500"/>
    <s v="ALPINDOUNTANAH2045475spbagjasminkecil"/>
    <n v="2925"/>
    <b v="1"/>
    <s v="45 LSN"/>
    <s v="spbagjasminkecil45lsnuntana"/>
    <n v="2925"/>
    <x v="2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3"/>
    <n v="13"/>
    <m/>
    <s v="DB STATIONERY"/>
    <s v="UNTANA"/>
    <s v="JUG016/24"/>
    <m/>
    <d v="2024-07-01T00:00:00"/>
    <m/>
    <s v="GEL DEBOZZ 0,28 DB-GP800B"/>
    <n v="5"/>
    <n v="720"/>
    <s v="LSN"/>
    <n v="21000"/>
    <m/>
    <s v="144 LSN"/>
    <n v="0.4"/>
    <m/>
    <m/>
    <m/>
    <m/>
    <n v="15120000"/>
    <n v="6048000"/>
    <n v="0"/>
    <n v="0"/>
    <n v="6048000"/>
    <n v="9072000"/>
    <m/>
    <n v="6048000"/>
    <n v="9072000"/>
    <n v="3024000"/>
    <n v="15120000"/>
    <x v="6"/>
    <d v="2024-07-01T00:00:00"/>
    <s v="JUG016/24"/>
    <s v="DB STATIONERY"/>
    <x v="0"/>
    <n v="1"/>
    <n v="7"/>
    <s v="geldebozz028dbgp800b"/>
    <s v="geldebozz028dbgp800b30240000,4"/>
    <s v="geldebozz028dbgp800b30240000,4"/>
    <s v="DB STATIONERYUNTANAJUG016/2445474geldebozz028dbgp800b"/>
    <n v="3464"/>
    <b v="1"/>
    <s v="144 LSN"/>
    <s v="geldebozz028dbgp800b144lsnuntana"/>
    <n v="3464"/>
    <x v="2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4"/>
    <n v="14"/>
    <m/>
    <s v="DUTA BUANA"/>
    <s v="UNTANA"/>
    <s v="HM/123/07-24H"/>
    <m/>
    <d v="2024-07-02T00:00:00"/>
    <m/>
    <s v="BALLPEN GEL TF-3115 0.3MM HIGHTECH KNOCK"/>
    <n v="3"/>
    <n v="288"/>
    <s v="LSN"/>
    <n v="30500"/>
    <m/>
    <s v="96 LSN"/>
    <n v="0.03"/>
    <m/>
    <m/>
    <m/>
    <m/>
    <n v="8784000"/>
    <n v="263520"/>
    <n v="0"/>
    <n v="0"/>
    <n v="263520"/>
    <n v="8520480"/>
    <m/>
    <n v="263520"/>
    <n v="8520480"/>
    <n v="2928000"/>
    <n v="8784000"/>
    <x v="6"/>
    <d v="2024-07-02T00:00:00"/>
    <s v="HM/123/07-24H"/>
    <s v="DUTA BUANA"/>
    <x v="0"/>
    <n v="1"/>
    <n v="7"/>
    <s v="ballpengeltf311503mmhightechknock"/>
    <s v="ballpengeltf311503mmhightechknock29280000,03"/>
    <s v="ballpengeltf311503mmhightechknock29280000,03"/>
    <s v="DUTA BUANAUNTANAHM/123/07-24H45475ballpengeltf311503mmhightechknock"/>
    <n v="155"/>
    <b v="1"/>
    <s v="96 LSN"/>
    <s v="ballpengeltf311503mmhightechknock96lsnuntana"/>
    <n v="155"/>
    <x v="3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5"/>
    <n v="15"/>
    <m/>
    <s v="DUTA BUANA"/>
    <s v="UNTANA"/>
    <s v="HM/129/07-24H"/>
    <m/>
    <d v="2024-07-02T00:00:00"/>
    <m/>
    <s v="BALLPEN GEL TF G-3114 0.3MM HIGHTECH KNOCK"/>
    <n v="3"/>
    <n v="288"/>
    <s v="LSN"/>
    <n v="30500"/>
    <m/>
    <s v="96 LSN"/>
    <n v="0.03"/>
    <m/>
    <m/>
    <m/>
    <m/>
    <n v="8784000"/>
    <n v="263520"/>
    <n v="0"/>
    <n v="0"/>
    <n v="263520"/>
    <n v="8520480"/>
    <m/>
    <n v="263520"/>
    <n v="8520480"/>
    <n v="2928000"/>
    <n v="8784000"/>
    <x v="6"/>
    <d v="2024-07-02T00:00:00"/>
    <s v="HM/129/07-24H"/>
    <s v="DUTA BUANA"/>
    <x v="0"/>
    <n v="1"/>
    <n v="7"/>
    <s v="ballpengeltfg311403mmhightechknock"/>
    <s v="ballpengeltfg311403mmhightechknock29280000,03"/>
    <s v="ballpengeltfg311403mmhightechknock29280000,03"/>
    <s v="DUTA BUANAUNTANAHM/129/07-24H45475ballpengeltfg311403mmhightechknock"/>
    <n v="148"/>
    <b v="1"/>
    <s v="96 LSN"/>
    <s v="ballpengeltfg311403mmhightechknock96lsnuntana"/>
    <n v="148"/>
    <x v="3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6"/>
    <n v="16"/>
    <m/>
    <s v="DUTA BUANA"/>
    <s v="UNTANA"/>
    <s v="HM/130/07-24H"/>
    <m/>
    <d v="2024-07-02T00:00:00"/>
    <m/>
    <s v="STABILLO TF-1145 LIVE COLOUR (PASTEL)"/>
    <n v="2"/>
    <n v="120"/>
    <s v="LSN"/>
    <n v="21500"/>
    <m/>
    <s v="60 LSN"/>
    <n v="0.03"/>
    <m/>
    <m/>
    <m/>
    <m/>
    <n v="2580000"/>
    <n v="77400"/>
    <n v="0"/>
    <n v="0"/>
    <n v="77400"/>
    <n v="2502600"/>
    <m/>
    <n v="77400"/>
    <n v="2502600"/>
    <n v="1290000"/>
    <n v="2580000"/>
    <x v="6"/>
    <d v="2024-07-02T00:00:00"/>
    <s v="HM/130/07-24H"/>
    <s v="DUTA BUANA"/>
    <x v="0"/>
    <n v="1"/>
    <n v="7"/>
    <s v="stabillotf1145livecolourpastel"/>
    <s v="stabillotf1145livecolourpastel12900000,03"/>
    <s v="stabillotf1145livecolourpastel12900000,03"/>
    <s v="DUTA BUANAUNTANAHM/130/07-24H45475stabillotf1145livecolourpastel"/>
    <n v="2932"/>
    <b v="1"/>
    <s v="60 LSN"/>
    <s v="stabillotf1145livecolourpastel60lsnuntana"/>
    <n v="2932"/>
    <x v="3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7"/>
    <n v="17"/>
    <d v="2024-07-08T00:00:00"/>
    <s v="BINTANG SAUDARA"/>
    <s v="UNTANA"/>
    <s v="SO2024070086563"/>
    <m/>
    <d v="2024-06-29T00:00:00"/>
    <m/>
    <s v="GEL PEN KOALA GP-168-A MERAH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n v="10"/>
    <n v="6"/>
    <s v="gelpenkoalagp168amerah"/>
    <s v="gelpenkoalagp168amerah1350000"/>
    <s v="gelpenkoalagp168amerah22500"/>
    <s v="BINTANG SAUDARAUNTANASO202407008656345472gelpenkoalagp168amerah"/>
    <n v="3352"/>
    <b v="1"/>
    <s v="144 LSN"/>
    <s v="gelpenkoalagp168amerah144lsnuntana"/>
    <n v="3352"/>
    <x v="33"/>
    <m/>
  </r>
  <r>
    <s v=""/>
    <n v="17"/>
    <m/>
    <m/>
    <m/>
    <m/>
    <m/>
    <m/>
    <m/>
    <s v="GEL PEN KOALA GP-168-B BR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bbr"/>
    <s v="gelpenkoalagp168bbr1350000"/>
    <s v="gelpenkoalagp168bbr22500"/>
    <s v=""/>
    <n v="3353"/>
    <b v="1"/>
    <s v="144 LSN"/>
    <s v="gelpenkoalagp168bbr144lsnuntana"/>
    <n v="3353"/>
    <x v="34"/>
    <m/>
  </r>
  <r>
    <s v=""/>
    <n v="17"/>
    <m/>
    <m/>
    <m/>
    <m/>
    <m/>
    <m/>
    <m/>
    <s v="GEL PEN KOALA GP-168-C HJ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chj"/>
    <s v="gelpenkoalagp168chj1350000"/>
    <s v="gelpenkoalagp168chj22500"/>
    <s v=""/>
    <n v="3354"/>
    <b v="1"/>
    <s v="144 LSN"/>
    <s v="gelpenkoalagp168chj144lsnuntana"/>
    <n v="3354"/>
    <x v="35"/>
    <m/>
  </r>
  <r>
    <s v=""/>
    <n v="17"/>
    <m/>
    <m/>
    <m/>
    <m/>
    <m/>
    <m/>
    <m/>
    <s v="GEL PEN KOALA GP-168-D VL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dvl"/>
    <s v="gelpenkoalagp168dvl1350000"/>
    <s v="gelpenkoalagp168dvl22500"/>
    <s v=""/>
    <n v="3355"/>
    <b v="1"/>
    <s v="144 LSN"/>
    <s v="gelpenkoalagp168dvl144lsnuntana"/>
    <n v="3355"/>
    <x v="36"/>
    <m/>
  </r>
  <r>
    <s v=""/>
    <n v="17"/>
    <m/>
    <m/>
    <m/>
    <m/>
    <m/>
    <m/>
    <m/>
    <s v="GEL PEN KOALA GP-168-E OR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eor"/>
    <s v="gelpenkoalagp168eor1350000"/>
    <s v="gelpenkoalagp168eor22500"/>
    <s v=""/>
    <n v="3356"/>
    <b v="1"/>
    <s v="144 LSN"/>
    <s v="gelpenkoalagp168eor144lsnuntana"/>
    <n v="3356"/>
    <x v="37"/>
    <m/>
  </r>
  <r>
    <s v=""/>
    <n v="17"/>
    <m/>
    <m/>
    <m/>
    <m/>
    <m/>
    <m/>
    <m/>
    <s v="GEL PEN KOALA GP-168-F BR TUA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fbrtua"/>
    <s v="gelpenkoalagp168fbrtua1350000"/>
    <s v="gelpenkoalagp168fbrtua22500"/>
    <s v=""/>
    <n v="3357"/>
    <b v="1"/>
    <s v="144 LSN"/>
    <s v="gelpenkoalagp168fbrtua144lsnuntana"/>
    <n v="3357"/>
    <x v="38"/>
    <m/>
  </r>
  <r>
    <s v=""/>
    <n v="17"/>
    <m/>
    <m/>
    <m/>
    <m/>
    <m/>
    <m/>
    <m/>
    <s v="GEL PEN KOALA GP-168-G PK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gpk"/>
    <s v="gelpenkoalagp168gpk1350000"/>
    <s v="gelpenkoalagp168gpk22500"/>
    <s v=""/>
    <n v="3358"/>
    <b v="1"/>
    <s v="144 LSN"/>
    <s v="gelpenkoalagp168gpk144lsnuntana"/>
    <n v="3358"/>
    <x v="39"/>
    <m/>
  </r>
  <r>
    <s v=""/>
    <n v="17"/>
    <m/>
    <m/>
    <m/>
    <m/>
    <m/>
    <m/>
    <m/>
    <s v="GEL PEN KOALA GP-168-H HJ MUDA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hhjmuda"/>
    <s v="gelpenkoalagp168hhjmuda1350000"/>
    <s v="gelpenkoalagp168hhjmuda22500"/>
    <s v=""/>
    <n v="3359"/>
    <b v="1"/>
    <s v="144 LSN"/>
    <s v="gelpenkoalagp168hhjmuda144lsnuntana"/>
    <n v="3359"/>
    <x v="40"/>
    <m/>
  </r>
  <r>
    <s v=""/>
    <n v="17"/>
    <m/>
    <m/>
    <m/>
    <m/>
    <m/>
    <m/>
    <m/>
    <s v="GEL PEN KOALA GP-168-I COKLAT"/>
    <m/>
    <n v="60"/>
    <s v="LSN"/>
    <n v="22500"/>
    <m/>
    <s v="144 LSN"/>
    <m/>
    <m/>
    <m/>
    <m/>
    <m/>
    <n v="1350000"/>
    <n v="0"/>
    <n v="0"/>
    <n v="0"/>
    <n v="0"/>
    <n v="1350000"/>
    <m/>
    <s v=""/>
    <s v=""/>
    <n v="1350000"/>
    <n v="1350000"/>
    <x v="7"/>
    <d v="2024-06-29T00:00:00"/>
    <s v="SO2024070086563"/>
    <s v="BINTANG SAUDARA"/>
    <x v="0"/>
    <s v=""/>
    <n v="6"/>
    <s v="gelpenkoalagp168icoklat"/>
    <s v="gelpenkoalagp168icoklat1350000"/>
    <s v="gelpenkoalagp168icoklat22500"/>
    <s v=""/>
    <n v="3360"/>
    <b v="1"/>
    <s v="144 LSN"/>
    <s v="gelpenkoalagp168icoklat144lsnuntana"/>
    <n v="3360"/>
    <x v="41"/>
    <m/>
  </r>
  <r>
    <s v=""/>
    <n v="17"/>
    <m/>
    <m/>
    <m/>
    <m/>
    <m/>
    <m/>
    <m/>
    <s v="GEL PEN KOALA GP-168-J KNG"/>
    <m/>
    <n v="60"/>
    <s v="LSN"/>
    <n v="22500"/>
    <m/>
    <s v="144 LSN"/>
    <m/>
    <m/>
    <m/>
    <m/>
    <m/>
    <n v="1350000"/>
    <n v="0"/>
    <n v="0"/>
    <n v="0"/>
    <n v="0"/>
    <n v="1350000"/>
    <m/>
    <n v="0"/>
    <n v="13500000"/>
    <n v="1350000"/>
    <n v="1350000"/>
    <x v="7"/>
    <d v="2024-06-29T00:00:00"/>
    <s v="SO2024070086563"/>
    <s v="BINTANG SAUDARA"/>
    <x v="0"/>
    <s v=""/>
    <n v="6"/>
    <s v="gelpenkoalagp168jkng"/>
    <s v="gelpenkoalagp168jkng1350000"/>
    <s v="gelpenkoalagp168jkng22500"/>
    <s v=""/>
    <n v="3361"/>
    <b v="1"/>
    <s v="144 LSN"/>
    <s v="gelpenkoalagp168jkng144lsnuntana"/>
    <n v="3361"/>
    <x v="4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8"/>
    <n v="18"/>
    <d v="2024-07-10T00:00:00"/>
    <s v="COMBI"/>
    <s v="UNTANA"/>
    <s v="0717"/>
    <m/>
    <d v="2024-07-10T00:00:00"/>
    <m/>
    <s v="DOC RIT INFINITY"/>
    <m/>
    <n v="16"/>
    <s v="LSN"/>
    <n v="180000"/>
    <m/>
    <s v="8 LSN"/>
    <m/>
    <m/>
    <m/>
    <m/>
    <m/>
    <n v="2880000"/>
    <n v="0"/>
    <n v="0"/>
    <n v="0"/>
    <n v="0"/>
    <n v="2880000"/>
    <m/>
    <n v="0"/>
    <n v="2880000"/>
    <n v="2880000"/>
    <n v="2880000"/>
    <x v="8"/>
    <d v="2024-07-10T00:00:00"/>
    <s v="0717"/>
    <s v="COMBI"/>
    <x v="0"/>
    <n v="1"/>
    <n v="7"/>
    <s v="docritinfinity"/>
    <s v="docritinfinity2880000"/>
    <s v="docritinfinity180000"/>
    <s v="COMBIUNTANA071745483docritinfinity"/>
    <n v="865"/>
    <b v="1"/>
    <s v="8 LSN"/>
    <s v="docritinfinity8lsnuntana"/>
    <n v="865"/>
    <x v="4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19"/>
    <n v="19"/>
    <d v="2024-07-13T00:00:00"/>
    <s v="ETJ"/>
    <s v="UNTANA"/>
    <s v="JX7,24"/>
    <m/>
    <d v="2024-07-09T00:00:00"/>
    <m/>
    <s v="ENTER DISP BESI 505"/>
    <n v="10"/>
    <n v="1000"/>
    <s v="PCS"/>
    <n v="11500"/>
    <m/>
    <s v="100 PCS"/>
    <m/>
    <m/>
    <m/>
    <m/>
    <m/>
    <n v="11500000"/>
    <n v="0"/>
    <n v="0"/>
    <n v="0"/>
    <n v="0"/>
    <n v="11500000"/>
    <m/>
    <s v=""/>
    <s v=""/>
    <n v="1150000"/>
    <n v="11500000"/>
    <x v="9"/>
    <d v="2024-07-09T00:00:00"/>
    <s v="JX7,24"/>
    <s v="ETJ"/>
    <x v="0"/>
    <n v="10"/>
    <n v="7"/>
    <s v="enterdispbesi505"/>
    <s v="enterdispbesi5051150000"/>
    <s v="enterdispbesi5051150000"/>
    <s v="ETJUNTANAJX7,2445482enterdispbesi505"/>
    <n v="3459"/>
    <b v="1"/>
    <s v="100 PCS"/>
    <s v="enterdispbesi505100pcsuntana"/>
    <n v="3459"/>
    <x v="44"/>
    <m/>
  </r>
  <r>
    <s v=""/>
    <n v="19"/>
    <m/>
    <m/>
    <m/>
    <m/>
    <m/>
    <m/>
    <m/>
    <s v="DUST 344"/>
    <n v="4"/>
    <n v="2000"/>
    <s v="ROL"/>
    <n v="5800"/>
    <m/>
    <s v="500 ROL"/>
    <m/>
    <m/>
    <m/>
    <m/>
    <m/>
    <n v="11600000"/>
    <n v="0"/>
    <n v="0"/>
    <n v="0"/>
    <n v="0"/>
    <n v="11600000"/>
    <m/>
    <s v=""/>
    <s v=""/>
    <n v="2900000"/>
    <n v="11600000"/>
    <x v="9"/>
    <d v="2024-07-09T00:00:00"/>
    <s v="JX7,24"/>
    <s v="ETJ"/>
    <x v="0"/>
    <s v=""/>
    <n v="7"/>
    <s v="dust344"/>
    <s v="dust3442900000"/>
    <s v="dust3442900000"/>
    <s v=""/>
    <n v="923"/>
    <b v="1"/>
    <s v="500 ROL"/>
    <s v="dust344500roluntana"/>
    <n v="923"/>
    <x v="45"/>
    <m/>
  </r>
  <r>
    <s v=""/>
    <n v="19"/>
    <m/>
    <m/>
    <m/>
    <m/>
    <m/>
    <m/>
    <m/>
    <s v="ENTER 30CM 675"/>
    <n v="15"/>
    <n v="3000"/>
    <s v="LSN"/>
    <n v="8750"/>
    <m/>
    <s v="200 LSN"/>
    <m/>
    <m/>
    <m/>
    <m/>
    <m/>
    <n v="26250000"/>
    <n v="0"/>
    <n v="0"/>
    <n v="0"/>
    <n v="0"/>
    <n v="26250000"/>
    <m/>
    <s v=""/>
    <s v=""/>
    <n v="1750000"/>
    <n v="26250000"/>
    <x v="9"/>
    <d v="2024-07-09T00:00:00"/>
    <s v="JX7,24"/>
    <s v="ETJ"/>
    <x v="0"/>
    <s v=""/>
    <n v="7"/>
    <s v="enter30cm675"/>
    <s v="enter30cm6751750000"/>
    <s v="enter30cm6751750000"/>
    <s v=""/>
    <n v="933"/>
    <b v="1"/>
    <s v="200 LSN"/>
    <s v="enter30cm675200lsnuntana"/>
    <n v="933"/>
    <x v="46"/>
    <m/>
  </r>
  <r>
    <s v=""/>
    <n v="19"/>
    <m/>
    <m/>
    <m/>
    <m/>
    <m/>
    <m/>
    <m/>
    <s v="KOJIKO LABEL 99"/>
    <n v="5"/>
    <n v="4000"/>
    <s v="PAK"/>
    <n v="2100"/>
    <m/>
    <s v="800 PAK"/>
    <m/>
    <m/>
    <m/>
    <m/>
    <m/>
    <n v="8400000"/>
    <n v="0"/>
    <n v="0"/>
    <n v="0"/>
    <n v="0"/>
    <n v="8400000"/>
    <m/>
    <s v=""/>
    <s v=""/>
    <n v="1680000"/>
    <n v="8400000"/>
    <x v="9"/>
    <d v="2024-07-09T00:00:00"/>
    <s v="JX7,24"/>
    <s v="ETJ"/>
    <x v="0"/>
    <s v=""/>
    <n v="7"/>
    <s v="kojikolabel99"/>
    <s v="kojikolabel991680000"/>
    <s v="kojikolabel991680000"/>
    <s v=""/>
    <n v="1901"/>
    <b v="1"/>
    <s v="800 PAK"/>
    <s v="kojikolabel99800pakuntana"/>
    <n v="1901"/>
    <x v="47"/>
    <m/>
  </r>
  <r>
    <s v=""/>
    <n v="19"/>
    <m/>
    <m/>
    <m/>
    <m/>
    <m/>
    <m/>
    <m/>
    <s v="ENTER BUSUR NO 110"/>
    <n v="1"/>
    <n v="200"/>
    <s v="LSN"/>
    <n v="12000"/>
    <m/>
    <s v="200 LSN"/>
    <m/>
    <m/>
    <m/>
    <m/>
    <m/>
    <n v="2400000"/>
    <n v="0"/>
    <n v="0"/>
    <n v="0"/>
    <n v="0"/>
    <n v="2400000"/>
    <m/>
    <s v=""/>
    <s v=""/>
    <n v="2400000"/>
    <n v="2400000"/>
    <x v="9"/>
    <d v="2024-07-09T00:00:00"/>
    <s v="JX7,24"/>
    <s v="ETJ"/>
    <x v="0"/>
    <s v=""/>
    <n v="7"/>
    <s v="enterbusurno110"/>
    <s v="enterbusurno1102400000"/>
    <s v="enterbusurno1102400000"/>
    <s v=""/>
    <n v="3473"/>
    <b v="1"/>
    <s v="200 LSN"/>
    <s v="enterbusurno110200lsnuntana"/>
    <n v="3473"/>
    <x v="48"/>
    <m/>
  </r>
  <r>
    <s v=""/>
    <n v="19"/>
    <m/>
    <m/>
    <m/>
    <m/>
    <m/>
    <m/>
    <m/>
    <s v="ENTER BUSUR NO 120"/>
    <n v="2"/>
    <n v="400"/>
    <s v="LSN"/>
    <n v="15500"/>
    <m/>
    <s v="200 LSN"/>
    <m/>
    <m/>
    <m/>
    <m/>
    <m/>
    <n v="6200000"/>
    <n v="0"/>
    <n v="0"/>
    <n v="0"/>
    <n v="0"/>
    <n v="6200000"/>
    <m/>
    <s v=""/>
    <s v=""/>
    <n v="3100000"/>
    <n v="6200000"/>
    <x v="9"/>
    <d v="2024-07-09T00:00:00"/>
    <s v="JX7,24"/>
    <s v="ETJ"/>
    <x v="0"/>
    <s v=""/>
    <n v="7"/>
    <s v="enterbusurno120"/>
    <s v="enterbusurno1203100000"/>
    <s v="enterbusurno1203100000"/>
    <s v=""/>
    <n v="3454"/>
    <b v="1"/>
    <s v="200 LSN"/>
    <s v="enterbusurno120200lsnuntana"/>
    <n v="3454"/>
    <x v="49"/>
    <m/>
  </r>
  <r>
    <s v=""/>
    <n v="19"/>
    <m/>
    <m/>
    <m/>
    <m/>
    <m/>
    <m/>
    <m/>
    <s v="ENTER GB 40 CM TBL"/>
    <n v="2"/>
    <n v="50"/>
    <s v="LSN"/>
    <n v="55000"/>
    <m/>
    <s v="25 LSN"/>
    <m/>
    <m/>
    <m/>
    <m/>
    <m/>
    <n v="2750000"/>
    <n v="0"/>
    <n v="0"/>
    <n v="0"/>
    <n v="0"/>
    <n v="2750000"/>
    <m/>
    <s v=""/>
    <s v=""/>
    <n v="1375000"/>
    <n v="2750000"/>
    <x v="9"/>
    <d v="2024-07-09T00:00:00"/>
    <s v="JX7,24"/>
    <s v="ETJ"/>
    <x v="0"/>
    <s v=""/>
    <n v="7"/>
    <s v="entergb40cmtbl"/>
    <s v="entergb40cmtbl1375000"/>
    <s v="entergb40cmtbl1375000"/>
    <s v=""/>
    <n v="3456"/>
    <b v="1"/>
    <s v="25 LSN"/>
    <s v="entergb40cmtbl25lsnuntana"/>
    <n v="3456"/>
    <x v="50"/>
    <m/>
  </r>
  <r>
    <s v=""/>
    <n v="19"/>
    <m/>
    <m/>
    <m/>
    <m/>
    <m/>
    <m/>
    <m/>
    <s v="ENTER GB 50 CM TBL"/>
    <n v="2"/>
    <n v="50"/>
    <s v="LSN"/>
    <n v="65000"/>
    <m/>
    <s v="25 LSN"/>
    <m/>
    <m/>
    <m/>
    <m/>
    <m/>
    <n v="3250000"/>
    <n v="0"/>
    <n v="0"/>
    <n v="0"/>
    <n v="0"/>
    <n v="3250000"/>
    <m/>
    <s v=""/>
    <s v=""/>
    <n v="1625000"/>
    <n v="3250000"/>
    <x v="9"/>
    <d v="2024-07-09T00:00:00"/>
    <s v="JX7,24"/>
    <s v="ETJ"/>
    <x v="0"/>
    <s v=""/>
    <n v="7"/>
    <s v="entergb50cmtbl"/>
    <s v="entergb50cmtbl1625000"/>
    <s v="entergb50cmtbl1625000"/>
    <s v=""/>
    <n v="3457"/>
    <b v="1"/>
    <s v="25 LSN"/>
    <s v="entergb50cmtbl25lsnuntana"/>
    <n v="3457"/>
    <x v="51"/>
    <m/>
  </r>
  <r>
    <s v=""/>
    <n v="19"/>
    <m/>
    <m/>
    <m/>
    <m/>
    <m/>
    <m/>
    <m/>
    <s v="ENTER GB 60 CM TBL"/>
    <n v="2"/>
    <n v="50"/>
    <s v="LSN"/>
    <n v="75000"/>
    <m/>
    <s v="25 LSN"/>
    <m/>
    <m/>
    <m/>
    <m/>
    <m/>
    <n v="3750000"/>
    <n v="0"/>
    <n v="0"/>
    <n v="0"/>
    <n v="0"/>
    <n v="3750000"/>
    <m/>
    <s v=""/>
    <s v=""/>
    <n v="1875000"/>
    <n v="3750000"/>
    <x v="9"/>
    <d v="2024-07-09T00:00:00"/>
    <s v="JX7,24"/>
    <s v="ETJ"/>
    <x v="0"/>
    <s v=""/>
    <n v="7"/>
    <s v="entergb60cmtbl"/>
    <s v="entergb60cmtbl1875000"/>
    <s v="entergb60cmtbl1875000"/>
    <s v=""/>
    <n v="3458"/>
    <b v="1"/>
    <s v="25 LSN"/>
    <s v="entergb60cmtbl25lsnuntana"/>
    <n v="3458"/>
    <x v="52"/>
    <m/>
  </r>
  <r>
    <s v=""/>
    <n v="19"/>
    <m/>
    <m/>
    <m/>
    <m/>
    <m/>
    <m/>
    <m/>
    <s v="KOJIKO BK TABUNGAN"/>
    <n v="2"/>
    <n v="12000"/>
    <s v="PCS"/>
    <n v="325"/>
    <m/>
    <s v="6000 PCS"/>
    <m/>
    <m/>
    <m/>
    <m/>
    <m/>
    <n v="3900000"/>
    <n v="0"/>
    <n v="0"/>
    <n v="0"/>
    <n v="0"/>
    <n v="3900000"/>
    <m/>
    <n v="0"/>
    <n v="80000000"/>
    <n v="1950000"/>
    <n v="3900000"/>
    <x v="9"/>
    <d v="2024-07-09T00:00:00"/>
    <s v="JX7,24"/>
    <s v="ETJ"/>
    <x v="0"/>
    <s v=""/>
    <n v="7"/>
    <s v="kojikobktabungan"/>
    <s v="kojikobktabungan1950000"/>
    <s v="kojikobktabungan1950000"/>
    <s v=""/>
    <n v="3474"/>
    <b v="1"/>
    <s v="6000 PCS"/>
    <s v="kojikobktabungan6000pcsuntana"/>
    <n v="3474"/>
    <x v="5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0"/>
    <n v="20"/>
    <d v="2024-07-09T00:00:00"/>
    <s v="MIRACLE ABADI"/>
    <s v="UNTANA"/>
    <m/>
    <m/>
    <d v="2024-07-08T00:00:00"/>
    <m/>
    <s v="KERTAS CREPE SMALL JERSY"/>
    <n v="30"/>
    <n v="7050"/>
    <s v="PAK"/>
    <n v="5750"/>
    <m/>
    <s v="235 PAK"/>
    <m/>
    <m/>
    <m/>
    <m/>
    <m/>
    <n v="40537500"/>
    <n v="0"/>
    <n v="0"/>
    <n v="0"/>
    <n v="0"/>
    <n v="40537500"/>
    <m/>
    <n v="0"/>
    <n v="40537500"/>
    <n v="1351250"/>
    <n v="40537500"/>
    <x v="10"/>
    <d v="2024-07-08T00:00:00"/>
    <d v="1899-12-30T00:00:00"/>
    <s v="MIRACLE ABADI"/>
    <x v="0"/>
    <n v="1"/>
    <n v="7"/>
    <s v="kertascrepesmalljersy"/>
    <s v="kertascrepesmalljersy1351250"/>
    <s v="kertascrepesmalljersy1351250"/>
    <s v="MIRACLE ABADIUNTANA45481kertascrepesmalljersy"/>
    <n v="1882"/>
    <b v="1"/>
    <s v="235 PAK"/>
    <s v="kertascrepesmalljersy235pakuntana"/>
    <n v="1882"/>
    <x v="5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1"/>
    <n v="21"/>
    <d v="2024-07-06T00:00:00"/>
    <s v="SBS"/>
    <s v="UNTANA"/>
    <s v="W0001BB"/>
    <m/>
    <d v="2024-07-01T00:00:00"/>
    <m/>
    <s v="STAMP PAD HERO (K)"/>
    <n v="5"/>
    <n v="120"/>
    <s v="LSN"/>
    <n v="52500"/>
    <m/>
    <s v="24 LSN"/>
    <m/>
    <m/>
    <m/>
    <m/>
    <m/>
    <n v="6300000"/>
    <n v="0"/>
    <n v="0"/>
    <n v="0"/>
    <n v="0"/>
    <n v="6300000"/>
    <m/>
    <n v="0"/>
    <n v="6300000"/>
    <n v="1260000"/>
    <n v="6300000"/>
    <x v="11"/>
    <d v="2024-07-01T00:00:00"/>
    <s v="W0001BB"/>
    <s v="SBS"/>
    <x v="0"/>
    <n v="1"/>
    <n v="7"/>
    <s v="stamppadherok"/>
    <s v="stamppadherok1260000"/>
    <s v="stamppadherok1260000"/>
    <s v="SBSUNTANAW0001BB45474stamppadherok"/>
    <n v="2939"/>
    <b v="1"/>
    <s v="24 LSN"/>
    <s v="stamppadherok24lsnuntana"/>
    <n v="2939"/>
    <x v="5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2"/>
    <n v="22"/>
    <d v="2024-07-08T00:00:00"/>
    <s v="PPW"/>
    <s v="UNTANA"/>
    <s v="0033/HW/VII/24"/>
    <m/>
    <d v="2024-07-02T00:00:00"/>
    <m/>
    <s v="BT 30 CM"/>
    <n v="5"/>
    <n v="500"/>
    <s v="LSN"/>
    <n v="26780"/>
    <m/>
    <s v="100 LSN"/>
    <n v="0.2"/>
    <n v="0.04"/>
    <m/>
    <m/>
    <m/>
    <n v="13390000"/>
    <n v="2678000"/>
    <n v="428480"/>
    <n v="0"/>
    <n v="3106480"/>
    <n v="10283520"/>
    <m/>
    <n v="3106480"/>
    <n v="10283520"/>
    <n v="2678000"/>
    <n v="13390000"/>
    <x v="7"/>
    <d v="2024-07-02T00:00:00"/>
    <s v="0033/HW/VII/24"/>
    <s v="PPW"/>
    <x v="0"/>
    <n v="1"/>
    <n v="7"/>
    <s v="bt30cm"/>
    <s v="bt30cm26780000,20,04"/>
    <s v="bt30cm26780000,20,04"/>
    <s v="PPWUNTANA0033/HW/VII/2445475bt30cm"/>
    <n v="515"/>
    <b v="1"/>
    <s v="100 LSN"/>
    <s v="bt30cm100lsnuntana"/>
    <n v="515"/>
    <x v="5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3"/>
    <n v="23"/>
    <d v="2024-07-08T00:00:00"/>
    <s v="MSI"/>
    <s v="UNTANA"/>
    <s v="24/VII/024"/>
    <m/>
    <d v="2024-07-01T00:00:00"/>
    <m/>
    <s v="STAMP PAD HERO NO.2 (E-1460) BIG"/>
    <n v="11"/>
    <n v="220"/>
    <s v="LSN"/>
    <n v="61500"/>
    <m/>
    <s v="20 LSN"/>
    <m/>
    <m/>
    <m/>
    <m/>
    <m/>
    <n v="13530000"/>
    <n v="0"/>
    <n v="0"/>
    <n v="0"/>
    <n v="0"/>
    <n v="13530000"/>
    <m/>
    <s v=""/>
    <s v=""/>
    <n v="1230000"/>
    <n v="13530000"/>
    <x v="7"/>
    <d v="2024-07-01T00:00:00"/>
    <s v="24/VII/024"/>
    <s v="MSI"/>
    <x v="0"/>
    <n v="3"/>
    <n v="7"/>
    <s v="stamppadherono2e1460big"/>
    <s v="stamppadherono2e1460big1230000"/>
    <s v="stamppadherono2e1460big1230000"/>
    <s v="MSIUNTANA24/VII/02445474stamppadherono2e1460big"/>
    <n v="2941"/>
    <b v="1"/>
    <s v="20 LSN"/>
    <s v="stamppadherono2e1460big20lsnuntana"/>
    <n v="2941"/>
    <x v="57"/>
    <m/>
  </r>
  <r>
    <s v=""/>
    <n v="23"/>
    <m/>
    <m/>
    <m/>
    <m/>
    <m/>
    <m/>
    <m/>
    <s v="STAMP PAD HERO NO.3 (E-2460) SMALL"/>
    <n v="3"/>
    <n v="72"/>
    <s v="LSN"/>
    <n v="50000"/>
    <m/>
    <s v="24 LSN"/>
    <m/>
    <m/>
    <m/>
    <m/>
    <m/>
    <n v="3600000"/>
    <n v="0"/>
    <n v="0"/>
    <n v="0"/>
    <n v="0"/>
    <n v="3600000"/>
    <m/>
    <s v=""/>
    <s v=""/>
    <n v="1200000"/>
    <n v="3600000"/>
    <x v="7"/>
    <d v="2024-07-01T00:00:00"/>
    <s v="24/VII/024"/>
    <s v="MSI"/>
    <x v="0"/>
    <s v=""/>
    <n v="7"/>
    <s v="stamppadherono3e2460small"/>
    <s v="stamppadherono3e2460small1200000"/>
    <s v="stamppadherono3e2460small1200000"/>
    <s v=""/>
    <n v="2942"/>
    <b v="1"/>
    <s v="24 LSN"/>
    <s v="stamppadherono3e2460small24lsnuntana"/>
    <n v="2942"/>
    <x v="58"/>
    <m/>
  </r>
  <r>
    <s v=""/>
    <n v="23"/>
    <m/>
    <m/>
    <m/>
    <m/>
    <m/>
    <m/>
    <m/>
    <s v="POSTER COLORS PAINT"/>
    <n v="3"/>
    <n v="300"/>
    <s v="PCS"/>
    <n v="12500"/>
    <m/>
    <s v="100 PCS"/>
    <m/>
    <m/>
    <m/>
    <m/>
    <m/>
    <n v="3750000"/>
    <n v="0"/>
    <n v="0"/>
    <n v="0"/>
    <n v="0"/>
    <n v="3750000"/>
    <m/>
    <n v="0"/>
    <n v="20880000"/>
    <n v="1250000"/>
    <n v="3750000"/>
    <x v="7"/>
    <d v="2024-07-01T00:00:00"/>
    <s v="24/VII/024"/>
    <s v="MSI"/>
    <x v="0"/>
    <s v=""/>
    <n v="7"/>
    <s v="postercolorspaint"/>
    <s v="postercolorspaint1250000"/>
    <s v="postercolorspaint1250000"/>
    <s v=""/>
    <n v="3389"/>
    <b v="1"/>
    <s v="100 PCS"/>
    <s v="postercolorspaint100pcsuntana"/>
    <n v="3389"/>
    <x v="5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4"/>
    <n v="24"/>
    <d v="2024-07-08T00:00:00"/>
    <s v="MSI"/>
    <s v="UNTANA"/>
    <s v="24/VII/058"/>
    <m/>
    <d v="2024-07-03T00:00:00"/>
    <m/>
    <s v="GEL PEN ZUI ZHUA HY-1020 HITAM"/>
    <n v="30"/>
    <n v="5760"/>
    <s v="LSN"/>
    <n v="10000"/>
    <m/>
    <s v="192 LSN"/>
    <m/>
    <m/>
    <m/>
    <m/>
    <m/>
    <n v="57600000"/>
    <n v="0"/>
    <n v="0"/>
    <n v="0"/>
    <n v="0"/>
    <n v="57600000"/>
    <m/>
    <n v="0"/>
    <n v="57600000"/>
    <n v="1920000"/>
    <n v="57600000"/>
    <x v="7"/>
    <d v="2024-07-03T00:00:00"/>
    <s v="24/VII/058"/>
    <s v="MSI"/>
    <x v="0"/>
    <n v="1"/>
    <n v="7"/>
    <s v="gelpenzuizhuahy1020hitam"/>
    <s v="gelpenzuizhuahy1020hitam1920000"/>
    <s v="gelpenzuizhuahy1020hitam1920000"/>
    <s v="MSIUNTANA24/VII/05845476gelpenzuizhuahy1020hitam"/>
    <n v="1138"/>
    <b v="1"/>
    <s v="192 LSN"/>
    <s v="gelpenzuizhuahy1020hitam192lsnuntana"/>
    <n v="1138"/>
    <x v="6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5"/>
    <n v="25"/>
    <d v="2024-07-10T00:00:00"/>
    <s v="HANSA"/>
    <s v="UNTANA"/>
    <s v="HN072024137"/>
    <m/>
    <d v="2024-07-10T00:00:00"/>
    <m/>
    <s v="LILIN SHINTOENG 12 BTG"/>
    <m/>
    <n v="2"/>
    <s v="LSN"/>
    <n v="39000"/>
    <m/>
    <m/>
    <m/>
    <m/>
    <m/>
    <m/>
    <m/>
    <n v="78000"/>
    <n v="0"/>
    <n v="0"/>
    <n v="0"/>
    <n v="0"/>
    <n v="78000"/>
    <m/>
    <s v=""/>
    <s v=""/>
    <n v="78000"/>
    <n v="78000"/>
    <x v="8"/>
    <d v="2024-07-10T00:00:00"/>
    <s v="HN072024137"/>
    <s v="HANSA"/>
    <x v="0"/>
    <n v="3"/>
    <n v="7"/>
    <s v="lilinshintoeng12btg"/>
    <s v="lilinshintoeng12btg78000"/>
    <s v="lilinshintoeng12btg39000"/>
    <s v="HANSAUNTANAHN07202413745483lilinshintoeng12btg"/>
    <n v="1987"/>
    <s v=""/>
    <s v="50 LSN"/>
    <s v="lilinshintoeng12btg50lsnuntana"/>
    <n v="1987"/>
    <x v="61"/>
    <m/>
  </r>
  <r>
    <s v=""/>
    <n v="25"/>
    <m/>
    <m/>
    <m/>
    <m/>
    <m/>
    <m/>
    <m/>
    <s v="LILIN SHINTOENG 24 BTG"/>
    <m/>
    <n v="2"/>
    <s v="LSN"/>
    <n v="41000"/>
    <m/>
    <m/>
    <m/>
    <m/>
    <m/>
    <m/>
    <m/>
    <n v="82000"/>
    <n v="0"/>
    <n v="0"/>
    <n v="0"/>
    <n v="0"/>
    <n v="82000"/>
    <m/>
    <s v=""/>
    <s v=""/>
    <n v="82000"/>
    <n v="82000"/>
    <x v="8"/>
    <d v="2024-07-10T00:00:00"/>
    <s v="HN072024137"/>
    <s v="HANSA"/>
    <x v="0"/>
    <s v=""/>
    <n v="7"/>
    <s v="lilinshintoeng24btg"/>
    <s v="lilinshintoeng24btg82000"/>
    <s v="lilinshintoeng24btg41000"/>
    <s v=""/>
    <n v="1988"/>
    <s v=""/>
    <s v="40 LSN"/>
    <s v="lilinshintoeng24btg40lsnuntana"/>
    <n v="1988"/>
    <x v="62"/>
    <m/>
  </r>
  <r>
    <s v=""/>
    <n v="25"/>
    <m/>
    <m/>
    <m/>
    <m/>
    <m/>
    <m/>
    <m/>
    <s v="LILIN ANGKA SHINTOENG"/>
    <m/>
    <n v="6"/>
    <s v="LSN"/>
    <n v="13000"/>
    <m/>
    <m/>
    <m/>
    <m/>
    <m/>
    <m/>
    <s v="NO 1/2/7 @2LSN"/>
    <n v="78000"/>
    <n v="0"/>
    <n v="0"/>
    <n v="0"/>
    <n v="0"/>
    <n v="78000"/>
    <m/>
    <n v="0"/>
    <n v="238000"/>
    <n v="78000"/>
    <n v="78000"/>
    <x v="8"/>
    <d v="2024-07-10T00:00:00"/>
    <s v="HN072024137"/>
    <s v="HANSA"/>
    <x v="0"/>
    <s v=""/>
    <n v="7"/>
    <s v="lilinangkashintoeng"/>
    <s v="lilinangkashintoeng78000"/>
    <s v="lilinangkashintoeng13000"/>
    <s v=""/>
    <n v="1963"/>
    <s v=""/>
    <s v="100 LSN"/>
    <s v="lilinangkashintoeng100lsnuntana"/>
    <n v="1963"/>
    <x v="6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6"/>
    <n v="26"/>
    <d v="2024-07-11T00:00:00"/>
    <s v="JEFFRY"/>
    <s v="UNTANA"/>
    <m/>
    <m/>
    <d v="2024-07-05T00:00:00"/>
    <m/>
    <s v="KARET PENTIL MINI SWAN (KECIL)"/>
    <n v="2"/>
    <n v="1000"/>
    <s v="PAK"/>
    <n v="4900"/>
    <m/>
    <s v="500 PAK"/>
    <m/>
    <m/>
    <m/>
    <m/>
    <m/>
    <n v="4900000"/>
    <n v="0"/>
    <n v="0"/>
    <n v="0"/>
    <n v="0"/>
    <n v="4900000"/>
    <m/>
    <n v="0"/>
    <n v="4900000"/>
    <n v="2450000"/>
    <n v="4900000"/>
    <x v="12"/>
    <d v="2024-07-05T00:00:00"/>
    <d v="1899-12-30T00:00:00"/>
    <s v="JEFFRY"/>
    <x v="0"/>
    <n v="1"/>
    <n v="7"/>
    <s v="karetpentilminiswankecil"/>
    <s v="karetpentilminiswankecil2450000"/>
    <s v="karetpentilminiswankecil2450000"/>
    <s v="JEFFRYUNTANA45478karetpentilminiswankecil"/>
    <n v="3465"/>
    <b v="1"/>
    <s v="500 PAK"/>
    <s v="karetpentilminiswankecil500pakuntana"/>
    <n v="3465"/>
    <x v="6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7"/>
    <n v="27"/>
    <d v="2024-07-08T00:00:00"/>
    <s v="EMICO"/>
    <s v="UNTANA"/>
    <s v="J2407002"/>
    <m/>
    <d v="2024-07-04T00:00:00"/>
    <m/>
    <s v="FINETECH GEL PEN 0,3 BLACK"/>
    <n v="2"/>
    <n v="192"/>
    <s v="LSN"/>
    <n v="63000"/>
    <m/>
    <s v="96 LSN"/>
    <n v="0.1"/>
    <m/>
    <m/>
    <m/>
    <m/>
    <n v="12096000"/>
    <n v="1209600"/>
    <n v="0"/>
    <n v="0"/>
    <n v="1209600"/>
    <n v="10886400"/>
    <m/>
    <n v="1209600"/>
    <n v="10886400"/>
    <n v="6048000"/>
    <n v="12096000"/>
    <x v="7"/>
    <d v="2024-07-04T00:00:00"/>
    <s v="J2407002"/>
    <s v="EMICO"/>
    <x v="0"/>
    <n v="1"/>
    <n v="7"/>
    <s v="finetechgelpen03black"/>
    <s v="finetechgelpen03black60480000,1"/>
    <s v="finetechgelpen03black60480000,1"/>
    <s v="EMICOUNTANAJ240700245477finetechgelpen03black"/>
    <n v="994"/>
    <b v="1"/>
    <s v="96 LSN"/>
    <s v="finetechgelpen03black96lsnuntana"/>
    <n v="994"/>
    <x v="6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8"/>
    <n v="28"/>
    <d v="2024-07-12T00:00:00"/>
    <s v="D-R ORIGINAL"/>
    <s v="UNTANA"/>
    <m/>
    <m/>
    <d v="2024-07-10T00:00:00"/>
    <m/>
    <s v="GUNTING DR5 IDEAL"/>
    <n v="3"/>
    <n v="180"/>
    <s v="LSN"/>
    <n v="54000"/>
    <m/>
    <s v="60 LSN"/>
    <n v="0.1"/>
    <n v="0.1"/>
    <n v="0.1"/>
    <m/>
    <m/>
    <n v="9720000"/>
    <n v="972000"/>
    <n v="874800"/>
    <n v="787320"/>
    <n v="2634120"/>
    <n v="7085880"/>
    <m/>
    <s v=""/>
    <s v=""/>
    <n v="3240000"/>
    <n v="9720000"/>
    <x v="13"/>
    <d v="2024-07-10T00:00:00"/>
    <d v="1899-12-30T00:00:00"/>
    <s v="D-R ORIGINAL"/>
    <x v="0"/>
    <n v="3"/>
    <n v="7"/>
    <s v="guntingdr5ideal"/>
    <s v="guntingdr5ideal32400000,10,1"/>
    <s v="guntingdr5ideal32400000,10,1"/>
    <s v="D-R ORIGINALUNTANA45483guntingdr5ideal"/>
    <n v="1416"/>
    <b v="1"/>
    <s v="60 LSN"/>
    <s v="guntingdr5ideal60lsnuntana"/>
    <n v="1416"/>
    <x v="66"/>
    <m/>
  </r>
  <r>
    <s v=""/>
    <n v="28"/>
    <m/>
    <m/>
    <m/>
    <m/>
    <m/>
    <m/>
    <m/>
    <s v="GUNTING DR2 IDEAL"/>
    <n v="2"/>
    <n v="120"/>
    <s v="LSN"/>
    <n v="73000"/>
    <m/>
    <s v="60 LSN"/>
    <n v="0.1"/>
    <n v="0.1"/>
    <n v="0.1"/>
    <m/>
    <m/>
    <n v="8760000"/>
    <n v="876000"/>
    <n v="788400"/>
    <n v="709560"/>
    <n v="2373960"/>
    <n v="6386040"/>
    <m/>
    <s v=""/>
    <s v=""/>
    <n v="4380000"/>
    <n v="8760000"/>
    <x v="13"/>
    <d v="2024-07-10T00:00:00"/>
    <d v="1899-12-30T00:00:00"/>
    <s v="D-R ORIGINAL"/>
    <x v="0"/>
    <s v=""/>
    <n v="7"/>
    <s v="guntingdr2ideal"/>
    <s v="guntingdr2ideal43800000,10,1"/>
    <s v="guntingdr2ideal43800000,10,1"/>
    <s v=""/>
    <n v="3466"/>
    <b v="1"/>
    <s v="60 LSN"/>
    <s v="guntingdr2ideal60lsnuntana"/>
    <n v="3466"/>
    <x v="67"/>
    <m/>
  </r>
  <r>
    <s v=""/>
    <n v="28"/>
    <m/>
    <m/>
    <m/>
    <m/>
    <m/>
    <m/>
    <m/>
    <s v="GUNTING DR5 IDEAL"/>
    <n v="1"/>
    <n v="60"/>
    <s v="LSN"/>
    <n v="54000"/>
    <m/>
    <s v="60 LSN"/>
    <n v="1"/>
    <m/>
    <m/>
    <m/>
    <s v="BONUS"/>
    <n v="3240000"/>
    <n v="3240000"/>
    <n v="0"/>
    <n v="0"/>
    <n v="3240000"/>
    <n v="0"/>
    <m/>
    <n v="8248080"/>
    <n v="13471920"/>
    <n v="3240000"/>
    <n v="3240000"/>
    <x v="13"/>
    <d v="2024-07-10T00:00:00"/>
    <d v="1899-12-30T00:00:00"/>
    <s v="D-R ORIGINAL"/>
    <x v="0"/>
    <s v=""/>
    <n v="7"/>
    <s v="guntingdr5ideal"/>
    <s v="guntingdr5ideal32400001"/>
    <s v="guntingdr5ideal32400001"/>
    <s v=""/>
    <n v="1416"/>
    <b v="1"/>
    <s v="60 LSN"/>
    <s v="guntingdr5ideal60lsnuntana"/>
    <n v="1416"/>
    <x v="6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29"/>
    <n v="29"/>
    <m/>
    <s v="D-R ORIGINAL"/>
    <s v="UNTANA"/>
    <m/>
    <m/>
    <d v="2024-07-10T00:00:00"/>
    <m/>
    <s v="CUTTER BESAR 88 TACO"/>
    <n v="12"/>
    <n v="720"/>
    <s v="LSN"/>
    <n v="31000"/>
    <m/>
    <s v="60 LSN"/>
    <n v="0.1"/>
    <n v="0.1"/>
    <n v="0.1"/>
    <m/>
    <m/>
    <n v="22320000"/>
    <n v="2232000"/>
    <n v="2008800"/>
    <n v="1807920"/>
    <n v="6048720"/>
    <n v="16271280"/>
    <m/>
    <s v=""/>
    <s v=""/>
    <n v="1860000"/>
    <n v="22320000"/>
    <x v="13"/>
    <d v="2024-07-10T00:00:00"/>
    <d v="1899-12-30T00:00:00"/>
    <s v="D-R ORIGINAL"/>
    <x v="0"/>
    <n v="2"/>
    <n v="7"/>
    <s v="cutterbesar88taco"/>
    <s v="cutterbesar88taco18600000,10,1"/>
    <s v="cutterbesar88taco18600000,10,1"/>
    <s v="D-R ORIGINALUNTANA45483cutterbesar88taco"/>
    <n v="791"/>
    <b v="1"/>
    <s v="60 LSN"/>
    <s v="cutterbesar88taco60lsnuntana"/>
    <n v="791"/>
    <x v="69"/>
    <m/>
  </r>
  <r>
    <s v=""/>
    <n v="29"/>
    <m/>
    <m/>
    <m/>
    <m/>
    <m/>
    <m/>
    <m/>
    <s v="CUTTER BESAR 88 TACO"/>
    <n v="1"/>
    <n v="60"/>
    <s v="LSN"/>
    <n v="31000"/>
    <m/>
    <s v="60 LSN"/>
    <n v="1"/>
    <m/>
    <m/>
    <m/>
    <s v="BONUS"/>
    <n v="1860000"/>
    <n v="1860000"/>
    <n v="0"/>
    <n v="0"/>
    <n v="1860000"/>
    <n v="0"/>
    <m/>
    <n v="7908720"/>
    <n v="16271280"/>
    <n v="1860000"/>
    <n v="1860000"/>
    <x v="13"/>
    <d v="2024-07-10T00:00:00"/>
    <d v="1899-12-30T00:00:00"/>
    <s v="D-R ORIGINAL"/>
    <x v="0"/>
    <s v=""/>
    <n v="7"/>
    <s v="cutterbesar88taco"/>
    <s v="cutterbesar88taco18600001"/>
    <s v="cutterbesar88taco18600001"/>
    <s v=""/>
    <n v="791"/>
    <b v="1"/>
    <s v="60 LSN"/>
    <s v="cutterbesar88taco60lsnuntana"/>
    <n v="791"/>
    <x v="7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0"/>
    <n v="30"/>
    <d v="2024-07-10T00:00:00"/>
    <s v="DUTA BUANA"/>
    <s v="UNTANA"/>
    <s v="HM/132/07-24H"/>
    <m/>
    <d v="2024-07-05T00:00:00"/>
    <m/>
    <s v="BALLPEN GEL TF-1191 BODY WR 0,3MM HIGHTECH"/>
    <n v="2"/>
    <n v="192"/>
    <s v="LSN"/>
    <n v="26500"/>
    <m/>
    <s v="96 LSN"/>
    <n v="0.03"/>
    <m/>
    <m/>
    <m/>
    <m/>
    <n v="5088000"/>
    <n v="152640"/>
    <n v="0"/>
    <n v="0"/>
    <n v="152640"/>
    <n v="4935360"/>
    <m/>
    <n v="152640"/>
    <n v="4935360"/>
    <n v="2544000"/>
    <n v="5088000"/>
    <x v="8"/>
    <d v="2024-07-05T00:00:00"/>
    <s v="HM/132/07-24H"/>
    <s v="DUTA BUANA"/>
    <x v="0"/>
    <n v="1"/>
    <n v="7"/>
    <s v="ballpengeltf1191bodywr03mmhightech"/>
    <s v="ballpengeltf1191bodywr03mmhightech25440000,03"/>
    <s v="ballpengeltf1191bodywr03mmhightech25440000,03"/>
    <s v="DUTA BUANAUNTANAHM/132/07-24H45478ballpengeltf1191bodywr03mmhightech"/>
    <n v="152"/>
    <b v="1"/>
    <s v="96 LSN"/>
    <s v="ballpengeltf1191bodywr03mmhightech96lsnuntana"/>
    <n v="153"/>
    <x v="7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1"/>
    <n v="31"/>
    <m/>
    <s v="DUTA BUANA"/>
    <s v="UNTANA"/>
    <s v="HM/131/07-24H"/>
    <m/>
    <d v="2024-07-05T00:00:00"/>
    <m/>
    <s v="BALLPEN GEL TF-1190 HTM 0.3MM HIGHTECH"/>
    <n v="5"/>
    <n v="480"/>
    <s v="LSN"/>
    <n v="26500"/>
    <m/>
    <s v="96 LSN"/>
    <n v="0.03"/>
    <m/>
    <m/>
    <m/>
    <m/>
    <n v="12720000"/>
    <n v="381600"/>
    <n v="0"/>
    <n v="0"/>
    <n v="381600"/>
    <n v="12338400"/>
    <m/>
    <n v="381600"/>
    <n v="12338400"/>
    <n v="2544000"/>
    <n v="12720000"/>
    <x v="8"/>
    <d v="2024-07-05T00:00:00"/>
    <s v="HM/131/07-24H"/>
    <s v="DUTA BUANA"/>
    <x v="0"/>
    <n v="1"/>
    <n v="7"/>
    <s v="ballpengeltf1190htm03mmhightech"/>
    <s v="ballpengeltf1190htm03mmhightech25440000,03"/>
    <s v="ballpengeltf1190htm03mmhightech25440000,03"/>
    <s v="DUTA BUANAUNTANAHM/131/07-24H45478ballpengeltf1190htm03mmhightech"/>
    <n v="150"/>
    <b v="1"/>
    <s v="96 LSN"/>
    <s v="ballpengeltf1190htm03mmhightech96lsnuntana"/>
    <n v="151"/>
    <x v="7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2"/>
    <n v="32"/>
    <d v="2024-07-10T00:00:00"/>
    <s v="DUTA BAHAGIA"/>
    <s v="UNTANA"/>
    <s v="DHM/059/07-24C"/>
    <m/>
    <d v="2024-07-05T00:00:00"/>
    <m/>
    <s v="BINDER NOTE FPHY001-A5-60"/>
    <n v="1"/>
    <n v="96"/>
    <s v="PCS"/>
    <n v="21000"/>
    <m/>
    <s v="96 PCS"/>
    <n v="0.03"/>
    <m/>
    <m/>
    <m/>
    <m/>
    <n v="2016000"/>
    <n v="60480"/>
    <n v="0"/>
    <n v="0"/>
    <n v="60480"/>
    <n v="1955520"/>
    <m/>
    <s v=""/>
    <s v=""/>
    <n v="2016000"/>
    <n v="2016000"/>
    <x v="8"/>
    <d v="2024-07-05T00:00:00"/>
    <s v="DHM/059/07-24C"/>
    <s v="DUTA BAHAGIA"/>
    <x v="0"/>
    <n v="4"/>
    <n v="7"/>
    <s v="bindernotefphy001a560"/>
    <s v="bindernotefphy001a56020160000,03"/>
    <s v="bindernotefphy001a56020160000,03"/>
    <s v="DUTA BAHAGIAUNTANADHM/059/07-24C45478bindernotefphy001a560"/>
    <n v="354"/>
    <b v="1"/>
    <s v="96 PCS"/>
    <s v="bindernotefphy001a56096pcsuntana"/>
    <n v="355"/>
    <x v="73"/>
    <m/>
  </r>
  <r>
    <s v=""/>
    <n v="32"/>
    <m/>
    <m/>
    <m/>
    <m/>
    <m/>
    <m/>
    <m/>
    <s v="BINDER NOTE FPHY002-A5-60"/>
    <n v="1"/>
    <n v="96"/>
    <s v="PCS"/>
    <n v="21000"/>
    <m/>
    <s v="96 PCS"/>
    <n v="0.03"/>
    <m/>
    <m/>
    <m/>
    <m/>
    <n v="2016000"/>
    <n v="60480"/>
    <n v="0"/>
    <n v="0"/>
    <n v="60480"/>
    <n v="1955520"/>
    <m/>
    <s v=""/>
    <s v=""/>
    <n v="2016000"/>
    <n v="2016000"/>
    <x v="8"/>
    <d v="2024-07-05T00:00:00"/>
    <s v="DHM/059/07-24C"/>
    <s v="DUTA BAHAGIA"/>
    <x v="0"/>
    <s v=""/>
    <n v="7"/>
    <s v="bindernotefphy002a560"/>
    <s v="bindernotefphy002a56020160000,03"/>
    <s v="bindernotefphy002a56020160000,03"/>
    <s v=""/>
    <n v="357"/>
    <b v="1"/>
    <s v="96 PCS"/>
    <s v="bindernotefphy002a56096pcsuntana"/>
    <n v="357"/>
    <x v="74"/>
    <m/>
  </r>
  <r>
    <s v=""/>
    <n v="32"/>
    <m/>
    <m/>
    <m/>
    <m/>
    <m/>
    <m/>
    <m/>
    <s v="BINDER NOTE FPHY001-B5-60"/>
    <n v="1"/>
    <n v="72"/>
    <s v="PCS"/>
    <n v="28000"/>
    <m/>
    <s v="72 PCS"/>
    <n v="0.03"/>
    <m/>
    <m/>
    <m/>
    <m/>
    <n v="2016000"/>
    <n v="60480"/>
    <n v="0"/>
    <n v="0"/>
    <n v="60480"/>
    <n v="1955520"/>
    <m/>
    <s v=""/>
    <s v=""/>
    <n v="2016000"/>
    <n v="2016000"/>
    <x v="8"/>
    <d v="2024-07-05T00:00:00"/>
    <s v="DHM/059/07-24C"/>
    <s v="DUTA BAHAGIA"/>
    <x v="0"/>
    <s v=""/>
    <n v="7"/>
    <s v="bindernotefphy001b560"/>
    <s v="bindernotefphy001b56020160000,03"/>
    <s v="bindernotefphy001b56020160000,03"/>
    <s v=""/>
    <n v="356"/>
    <b v="1"/>
    <s v="72 PCS"/>
    <s v="bindernotefphy001b56072pcsuntana"/>
    <n v="356"/>
    <x v="75"/>
    <m/>
  </r>
  <r>
    <s v=""/>
    <n v="32"/>
    <m/>
    <m/>
    <m/>
    <m/>
    <m/>
    <m/>
    <m/>
    <s v="BINDER NOTE FPHY002-B5-60"/>
    <n v="1"/>
    <n v="72"/>
    <s v="PCS"/>
    <n v="28000"/>
    <m/>
    <s v="72 PCS"/>
    <n v="0.03"/>
    <m/>
    <m/>
    <m/>
    <m/>
    <n v="2016000"/>
    <n v="60480"/>
    <n v="0"/>
    <n v="0"/>
    <n v="60480"/>
    <n v="1955520"/>
    <m/>
    <n v="241920"/>
    <n v="7822080"/>
    <n v="2016000"/>
    <n v="2016000"/>
    <x v="8"/>
    <d v="2024-07-05T00:00:00"/>
    <s v="DHM/059/07-24C"/>
    <s v="DUTA BAHAGIA"/>
    <x v="0"/>
    <s v=""/>
    <n v="7"/>
    <s v="bindernotefphy002b560"/>
    <s v="bindernotefphy002b56020160000,03"/>
    <s v="bindernotefphy002b56020160000,03"/>
    <s v=""/>
    <n v="358"/>
    <b v="1"/>
    <s v="72 PCS"/>
    <s v="bindernotefphy002b56072pcsuntana"/>
    <n v="358"/>
    <x v="7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3"/>
    <n v="33"/>
    <d v="2024-07-08T00:00:00"/>
    <s v="DUTA BUANA"/>
    <s v="UNTANA"/>
    <s v="JUG191/24"/>
    <m/>
    <d v="2024-07-06T00:00:00"/>
    <m/>
    <s v="R BOTOL SUSU 20PCS R-5833"/>
    <n v="2"/>
    <n v="48"/>
    <s v="TOP"/>
    <n v="46700"/>
    <m/>
    <s v="24 TOP"/>
    <m/>
    <m/>
    <m/>
    <m/>
    <m/>
    <n v="2241600"/>
    <n v="0"/>
    <n v="0"/>
    <n v="0"/>
    <n v="0"/>
    <n v="2241600"/>
    <m/>
    <s v=""/>
    <s v=""/>
    <n v="1120800"/>
    <n v="2241600"/>
    <x v="7"/>
    <d v="2024-07-06T00:00:00"/>
    <s v="JUG191/24"/>
    <s v="DUTA BUANA"/>
    <x v="0"/>
    <n v="4"/>
    <n v="7"/>
    <s v="rbotolsusu20pcsr5833"/>
    <s v="rbotolsusu20pcsr58331120800"/>
    <s v="rbotolsusu20pcsr58331120800"/>
    <s v="DUTA BUANAUNTANAJUG191/2445479rbotolsusu20pcsr5833"/>
    <n v="3460"/>
    <b v="1"/>
    <s v="24 TOP"/>
    <s v="rbotolsusu20pcsr583324topuntana"/>
    <n v="3460"/>
    <x v="77"/>
    <m/>
  </r>
  <r>
    <s v=""/>
    <n v="33"/>
    <m/>
    <m/>
    <m/>
    <m/>
    <m/>
    <m/>
    <m/>
    <s v="RAUTAN TOPLES 25 PCS XLG R-5861"/>
    <n v="2"/>
    <n v="48"/>
    <s v="TOP"/>
    <n v="92500"/>
    <m/>
    <s v="24 TOP"/>
    <m/>
    <m/>
    <m/>
    <m/>
    <m/>
    <n v="4440000"/>
    <n v="0"/>
    <n v="0"/>
    <n v="0"/>
    <n v="0"/>
    <n v="4440000"/>
    <m/>
    <s v=""/>
    <s v=""/>
    <n v="2220000"/>
    <n v="4440000"/>
    <x v="7"/>
    <d v="2024-07-06T00:00:00"/>
    <s v="JUG191/24"/>
    <s v="DUTA BUANA"/>
    <x v="0"/>
    <s v=""/>
    <n v="7"/>
    <s v="rautantoples25pcsxlgr5861"/>
    <s v="rautantoples25pcsxlgr58612220000"/>
    <s v="rautantoples25pcsxlgr58612220000"/>
    <s v=""/>
    <n v="2793"/>
    <b v="1"/>
    <s v="24 TOP"/>
    <s v="rautantoples25pcsxlgr586124topuntana"/>
    <n v="2793"/>
    <x v="78"/>
    <m/>
  </r>
  <r>
    <s v=""/>
    <n v="33"/>
    <m/>
    <m/>
    <m/>
    <m/>
    <m/>
    <m/>
    <m/>
    <s v="R TOPLES XLG 17PCS R-5857"/>
    <n v="3"/>
    <n v="72"/>
    <s v="TOP"/>
    <n v="63800"/>
    <m/>
    <s v="24 TOP"/>
    <m/>
    <m/>
    <m/>
    <m/>
    <m/>
    <n v="4593600"/>
    <n v="0"/>
    <n v="0"/>
    <n v="0"/>
    <n v="0"/>
    <n v="4593600"/>
    <m/>
    <s v=""/>
    <s v=""/>
    <n v="1531200"/>
    <n v="4593600"/>
    <x v="7"/>
    <d v="2024-07-06T00:00:00"/>
    <s v="JUG191/24"/>
    <s v="DUTA BUANA"/>
    <x v="0"/>
    <s v=""/>
    <n v="7"/>
    <s v="rtoplesxlg17pcsr5857"/>
    <s v="rtoplesxlg17pcsr58571531200"/>
    <s v="rtoplesxlg17pcsr58571531200"/>
    <s v=""/>
    <n v="3461"/>
    <b v="1"/>
    <s v="24 TOP"/>
    <s v="rtoplesxlg17pcsr585724topuntana"/>
    <n v="3461"/>
    <x v="79"/>
    <m/>
  </r>
  <r>
    <s v=""/>
    <n v="33"/>
    <m/>
    <m/>
    <m/>
    <m/>
    <m/>
    <m/>
    <m/>
    <s v="RAUTAN MEJA BONEKA SX-0065 L"/>
    <m/>
    <n v="21"/>
    <s v="PCS"/>
    <m/>
    <m/>
    <m/>
    <m/>
    <m/>
    <m/>
    <m/>
    <m/>
    <s v=""/>
    <s v=""/>
    <s v=""/>
    <s v=""/>
    <s v=""/>
    <s v=""/>
    <m/>
    <n v="0"/>
    <n v="11275200"/>
    <n v="0"/>
    <s v=""/>
    <x v="7"/>
    <d v="2024-07-06T00:00:00"/>
    <s v="JUG191/24"/>
    <s v="DUTA BUANA"/>
    <x v="0"/>
    <s v=""/>
    <n v="7"/>
    <s v="rautanmejabonekasx0065l"/>
    <s v="rautanmejabonekasx0065l0"/>
    <s v="rautanmejabonekasx0065l0"/>
    <s v=""/>
    <n v="3462"/>
    <s v=""/>
    <s v="15 PCS"/>
    <s v="rautanmejabonekasx0065l15pcsuntana"/>
    <n v="3462"/>
    <x v="8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4"/>
    <n v="34"/>
    <m/>
    <s v="DUTA BUANA"/>
    <s v="UNTANA"/>
    <s v="JUG190/24"/>
    <m/>
    <d v="2024-07-06T00:00:00"/>
    <m/>
    <s v="MEK PENSIL 2.0 TIZO TM 01800-A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7"/>
    <d v="2024-07-06T00:00:00"/>
    <s v="JUG190/24"/>
    <s v="DUTA BUANA"/>
    <x v="0"/>
    <n v="12"/>
    <n v="7"/>
    <s v="mekpensil20tizotm01800a"/>
    <s v="mekpensil20tizotm01800a2784000"/>
    <s v="mekpensil20tizotm01800a2784000"/>
    <s v="DUTA BUANAUNTANAJUG190/2445479mekpensil20tizotm01800a"/>
    <n v="2153"/>
    <s v=""/>
    <s v="96 LSN"/>
    <s v="mekpensil20tizotm01800a96lsnuntana"/>
    <n v="2153"/>
    <x v="81"/>
    <m/>
  </r>
  <r>
    <s v=""/>
    <n v="34"/>
    <m/>
    <m/>
    <m/>
    <m/>
    <m/>
    <m/>
    <m/>
    <s v="MEK PENSIL 2.0 TIZO TM 030A-2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7"/>
    <d v="2024-07-06T00:00:00"/>
    <s v="JUG190/24"/>
    <s v="DUTA BUANA"/>
    <x v="0"/>
    <s v=""/>
    <n v="7"/>
    <s v="mekpensil20tizotm030a2"/>
    <s v="mekpensil20tizotm030a22784000"/>
    <s v="mekpensil20tizotm030a22784000"/>
    <s v=""/>
    <n v="2176"/>
    <s v=""/>
    <s v="96 LSN"/>
    <s v="mekpensil20tizotm030a296lsnuntana"/>
    <n v="2176"/>
    <x v="82"/>
    <m/>
  </r>
  <r>
    <s v=""/>
    <n v="34"/>
    <m/>
    <m/>
    <m/>
    <m/>
    <m/>
    <m/>
    <m/>
    <s v="GEL TIZO 1.0 TG630-A"/>
    <n v="1"/>
    <n v="72"/>
    <s v="LSN"/>
    <n v="43500"/>
    <m/>
    <m/>
    <m/>
    <m/>
    <m/>
    <m/>
    <m/>
    <n v="3132000"/>
    <n v="0"/>
    <n v="0"/>
    <n v="0"/>
    <n v="0"/>
    <n v="3132000"/>
    <m/>
    <s v=""/>
    <s v=""/>
    <n v="3132000"/>
    <n v="3132000"/>
    <x v="7"/>
    <d v="2024-07-06T00:00:00"/>
    <s v="JUG190/24"/>
    <s v="DUTA BUANA"/>
    <x v="0"/>
    <s v=""/>
    <n v="7"/>
    <s v="geltizo10tg630a"/>
    <s v="geltizo10tg630a3132000"/>
    <s v="geltizo10tg630a3132000"/>
    <s v=""/>
    <n v="1252"/>
    <s v=""/>
    <s v="72 LSN"/>
    <s v="geltizo10tg630a72lsnuntana"/>
    <n v="1252"/>
    <x v="83"/>
    <m/>
  </r>
  <r>
    <s v=""/>
    <n v="34"/>
    <m/>
    <m/>
    <m/>
    <m/>
    <m/>
    <m/>
    <m/>
    <s v="GEL DEBOZZ 0.7+REFILL DB-530"/>
    <n v="1"/>
    <n v="120"/>
    <s v="LSN"/>
    <n v="19000"/>
    <m/>
    <s v="120 LSN"/>
    <m/>
    <m/>
    <m/>
    <m/>
    <m/>
    <n v="2280000"/>
    <n v="0"/>
    <n v="0"/>
    <n v="0"/>
    <n v="0"/>
    <n v="2280000"/>
    <m/>
    <s v=""/>
    <s v=""/>
    <n v="2280000"/>
    <n v="2280000"/>
    <x v="7"/>
    <d v="2024-07-06T00:00:00"/>
    <s v="JUG190/24"/>
    <s v="DUTA BUANA"/>
    <x v="0"/>
    <s v=""/>
    <n v="7"/>
    <s v="geldebozz07refilldb530"/>
    <s v="geldebozz07refilldb5302280000"/>
    <s v="geldebozz07refilldb5302280000"/>
    <s v=""/>
    <n v="1050"/>
    <b v="1"/>
    <s v="120 LSN"/>
    <s v="geldebozz07refilldb530120lsnuntana"/>
    <n v="1050"/>
    <x v="84"/>
    <m/>
  </r>
  <r>
    <s v=""/>
    <n v="34"/>
    <m/>
    <m/>
    <m/>
    <m/>
    <m/>
    <m/>
    <m/>
    <s v="HIGHLIGHTER 24 PCS TF616"/>
    <n v="1"/>
    <n v="32"/>
    <s v="PAK"/>
    <n v="49500"/>
    <m/>
    <m/>
    <m/>
    <m/>
    <m/>
    <m/>
    <m/>
    <n v="1584000"/>
    <n v="0"/>
    <n v="0"/>
    <n v="0"/>
    <n v="0"/>
    <n v="1584000"/>
    <m/>
    <s v=""/>
    <s v=""/>
    <n v="1584000"/>
    <n v="1584000"/>
    <x v="7"/>
    <d v="2024-07-06T00:00:00"/>
    <s v="JUG190/24"/>
    <s v="DUTA BUANA"/>
    <x v="0"/>
    <s v=""/>
    <n v="7"/>
    <s v="highlighter24pcstf616"/>
    <s v="highlighter24pcstf6161584000"/>
    <s v="highlighter24pcstf6161584000"/>
    <s v=""/>
    <n v="1448"/>
    <s v=""/>
    <s v="32 PAK (24 PCS)"/>
    <s v="highlighter24pcstf61632pak24pcsuntana"/>
    <n v="1448"/>
    <x v="85"/>
    <m/>
  </r>
  <r>
    <s v=""/>
    <n v="34"/>
    <m/>
    <m/>
    <m/>
    <m/>
    <m/>
    <m/>
    <m/>
    <s v="GEL TIZO KLIK TG3300"/>
    <n v="1"/>
    <n v="144"/>
    <s v="LSN"/>
    <n v="24000"/>
    <m/>
    <m/>
    <m/>
    <m/>
    <m/>
    <m/>
    <m/>
    <n v="3456000"/>
    <n v="0"/>
    <n v="0"/>
    <n v="0"/>
    <n v="0"/>
    <n v="3456000"/>
    <m/>
    <s v=""/>
    <s v=""/>
    <n v="3456000"/>
    <n v="3456000"/>
    <x v="7"/>
    <d v="2024-07-06T00:00:00"/>
    <s v="JUG190/24"/>
    <s v="DUTA BUANA"/>
    <x v="0"/>
    <s v=""/>
    <n v="7"/>
    <s v="geltizokliktg3300"/>
    <s v="geltizokliktg33003456000"/>
    <s v="geltizokliktg33003456000"/>
    <s v=""/>
    <n v="1150"/>
    <s v=""/>
    <s v="144 LSN"/>
    <s v="geltizokliktg3300144lsnuntana"/>
    <n v="1150"/>
    <x v="86"/>
    <m/>
  </r>
  <r>
    <s v=""/>
    <n v="34"/>
    <m/>
    <m/>
    <m/>
    <m/>
    <m/>
    <m/>
    <m/>
    <s v="GEL INK TIANJIAO TZ-501"/>
    <n v="1"/>
    <n v="144"/>
    <s v="LSN"/>
    <n v="22500"/>
    <m/>
    <m/>
    <m/>
    <m/>
    <m/>
    <m/>
    <m/>
    <n v="3240000"/>
    <n v="0"/>
    <n v="0"/>
    <n v="0"/>
    <n v="0"/>
    <n v="3240000"/>
    <m/>
    <s v=""/>
    <s v=""/>
    <n v="3240000"/>
    <n v="3240000"/>
    <x v="7"/>
    <d v="2024-07-06T00:00:00"/>
    <s v="JUG190/24"/>
    <s v="DUTA BUANA"/>
    <x v="0"/>
    <s v=""/>
    <n v="7"/>
    <s v="gelinktianjiaotz501"/>
    <s v="gelinktianjiaotz5013240000"/>
    <s v="gelinktianjiaotz5013240000"/>
    <s v=""/>
    <n v="1057"/>
    <s v=""/>
    <s v="144 LSN"/>
    <s v="gelinktianjiaotz501144lsnuntana"/>
    <n v="1057"/>
    <x v="87"/>
    <m/>
  </r>
  <r>
    <s v=""/>
    <n v="34"/>
    <m/>
    <m/>
    <m/>
    <m/>
    <m/>
    <m/>
    <m/>
    <s v="GEL 1.0 TG340BI BIRU"/>
    <n v="10"/>
    <n v="960"/>
    <s v="LSN"/>
    <n v="31500"/>
    <m/>
    <m/>
    <m/>
    <m/>
    <m/>
    <m/>
    <m/>
    <n v="30240000"/>
    <n v="0"/>
    <n v="0"/>
    <n v="0"/>
    <n v="0"/>
    <n v="30240000"/>
    <m/>
    <s v=""/>
    <s v=""/>
    <n v="3024000"/>
    <n v="30240000"/>
    <x v="7"/>
    <d v="2024-07-06T00:00:00"/>
    <s v="JUG190/24"/>
    <s v="DUTA BUANA"/>
    <x v="0"/>
    <s v=""/>
    <n v="7"/>
    <s v="gel10tg340bibiru"/>
    <s v="gel10tg340bibiru3024000"/>
    <s v="gel10tg340bibiru3024000"/>
    <s v=""/>
    <n v="1037"/>
    <s v=""/>
    <s v="96 LSN"/>
    <s v="gel10tg340bibiru96lsnuntana"/>
    <n v="1037"/>
    <x v="88"/>
    <m/>
  </r>
  <r>
    <s v=""/>
    <n v="34"/>
    <m/>
    <m/>
    <m/>
    <m/>
    <m/>
    <m/>
    <m/>
    <s v="GEL 1.0 TG340BI BIRU"/>
    <n v="5"/>
    <n v="480"/>
    <s v="LSN"/>
    <n v="31500"/>
    <m/>
    <m/>
    <m/>
    <m/>
    <m/>
    <m/>
    <m/>
    <n v="15120000"/>
    <n v="0"/>
    <n v="0"/>
    <n v="0"/>
    <n v="0"/>
    <n v="15120000"/>
    <m/>
    <s v=""/>
    <s v=""/>
    <n v="3024000"/>
    <n v="15120000"/>
    <x v="7"/>
    <d v="2024-07-06T00:00:00"/>
    <s v="JUG190/24"/>
    <s v="DUTA BUANA"/>
    <x v="0"/>
    <s v=""/>
    <n v="7"/>
    <s v="gel10tg340bibiru"/>
    <s v="gel10tg340bibiru3024000"/>
    <s v="gel10tg340bibiru3024000"/>
    <s v=""/>
    <n v="1037"/>
    <s v=""/>
    <s v="96 LSN"/>
    <s v="gel10tg340bibiru96lsnuntana"/>
    <n v="1037"/>
    <x v="89"/>
    <m/>
  </r>
  <r>
    <s v=""/>
    <n v="34"/>
    <m/>
    <m/>
    <m/>
    <m/>
    <m/>
    <m/>
    <m/>
    <s v="GEL DEBOZZ 0.7 DB-G07"/>
    <n v="1"/>
    <n v="120"/>
    <s v="LSN"/>
    <n v="25500"/>
    <m/>
    <s v="120 LSN"/>
    <m/>
    <m/>
    <m/>
    <m/>
    <m/>
    <n v="3060000"/>
    <n v="0"/>
    <n v="0"/>
    <n v="0"/>
    <n v="0"/>
    <n v="3060000"/>
    <m/>
    <s v=""/>
    <s v=""/>
    <n v="3060000"/>
    <n v="3060000"/>
    <x v="7"/>
    <d v="2024-07-06T00:00:00"/>
    <s v="JUG190/24"/>
    <s v="DUTA BUANA"/>
    <x v="0"/>
    <s v=""/>
    <n v="7"/>
    <s v="geldebozz07dbg07"/>
    <s v="geldebozz07dbg073060000"/>
    <s v="geldebozz07dbg073060000"/>
    <s v=""/>
    <n v="1049"/>
    <b v="1"/>
    <s v="120 LSN"/>
    <s v="geldebozz07dbg07120lsnuntana"/>
    <n v="3475"/>
    <x v="90"/>
    <m/>
  </r>
  <r>
    <s v=""/>
    <n v="34"/>
    <m/>
    <m/>
    <m/>
    <m/>
    <m/>
    <m/>
    <m/>
    <s v="GEL DEBOZZ 0.5 DB-G05"/>
    <n v="1"/>
    <n v="120"/>
    <s v="LSN"/>
    <n v="27000"/>
    <m/>
    <m/>
    <m/>
    <m/>
    <m/>
    <m/>
    <m/>
    <n v="3240000"/>
    <n v="0"/>
    <n v="0"/>
    <n v="0"/>
    <n v="0"/>
    <n v="3240000"/>
    <m/>
    <s v=""/>
    <s v=""/>
    <n v="3240000"/>
    <n v="3240000"/>
    <x v="7"/>
    <d v="2024-07-06T00:00:00"/>
    <s v="JUG190/24"/>
    <s v="DUTA BUANA"/>
    <x v="0"/>
    <s v=""/>
    <n v="7"/>
    <s v="geldebozz05dbg05"/>
    <s v="geldebozz05dbg053240000"/>
    <s v="geldebozz05dbg053240000"/>
    <s v=""/>
    <n v="1044"/>
    <s v=""/>
    <s v="120 LSN"/>
    <s v="geldebozz05dbg05120lsnuntana"/>
    <n v="1044"/>
    <x v="91"/>
    <m/>
  </r>
  <r>
    <s v=""/>
    <n v="34"/>
    <m/>
    <m/>
    <m/>
    <m/>
    <m/>
    <m/>
    <m/>
    <s v="GEL DEBOZZ KLIK 09 DB-G09"/>
    <n v="1"/>
    <n v="144"/>
    <s v="LSN"/>
    <n v="22500"/>
    <m/>
    <m/>
    <m/>
    <m/>
    <m/>
    <m/>
    <m/>
    <n v="3240000"/>
    <n v="0"/>
    <n v="0"/>
    <n v="0"/>
    <n v="0"/>
    <n v="3240000"/>
    <m/>
    <n v="0"/>
    <n v="74160000"/>
    <n v="3240000"/>
    <n v="3240000"/>
    <x v="7"/>
    <d v="2024-07-06T00:00:00"/>
    <s v="JUG190/24"/>
    <s v="DUTA BUANA"/>
    <x v="0"/>
    <s v=""/>
    <n v="7"/>
    <s v="geldebozzklik09dbg09"/>
    <s v="geldebozzklik09dbg093240000"/>
    <s v="geldebozzklik09dbg093240000"/>
    <s v=""/>
    <n v="1055"/>
    <s v=""/>
    <s v="144 LSN"/>
    <s v="geldebozzklik09dbg09144lsnuntana"/>
    <n v="1055"/>
    <x v="9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5"/>
    <n v="35"/>
    <d v="2024-07-06T00:00:00"/>
    <s v="SINAR KOTA"/>
    <s v="UNTANA"/>
    <s v="81127"/>
    <m/>
    <d v="2024-07-01T00:00:00"/>
    <m/>
    <s v="AGENDA 50K BC-511 (35-50)"/>
    <n v="13"/>
    <n v="3120"/>
    <s v="PCS"/>
    <n v="7500"/>
    <m/>
    <s v="260 PCS"/>
    <m/>
    <m/>
    <m/>
    <m/>
    <m/>
    <n v="23400000"/>
    <n v="0"/>
    <n v="0"/>
    <n v="0"/>
    <n v="0"/>
    <n v="23400000"/>
    <m/>
    <s v=""/>
    <s v=""/>
    <n v="1800000"/>
    <n v="23400000"/>
    <x v="11"/>
    <d v="2024-07-01T00:00:00"/>
    <s v="81127"/>
    <s v="SINAR KOTA"/>
    <x v="0"/>
    <n v="9"/>
    <n v="7"/>
    <s v="agenda50kbc5113550"/>
    <s v="agenda50kbc51135501800000"/>
    <s v="agenda50kbc51135501800000"/>
    <s v="SINAR KOTAUNTANA8112745474agenda50kbc5113550"/>
    <n v="3467"/>
    <b v="1"/>
    <s v="260 PCS"/>
    <s v="agenda50kbc5113550260pcsuntana"/>
    <n v="3467"/>
    <x v="93"/>
    <m/>
  </r>
  <r>
    <s v=""/>
    <n v="35"/>
    <m/>
    <m/>
    <m/>
    <m/>
    <m/>
    <m/>
    <m/>
    <s v="AGENDA 50K BC-511 (35-50)"/>
    <m/>
    <n v="220"/>
    <s v="PCS"/>
    <n v="7500"/>
    <m/>
    <s v="260 PCS"/>
    <m/>
    <m/>
    <m/>
    <m/>
    <m/>
    <n v="1650000"/>
    <n v="0"/>
    <n v="0"/>
    <n v="0"/>
    <n v="0"/>
    <n v="1650000"/>
    <m/>
    <s v=""/>
    <s v=""/>
    <n v="1650000"/>
    <n v="1650000"/>
    <x v="11"/>
    <d v="2024-07-01T00:00:00"/>
    <s v="81127"/>
    <s v="SINAR KOTA"/>
    <x v="0"/>
    <s v=""/>
    <n v="7"/>
    <s v="agenda50kbc5113550"/>
    <s v="agenda50kbc51135501650000"/>
    <s v="agenda50kbc51135507500"/>
    <s v=""/>
    <n v="3467"/>
    <b v="1"/>
    <s v="260 PCS"/>
    <s v="agenda50kbc5113550260pcsuntana"/>
    <n v="3467"/>
    <x v="94"/>
    <m/>
  </r>
  <r>
    <s v=""/>
    <n v="35"/>
    <m/>
    <m/>
    <m/>
    <m/>
    <m/>
    <m/>
    <m/>
    <s v="SERUTAN + STIP 660 (3 FUNGSI)"/>
    <n v="11"/>
    <n v="11520"/>
    <s v="PCS"/>
    <n v="1200"/>
    <m/>
    <s v="1152 PCS"/>
    <m/>
    <m/>
    <m/>
    <m/>
    <m/>
    <n v="13824000"/>
    <n v="0"/>
    <n v="0"/>
    <n v="0"/>
    <n v="0"/>
    <n v="13824000"/>
    <m/>
    <s v=""/>
    <s v=""/>
    <n v="1256727.2727272727"/>
    <n v="13824000"/>
    <x v="11"/>
    <d v="2024-07-01T00:00:00"/>
    <s v="81127"/>
    <s v="SINAR KOTA"/>
    <x v="0"/>
    <s v=""/>
    <n v="7"/>
    <s v="serutanstip6603fungsi"/>
    <s v="serutanstip6603fungsi1256727,27272727"/>
    <s v="serutanstip6603fungsi1256727,27272727"/>
    <s v=""/>
    <n v="3468"/>
    <b v="1"/>
    <s v="1152 PCS"/>
    <s v="serutanstip6603fungsi1152pcsuntana"/>
    <n v="3468"/>
    <x v="95"/>
    <m/>
  </r>
  <r>
    <s v=""/>
    <n v="35"/>
    <m/>
    <m/>
    <m/>
    <m/>
    <m/>
    <m/>
    <m/>
    <s v="SERUTAN MEJA HELLO KITY KT 8009"/>
    <n v="1"/>
    <n v="96"/>
    <s v="PCS"/>
    <n v="17000"/>
    <m/>
    <s v="96 PCS"/>
    <m/>
    <m/>
    <m/>
    <m/>
    <m/>
    <n v="1632000"/>
    <n v="0"/>
    <n v="0"/>
    <n v="0"/>
    <n v="0"/>
    <n v="1632000"/>
    <m/>
    <s v=""/>
    <s v=""/>
    <n v="1632000"/>
    <n v="1632000"/>
    <x v="11"/>
    <d v="2024-07-01T00:00:00"/>
    <s v="81127"/>
    <s v="SINAR KOTA"/>
    <x v="0"/>
    <s v=""/>
    <n v="7"/>
    <s v="serutanmejahellokitykt8009"/>
    <s v="serutanmejahellokitykt80091632000"/>
    <s v="serutanmejahellokitykt80091632000"/>
    <s v=""/>
    <n v="3469"/>
    <b v="1"/>
    <s v="96 PCS"/>
    <s v="serutanmejahellokitykt800996pcsuntana"/>
    <n v="3469"/>
    <x v="96"/>
    <m/>
  </r>
  <r>
    <s v=""/>
    <n v="35"/>
    <m/>
    <m/>
    <m/>
    <m/>
    <m/>
    <m/>
    <m/>
    <s v="SERUTAN MEJA HELLO KITTY KT 8009"/>
    <m/>
    <n v="90"/>
    <s v="PCS"/>
    <n v="17000"/>
    <m/>
    <s v="96 PCS"/>
    <m/>
    <m/>
    <m/>
    <m/>
    <m/>
    <n v="1530000"/>
    <n v="0"/>
    <n v="0"/>
    <n v="0"/>
    <n v="0"/>
    <n v="1530000"/>
    <m/>
    <s v=""/>
    <s v=""/>
    <n v="1530000"/>
    <n v="1530000"/>
    <x v="11"/>
    <d v="2024-07-01T00:00:00"/>
    <s v="81127"/>
    <s v="SINAR KOTA"/>
    <x v="0"/>
    <s v=""/>
    <n v="7"/>
    <s v="serutanmejahellokittykt8009"/>
    <s v="serutanmejahellokittykt80091530000"/>
    <s v="serutanmejahellokittykt800917000"/>
    <s v=""/>
    <n v="3470"/>
    <b v="1"/>
    <s v="96 PCS"/>
    <s v="serutanmejahellokittykt800996pcsuntana"/>
    <n v="3470"/>
    <x v="97"/>
    <m/>
  </r>
  <r>
    <s v=""/>
    <n v="35"/>
    <m/>
    <m/>
    <m/>
    <m/>
    <m/>
    <m/>
    <m/>
    <s v="NOTEBOOK AA0920-3 (0929)"/>
    <n v="1"/>
    <n v="200"/>
    <s v="PCS"/>
    <n v="5000"/>
    <m/>
    <s v="200 PCS"/>
    <m/>
    <m/>
    <m/>
    <m/>
    <m/>
    <n v="1000000"/>
    <n v="0"/>
    <n v="0"/>
    <n v="0"/>
    <n v="0"/>
    <n v="1000000"/>
    <m/>
    <s v=""/>
    <s v=""/>
    <n v="1000000"/>
    <n v="1000000"/>
    <x v="11"/>
    <d v="2024-07-01T00:00:00"/>
    <s v="81127"/>
    <s v="SINAR KOTA"/>
    <x v="0"/>
    <s v=""/>
    <n v="7"/>
    <s v="notebookaa092030929"/>
    <s v="notebookaa0920309291000000"/>
    <s v="notebookaa0920309291000000"/>
    <s v=""/>
    <n v="3471"/>
    <b v="1"/>
    <s v="200 PCS"/>
    <s v="notebookaa092030929200pcsuntana"/>
    <n v="3471"/>
    <x v="98"/>
    <m/>
  </r>
  <r>
    <s v=""/>
    <n v="35"/>
    <m/>
    <m/>
    <m/>
    <m/>
    <m/>
    <m/>
    <m/>
    <s v="NOTEBOOK AA0920-3 (0929)"/>
    <m/>
    <n v="191"/>
    <s v="PCS"/>
    <n v="5000"/>
    <m/>
    <s v="200 PCS"/>
    <m/>
    <m/>
    <m/>
    <m/>
    <m/>
    <n v="955000"/>
    <n v="0"/>
    <n v="0"/>
    <n v="0"/>
    <n v="0"/>
    <n v="955000"/>
    <m/>
    <s v=""/>
    <s v=""/>
    <n v="955000"/>
    <n v="955000"/>
    <x v="11"/>
    <d v="2024-07-01T00:00:00"/>
    <s v="81127"/>
    <s v="SINAR KOTA"/>
    <x v="0"/>
    <s v=""/>
    <n v="7"/>
    <s v="notebookaa092030929"/>
    <s v="notebookaa092030929955000"/>
    <s v="notebookaa0920309295000"/>
    <s v=""/>
    <n v="3471"/>
    <b v="1"/>
    <s v="200 PCS"/>
    <s v="notebookaa092030929200pcsuntana"/>
    <n v="3471"/>
    <x v="99"/>
    <m/>
  </r>
  <r>
    <s v=""/>
    <n v="35"/>
    <m/>
    <m/>
    <m/>
    <m/>
    <m/>
    <m/>
    <m/>
    <s v="DIARI RING 272-274"/>
    <n v="1"/>
    <n v="800"/>
    <s v="PCS"/>
    <n v="1500"/>
    <m/>
    <s v="800 PCS"/>
    <m/>
    <m/>
    <m/>
    <m/>
    <m/>
    <n v="1200000"/>
    <n v="0"/>
    <n v="0"/>
    <n v="0"/>
    <n v="0"/>
    <n v="1200000"/>
    <m/>
    <s v=""/>
    <s v=""/>
    <n v="1200000"/>
    <n v="1200000"/>
    <x v="11"/>
    <d v="2024-07-01T00:00:00"/>
    <s v="81127"/>
    <s v="SINAR KOTA"/>
    <x v="0"/>
    <s v=""/>
    <n v="7"/>
    <s v="diariring272274"/>
    <s v="diariring2722741200000"/>
    <s v="diariring2722741200000"/>
    <s v=""/>
    <n v="3472"/>
    <b v="1"/>
    <s v="800 PCS"/>
    <s v="diariring272274800pcsuntana"/>
    <n v="3472"/>
    <x v="100"/>
    <m/>
  </r>
  <r>
    <s v=""/>
    <n v="35"/>
    <m/>
    <m/>
    <m/>
    <m/>
    <m/>
    <m/>
    <m/>
    <s v="DIARI RING 272-274"/>
    <m/>
    <n v="725"/>
    <s v="PCS"/>
    <n v="1500"/>
    <m/>
    <s v="800 PCS"/>
    <m/>
    <m/>
    <m/>
    <m/>
    <m/>
    <n v="1087500"/>
    <n v="0"/>
    <n v="0"/>
    <n v="0"/>
    <n v="0"/>
    <n v="1087500"/>
    <m/>
    <n v="0"/>
    <n v="46278500"/>
    <n v="1087500"/>
    <n v="1087500"/>
    <x v="11"/>
    <d v="2024-07-01T00:00:00"/>
    <s v="81127"/>
    <s v="SINAR KOTA"/>
    <x v="0"/>
    <s v=""/>
    <n v="7"/>
    <s v="diariring272274"/>
    <s v="diariring2722741087500"/>
    <s v="diariring2722741500"/>
    <s v=""/>
    <n v="3472"/>
    <b v="1"/>
    <s v="800 PCS"/>
    <s v="diariring272274800pcsuntana"/>
    <n v="3472"/>
    <x v="10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6"/>
    <n v="36"/>
    <d v="2024-07-12T00:00:00"/>
    <s v="COMBI"/>
    <s v="UNTANA"/>
    <s v="0724"/>
    <m/>
    <d v="2024-07-12T00:00:00"/>
    <m/>
    <s v="DOC RIT INFINITY"/>
    <m/>
    <n v="2"/>
    <s v="LSN"/>
    <n v="180000"/>
    <m/>
    <s v="8 LSN"/>
    <m/>
    <m/>
    <m/>
    <m/>
    <m/>
    <n v="360000"/>
    <n v="0"/>
    <n v="0"/>
    <n v="0"/>
    <n v="0"/>
    <n v="360000"/>
    <m/>
    <s v=""/>
    <s v=""/>
    <n v="360000"/>
    <n v="360000"/>
    <x v="13"/>
    <d v="2024-07-12T00:00:00"/>
    <s v="0724"/>
    <s v="COMBI"/>
    <x v="0"/>
    <n v="2"/>
    <n v="7"/>
    <s v="docritinfinity"/>
    <s v="docritinfinity360000"/>
    <s v="docritinfinity180000"/>
    <s v="COMBIUNTANA072445485docritinfinity"/>
    <n v="865"/>
    <b v="1"/>
    <s v="8 LSN"/>
    <s v="docritinfinity8lsnuntana"/>
    <n v="865"/>
    <x v="102"/>
    <m/>
  </r>
  <r>
    <s v=""/>
    <n v="36"/>
    <m/>
    <m/>
    <m/>
    <m/>
    <m/>
    <m/>
    <m/>
    <s v="DOC RIT INFINITY"/>
    <m/>
    <n v="8"/>
    <s v="LSN"/>
    <n v="180000"/>
    <m/>
    <s v=" 8 LSN"/>
    <m/>
    <m/>
    <m/>
    <m/>
    <m/>
    <n v="1440000"/>
    <n v="0"/>
    <n v="0"/>
    <n v="0"/>
    <n v="0"/>
    <n v="1440000"/>
    <m/>
    <n v="0"/>
    <n v="1800000"/>
    <n v="1440000"/>
    <n v="1440000"/>
    <x v="13"/>
    <d v="2024-07-12T00:00:00"/>
    <s v="0724"/>
    <s v="COMBI"/>
    <x v="0"/>
    <s v=""/>
    <n v="7"/>
    <s v="docritinfinity"/>
    <s v="docritinfinity1440000"/>
    <s v="docritinfinity180000"/>
    <s v=""/>
    <n v="865"/>
    <b v="1"/>
    <s v=" 8 LSN"/>
    <s v="docritinfinity8lsnuntana"/>
    <n v="865"/>
    <x v="10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7"/>
    <n v="37"/>
    <m/>
    <s v="SBS"/>
    <s v="UNTANA"/>
    <s v="WG00189"/>
    <m/>
    <d v="2024-07-01T00:00:00"/>
    <m/>
    <s v="STAMP PAD HERO (K)"/>
    <n v="5"/>
    <n v="120"/>
    <s v="LSN"/>
    <n v="52500"/>
    <m/>
    <s v="24 LSN"/>
    <m/>
    <m/>
    <m/>
    <m/>
    <m/>
    <n v="6300000"/>
    <n v="0"/>
    <n v="0"/>
    <n v="0"/>
    <n v="0"/>
    <n v="6300000"/>
    <m/>
    <n v="0"/>
    <n v="6300000"/>
    <n v="1260000"/>
    <n v="6300000"/>
    <x v="13"/>
    <d v="2024-07-01T00:00:00"/>
    <s v="WG00189"/>
    <s v="SBS"/>
    <x v="0"/>
    <n v="1"/>
    <n v="7"/>
    <s v="stamppadherok"/>
    <s v="stamppadherok1260000"/>
    <s v="stamppadherok1260000"/>
    <s v="SBSUNTANAWG0018945474stamppadherok"/>
    <n v="2939"/>
    <b v="1"/>
    <s v="24 LSN"/>
    <s v="stamppadherok24lsnuntana"/>
    <n v="2939"/>
    <x v="10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8"/>
    <n v="38"/>
    <m/>
    <s v="SBS"/>
    <s v="UNTANA"/>
    <s v="WG0248B"/>
    <m/>
    <d v="2024-07-09T00:00:00"/>
    <m/>
    <s v="BINDER NOTE FANCY SLIP A5-1903CT/ VINTAGE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3"/>
    <d v="2024-07-09T00:00:00"/>
    <s v="WG0248B"/>
    <s v="SBS"/>
    <x v="0"/>
    <n v="3"/>
    <n v="7"/>
    <s v="bindernotefancyslipa51903ctvintage"/>
    <s v="bindernotefancyslipa51903ctvintage1140000"/>
    <s v="bindernotefancyslipa51903ctvintage1140000"/>
    <s v="SBSUNTANAWG0248B45482bindernotefancyslipa51903ctvintage"/>
    <n v="3410"/>
    <b v="1"/>
    <s v="120 PCS"/>
    <s v="bindernotefancyslipa51903ctvintage120pcsuntana"/>
    <n v="3410"/>
    <x v="105"/>
    <m/>
  </r>
  <r>
    <s v=""/>
    <n v="38"/>
    <m/>
    <m/>
    <m/>
    <m/>
    <m/>
    <m/>
    <m/>
    <s v="BINDER NOTE FANCY SLIP A5-1903SS/SKY"/>
    <n v="3"/>
    <n v="360"/>
    <s v="PCS"/>
    <n v="9500"/>
    <m/>
    <s v="120 PCS"/>
    <m/>
    <m/>
    <m/>
    <m/>
    <m/>
    <n v="3420000"/>
    <n v="0"/>
    <n v="0"/>
    <n v="0"/>
    <n v="0"/>
    <n v="3420000"/>
    <m/>
    <s v=""/>
    <s v=""/>
    <n v="1140000"/>
    <n v="3420000"/>
    <x v="13"/>
    <d v="2024-07-09T00:00:00"/>
    <s v="WG0248B"/>
    <s v="SBS"/>
    <x v="0"/>
    <s v=""/>
    <n v="7"/>
    <s v="bindernotefancyslipa51903sssky"/>
    <s v="bindernotefancyslipa51903sssky1140000"/>
    <s v="bindernotefancyslipa51903sssky1140000"/>
    <s v=""/>
    <n v="3412"/>
    <b v="1"/>
    <s v="120 PCS"/>
    <s v="bindernotefancyslipa51903sssky120pcsuntana"/>
    <n v="3412"/>
    <x v="106"/>
    <m/>
  </r>
  <r>
    <s v=""/>
    <n v="38"/>
    <m/>
    <m/>
    <m/>
    <m/>
    <m/>
    <m/>
    <m/>
    <s v="BINDER NOTE FANCY SLIP A5-SF1925/ CUTE"/>
    <n v="1"/>
    <n v="120"/>
    <s v="PCS"/>
    <n v="9500"/>
    <m/>
    <s v="120 PCS"/>
    <m/>
    <m/>
    <m/>
    <m/>
    <m/>
    <n v="1140000"/>
    <n v="0"/>
    <n v="0"/>
    <n v="0"/>
    <n v="0"/>
    <n v="1140000"/>
    <m/>
    <n v="0"/>
    <n v="7980000"/>
    <n v="1140000"/>
    <n v="1140000"/>
    <x v="13"/>
    <d v="2024-07-09T00:00:00"/>
    <s v="WG0248B"/>
    <s v="SBS"/>
    <x v="0"/>
    <s v=""/>
    <n v="7"/>
    <s v="bindernotefancyslipa5sf1925cute"/>
    <s v="bindernotefancyslipa5sf1925cute1140000"/>
    <s v="bindernotefancyslipa5sf1925cute1140000"/>
    <s v=""/>
    <n v="3413"/>
    <b v="1"/>
    <s v="120 PCS"/>
    <s v="bindernotefancyslipa5sf1925cute120pcsuntana"/>
    <n v="3413"/>
    <x v="10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39"/>
    <n v="39"/>
    <m/>
    <s v="DUTA BUANA"/>
    <s v="UNTANA"/>
    <s v="HM/136/07-24H"/>
    <m/>
    <d v="2024-07-10T00:00:00"/>
    <m/>
    <s v="ACRYLIC COLOUR TF-AC-001 (12 X 6ML)"/>
    <n v="12"/>
    <n v="864"/>
    <s v="SET"/>
    <n v="15000"/>
    <m/>
    <s v="72 SET"/>
    <n v="0.03"/>
    <m/>
    <m/>
    <m/>
    <m/>
    <n v="12960000"/>
    <n v="388800"/>
    <n v="0"/>
    <n v="0"/>
    <n v="388800"/>
    <n v="12571200"/>
    <m/>
    <s v=""/>
    <s v=""/>
    <n v="1080000"/>
    <n v="12960000"/>
    <x v="13"/>
    <d v="2024-07-10T00:00:00"/>
    <s v="HM/136/07-24H"/>
    <s v="DUTA BUANA"/>
    <x v="0"/>
    <n v="9"/>
    <n v="7"/>
    <s v="acryliccolourtfac00112x6ml"/>
    <s v="acryliccolourtfac00112x6ml10800000,03"/>
    <s v="acryliccolourtfac00112x6ml10800000,03"/>
    <s v="DUTA BUANAUNTANAHM/136/07-24H45483acryliccolourtfac00112x6ml"/>
    <n v="27"/>
    <b v="1"/>
    <s v="72 SET"/>
    <s v="acryliccolourtfac00112x6ml72setuntana"/>
    <n v="27"/>
    <x v="108"/>
    <m/>
  </r>
  <r>
    <s v=""/>
    <n v="39"/>
    <m/>
    <m/>
    <m/>
    <m/>
    <m/>
    <m/>
    <m/>
    <s v="ACRYLIC COLOUR TF-AC-002 (12X12ML)"/>
    <n v="8"/>
    <n v="480"/>
    <s v="SET"/>
    <n v="20500"/>
    <m/>
    <s v="60 SET"/>
    <n v="0.03"/>
    <m/>
    <m/>
    <m/>
    <m/>
    <n v="9840000"/>
    <n v="295200"/>
    <n v="0"/>
    <n v="0"/>
    <n v="295200"/>
    <n v="9544800"/>
    <m/>
    <s v=""/>
    <s v=""/>
    <n v="1230000"/>
    <n v="9840000"/>
    <x v="13"/>
    <d v="2024-07-10T00:00:00"/>
    <s v="HM/136/07-24H"/>
    <s v="DUTA BUANA"/>
    <x v="0"/>
    <s v=""/>
    <n v="7"/>
    <s v="acryliccolourtfac00212x12ml"/>
    <s v="acryliccolourtfac00212x12ml12300000,03"/>
    <s v="acryliccolourtfac00212x12ml12300000,03"/>
    <s v=""/>
    <n v="29"/>
    <b v="1"/>
    <s v="60 SET"/>
    <s v="acryliccolourtfac00212x12ml60setuntana"/>
    <n v="29"/>
    <x v="109"/>
    <m/>
  </r>
  <r>
    <s v=""/>
    <n v="39"/>
    <m/>
    <m/>
    <m/>
    <m/>
    <m/>
    <m/>
    <m/>
    <s v="ACRYLIC COLOUR TF-AC-004N (12 X 6 ML) NEON"/>
    <n v="4"/>
    <n v="288"/>
    <s v="SET"/>
    <n v="16000"/>
    <m/>
    <s v="72 SET"/>
    <n v="0.03"/>
    <m/>
    <m/>
    <m/>
    <m/>
    <n v="4608000"/>
    <n v="138240"/>
    <n v="0"/>
    <n v="0"/>
    <n v="138240"/>
    <n v="4469760"/>
    <m/>
    <s v=""/>
    <s v=""/>
    <n v="1152000"/>
    <n v="4608000"/>
    <x v="13"/>
    <d v="2024-07-10T00:00:00"/>
    <s v="HM/136/07-24H"/>
    <s v="DUTA BUANA"/>
    <x v="0"/>
    <s v=""/>
    <n v="7"/>
    <s v="acryliccolourtfac004n12x6mlneon"/>
    <s v="acryliccolourtfac004n12x6mlneon11520000,03"/>
    <s v="acryliccolourtfac004n12x6mlneon11520000,03"/>
    <s v=""/>
    <n v="32"/>
    <b v="1"/>
    <s v="72 SET"/>
    <s v="acryliccolourtfac004n12x6mlneon72setuntana"/>
    <n v="32"/>
    <x v="110"/>
    <m/>
  </r>
  <r>
    <s v=""/>
    <n v="39"/>
    <m/>
    <m/>
    <m/>
    <m/>
    <m/>
    <m/>
    <m/>
    <s v="ACRYLIC COLOUR TF-AC-005P (12 X 6 ML) PASTEL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13"/>
    <d v="2024-07-10T00:00:00"/>
    <s v="HM/136/07-24H"/>
    <s v="DUTA BUANA"/>
    <x v="0"/>
    <s v=""/>
    <n v="7"/>
    <s v="acryliccolourtfac005p12x6mlpastel"/>
    <s v="acryliccolourtfac005p12x6mlpastel11520000,03"/>
    <s v="acryliccolourtfac005p12x6mlpastel11520000,03"/>
    <s v=""/>
    <n v="33"/>
    <b v="1"/>
    <s v="72 SET"/>
    <s v="acryliccolourtfac005p12x6mlpastel72setuntana"/>
    <n v="33"/>
    <x v="111"/>
    <m/>
  </r>
  <r>
    <s v=""/>
    <n v="39"/>
    <m/>
    <m/>
    <m/>
    <m/>
    <m/>
    <m/>
    <m/>
    <s v="ACRYLIC COLOUR TF-AC-006M 12 X 6 ML( METALIC"/>
    <n v="3"/>
    <n v="216"/>
    <s v="SET"/>
    <n v="16000"/>
    <m/>
    <s v="72 SET"/>
    <n v="0.03"/>
    <m/>
    <m/>
    <m/>
    <m/>
    <n v="3456000"/>
    <n v="103680"/>
    <n v="0"/>
    <n v="0"/>
    <n v="103680"/>
    <n v="3352320"/>
    <m/>
    <s v=""/>
    <s v=""/>
    <n v="1152000"/>
    <n v="3456000"/>
    <x v="13"/>
    <d v="2024-07-10T00:00:00"/>
    <s v="HM/136/07-24H"/>
    <s v="DUTA BUANA"/>
    <x v="0"/>
    <s v=""/>
    <n v="7"/>
    <s v="acryliccolourtfac006m12x6mlmetalic"/>
    <s v="acryliccolourtfac006m12x6mlmetalic11520000,03"/>
    <s v="acryliccolourtfac006m12x6mlmetalic11520000,03"/>
    <s v=""/>
    <n v="34"/>
    <b v="1"/>
    <s v="72 SET"/>
    <s v="acryliccolourtfac006m12x6mlmetalic72setuntana"/>
    <n v="34"/>
    <x v="112"/>
    <m/>
  </r>
  <r>
    <s v=""/>
    <n v="39"/>
    <m/>
    <m/>
    <m/>
    <m/>
    <m/>
    <m/>
    <m/>
    <s v="ACRYLIC MARKER TF-AM301-12"/>
    <n v="2"/>
    <n v="288"/>
    <s v="SET"/>
    <n v="14000"/>
    <m/>
    <s v="144 SET"/>
    <n v="0.03"/>
    <m/>
    <m/>
    <m/>
    <m/>
    <n v="4032000"/>
    <n v="120960"/>
    <n v="0"/>
    <n v="0"/>
    <n v="120960"/>
    <n v="3911040"/>
    <m/>
    <s v=""/>
    <s v=""/>
    <n v="2016000"/>
    <n v="4032000"/>
    <x v="13"/>
    <d v="2024-07-10T00:00:00"/>
    <s v="HM/136/07-24H"/>
    <s v="DUTA BUANA"/>
    <x v="0"/>
    <s v=""/>
    <n v="7"/>
    <s v="acrylicmarkertfam30112"/>
    <s v="acrylicmarkertfam3011220160000,03"/>
    <s v="acrylicmarkertfam3011220160000,03"/>
    <s v=""/>
    <n v="3476"/>
    <b v="1"/>
    <s v="144 SET"/>
    <s v="acrylicmarkertfam30112144setuntana"/>
    <n v="3476"/>
    <x v="113"/>
    <m/>
  </r>
  <r>
    <s v=""/>
    <n v="39"/>
    <m/>
    <m/>
    <m/>
    <m/>
    <m/>
    <m/>
    <m/>
    <s v="BALLPEN PROMOSI WY 851A 4WR"/>
    <n v="1"/>
    <n v="144"/>
    <s v="LSN"/>
    <m/>
    <m/>
    <s v="144 LSN"/>
    <n v="0.03"/>
    <m/>
    <m/>
    <m/>
    <s v="BONUS"/>
    <s v=""/>
    <s v=""/>
    <s v=""/>
    <s v=""/>
    <s v=""/>
    <s v=""/>
    <m/>
    <s v=""/>
    <s v=""/>
    <n v="0"/>
    <s v=""/>
    <x v="13"/>
    <d v="2024-07-10T00:00:00"/>
    <s v="HM/136/07-24H"/>
    <s v="DUTA BUANA"/>
    <x v="0"/>
    <s v=""/>
    <n v="7"/>
    <s v="ballpenpromosiwy851a4wr"/>
    <s v="ballpenpromosiwy851a4wr00,03"/>
    <s v="ballpenpromosiwy851a4wr00,03"/>
    <s v=""/>
    <n v="3439"/>
    <b v="1"/>
    <s v="144 LSN"/>
    <s v="ballpenpromosiwy851a4wr144lsnuntana"/>
    <n v="3439"/>
    <x v="114"/>
    <m/>
  </r>
  <r>
    <s v=""/>
    <n v="39"/>
    <m/>
    <m/>
    <m/>
    <m/>
    <m/>
    <m/>
    <m/>
    <s v="BALLPEN PROMOSI WY 851A 4WR"/>
    <m/>
    <n v="36"/>
    <s v="LSN"/>
    <m/>
    <m/>
    <s v="144 LSN"/>
    <n v="0.03"/>
    <m/>
    <m/>
    <m/>
    <s v="BONUS"/>
    <s v=""/>
    <s v=""/>
    <s v=""/>
    <s v=""/>
    <s v=""/>
    <s v=""/>
    <m/>
    <s v=""/>
    <s v=""/>
    <n v="0"/>
    <s v=""/>
    <x v="13"/>
    <d v="2024-07-10T00:00:00"/>
    <s v="HM/136/07-24H"/>
    <s v="DUTA BUANA"/>
    <x v="0"/>
    <s v=""/>
    <n v="7"/>
    <s v="ballpenpromosiwy851a4wr"/>
    <s v="ballpenpromosiwy851a4wr00,03"/>
    <s v="ballpenpromosiwy851a4wr00,03"/>
    <s v=""/>
    <n v="3439"/>
    <b v="1"/>
    <s v="144 LSN"/>
    <s v="ballpenpromosiwy851a4wr144lsnuntana"/>
    <n v="3439"/>
    <x v="115"/>
    <m/>
  </r>
  <r>
    <s v=""/>
    <n v="39"/>
    <m/>
    <m/>
    <m/>
    <m/>
    <m/>
    <m/>
    <m/>
    <s v="BALLPEN GEL CS-G89 0,5MM"/>
    <n v="1"/>
    <n v="144"/>
    <s v="LSN"/>
    <n v="12500"/>
    <m/>
    <s v="144 LSN"/>
    <n v="0.03"/>
    <m/>
    <m/>
    <m/>
    <m/>
    <n v="1800000"/>
    <n v="54000"/>
    <n v="0"/>
    <n v="0"/>
    <n v="54000"/>
    <n v="1746000"/>
    <m/>
    <n v="1204560"/>
    <n v="38947440"/>
    <n v="1800000"/>
    <n v="1800000"/>
    <x v="13"/>
    <d v="2024-07-10T00:00:00"/>
    <s v="HM/136/07-24H"/>
    <s v="DUTA BUANA"/>
    <x v="0"/>
    <s v=""/>
    <n v="7"/>
    <s v="ballpengelcsg8905mm"/>
    <s v="ballpengelcsg8905mm18000000,03"/>
    <s v="ballpengelcsg8905mm18000000,03"/>
    <s v=""/>
    <n v="3478"/>
    <b v="1"/>
    <s v="144 LSN"/>
    <s v="ballpengelcsg8905mm144lsnuntana"/>
    <n v="3478"/>
    <x v="11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0"/>
    <n v="40"/>
    <m/>
    <s v="DUTA BUANA"/>
    <s v="UNTANA"/>
    <s v="HM/134/07-24H"/>
    <m/>
    <d v="2024-07-16T00:00:00"/>
    <m/>
    <s v="BALLPEN GEL TF-1190 HTM 0.3MM HIGHTECH"/>
    <n v="20"/>
    <n v="1920"/>
    <s v="LSN"/>
    <n v="26500"/>
    <m/>
    <s v="96 LSN"/>
    <n v="0.03"/>
    <m/>
    <m/>
    <m/>
    <m/>
    <n v="50880000"/>
    <n v="1526400"/>
    <n v="0"/>
    <n v="0"/>
    <n v="1526400"/>
    <n v="49353600"/>
    <m/>
    <n v="1526400"/>
    <n v="49353600"/>
    <n v="2544000"/>
    <n v="50880000"/>
    <x v="13"/>
    <d v="2024-07-16T00:00:00"/>
    <s v="HM/134/07-24H"/>
    <s v="DUTA BUANA"/>
    <x v="0"/>
    <n v="1"/>
    <n v="7"/>
    <s v="ballpengeltf1190htm03mmhightech"/>
    <s v="ballpengeltf1190htm03mmhightech25440000,03"/>
    <s v="ballpengeltf1190htm03mmhightech25440000,03"/>
    <s v="DUTA BUANAUNTANAHM/134/07-24H45489ballpengeltf1190htm03mmhightech"/>
    <n v="150"/>
    <b v="1"/>
    <s v="96 LSN"/>
    <s v="ballpengeltf1190htm03mmhightech96lsnuntana"/>
    <n v="151"/>
    <x v="11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1"/>
    <n v="41"/>
    <d v="2024-07-17T00:00:00"/>
    <s v="MIRACLE ABADI"/>
    <s v="UNTANA"/>
    <m/>
    <m/>
    <d v="2024-07-15T00:00:00"/>
    <m/>
    <s v="KERTAS CREPE SMALL JERSY MP"/>
    <n v="18"/>
    <n v="4230"/>
    <s v="PAK"/>
    <n v="5750"/>
    <m/>
    <s v="235 PAK"/>
    <m/>
    <m/>
    <m/>
    <m/>
    <m/>
    <n v="24322500"/>
    <n v="0"/>
    <n v="0"/>
    <n v="0"/>
    <n v="0"/>
    <n v="24322500"/>
    <m/>
    <s v=""/>
    <s v=""/>
    <n v="1351250"/>
    <n v="24322500"/>
    <x v="14"/>
    <d v="2024-07-15T00:00:00"/>
    <d v="1899-12-30T00:00:00"/>
    <s v="MIRACLE ABADI"/>
    <x v="0"/>
    <n v="2"/>
    <n v="7"/>
    <s v="kertascrepesmalljersymp"/>
    <s v="kertascrepesmalljersymp1351250"/>
    <s v="kertascrepesmalljersymp1351250"/>
    <s v="MIRACLE ABADIUNTANA45488kertascrepesmalljersymp"/>
    <n v="1883"/>
    <b v="1"/>
    <s v="235 PAK"/>
    <s v="kertascrepesmalljersymp235pakuntana"/>
    <n v="1883"/>
    <x v="118"/>
    <m/>
  </r>
  <r>
    <s v=""/>
    <n v="41"/>
    <m/>
    <m/>
    <m/>
    <m/>
    <m/>
    <m/>
    <m/>
    <s v="KERTAS CREPE SMALL JERSY WARNA"/>
    <n v="6"/>
    <n v="1410"/>
    <s v="PAK"/>
    <n v="5750"/>
    <m/>
    <s v="235 PAK"/>
    <m/>
    <m/>
    <m/>
    <m/>
    <m/>
    <n v="8107500"/>
    <n v="0"/>
    <n v="0"/>
    <n v="0"/>
    <n v="0"/>
    <n v="8107500"/>
    <m/>
    <n v="0"/>
    <n v="32430000"/>
    <n v="1351250"/>
    <n v="8107500"/>
    <x v="14"/>
    <d v="2024-07-15T00:00:00"/>
    <d v="1899-12-30T00:00:00"/>
    <s v="MIRACLE ABADI"/>
    <x v="0"/>
    <s v=""/>
    <n v="7"/>
    <s v="kertascrepesmalljersywarna"/>
    <s v="kertascrepesmalljersywarna1351250"/>
    <s v="kertascrepesmalljersywarna1351250"/>
    <s v=""/>
    <n v="1881"/>
    <b v="1"/>
    <s v="235 PAK"/>
    <s v="kertascrepesmalljersywarna235pakuntana"/>
    <n v="1881"/>
    <x v="11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2"/>
    <n v="42"/>
    <d v="2024-07-16T00:00:00"/>
    <s v="PELNA"/>
    <s v="UNTANA"/>
    <m/>
    <m/>
    <d v="2024-07-13T00:00:00"/>
    <m/>
    <s v="PELNA LAPTOP TABLE"/>
    <n v="20"/>
    <n v="200"/>
    <s v="PCS"/>
    <n v="55000"/>
    <m/>
    <s v="10 PCS"/>
    <m/>
    <m/>
    <m/>
    <m/>
    <m/>
    <n v="11000000"/>
    <n v="0"/>
    <n v="0"/>
    <n v="0"/>
    <n v="0"/>
    <n v="11000000"/>
    <m/>
    <s v=""/>
    <s v=""/>
    <n v="550000"/>
    <n v="11000000"/>
    <x v="15"/>
    <d v="2024-07-13T00:00:00"/>
    <d v="1899-12-30T00:00:00"/>
    <s v="PELNA"/>
    <x v="0"/>
    <n v="2"/>
    <n v="7"/>
    <s v="pelnalaptoptable"/>
    <s v="pelnalaptoptable550000"/>
    <s v="pelnalaptoptable550000"/>
    <s v="PELNAUNTANA45486pelnalaptoptable"/>
    <n v="2503"/>
    <b v="1"/>
    <s v="10 PCS"/>
    <s v="pelnalaptoptable10pcsuntana"/>
    <n v="2503"/>
    <x v="120"/>
    <m/>
  </r>
  <r>
    <s v=""/>
    <n v="42"/>
    <m/>
    <m/>
    <m/>
    <m/>
    <m/>
    <m/>
    <m/>
    <s v="PELNA LAPTOP TABLE"/>
    <n v="1"/>
    <n v="10"/>
    <s v="PCS"/>
    <m/>
    <m/>
    <s v="10 PCS"/>
    <m/>
    <m/>
    <m/>
    <m/>
    <s v="BONUS"/>
    <s v=""/>
    <s v=""/>
    <s v=""/>
    <s v=""/>
    <s v=""/>
    <s v=""/>
    <m/>
    <n v="0"/>
    <n v="11000000"/>
    <n v="0"/>
    <s v=""/>
    <x v="15"/>
    <d v="2024-07-13T00:00:00"/>
    <d v="1899-12-30T00:00:00"/>
    <s v="PELNA"/>
    <x v="0"/>
    <s v=""/>
    <n v="7"/>
    <s v="pelnalaptoptable"/>
    <s v="pelnalaptoptable0"/>
    <s v="pelnalaptoptable0"/>
    <s v=""/>
    <n v="2503"/>
    <b v="1"/>
    <s v="10 PCS"/>
    <s v="pelnalaptoptable10pcsuntana"/>
    <n v="2503"/>
    <x v="12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3"/>
    <n v="43"/>
    <d v="2024-07-15T00:00:00"/>
    <s v="DB STATIONERY"/>
    <s v="UNTANA"/>
    <s v="JUG329/24"/>
    <m/>
    <d v="2024-07-12T00:00:00"/>
    <m/>
    <s v="P WARNA KAYAGI 24W KY-CP0724"/>
    <n v="1"/>
    <n v="144"/>
    <s v="SET"/>
    <n v="18500"/>
    <m/>
    <s v="144 SET"/>
    <m/>
    <m/>
    <m/>
    <m/>
    <m/>
    <n v="2664000"/>
    <n v="0"/>
    <n v="0"/>
    <n v="0"/>
    <n v="0"/>
    <n v="2664000"/>
    <m/>
    <s v=""/>
    <s v=""/>
    <n v="2664000"/>
    <n v="2664000"/>
    <x v="16"/>
    <d v="2024-07-12T00:00:00"/>
    <s v="JUG329/24"/>
    <s v="DB STATIONERY"/>
    <x v="0"/>
    <n v="3"/>
    <n v="7"/>
    <s v="pwarnakayagi24wkycp0724"/>
    <s v="pwarnakayagi24wkycp07242664000"/>
    <s v="pwarnakayagi24wkycp07242664000"/>
    <s v="DB STATIONERYUNTANAJUG329/2445485pwarnakayagi24wkycp0724"/>
    <n v="2312"/>
    <b v="1"/>
    <s v="144 SET"/>
    <s v="pwarnakayagi24wkycp0724144setuntana"/>
    <n v="2313"/>
    <x v="122"/>
    <m/>
  </r>
  <r>
    <s v=""/>
    <n v="43"/>
    <m/>
    <m/>
    <m/>
    <m/>
    <m/>
    <m/>
    <m/>
    <s v="GEL TIZO 1.0 TG630-A"/>
    <n v="1"/>
    <n v="72"/>
    <s v="LSN"/>
    <n v="43500"/>
    <m/>
    <s v="72 LSN"/>
    <m/>
    <m/>
    <m/>
    <m/>
    <m/>
    <n v="3132000"/>
    <n v="0"/>
    <n v="0"/>
    <n v="0"/>
    <n v="0"/>
    <n v="3132000"/>
    <m/>
    <s v=""/>
    <s v=""/>
    <n v="3132000"/>
    <n v="3132000"/>
    <x v="16"/>
    <d v="2024-07-12T00:00:00"/>
    <s v="JUG329/24"/>
    <s v="DB STATIONERY"/>
    <x v="0"/>
    <s v=""/>
    <n v="7"/>
    <s v="geltizo10tg630a"/>
    <s v="geltizo10tg630a3132000"/>
    <s v="geltizo10tg630a3132000"/>
    <s v=""/>
    <n v="1252"/>
    <b v="1"/>
    <s v="72 LSN"/>
    <s v="geltizo10tg630a72lsnuntana"/>
    <n v="1252"/>
    <x v="123"/>
    <m/>
  </r>
  <r>
    <s v=""/>
    <n v="43"/>
    <m/>
    <m/>
    <m/>
    <m/>
    <m/>
    <m/>
    <m/>
    <s v="PENSIL KAYAGI 2B COKLAT KY-OF122B-2"/>
    <n v="5"/>
    <n v="1800"/>
    <s v="LSN"/>
    <n v="8100"/>
    <m/>
    <s v="360 LSN"/>
    <m/>
    <m/>
    <m/>
    <m/>
    <m/>
    <n v="14580000"/>
    <n v="0"/>
    <n v="0"/>
    <n v="0"/>
    <n v="0"/>
    <n v="14580000"/>
    <m/>
    <n v="0"/>
    <n v="20376000"/>
    <n v="2916000"/>
    <n v="14580000"/>
    <x v="16"/>
    <d v="2024-07-12T00:00:00"/>
    <s v="JUG329/24"/>
    <s v="DB STATIONERY"/>
    <x v="0"/>
    <s v=""/>
    <n v="7"/>
    <s v="pensilkayagi2bcoklatkyof122b2"/>
    <s v="pensilkayagi2bcoklatkyof122b22916000"/>
    <s v="pensilkayagi2bcoklatkyof122b22916000"/>
    <s v=""/>
    <n v="2695"/>
    <b v="1"/>
    <s v="360 LSN"/>
    <s v="pensilkayagi2bcoklatkyof122b2360lsnuntana"/>
    <n v="2695"/>
    <x v="12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4"/>
    <n v="44"/>
    <m/>
    <s v="PPW"/>
    <s v="UNTANA"/>
    <s v="0149/HW/VII/24"/>
    <m/>
    <d v="2024-07-09T00:00:00"/>
    <m/>
    <s v="BT 30 CM"/>
    <n v="5"/>
    <n v="500"/>
    <s v="LSN"/>
    <n v="26780"/>
    <m/>
    <s v="100 LSN"/>
    <n v="0.2"/>
    <n v="0.04"/>
    <m/>
    <m/>
    <m/>
    <n v="13390000"/>
    <n v="2678000"/>
    <n v="428480"/>
    <n v="0"/>
    <n v="3106480"/>
    <n v="10283520"/>
    <m/>
    <n v="3106480"/>
    <n v="10283520"/>
    <n v="2678000"/>
    <n v="13390000"/>
    <x v="16"/>
    <d v="2024-07-09T00:00:00"/>
    <s v="0149/HW/VII/24"/>
    <s v="PPW"/>
    <x v="0"/>
    <n v="1"/>
    <n v="7"/>
    <s v="bt30cm"/>
    <s v="bt30cm26780000,20,04"/>
    <s v="bt30cm26780000,20,04"/>
    <s v="PPWUNTANA0149/HW/VII/2445482bt30cm"/>
    <n v="515"/>
    <b v="1"/>
    <s v="100 LSN"/>
    <s v="bt30cm100lsnuntana"/>
    <n v="515"/>
    <x v="12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5"/>
    <n v="45"/>
    <m/>
    <s v="TOPLA"/>
    <s v="UNTANA"/>
    <s v="PK-240700068"/>
    <m/>
    <d v="2024-07-12T00:00:00"/>
    <m/>
    <s v="ZIPPER FILE CLEAR HOLDER 555 20FILE GREEN"/>
    <m/>
    <n v="30"/>
    <s v="PCS"/>
    <n v="23000"/>
    <m/>
    <s v="60 PCS"/>
    <m/>
    <m/>
    <m/>
    <m/>
    <m/>
    <n v="690000"/>
    <n v="0"/>
    <n v="0"/>
    <n v="0"/>
    <n v="0"/>
    <n v="690000"/>
    <m/>
    <s v=""/>
    <s v=""/>
    <n v="690000"/>
    <n v="690000"/>
    <x v="16"/>
    <d v="2024-07-12T00:00:00"/>
    <s v="PK-240700068"/>
    <s v="TOPLA"/>
    <x v="0"/>
    <n v="12"/>
    <n v="7"/>
    <s v="zipperfileclearholder55520filegreen"/>
    <s v="zipperfileclearholder55520filegreen690000"/>
    <s v="zipperfileclearholder55520filegreen23000"/>
    <s v="TOPLAUNTANAPK-24070006845485zipperfileclearholder55520filegreen"/>
    <n v="3193"/>
    <b v="1"/>
    <s v="60 PCS"/>
    <s v="zipperfileclearholder55520filegreen60pcsuntana"/>
    <n v="3193"/>
    <x v="126"/>
    <m/>
  </r>
  <r>
    <s v=""/>
    <n v="45"/>
    <m/>
    <m/>
    <m/>
    <m/>
    <m/>
    <m/>
    <m/>
    <s v="ZIPPER FILE CLEAR HOLDER 555 20FILE RED"/>
    <m/>
    <n v="30"/>
    <s v="PCS"/>
    <n v="23000"/>
    <m/>
    <s v="60 PCS"/>
    <m/>
    <m/>
    <m/>
    <m/>
    <m/>
    <n v="690000"/>
    <n v="0"/>
    <n v="0"/>
    <n v="0"/>
    <n v="0"/>
    <n v="690000"/>
    <m/>
    <s v=""/>
    <s v=""/>
    <n v="690000"/>
    <n v="690000"/>
    <x v="16"/>
    <d v="2024-07-12T00:00:00"/>
    <s v="PK-240700068"/>
    <s v="TOPLA"/>
    <x v="0"/>
    <s v=""/>
    <n v="7"/>
    <s v="zipperfileclearholder55520filered"/>
    <s v="zipperfileclearholder55520filered690000"/>
    <s v="zipperfileclearholder55520filered23000"/>
    <s v=""/>
    <n v="3194"/>
    <b v="1"/>
    <s v="60 PCS"/>
    <s v="zipperfileclearholder55520filered60pcsuntana"/>
    <n v="3194"/>
    <x v="127"/>
    <m/>
  </r>
  <r>
    <s v=""/>
    <n v="45"/>
    <m/>
    <m/>
    <m/>
    <m/>
    <m/>
    <m/>
    <m/>
    <s v="ZIPPER FILE CLEAR HOLDER 555 20FILE YELLOW"/>
    <m/>
    <n v="30"/>
    <s v="PCS"/>
    <n v="23000"/>
    <m/>
    <s v="60 PCS"/>
    <m/>
    <m/>
    <m/>
    <m/>
    <m/>
    <n v="690000"/>
    <n v="0"/>
    <n v="0"/>
    <n v="0"/>
    <n v="0"/>
    <n v="690000"/>
    <m/>
    <s v=""/>
    <s v=""/>
    <n v="690000"/>
    <n v="690000"/>
    <x v="16"/>
    <d v="2024-07-12T00:00:00"/>
    <s v="PK-240700068"/>
    <s v="TOPLA"/>
    <x v="0"/>
    <s v=""/>
    <n v="7"/>
    <s v="zipperfileclearholder55520fileyellow"/>
    <s v="zipperfileclearholder55520fileyellow690000"/>
    <s v="zipperfileclearholder55520fileyellow23000"/>
    <s v=""/>
    <n v="3195"/>
    <b v="1"/>
    <s v="60 PCS"/>
    <s v="zipperfileclearholder55520fileyellow60pcsuntana"/>
    <n v="3195"/>
    <x v="128"/>
    <m/>
  </r>
  <r>
    <s v=""/>
    <n v="45"/>
    <m/>
    <m/>
    <m/>
    <m/>
    <m/>
    <m/>
    <m/>
    <s v="ZIPPER FILE CLEAR HOLDER 555 20FILE BLUE"/>
    <m/>
    <n v="30"/>
    <s v="PCS"/>
    <n v="23000"/>
    <m/>
    <s v="60 PCS"/>
    <m/>
    <m/>
    <m/>
    <m/>
    <m/>
    <n v="690000"/>
    <n v="0"/>
    <n v="0"/>
    <n v="0"/>
    <n v="0"/>
    <n v="690000"/>
    <m/>
    <s v=""/>
    <s v=""/>
    <n v="690000"/>
    <n v="690000"/>
    <x v="16"/>
    <d v="2024-07-12T00:00:00"/>
    <s v="PK-240700068"/>
    <s v="TOPLA"/>
    <x v="0"/>
    <s v=""/>
    <n v="7"/>
    <s v="zipperfileclearholder55520fileblue"/>
    <s v="zipperfileclearholder55520fileblue690000"/>
    <s v="zipperfileclearholder55520fileblue23000"/>
    <s v=""/>
    <n v="3192"/>
    <b v="1"/>
    <s v="60 PCS"/>
    <s v="zipperfileclearholder55520fileblue60pcsuntana"/>
    <n v="3192"/>
    <x v="129"/>
    <m/>
  </r>
  <r>
    <s v=""/>
    <n v="45"/>
    <m/>
    <m/>
    <m/>
    <m/>
    <m/>
    <m/>
    <m/>
    <s v="ZIPPER FILE CLEAR HOLDER 555 40FILE GREEN"/>
    <m/>
    <n v="30"/>
    <s v="PCS"/>
    <n v="29500"/>
    <m/>
    <s v="60 PCS"/>
    <m/>
    <m/>
    <m/>
    <m/>
    <m/>
    <n v="885000"/>
    <n v="0"/>
    <n v="0"/>
    <n v="0"/>
    <n v="0"/>
    <n v="885000"/>
    <m/>
    <s v=""/>
    <s v=""/>
    <n v="885000"/>
    <n v="885000"/>
    <x v="16"/>
    <d v="2024-07-12T00:00:00"/>
    <s v="PK-240700068"/>
    <s v="TOPLA"/>
    <x v="0"/>
    <s v=""/>
    <n v="7"/>
    <s v="zipperfileclearholder55540filegreen"/>
    <s v="zipperfileclearholder55540filegreen885000"/>
    <s v="zipperfileclearholder55540filegreen29500"/>
    <s v=""/>
    <n v="3197"/>
    <b v="1"/>
    <s v="60 PCS"/>
    <s v="zipperfileclearholder55540filegreen60pcsuntana"/>
    <n v="3197"/>
    <x v="130"/>
    <m/>
  </r>
  <r>
    <s v=""/>
    <n v="45"/>
    <m/>
    <m/>
    <m/>
    <m/>
    <m/>
    <m/>
    <m/>
    <s v="ZIPPER FILE CLEAR HOLDER 555 40FILE RED"/>
    <m/>
    <n v="30"/>
    <s v="PCS"/>
    <n v="29500"/>
    <m/>
    <s v="60 PCS"/>
    <m/>
    <m/>
    <m/>
    <m/>
    <m/>
    <n v="885000"/>
    <n v="0"/>
    <n v="0"/>
    <n v="0"/>
    <n v="0"/>
    <n v="885000"/>
    <m/>
    <s v=""/>
    <s v=""/>
    <n v="885000"/>
    <n v="885000"/>
    <x v="16"/>
    <d v="2024-07-12T00:00:00"/>
    <s v="PK-240700068"/>
    <s v="TOPLA"/>
    <x v="0"/>
    <s v=""/>
    <n v="7"/>
    <s v="zipperfileclearholder55540filered"/>
    <s v="zipperfileclearholder55540filered885000"/>
    <s v="zipperfileclearholder55540filered29500"/>
    <s v=""/>
    <n v="3198"/>
    <b v="1"/>
    <s v="60 PCS"/>
    <s v="zipperfileclearholder55540filered60pcsuntana"/>
    <n v="3198"/>
    <x v="131"/>
    <m/>
  </r>
  <r>
    <s v=""/>
    <n v="45"/>
    <m/>
    <m/>
    <m/>
    <m/>
    <m/>
    <m/>
    <m/>
    <s v="ZIPPER FILE CLEAR HOLDER 555 40FILE YELLOW"/>
    <m/>
    <n v="30"/>
    <s v="PCS"/>
    <n v="29500"/>
    <m/>
    <s v="60 PCS"/>
    <m/>
    <m/>
    <m/>
    <m/>
    <m/>
    <n v="885000"/>
    <n v="0"/>
    <n v="0"/>
    <n v="0"/>
    <n v="0"/>
    <n v="885000"/>
    <m/>
    <s v=""/>
    <s v=""/>
    <n v="885000"/>
    <n v="885000"/>
    <x v="16"/>
    <d v="2024-07-12T00:00:00"/>
    <s v="PK-240700068"/>
    <s v="TOPLA"/>
    <x v="0"/>
    <s v=""/>
    <n v="7"/>
    <s v="zipperfileclearholder55540fileyellow"/>
    <s v="zipperfileclearholder55540fileyellow885000"/>
    <s v="zipperfileclearholder55540fileyellow29500"/>
    <s v=""/>
    <n v="3199"/>
    <b v="1"/>
    <s v="60 PCS"/>
    <s v="zipperfileclearholder55540fileyellow60pcsuntana"/>
    <n v="3199"/>
    <x v="132"/>
    <m/>
  </r>
  <r>
    <s v=""/>
    <n v="45"/>
    <m/>
    <m/>
    <m/>
    <m/>
    <m/>
    <m/>
    <m/>
    <s v="ZIPPER FILE CLEAR HOLDER 555 40FILE BLUE"/>
    <m/>
    <n v="30"/>
    <s v="PCS"/>
    <n v="29500"/>
    <m/>
    <s v="60 PCS"/>
    <m/>
    <m/>
    <m/>
    <m/>
    <m/>
    <n v="885000"/>
    <n v="0"/>
    <n v="0"/>
    <n v="0"/>
    <n v="0"/>
    <n v="885000"/>
    <m/>
    <s v=""/>
    <s v=""/>
    <n v="885000"/>
    <n v="885000"/>
    <x v="16"/>
    <d v="2024-07-12T00:00:00"/>
    <s v="PK-240700068"/>
    <s v="TOPLA"/>
    <x v="0"/>
    <s v=""/>
    <n v="7"/>
    <s v="zipperfileclearholder55540fileblue"/>
    <s v="zipperfileclearholder55540fileblue885000"/>
    <s v="zipperfileclearholder55540fileblue29500"/>
    <s v=""/>
    <n v="3196"/>
    <b v="1"/>
    <s v="60 PCS"/>
    <s v="zipperfileclearholder55540fileblue60pcsuntana"/>
    <n v="3196"/>
    <x v="133"/>
    <m/>
  </r>
  <r>
    <s v=""/>
    <n v="45"/>
    <m/>
    <m/>
    <m/>
    <m/>
    <m/>
    <m/>
    <m/>
    <s v="ZIPPER FILE CLEAR HOLDER 555 60FILE GREEN"/>
    <m/>
    <n v="30"/>
    <s v="PCS"/>
    <n v="35500"/>
    <m/>
    <s v="60 PCS"/>
    <m/>
    <m/>
    <m/>
    <m/>
    <m/>
    <n v="1065000"/>
    <n v="0"/>
    <n v="0"/>
    <n v="0"/>
    <n v="0"/>
    <n v="1065000"/>
    <m/>
    <s v=""/>
    <s v=""/>
    <n v="1065000"/>
    <n v="1065000"/>
    <x v="16"/>
    <d v="2024-07-12T00:00:00"/>
    <s v="PK-240700068"/>
    <s v="TOPLA"/>
    <x v="0"/>
    <s v=""/>
    <n v="7"/>
    <s v="zipperfileclearholder55560filegreen"/>
    <s v="zipperfileclearholder55560filegreen1065000"/>
    <s v="zipperfileclearholder55560filegreen35500"/>
    <s v=""/>
    <n v="3201"/>
    <b v="1"/>
    <s v="60 PCS"/>
    <s v="zipperfileclearholder55560filegreen60pcsuntana"/>
    <n v="3201"/>
    <x v="134"/>
    <m/>
  </r>
  <r>
    <s v=""/>
    <n v="45"/>
    <m/>
    <m/>
    <m/>
    <m/>
    <m/>
    <m/>
    <m/>
    <s v="ZIPPER FILE CLEAR HOLDER 555 60FILE RED"/>
    <m/>
    <n v="30"/>
    <s v="PCS"/>
    <n v="35500"/>
    <m/>
    <s v="60 PCS"/>
    <m/>
    <m/>
    <m/>
    <m/>
    <m/>
    <n v="1065000"/>
    <n v="0"/>
    <n v="0"/>
    <n v="0"/>
    <n v="0"/>
    <n v="1065000"/>
    <m/>
    <s v=""/>
    <s v=""/>
    <n v="1065000"/>
    <n v="1065000"/>
    <x v="16"/>
    <d v="2024-07-12T00:00:00"/>
    <s v="PK-240700068"/>
    <s v="TOPLA"/>
    <x v="0"/>
    <s v=""/>
    <n v="7"/>
    <s v="zipperfileclearholder55560filered"/>
    <s v="zipperfileclearholder55560filered1065000"/>
    <s v="zipperfileclearholder55560filered35500"/>
    <s v=""/>
    <n v="3202"/>
    <b v="1"/>
    <s v="60 PCS"/>
    <s v="zipperfileclearholder55560filered60pcsuntana"/>
    <n v="3202"/>
    <x v="135"/>
    <m/>
  </r>
  <r>
    <s v=""/>
    <n v="45"/>
    <m/>
    <m/>
    <m/>
    <m/>
    <m/>
    <m/>
    <m/>
    <s v="ZIPPER FILE CLEAR HOLDER 555 60FILE YELLOW"/>
    <m/>
    <n v="30"/>
    <s v="PCS"/>
    <n v="35500"/>
    <m/>
    <s v="60 PCS"/>
    <m/>
    <m/>
    <m/>
    <m/>
    <m/>
    <n v="1065000"/>
    <n v="0"/>
    <n v="0"/>
    <n v="0"/>
    <n v="0"/>
    <n v="1065000"/>
    <m/>
    <s v=""/>
    <s v=""/>
    <n v="1065000"/>
    <n v="1065000"/>
    <x v="16"/>
    <d v="2024-07-12T00:00:00"/>
    <s v="PK-240700068"/>
    <s v="TOPLA"/>
    <x v="0"/>
    <s v=""/>
    <n v="7"/>
    <s v="zipperfileclearholder55560fileyellow"/>
    <s v="zipperfileclearholder55560fileyellow1065000"/>
    <s v="zipperfileclearholder55560fileyellow35500"/>
    <s v=""/>
    <n v="3203"/>
    <b v="1"/>
    <s v="60 PCS"/>
    <s v="zipperfileclearholder55560fileyellow60pcsuntana"/>
    <n v="3203"/>
    <x v="136"/>
    <m/>
  </r>
  <r>
    <s v=""/>
    <n v="45"/>
    <m/>
    <m/>
    <m/>
    <m/>
    <m/>
    <m/>
    <m/>
    <s v="ZIPPER FILE CLEAR HOLDER 555 60FILE BLUE"/>
    <m/>
    <n v="30"/>
    <s v="PCS"/>
    <n v="35500"/>
    <m/>
    <s v="60 PCS"/>
    <m/>
    <m/>
    <m/>
    <m/>
    <m/>
    <n v="1065000"/>
    <n v="0"/>
    <n v="0"/>
    <n v="0"/>
    <n v="0"/>
    <n v="1065000"/>
    <m/>
    <n v="0"/>
    <n v="10560000"/>
    <n v="1065000"/>
    <n v="1065000"/>
    <x v="16"/>
    <d v="2024-07-12T00:00:00"/>
    <s v="PK-240700068"/>
    <s v="TOPLA"/>
    <x v="0"/>
    <s v=""/>
    <n v="7"/>
    <s v="zipperfileclearholder55560fileblue"/>
    <s v="zipperfileclearholder55560fileblue1065000"/>
    <s v="zipperfileclearholder55560fileblue35500"/>
    <s v=""/>
    <n v="3200"/>
    <b v="1"/>
    <s v="60 PCS"/>
    <s v="zipperfileclearholder55560fileblue60pcsuntana"/>
    <n v="3200"/>
    <x v="13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6"/>
    <n v="46"/>
    <d v="2024-07-18T00:00:00"/>
    <s v="ETJ"/>
    <s v="UNTANA"/>
    <s v="K20,24"/>
    <m/>
    <d v="2024-07-15T00:00:00"/>
    <m/>
    <s v="N TAG D/BIRU 300"/>
    <n v="3"/>
    <n v="12000"/>
    <s v="PCS"/>
    <n v="600"/>
    <m/>
    <s v="4000 PCS"/>
    <m/>
    <m/>
    <m/>
    <m/>
    <m/>
    <n v="7200000"/>
    <n v="0"/>
    <n v="0"/>
    <n v="0"/>
    <n v="0"/>
    <n v="7200000"/>
    <m/>
    <s v=""/>
    <s v=""/>
    <n v="2400000"/>
    <n v="7200000"/>
    <x v="17"/>
    <d v="2024-07-15T00:00:00"/>
    <s v="K20,24"/>
    <s v="ETJ"/>
    <x v="0"/>
    <n v="2"/>
    <n v="7"/>
    <s v="ntagdbiru300"/>
    <s v="ntagdbiru3002400000"/>
    <s v="ntagdbiru3002400000"/>
    <s v="ETJUNTANAK20,2445488ntagdbiru300"/>
    <n v="2224"/>
    <b v="1"/>
    <s v="4000 PCS"/>
    <s v="ntagdbiru3004000pcsuntana"/>
    <n v="2224"/>
    <x v="138"/>
    <m/>
  </r>
  <r>
    <s v=""/>
    <n v="46"/>
    <m/>
    <m/>
    <m/>
    <m/>
    <m/>
    <m/>
    <m/>
    <s v="ENTER WHITE BOARD 802 (K)"/>
    <n v="2"/>
    <n v="120"/>
    <s v="LSN"/>
    <n v="17500"/>
    <m/>
    <s v="60 LSN"/>
    <m/>
    <m/>
    <m/>
    <m/>
    <m/>
    <n v="2100000"/>
    <n v="0"/>
    <n v="0"/>
    <n v="0"/>
    <n v="0"/>
    <n v="2100000"/>
    <m/>
    <n v="0"/>
    <n v="9300000"/>
    <n v="1050000"/>
    <n v="2100000"/>
    <x v="17"/>
    <d v="2024-07-15T00:00:00"/>
    <s v="K20,24"/>
    <s v="ETJ"/>
    <x v="0"/>
    <s v=""/>
    <n v="7"/>
    <s v="enterwhiteboard802k"/>
    <s v="enterwhiteboard802k1050000"/>
    <s v="enterwhiteboard802k1050000"/>
    <s v=""/>
    <n v="971"/>
    <b v="1"/>
    <s v="60 LSN"/>
    <s v="enterwhiteboard802k60lsnuntana"/>
    <n v="971"/>
    <x v="13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7"/>
    <n v="47"/>
    <d v="2024-07-15T00:00:00"/>
    <s v="DAVIS MANDIRI GLOBALINDO"/>
    <s v="UNTANA"/>
    <s v="81175/JL/UTM/0724"/>
    <m/>
    <d v="2024-07-09T00:00:00"/>
    <m/>
    <s v="TAPE DISPENSER ISOLASI TS-0032"/>
    <n v="10"/>
    <n v="240"/>
    <s v="PCS"/>
    <n v="12500"/>
    <m/>
    <s v="24 PCS"/>
    <m/>
    <m/>
    <m/>
    <m/>
    <m/>
    <n v="3000000"/>
    <n v="0"/>
    <n v="0"/>
    <n v="0"/>
    <n v="0"/>
    <n v="3000000"/>
    <m/>
    <s v=""/>
    <s v=""/>
    <n v="300000"/>
    <n v="3000000"/>
    <x v="16"/>
    <d v="2024-07-09T00:00:00"/>
    <s v="81175/JL/UTM/0724"/>
    <s v="DAVIS MANDIRI GLOBALINDO"/>
    <x v="0"/>
    <n v="2"/>
    <n v="7"/>
    <s v="tapedispenserisolasits0032"/>
    <s v="tapedispenserisolasits0032300000"/>
    <s v="tapedispenserisolasits0032300000"/>
    <s v="DAVIS MANDIRI GLOBALINDOUNTANA81175/JL/UTM/072445482tapedispenserisolasits0032"/>
    <n v="3447"/>
    <b v="1"/>
    <s v="24 PCS"/>
    <s v="tapedispenserisolasits003224pcsuntana"/>
    <n v="3447"/>
    <x v="140"/>
    <m/>
  </r>
  <r>
    <s v=""/>
    <n v="47"/>
    <m/>
    <m/>
    <m/>
    <m/>
    <m/>
    <m/>
    <m/>
    <s v="CUTTER L500-JZ"/>
    <n v="5"/>
    <n v="1200"/>
    <s v="PCS"/>
    <n v="5500"/>
    <m/>
    <s v="240 PCS"/>
    <m/>
    <m/>
    <m/>
    <m/>
    <m/>
    <n v="6600000"/>
    <n v="0"/>
    <n v="0"/>
    <n v="0"/>
    <n v="0"/>
    <n v="6600000"/>
    <m/>
    <n v="0"/>
    <n v="9600000"/>
    <n v="1320000"/>
    <n v="6600000"/>
    <x v="16"/>
    <d v="2024-07-09T00:00:00"/>
    <s v="81175/JL/UTM/0724"/>
    <s v="DAVIS MANDIRI GLOBALINDO"/>
    <x v="0"/>
    <s v=""/>
    <n v="7"/>
    <s v="cutterl500jz"/>
    <s v="cutterl500jz1320000"/>
    <s v="cutterl500jz1320000"/>
    <s v=""/>
    <n v="3449"/>
    <b v="1"/>
    <s v="240 PCS"/>
    <s v="cutterl500jz240pcsuntana"/>
    <n v="3449"/>
    <x v="14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8"/>
    <n v="48"/>
    <m/>
    <s v="HANSA"/>
    <s v="UNTANA"/>
    <s v="HN072024183"/>
    <m/>
    <d v="2024-07-15T00:00:00"/>
    <m/>
    <s v="LILIN SHINTOENG 12 BTG"/>
    <m/>
    <n v="10"/>
    <s v="LSN"/>
    <n v="39000"/>
    <m/>
    <s v="50 LSN"/>
    <m/>
    <m/>
    <m/>
    <m/>
    <m/>
    <n v="390000"/>
    <n v="0"/>
    <n v="0"/>
    <n v="0"/>
    <n v="0"/>
    <n v="390000"/>
    <m/>
    <s v=""/>
    <s v=""/>
    <n v="390000"/>
    <n v="390000"/>
    <x v="16"/>
    <d v="2024-07-15T00:00:00"/>
    <s v="HN072024183"/>
    <s v="HANSA"/>
    <x v="0"/>
    <n v="2"/>
    <n v="7"/>
    <s v="lilinshintoeng12btg"/>
    <s v="lilinshintoeng12btg390000"/>
    <s v="lilinshintoeng12btg39000"/>
    <s v="HANSAUNTANAHN07202418345488lilinshintoeng12btg"/>
    <n v="1987"/>
    <b v="1"/>
    <s v="50 LSN"/>
    <s v="lilinshintoeng12btg50lsnuntana"/>
    <n v="1987"/>
    <x v="142"/>
    <m/>
  </r>
  <r>
    <s v=""/>
    <n v="48"/>
    <m/>
    <m/>
    <m/>
    <m/>
    <m/>
    <m/>
    <m/>
    <s v="LILIN SHINTOENG 24 BTG"/>
    <m/>
    <n v="10"/>
    <s v="LSN"/>
    <n v="41000"/>
    <m/>
    <s v="40 LSN"/>
    <m/>
    <m/>
    <m/>
    <m/>
    <m/>
    <n v="410000"/>
    <n v="0"/>
    <n v="0"/>
    <n v="0"/>
    <n v="0"/>
    <n v="410000"/>
    <m/>
    <n v="0"/>
    <n v="800000"/>
    <n v="410000"/>
    <n v="410000"/>
    <x v="16"/>
    <d v="2024-07-15T00:00:00"/>
    <s v="HN072024183"/>
    <s v="HANSA"/>
    <x v="0"/>
    <s v=""/>
    <n v="7"/>
    <s v="lilinshintoeng24btg"/>
    <s v="lilinshintoeng24btg410000"/>
    <s v="lilinshintoeng24btg41000"/>
    <s v=""/>
    <n v="1988"/>
    <b v="1"/>
    <s v="40 LSN"/>
    <s v="lilinshintoeng24btg40lsnuntana"/>
    <n v="1988"/>
    <x v="14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49"/>
    <n v="49"/>
    <m/>
    <s v="ALPINDO"/>
    <s v="UNTANA"/>
    <s v="I13"/>
    <m/>
    <d v="2024-07-15T00:00:00"/>
    <m/>
    <s v="P BAG BATIK TG TALI PUTIH"/>
    <n v="5"/>
    <n v="250"/>
    <s v="LSN"/>
    <n v="25000"/>
    <m/>
    <s v="50 LSN"/>
    <n v="0.1"/>
    <m/>
    <m/>
    <m/>
    <m/>
    <n v="6250000"/>
    <n v="625000"/>
    <n v="0"/>
    <n v="0"/>
    <n v="625000"/>
    <n v="5625000"/>
    <m/>
    <s v=""/>
    <s v=""/>
    <n v="1250000"/>
    <n v="6250000"/>
    <x v="16"/>
    <d v="2024-07-15T00:00:00"/>
    <s v="I13"/>
    <s v="ALPINDO"/>
    <x v="0"/>
    <n v="2"/>
    <n v="7"/>
    <s v="pbagbatiktgtaliputih"/>
    <s v="pbagbatiktgtaliputih12500000,1"/>
    <s v="pbagbatiktgtaliputih12500000,1"/>
    <s v="ALPINDOUNTANAI1345488pbagbatiktgtaliputih"/>
    <n v="2295"/>
    <b v="1"/>
    <s v="50 LSN"/>
    <s v="pbagbatiktgtaliputih50lsnuntana"/>
    <n v="2295"/>
    <x v="144"/>
    <m/>
  </r>
  <r>
    <s v=""/>
    <n v="49"/>
    <m/>
    <m/>
    <m/>
    <m/>
    <m/>
    <m/>
    <m/>
    <s v="P BAG BATIK B TALI PUTIH"/>
    <n v="5"/>
    <n v="250"/>
    <s v="LSN"/>
    <n v="29000"/>
    <m/>
    <s v="50 LSN"/>
    <n v="0.1"/>
    <m/>
    <m/>
    <m/>
    <m/>
    <n v="7250000"/>
    <n v="725000"/>
    <n v="0"/>
    <n v="0"/>
    <n v="725000"/>
    <n v="6525000"/>
    <m/>
    <n v="1350000"/>
    <n v="12150000"/>
    <n v="1450000"/>
    <n v="7250000"/>
    <x v="16"/>
    <d v="2024-07-15T00:00:00"/>
    <s v="I13"/>
    <s v="ALPINDO"/>
    <x v="0"/>
    <s v=""/>
    <n v="7"/>
    <s v="pbagbatikbtaliputih"/>
    <s v="pbagbatikbtaliputih14500000,1"/>
    <s v="pbagbatikbtaliputih14500000,1"/>
    <s v=""/>
    <n v="2291"/>
    <b v="1"/>
    <s v="50 LSN"/>
    <s v="pbagbatikbtaliputih50lsnuntana"/>
    <n v="2291"/>
    <x v="14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0"/>
    <n v="50"/>
    <d v="2024-07-17T00:00:00"/>
    <s v="PPW"/>
    <s v="UNTANA"/>
    <s v="0264/HW/VII/24"/>
    <m/>
    <d v="2024-07-15T00:00:00"/>
    <m/>
    <s v="BT 30 CM"/>
    <n v="10"/>
    <n v="1000"/>
    <s v="LSN"/>
    <n v="26780"/>
    <m/>
    <s v="100 LSN"/>
    <n v="0.2"/>
    <n v="0.04"/>
    <m/>
    <m/>
    <m/>
    <n v="26780000"/>
    <n v="5356000"/>
    <n v="856960"/>
    <n v="0"/>
    <n v="6212960"/>
    <n v="20567040"/>
    <m/>
    <n v="6212960"/>
    <n v="20567040"/>
    <n v="2678000"/>
    <n v="26780000"/>
    <x v="14"/>
    <d v="2024-07-15T00:00:00"/>
    <s v="0264/HW/VII/24"/>
    <s v="PPW"/>
    <x v="0"/>
    <n v="1"/>
    <n v="7"/>
    <s v="bt30cm"/>
    <s v="bt30cm26780000,20,04"/>
    <s v="bt30cm26780000,20,04"/>
    <s v="PPWUNTANA0264/HW/VII/2445488bt30cm"/>
    <n v="515"/>
    <b v="1"/>
    <s v="100 LSN"/>
    <s v="bt30cm100lsnuntana"/>
    <n v="515"/>
    <x v="14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1"/>
    <n v="51"/>
    <m/>
    <s v="PPW"/>
    <s v="UNTANA"/>
    <s v="085/EPW/VII/24"/>
    <m/>
    <d v="2024-07-15T00:00:00"/>
    <m/>
    <s v="BT R5"/>
    <m/>
    <n v="12"/>
    <s v="LSN"/>
    <n v="279000"/>
    <m/>
    <m/>
    <n v="0.2"/>
    <n v="0.04"/>
    <m/>
    <m/>
    <m/>
    <n v="3348000"/>
    <n v="669600"/>
    <n v="107136"/>
    <n v="0"/>
    <n v="776736"/>
    <n v="2571264"/>
    <m/>
    <s v=""/>
    <s v=""/>
    <n v="3348000"/>
    <n v="3348000"/>
    <x v="14"/>
    <d v="2024-07-15T00:00:00"/>
    <s v="085/EPW/VII/24"/>
    <s v="PPW"/>
    <x v="0"/>
    <n v="2"/>
    <n v="7"/>
    <s v="btr5"/>
    <s v="btr533480000,20,04"/>
    <s v="btr52790000,20,04"/>
    <s v="PPWUNTANA085/EPW/VII/2445488btr5"/>
    <n v="521"/>
    <s v=""/>
    <s v="12 LSN"/>
    <s v="btr512lsnuntana"/>
    <n v="521"/>
    <x v="147"/>
    <m/>
  </r>
  <r>
    <s v=""/>
    <n v="51"/>
    <m/>
    <m/>
    <m/>
    <m/>
    <m/>
    <m/>
    <m/>
    <s v="BT R3"/>
    <m/>
    <n v="12"/>
    <s v="LSN"/>
    <n v="252300"/>
    <m/>
    <m/>
    <n v="0.2"/>
    <n v="0.04"/>
    <m/>
    <m/>
    <m/>
    <n v="3027600"/>
    <n v="605520"/>
    <n v="96883.199999999997"/>
    <n v="0"/>
    <n v="702403.2"/>
    <n v="2325196.7999999998"/>
    <m/>
    <n v="1479139.2"/>
    <n v="4896460.7999999998"/>
    <n v="3027600"/>
    <n v="3027600"/>
    <x v="14"/>
    <d v="2024-07-15T00:00:00"/>
    <s v="085/EPW/VII/24"/>
    <s v="PPW"/>
    <x v="0"/>
    <s v=""/>
    <n v="7"/>
    <s v="btr3"/>
    <s v="btr330276000,20,04"/>
    <s v="btr32523000,20,04"/>
    <s v=""/>
    <n v="520"/>
    <s v=""/>
    <s v="12 LSN"/>
    <s v="btr312lsnuntana"/>
    <n v="520"/>
    <x v="14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2"/>
    <n v="52"/>
    <d v="2024-07-19T00:00:00"/>
    <s v="MAJU MAPAN JAYA"/>
    <s v="UNTANA"/>
    <s v="EMMJ-2407-00887"/>
    <m/>
    <d v="2024-07-18T00:00:00"/>
    <m/>
    <s v="BALON MERAH  PUTIH BL-10178"/>
    <n v="3"/>
    <n v="300"/>
    <s v="PAK"/>
    <n v="68750"/>
    <m/>
    <s v="100 PAK"/>
    <n v="0.2"/>
    <n v="0.05"/>
    <m/>
    <m/>
    <m/>
    <n v="20625000"/>
    <n v="4125000"/>
    <n v="825000"/>
    <n v="0"/>
    <n v="4950000"/>
    <n v="15675000"/>
    <m/>
    <n v="4950000"/>
    <n v="15675000"/>
    <n v="6875000"/>
    <n v="20625000"/>
    <x v="18"/>
    <d v="2024-07-18T00:00:00"/>
    <s v="EMMJ-2407-00887"/>
    <s v="MAJU MAPAN JAYA"/>
    <x v="0"/>
    <n v="1"/>
    <n v="7"/>
    <s v="balonmerahputihbl10178"/>
    <s v="balonmerahputihbl1017868750000,20,05"/>
    <s v="balonmerahputihbl1017868750000,20,05"/>
    <s v="MAJU MAPAN JAYAUNTANAEMMJ-2407-0088745491balonmerahputihbl10178"/>
    <n v="171"/>
    <b v="1"/>
    <s v="100 PAK"/>
    <s v="balonmerahputihbl10178100pakuntana"/>
    <n v="171"/>
    <x v="149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3"/>
    <n v="53"/>
    <m/>
    <s v="ETJ"/>
    <s v="UNTANA"/>
    <s v="K41,24"/>
    <m/>
    <d v="2024-07-16T00:00:00"/>
    <m/>
    <s v="ENTER 345"/>
    <n v="3"/>
    <n v="1200"/>
    <s v="ROL"/>
    <n v="7000"/>
    <m/>
    <s v="400 ROL"/>
    <m/>
    <m/>
    <m/>
    <m/>
    <m/>
    <n v="8400000"/>
    <n v="0"/>
    <n v="0"/>
    <n v="0"/>
    <n v="0"/>
    <n v="8400000"/>
    <m/>
    <s v=""/>
    <s v=""/>
    <n v="2800000"/>
    <n v="8400000"/>
    <x v="18"/>
    <d v="2024-07-16T00:00:00"/>
    <s v="K41,24"/>
    <s v="ETJ"/>
    <x v="0"/>
    <n v="2"/>
    <n v="7"/>
    <s v="enter345"/>
    <s v="enter3452800000"/>
    <s v="enter3452800000"/>
    <s v="ETJUNTANAK41,2445489enter345"/>
    <n v="922"/>
    <b v="1"/>
    <s v="400 ROL"/>
    <s v="enter345400roluntana"/>
    <n v="922"/>
    <x v="150"/>
    <m/>
  </r>
  <r>
    <s v=""/>
    <n v="53"/>
    <m/>
    <m/>
    <m/>
    <m/>
    <m/>
    <m/>
    <m/>
    <s v="DUST 454"/>
    <n v="3"/>
    <n v="900"/>
    <s v="ROL"/>
    <n v="7750"/>
    <m/>
    <s v="300 ROL"/>
    <m/>
    <m/>
    <m/>
    <m/>
    <m/>
    <n v="6975000"/>
    <n v="0"/>
    <n v="0"/>
    <n v="0"/>
    <n v="0"/>
    <n v="6975000"/>
    <m/>
    <n v="0"/>
    <n v="15375000"/>
    <n v="2325000"/>
    <n v="6975000"/>
    <x v="18"/>
    <d v="2024-07-16T00:00:00"/>
    <s v="K41,24"/>
    <s v="ETJ"/>
    <x v="0"/>
    <s v=""/>
    <n v="7"/>
    <s v="dust454"/>
    <s v="dust4542325000"/>
    <s v="dust4542325000"/>
    <s v=""/>
    <n v="924"/>
    <b v="1"/>
    <s v="300 ROL"/>
    <s v="dust454300roluntana"/>
    <n v="924"/>
    <x v="15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4"/>
    <n v="54"/>
    <m/>
    <s v="ETJ"/>
    <s v="UNTANA"/>
    <s v="K50,24"/>
    <m/>
    <d v="2024-07-17T00:00:00"/>
    <m/>
    <s v="SEMPOA 17T"/>
    <n v="3"/>
    <n v="900"/>
    <s v="PCS"/>
    <n v="9250"/>
    <m/>
    <s v="300 PCS"/>
    <m/>
    <m/>
    <m/>
    <m/>
    <m/>
    <n v="8325000"/>
    <n v="0"/>
    <n v="0"/>
    <n v="0"/>
    <n v="0"/>
    <n v="8325000"/>
    <m/>
    <n v="0"/>
    <n v="8325000"/>
    <n v="2775000"/>
    <n v="8325000"/>
    <x v="18"/>
    <d v="2024-07-17T00:00:00"/>
    <s v="K50,24"/>
    <s v="ETJ"/>
    <x v="0"/>
    <n v="1"/>
    <n v="7"/>
    <s v="sempoa17t"/>
    <s v="sempoa17t2775000"/>
    <s v="sempoa17t2775000"/>
    <s v="ETJUNTANAK50,2445490sempoa17t"/>
    <n v="2875"/>
    <b v="1"/>
    <s v="300 PCS"/>
    <s v="sempoa17t300pcsuntana"/>
    <n v="2875"/>
    <x v="152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5"/>
    <n v="55"/>
    <d v="2024-07-22T00:00:00"/>
    <s v="ETJ"/>
    <s v="UNTANA"/>
    <s v="K55,24"/>
    <m/>
    <d v="2024-07-18T00:00:00"/>
    <m/>
    <s v="BUSUR 3 1/2 MIKA"/>
    <n v="4"/>
    <n v="6000"/>
    <s v="LSN"/>
    <n v="5000"/>
    <m/>
    <s v="1500 LSN"/>
    <m/>
    <m/>
    <m/>
    <m/>
    <m/>
    <n v="30000000"/>
    <n v="0"/>
    <n v="0"/>
    <n v="0"/>
    <n v="0"/>
    <n v="30000000"/>
    <m/>
    <s v=""/>
    <s v=""/>
    <n v="7500000"/>
    <n v="30000000"/>
    <x v="19"/>
    <d v="2024-07-18T00:00:00"/>
    <s v="K55,24"/>
    <s v="ETJ"/>
    <x v="0"/>
    <n v="3"/>
    <n v="7"/>
    <s v="busur312mika"/>
    <s v="busur312mika7500000"/>
    <s v="busur312mika7500000"/>
    <s v="ETJUNTANAK55,2445491busur312mika"/>
    <n v="573"/>
    <b v="1"/>
    <s v="1500 LSN"/>
    <s v="busur312mika1500lsnuntana"/>
    <n v="573"/>
    <x v="153"/>
    <m/>
  </r>
  <r>
    <s v=""/>
    <n v="55"/>
    <m/>
    <m/>
    <m/>
    <m/>
    <m/>
    <m/>
    <m/>
    <s v="BUSUR NO.4 MIKA"/>
    <n v="2"/>
    <n v="2000"/>
    <s v="LSN"/>
    <n v="5500"/>
    <m/>
    <s v="1000 LSN"/>
    <m/>
    <m/>
    <m/>
    <m/>
    <m/>
    <n v="11000000"/>
    <n v="0"/>
    <n v="0"/>
    <n v="0"/>
    <n v="0"/>
    <n v="11000000"/>
    <m/>
    <s v=""/>
    <s v=""/>
    <n v="5500000"/>
    <n v="11000000"/>
    <x v="19"/>
    <d v="2024-07-18T00:00:00"/>
    <s v="K55,24"/>
    <s v="ETJ"/>
    <x v="0"/>
    <s v=""/>
    <n v="7"/>
    <s v="busurno4mika"/>
    <s v="busurno4mika5500000"/>
    <s v="busurno4mika5500000"/>
    <s v=""/>
    <n v="574"/>
    <b v="1"/>
    <s v="1000 LSN"/>
    <s v="busurno4mika1000lsnuntana"/>
    <n v="574"/>
    <x v="154"/>
    <m/>
  </r>
  <r>
    <s v=""/>
    <n v="55"/>
    <m/>
    <m/>
    <m/>
    <m/>
    <m/>
    <m/>
    <m/>
    <s v="N TAG D/BIRU 300"/>
    <n v="5"/>
    <n v="20000"/>
    <s v="PCS"/>
    <n v="600"/>
    <m/>
    <s v="4000 PCS"/>
    <m/>
    <m/>
    <m/>
    <m/>
    <m/>
    <n v="12000000"/>
    <n v="0"/>
    <n v="0"/>
    <n v="0"/>
    <n v="0"/>
    <n v="12000000"/>
    <m/>
    <n v="0"/>
    <n v="53000000"/>
    <n v="2400000"/>
    <n v="12000000"/>
    <x v="19"/>
    <d v="2024-07-18T00:00:00"/>
    <s v="K55,24"/>
    <s v="ETJ"/>
    <x v="0"/>
    <s v=""/>
    <n v="7"/>
    <s v="ntagdbiru300"/>
    <s v="ntagdbiru3002400000"/>
    <s v="ntagdbiru3002400000"/>
    <s v=""/>
    <n v="2224"/>
    <b v="1"/>
    <s v="4000 PCS"/>
    <s v="ntagdbiru3004000pcsuntana"/>
    <n v="2224"/>
    <x v="15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6"/>
    <n v="56"/>
    <m/>
    <s v="DB STATIONERY"/>
    <s v="UNTANA"/>
    <s v="JUG481/24"/>
    <m/>
    <d v="2024-07-19T00:00:00"/>
    <m/>
    <s v="PENSIL KAYAGI SKIN KY-PF2025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n v="11"/>
    <n v="7"/>
    <s v="pensilkayagiskinkypf2025"/>
    <s v="pensilkayagiskinkypf20252772000"/>
    <s v="pensilkayagiskinkypf20252772000"/>
    <s v="DB STATIONERYUNTANAJUG481/2445492pensilkayagiskinkypf2025"/>
    <n v="2697"/>
    <b v="1"/>
    <s v="360 LSN"/>
    <s v="pensilkayagiskinkypf2025360lsnuntana"/>
    <n v="2697"/>
    <x v="156"/>
    <m/>
  </r>
  <r>
    <s v=""/>
    <n v="56"/>
    <m/>
    <m/>
    <m/>
    <m/>
    <m/>
    <m/>
    <m/>
    <s v="PENSIL 2B KAYAGI KY-PF3053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53"/>
    <s v="pensil2bkayagikypf30532772000"/>
    <s v="pensil2bkayagikypf30532772000"/>
    <s v=""/>
    <n v="2682"/>
    <b v="1"/>
    <s v="360 LSN"/>
    <s v="pensil2bkayagikypf3053360lsnuntana"/>
    <n v="2682"/>
    <x v="157"/>
    <m/>
  </r>
  <r>
    <s v=""/>
    <n v="56"/>
    <m/>
    <m/>
    <m/>
    <m/>
    <m/>
    <m/>
    <m/>
    <s v="PENSIL 2B KAYAGI KY-PF3060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60"/>
    <s v="pensil2bkayagikypf30602772000"/>
    <s v="pensil2bkayagikypf30602772000"/>
    <s v=""/>
    <n v="2686"/>
    <b v="1"/>
    <s v="360 LSN"/>
    <s v="pensil2bkayagikypf3060360lsnuntana"/>
    <n v="2687"/>
    <x v="158"/>
    <m/>
  </r>
  <r>
    <s v=""/>
    <n v="56"/>
    <m/>
    <m/>
    <m/>
    <m/>
    <m/>
    <m/>
    <m/>
    <s v="PENSIL 2B FANCY KY-PF3066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fancykypf3066"/>
    <s v="pensil2bfancykypf30662772000"/>
    <s v="pensil2bfancykypf30662772000"/>
    <s v=""/>
    <n v="2661"/>
    <b v="1"/>
    <s v="360 LSN"/>
    <s v="pensil2bfancykypf3066360lsnuntana"/>
    <n v="2661"/>
    <x v="159"/>
    <m/>
  </r>
  <r>
    <s v=""/>
    <n v="56"/>
    <m/>
    <m/>
    <m/>
    <m/>
    <m/>
    <m/>
    <m/>
    <s v="PENSIL 2B KAYAGI KY-PF3055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55"/>
    <s v="pensil2bkayagikypf30552772000"/>
    <s v="pensil2bkayagikypf30552772000"/>
    <s v=""/>
    <n v="2683"/>
    <b v="1"/>
    <s v="360 LSN"/>
    <s v="pensil2bkayagikypf3055360lsnuntana"/>
    <n v="2683"/>
    <x v="160"/>
    <m/>
  </r>
  <r>
    <s v=""/>
    <n v="56"/>
    <m/>
    <m/>
    <m/>
    <m/>
    <m/>
    <m/>
    <m/>
    <s v="PENSIL 2B KAYAGI KY-PF3090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90"/>
    <s v="pensil2bkayagikypf30902772000"/>
    <s v="pensil2bkayagikypf30902772000"/>
    <s v=""/>
    <n v="2670"/>
    <b v="1"/>
    <s v="360 LSN"/>
    <s v="pensil2bkayagikypf3090360lsnuntana"/>
    <n v="2670"/>
    <x v="161"/>
    <m/>
  </r>
  <r>
    <s v=""/>
    <n v="56"/>
    <m/>
    <m/>
    <m/>
    <m/>
    <m/>
    <m/>
    <m/>
    <s v="PENSIL 2B KAYAGI KY-PF3091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91"/>
    <s v="pensil2bkayagikypf30912772000"/>
    <s v="pensil2bkayagikypf30912772000"/>
    <s v=""/>
    <n v="2690"/>
    <b v="1"/>
    <s v="360 LSN"/>
    <s v="pensil2bkayagikypf3091360lsnuntana"/>
    <n v="2690"/>
    <x v="162"/>
    <m/>
  </r>
  <r>
    <s v=""/>
    <n v="56"/>
    <m/>
    <m/>
    <m/>
    <m/>
    <m/>
    <m/>
    <m/>
    <s v="PENSIL 2B KAYAGI KY-PF3092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92"/>
    <s v="pensil2bkayagikypf30922772000"/>
    <s v="pensil2bkayagikypf30922772000"/>
    <s v=""/>
    <n v="2671"/>
    <b v="1"/>
    <s v="360 LSN"/>
    <s v="pensil2bkayagikypf3092360lsnuntana"/>
    <n v="2671"/>
    <x v="163"/>
    <m/>
  </r>
  <r>
    <s v=""/>
    <n v="56"/>
    <m/>
    <m/>
    <m/>
    <m/>
    <m/>
    <m/>
    <m/>
    <s v="PENSIL 2B KAYAGI KY-PF3093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93"/>
    <s v="pensil2bkayagikypf30932772000"/>
    <s v="pensil2bkayagikypf30932772000"/>
    <s v=""/>
    <n v="2672"/>
    <b v="1"/>
    <s v="360 LSN"/>
    <s v="pensil2bkayagikypf3093360lsnuntana"/>
    <n v="2672"/>
    <x v="164"/>
    <m/>
  </r>
  <r>
    <s v=""/>
    <n v="56"/>
    <m/>
    <m/>
    <m/>
    <m/>
    <m/>
    <m/>
    <m/>
    <s v="PENSIL 2B KAYAGI KY-PF3058"/>
    <n v="1"/>
    <n v="360"/>
    <s v="LSN"/>
    <n v="7700"/>
    <m/>
    <s v="360 LSN"/>
    <m/>
    <m/>
    <m/>
    <m/>
    <m/>
    <n v="2772000"/>
    <n v="0"/>
    <n v="0"/>
    <n v="0"/>
    <n v="0"/>
    <n v="2772000"/>
    <m/>
    <s v=""/>
    <s v=""/>
    <n v="2772000"/>
    <n v="2772000"/>
    <x v="19"/>
    <d v="2024-07-19T00:00:00"/>
    <s v="JUG481/24"/>
    <s v="DB STATIONERY"/>
    <x v="0"/>
    <s v=""/>
    <n v="7"/>
    <s v="pensil2bkayagikypf3058"/>
    <s v="pensil2bkayagikypf30582772000"/>
    <s v="pensil2bkayagikypf30582772000"/>
    <s v=""/>
    <n v="2673"/>
    <b v="1"/>
    <s v="360 LSN"/>
    <s v="pensil2bkayagikypf3058360lsnuntana"/>
    <n v="2673"/>
    <x v="165"/>
    <m/>
  </r>
  <r>
    <s v=""/>
    <n v="56"/>
    <m/>
    <m/>
    <m/>
    <m/>
    <m/>
    <m/>
    <m/>
    <s v="TAS CABIN ELPIDA HIJAU EP-CB007HJ"/>
    <n v="1"/>
    <n v="1"/>
    <s v="PCS"/>
    <m/>
    <m/>
    <s v="1 PCS"/>
    <m/>
    <m/>
    <m/>
    <m/>
    <s v="BONUS"/>
    <s v=""/>
    <s v=""/>
    <s v=""/>
    <s v=""/>
    <s v=""/>
    <s v=""/>
    <m/>
    <n v="0"/>
    <n v="27720000"/>
    <n v="0"/>
    <s v=""/>
    <x v="19"/>
    <d v="2024-07-19T00:00:00"/>
    <s v="JUG481/24"/>
    <s v="DB STATIONERY"/>
    <x v="0"/>
    <s v=""/>
    <n v="7"/>
    <s v="tascabinelpidahijauepcb007hj"/>
    <s v="tascabinelpidahijauepcb007hj0"/>
    <s v="tascabinelpidahijauepcb007hj0"/>
    <s v=""/>
    <n v="3037"/>
    <b v="1"/>
    <s v="1 PCS"/>
    <s v="tascabinelpidahijauepcb007hj1pcsuntana"/>
    <n v="3037"/>
    <x v="16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7"/>
    <n v="57"/>
    <d v="2024-07-23T00:00:00"/>
    <s v="SAPUTRO OFFICE"/>
    <s v="UNTANA"/>
    <m/>
    <m/>
    <d v="2024-07-20T00:00:00"/>
    <m/>
    <s v="MEJA IPAD IMPORT JUMBO KARAKTER"/>
    <n v="1"/>
    <n v="10"/>
    <s v="PCS"/>
    <n v="36000"/>
    <m/>
    <s v="10 PCS"/>
    <m/>
    <m/>
    <m/>
    <m/>
    <m/>
    <n v="360000"/>
    <n v="0"/>
    <n v="0"/>
    <n v="0"/>
    <n v="0"/>
    <n v="360000"/>
    <m/>
    <n v="0"/>
    <n v="360000"/>
    <n v="360000"/>
    <n v="360000"/>
    <x v="20"/>
    <d v="2024-07-20T00:00:00"/>
    <d v="1899-12-30T00:00:00"/>
    <s v="SAPUTRO OFFICE"/>
    <x v="0"/>
    <n v="1"/>
    <n v="7"/>
    <s v="mejaipadimportjumbokarakter"/>
    <s v="mejaipadimportjumbokarakter360000"/>
    <s v="mejaipadimportjumbokarakter360000"/>
    <s v="SAPUTRO OFFICEUNTANA45493mejaipadimportjumbokarakter"/>
    <n v="2147"/>
    <b v="1"/>
    <s v="10 PCS"/>
    <s v="mejaipadimportjumbokarakter10pcsuntana"/>
    <n v="2147"/>
    <x v="167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8"/>
    <n v="58"/>
    <m/>
    <s v="SAPUTRO OFFICE"/>
    <s v="UNTANA"/>
    <s v="H-1768,INV,SOS"/>
    <m/>
    <d v="2024-07-17T00:00:00"/>
    <m/>
    <s v="MEJA IPAD IMPORT JUMBO KARAKTER"/>
    <n v="50"/>
    <n v="500"/>
    <s v="PCS"/>
    <n v="36000"/>
    <m/>
    <s v="10 PCS"/>
    <m/>
    <m/>
    <m/>
    <m/>
    <m/>
    <n v="18000000"/>
    <n v="0"/>
    <n v="0"/>
    <n v="0"/>
    <n v="0"/>
    <n v="18000000"/>
    <m/>
    <n v="0"/>
    <n v="18000000"/>
    <n v="360000"/>
    <n v="18000000"/>
    <x v="20"/>
    <d v="2024-07-17T00:00:00"/>
    <s v="H-1768,INV,SOS"/>
    <s v="SAPUTRO OFFICE"/>
    <x v="0"/>
    <n v="1"/>
    <n v="7"/>
    <s v="mejaipadimportjumbokarakter"/>
    <s v="mejaipadimportjumbokarakter360000"/>
    <s v="mejaipadimportjumbokarakter360000"/>
    <s v="SAPUTRO OFFICEUNTANAH-1768,INV,SOS45490mejaipadimportjumbokarakter"/>
    <n v="2147"/>
    <b v="1"/>
    <s v="10 PCS"/>
    <s v="mejaipadimportjumbokarakter10pcsuntana"/>
    <n v="2147"/>
    <x v="16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59"/>
    <n v="59"/>
    <d v="2024-07-24T00:00:00"/>
    <s v="ANDY (YOEKER)"/>
    <s v="UNTANA"/>
    <s v="SO24/2225"/>
    <m/>
    <d v="2024-07-22T00:00:00"/>
    <m/>
    <s v="PENGGARIS BESI 15 CM YOEKER"/>
    <n v="2"/>
    <n v="200"/>
    <s v="LSN"/>
    <n v="9750"/>
    <m/>
    <s v="100 LSN"/>
    <m/>
    <m/>
    <m/>
    <m/>
    <m/>
    <n v="1950000"/>
    <n v="0"/>
    <n v="0"/>
    <n v="0"/>
    <n v="0"/>
    <n v="1950000"/>
    <m/>
    <s v=""/>
    <s v=""/>
    <n v="975000"/>
    <n v="1950000"/>
    <x v="21"/>
    <d v="2024-07-22T00:00:00"/>
    <s v="SO24/2225"/>
    <s v="ANDY (YOEKER)"/>
    <x v="0"/>
    <n v="5"/>
    <n v="7"/>
    <s v="penggarisbesi15cmyoeker"/>
    <s v="penggarisbesi15cmyoeker975000"/>
    <s v="penggarisbesi15cmyoeker975000"/>
    <s v="ANDY (YOEKER)UNTANASO24/222545495penggarisbesi15cmyoeker"/>
    <n v="1015"/>
    <b v="1"/>
    <s v="100 LSN"/>
    <s v="penggarisbesi15cmyoeker100lsnuntana"/>
    <n v="1015"/>
    <x v="169"/>
    <m/>
  </r>
  <r>
    <s v=""/>
    <n v="59"/>
    <m/>
    <m/>
    <m/>
    <m/>
    <m/>
    <m/>
    <m/>
    <s v="PENGGARIS BESI 20 CM YOEKER"/>
    <n v="3"/>
    <n v="300"/>
    <s v="LSN"/>
    <n v="12500"/>
    <m/>
    <s v="100 LSN"/>
    <m/>
    <m/>
    <m/>
    <m/>
    <m/>
    <n v="3750000"/>
    <n v="0"/>
    <n v="0"/>
    <n v="0"/>
    <n v="0"/>
    <n v="3750000"/>
    <m/>
    <s v=""/>
    <s v=""/>
    <n v="1250000"/>
    <n v="3750000"/>
    <x v="21"/>
    <d v="2024-07-22T00:00:00"/>
    <s v="SO24/2225"/>
    <s v="ANDY (YOEKER)"/>
    <x v="0"/>
    <s v=""/>
    <n v="7"/>
    <s v="penggarisbesi20cmyoeker"/>
    <s v="penggarisbesi20cmyoeker1250000"/>
    <s v="penggarisbesi20cmyoeker1250000"/>
    <s v=""/>
    <n v="1016"/>
    <b v="1"/>
    <s v="100 LSN"/>
    <s v="penggarisbesi20cmyoeker100lsnuntana"/>
    <n v="1016"/>
    <x v="170"/>
    <m/>
  </r>
  <r>
    <s v=""/>
    <n v="59"/>
    <m/>
    <m/>
    <m/>
    <m/>
    <m/>
    <m/>
    <m/>
    <s v="PENGGARIS BESI 40 CM YOEKER"/>
    <n v="1"/>
    <n v="25"/>
    <s v="LSN"/>
    <n v="32500"/>
    <m/>
    <s v="25 LSN"/>
    <m/>
    <m/>
    <m/>
    <m/>
    <m/>
    <n v="812500"/>
    <n v="0"/>
    <n v="0"/>
    <n v="0"/>
    <n v="0"/>
    <n v="812500"/>
    <m/>
    <s v=""/>
    <s v=""/>
    <n v="812500"/>
    <n v="812500"/>
    <x v="21"/>
    <d v="2024-07-22T00:00:00"/>
    <s v="SO24/2225"/>
    <s v="ANDY (YOEKER)"/>
    <x v="0"/>
    <s v=""/>
    <n v="7"/>
    <s v="penggarisbesi40cmyoeker"/>
    <s v="penggarisbesi40cmyoeker812500"/>
    <s v="penggarisbesi40cmyoeker812500"/>
    <s v=""/>
    <n v="1017"/>
    <b v="1"/>
    <s v="25 LSN"/>
    <s v="penggarisbesi40cmyoeker25lsnuntana"/>
    <n v="1017"/>
    <x v="171"/>
    <m/>
  </r>
  <r>
    <s v=""/>
    <n v="59"/>
    <m/>
    <m/>
    <m/>
    <m/>
    <m/>
    <m/>
    <m/>
    <s v="PENGGARIS BESI 50 CM YOEKER"/>
    <n v="1"/>
    <n v="25"/>
    <s v="LSN"/>
    <n v="37500"/>
    <m/>
    <s v="25 LSN"/>
    <m/>
    <m/>
    <m/>
    <m/>
    <m/>
    <n v="937500"/>
    <n v="0"/>
    <n v="0"/>
    <n v="0"/>
    <n v="0"/>
    <n v="937500"/>
    <m/>
    <s v=""/>
    <s v=""/>
    <n v="937500"/>
    <n v="937500"/>
    <x v="21"/>
    <d v="2024-07-22T00:00:00"/>
    <s v="SO24/2225"/>
    <s v="ANDY (YOEKER)"/>
    <x v="0"/>
    <s v=""/>
    <n v="7"/>
    <s v="penggarisbesi50cmyoeker"/>
    <s v="penggarisbesi50cmyoeker937500"/>
    <s v="penggarisbesi50cmyoeker937500"/>
    <s v=""/>
    <n v="1018"/>
    <b v="1"/>
    <s v="25 LSN"/>
    <s v="penggarisbesi50cmyoeker25lsnuntana"/>
    <n v="1018"/>
    <x v="172"/>
    <m/>
  </r>
  <r>
    <s v=""/>
    <n v="59"/>
    <m/>
    <m/>
    <m/>
    <m/>
    <m/>
    <m/>
    <m/>
    <s v="PENGGARIS BESI 60 CM YOEKER"/>
    <n v="2"/>
    <n v="50"/>
    <s v="LSN"/>
    <n v="42500"/>
    <m/>
    <s v="25 LSN"/>
    <m/>
    <m/>
    <m/>
    <m/>
    <m/>
    <n v="2125000"/>
    <n v="0"/>
    <n v="0"/>
    <n v="0"/>
    <n v="0"/>
    <n v="2125000"/>
    <m/>
    <n v="0"/>
    <n v="9575000"/>
    <n v="1062500"/>
    <n v="2125000"/>
    <x v="21"/>
    <d v="2024-07-22T00:00:00"/>
    <s v="SO24/2225"/>
    <s v="ANDY (YOEKER)"/>
    <x v="0"/>
    <s v=""/>
    <n v="7"/>
    <s v="penggarisbesi60cmyoeker"/>
    <s v="penggarisbesi60cmyoeker1062500"/>
    <s v="penggarisbesi60cmyoeker1062500"/>
    <s v=""/>
    <n v="1019"/>
    <b v="1"/>
    <s v="25 LSN"/>
    <s v="penggarisbesi60cmyoeker25lsnuntana"/>
    <n v="1019"/>
    <x v="173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0"/>
    <n v="60"/>
    <m/>
    <s v="SMM"/>
    <s v="UNTANA"/>
    <s v="030/B/VIII/24"/>
    <m/>
    <d v="2024-07-17T00:00:00"/>
    <m/>
    <s v="SEMPOA 17 BARIS JAYA"/>
    <n v="3"/>
    <n v="900"/>
    <s v="PCS"/>
    <n v="7500"/>
    <m/>
    <s v="300 PCS"/>
    <m/>
    <m/>
    <m/>
    <m/>
    <m/>
    <n v="6750000"/>
    <n v="0"/>
    <n v="0"/>
    <n v="0"/>
    <n v="0"/>
    <n v="6750000"/>
    <m/>
    <s v=""/>
    <s v=""/>
    <n v="2250000"/>
    <n v="6750000"/>
    <x v="21"/>
    <d v="2024-07-17T00:00:00"/>
    <s v="030/B/VIII/24"/>
    <s v="SMM"/>
    <x v="0"/>
    <n v="2"/>
    <n v="7"/>
    <s v="sempoa17barisjaya"/>
    <s v="sempoa17barisjaya2250000"/>
    <s v="sempoa17barisjaya2250000"/>
    <s v="SMMUNTANA030/B/VIII/2445490sempoa17barisjaya"/>
    <n v="2876"/>
    <b v="1"/>
    <s v="300 PCS"/>
    <s v="sempoa17barisjaya300pcsuntana"/>
    <n v="2876"/>
    <x v="174"/>
    <m/>
  </r>
  <r>
    <s v=""/>
    <n v="60"/>
    <m/>
    <m/>
    <m/>
    <m/>
    <m/>
    <m/>
    <m/>
    <s v="SEMPOA 13 BARIS JAYA"/>
    <n v="2"/>
    <n v="600"/>
    <s v="PCS"/>
    <n v="7400"/>
    <m/>
    <s v="300 PCS"/>
    <m/>
    <m/>
    <m/>
    <m/>
    <m/>
    <n v="4440000"/>
    <n v="0"/>
    <n v="0"/>
    <n v="0"/>
    <n v="0"/>
    <n v="4440000"/>
    <m/>
    <n v="0"/>
    <n v="11190000"/>
    <n v="2220000"/>
    <n v="4440000"/>
    <x v="21"/>
    <d v="2024-07-17T00:00:00"/>
    <s v="030/B/VIII/24"/>
    <s v="SMM"/>
    <x v="0"/>
    <s v=""/>
    <n v="7"/>
    <s v="sempoa13barisjaya"/>
    <s v="sempoa13barisjaya2220000"/>
    <s v="sempoa13barisjaya2220000"/>
    <s v=""/>
    <n v="2877"/>
    <b v="1"/>
    <s v="300 PCS"/>
    <s v="sempoa13barisjaya300pcsuntana"/>
    <n v="2877"/>
    <x v="17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1"/>
    <n v="61"/>
    <d v="2024-07-25T00:00:00"/>
    <s v="SBS"/>
    <s v="UNTANA"/>
    <s v="TH034/7/2024"/>
    <m/>
    <d v="2024-07-23T00:00:00"/>
    <m/>
    <s v="PERUNCING PAYU PU-823/ MINI/ AYAM"/>
    <n v="7"/>
    <n v="84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n v="10"/>
    <n v="7"/>
    <s v="peruncingpayupu823miniayam"/>
    <s v="peruncingpayupu823miniayam0"/>
    <s v="peruncingpayupu823miniayam0"/>
    <s v="SBSUNTANATH034/7/202445496peruncingpayupu823miniayam"/>
    <n v="2725"/>
    <b v="1"/>
    <s v="120 PCS"/>
    <s v="peruncingpayupu823miniayam120pcsuntana"/>
    <e v="#N/A"/>
    <x v="176"/>
    <m/>
  </r>
  <r>
    <s v=""/>
    <n v="61"/>
    <m/>
    <m/>
    <m/>
    <m/>
    <m/>
    <m/>
    <m/>
    <s v="PERUNCING PAYU PU-830/ MINI/ KUPU"/>
    <n v="5"/>
    <n v="60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30minikupu"/>
    <s v="peruncingpayupu830minikupu0"/>
    <s v="peruncingpayupu830minikupu0"/>
    <s v=""/>
    <n v="2730"/>
    <b v="1"/>
    <s v="120 PCS"/>
    <s v="peruncingpayupu830minikupu120pcsuntana"/>
    <e v="#N/A"/>
    <x v="177"/>
    <m/>
  </r>
  <r>
    <s v=""/>
    <n v="61"/>
    <m/>
    <m/>
    <m/>
    <m/>
    <m/>
    <m/>
    <m/>
    <s v="PERUNCING PAYU PU-831/ MINI/ IKAN"/>
    <n v="5"/>
    <n v="60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31miniikan"/>
    <s v="peruncingpayupu831miniikan0"/>
    <s v="peruncingpayupu831miniikan0"/>
    <s v=""/>
    <n v="2731"/>
    <b v="1"/>
    <s v="120 PCS"/>
    <s v="peruncingpayupu831miniikan120pcsuntana"/>
    <e v="#N/A"/>
    <x v="178"/>
    <m/>
  </r>
  <r>
    <s v=""/>
    <n v="61"/>
    <m/>
    <m/>
    <m/>
    <m/>
    <m/>
    <m/>
    <m/>
    <s v="PERUNCING PAYU PU-845/ MINI/ KEPITING"/>
    <n v="7"/>
    <n v="84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45minikepiting"/>
    <s v="peruncingpayupu845minikepiting0"/>
    <s v="peruncingpayupu845minikepiting0"/>
    <s v=""/>
    <n v="2734"/>
    <b v="1"/>
    <s v="120 PCS"/>
    <s v="peruncingpayupu845minikepiting120pcsuntana"/>
    <e v="#N/A"/>
    <x v="179"/>
    <m/>
  </r>
  <r>
    <s v=""/>
    <n v="61"/>
    <m/>
    <m/>
    <m/>
    <m/>
    <m/>
    <m/>
    <m/>
    <s v="PERUNCING PAYU PU-846/ MINI/ KUDA GOYANG"/>
    <n v="6"/>
    <n v="72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46minikudagoyang"/>
    <s v="peruncingpayupu846minikudagoyang0"/>
    <s v="peruncingpayupu846minikudagoyang0"/>
    <s v=""/>
    <n v="2735"/>
    <b v="1"/>
    <s v="120 PCS"/>
    <s v="peruncingpayupu846minikudagoyang120pcsuntana"/>
    <e v="#N/A"/>
    <x v="180"/>
    <m/>
  </r>
  <r>
    <s v=""/>
    <n v="61"/>
    <m/>
    <m/>
    <m/>
    <m/>
    <m/>
    <m/>
    <m/>
    <s v="PERUNCING PAYU PU-847/ MINI/ KURA"/>
    <n v="6"/>
    <n v="72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47minikura"/>
    <s v="peruncingpayupu847minikura0"/>
    <s v="peruncingpayupu847minikura0"/>
    <s v=""/>
    <n v="2736"/>
    <b v="1"/>
    <s v="120 PCS"/>
    <s v="peruncingpayupu847minikura120pcsuntana"/>
    <e v="#N/A"/>
    <x v="181"/>
    <m/>
  </r>
  <r>
    <s v=""/>
    <n v="61"/>
    <m/>
    <m/>
    <m/>
    <m/>
    <m/>
    <m/>
    <m/>
    <s v="PERUNCING PAYU PU-849/ MINI/ S.BERY"/>
    <n v="5"/>
    <n v="60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49minisbery"/>
    <s v="peruncingpayupu849minisbery0"/>
    <s v="peruncingpayupu849minisbery0"/>
    <s v=""/>
    <n v="2737"/>
    <b v="1"/>
    <s v="120 PCS"/>
    <s v="peruncingpayupu849minisbery120pcsuntana"/>
    <e v="#N/A"/>
    <x v="182"/>
    <m/>
  </r>
  <r>
    <s v=""/>
    <n v="61"/>
    <m/>
    <m/>
    <m/>
    <m/>
    <m/>
    <m/>
    <m/>
    <s v="PERUNCING PAYU PU-827/ MINI/ ANGSA"/>
    <n v="1"/>
    <n v="12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27miniangsa"/>
    <s v="peruncingpayupu827miniangsa0"/>
    <s v="peruncingpayupu827miniangsa0"/>
    <s v=""/>
    <n v="2728"/>
    <b v="1"/>
    <s v="120 PCS"/>
    <s v="peruncingpayupu827miniangsa120pcsuntana"/>
    <e v="#N/A"/>
    <x v="183"/>
    <m/>
  </r>
  <r>
    <s v=""/>
    <n v="61"/>
    <m/>
    <m/>
    <m/>
    <m/>
    <m/>
    <m/>
    <m/>
    <s v="PERUNCING PAYU PU-856"/>
    <n v="6"/>
    <n v="720"/>
    <s v="PCS"/>
    <m/>
    <m/>
    <s v="120 PCS"/>
    <m/>
    <m/>
    <m/>
    <m/>
    <s v="BARANG TITIP"/>
    <s v=""/>
    <s v=""/>
    <s v=""/>
    <s v=""/>
    <s v=""/>
    <s v=""/>
    <m/>
    <s v=""/>
    <s v=""/>
    <n v="0"/>
    <s v=""/>
    <x v="22"/>
    <d v="2024-07-23T00:00:00"/>
    <s v="TH034/7/2024"/>
    <s v="SBS"/>
    <x v="0"/>
    <s v=""/>
    <n v="7"/>
    <s v="peruncingpayupu856"/>
    <s v="peruncingpayupu8560"/>
    <s v="peruncingpayupu8560"/>
    <s v=""/>
    <n v="2739"/>
    <b v="1"/>
    <s v="120 PCS"/>
    <s v="peruncingpayupu856120pcsuntana"/>
    <e v="#N/A"/>
    <x v="184"/>
    <m/>
  </r>
  <r>
    <s v=""/>
    <n v="61"/>
    <m/>
    <m/>
    <m/>
    <m/>
    <m/>
    <m/>
    <m/>
    <s v="ELEVATED TRAY MICROTOP 602 HITAM"/>
    <n v="3"/>
    <n v="36"/>
    <s v="PCS"/>
    <m/>
    <m/>
    <s v="12 PCS"/>
    <m/>
    <m/>
    <m/>
    <m/>
    <s v="BARANG TITIP"/>
    <s v=""/>
    <s v=""/>
    <s v=""/>
    <s v=""/>
    <s v=""/>
    <s v=""/>
    <m/>
    <n v="0"/>
    <n v="0"/>
    <n v="0"/>
    <s v=""/>
    <x v="22"/>
    <d v="2024-07-23T00:00:00"/>
    <s v="TH034/7/2024"/>
    <s v="SBS"/>
    <x v="0"/>
    <s v=""/>
    <n v="7"/>
    <s v="elevatedtraymicrotop602hitam"/>
    <s v="elevatedtraymicrotop602hitam0"/>
    <s v="elevatedtraymicrotop602hitam0"/>
    <s v=""/>
    <n v="927"/>
    <b v="1"/>
    <s v="12 PCS"/>
    <s v="elevatedtraymicrotop602hitam12pcsuntana"/>
    <e v="#N/A"/>
    <x v="18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2"/>
    <n v="62"/>
    <m/>
    <s v="SBS"/>
    <s v="UNTANA"/>
    <s v="WG05288"/>
    <m/>
    <d v="2024-07-20T00:00:00"/>
    <m/>
    <s v="STAMP PAD HERO (K)"/>
    <n v="5"/>
    <n v="120"/>
    <s v="LSN"/>
    <n v="52500"/>
    <m/>
    <s v="24 LSN"/>
    <m/>
    <m/>
    <m/>
    <m/>
    <m/>
    <n v="6300000"/>
    <n v="0"/>
    <n v="0"/>
    <n v="0"/>
    <n v="0"/>
    <n v="6300000"/>
    <m/>
    <n v="0"/>
    <n v="6300000"/>
    <n v="1260000"/>
    <n v="6300000"/>
    <x v="22"/>
    <d v="2024-07-20T00:00:00"/>
    <s v="WG05288"/>
    <s v="SBS"/>
    <x v="0"/>
    <n v="1"/>
    <n v="7"/>
    <s v="stamppadherok"/>
    <s v="stamppadherok1260000"/>
    <s v="stamppadherok1260000"/>
    <s v="SBSUNTANAWG0528845493stamppadherok"/>
    <n v="2939"/>
    <b v="1"/>
    <s v="24 LSN"/>
    <s v="stamppadherok24lsnuntana"/>
    <n v="2939"/>
    <x v="186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3"/>
    <n v="63"/>
    <m/>
    <s v="D-R"/>
    <s v="UNTANA"/>
    <s v="CDS2407063"/>
    <m/>
    <d v="2024-07-22T00:00:00"/>
    <m/>
    <s v="CUTTER BESAR 88 TACO"/>
    <n v="12"/>
    <n v="720"/>
    <s v="LSN"/>
    <n v="31000"/>
    <m/>
    <s v="60 LSN"/>
    <n v="0.19"/>
    <n v="0.1"/>
    <m/>
    <m/>
    <m/>
    <n v="22320000"/>
    <n v="4240800"/>
    <n v="1807920"/>
    <n v="0"/>
    <n v="6048720"/>
    <n v="16271280"/>
    <m/>
    <s v=""/>
    <s v=""/>
    <n v="1860000"/>
    <n v="22320000"/>
    <x v="22"/>
    <d v="2024-07-22T00:00:00"/>
    <s v="CDS2407063"/>
    <s v="D-R"/>
    <x v="0"/>
    <n v="2"/>
    <n v="7"/>
    <s v="cutterbesar88taco"/>
    <s v="cutterbesar88taco18600000,190,1"/>
    <s v="cutterbesar88taco18600000,190,1"/>
    <s v="D-RUNTANACDS240706345495cutterbesar88taco"/>
    <n v="791"/>
    <b v="1"/>
    <s v="60 LSN"/>
    <s v="cutterbesar88taco60lsnuntana"/>
    <n v="791"/>
    <x v="187"/>
    <m/>
  </r>
  <r>
    <s v=""/>
    <n v="63"/>
    <m/>
    <m/>
    <m/>
    <m/>
    <m/>
    <m/>
    <m/>
    <s v="CUTTER BESAR 88 TACO"/>
    <n v="1"/>
    <n v="60"/>
    <s v="LSN"/>
    <n v="31000"/>
    <m/>
    <s v="60 LSN"/>
    <n v="1"/>
    <m/>
    <m/>
    <m/>
    <s v="BONUS"/>
    <n v="1860000"/>
    <n v="1860000"/>
    <n v="0"/>
    <n v="0"/>
    <n v="1860000"/>
    <n v="0"/>
    <m/>
    <n v="7908720"/>
    <n v="16271280"/>
    <n v="1860000"/>
    <n v="1860000"/>
    <x v="22"/>
    <d v="2024-07-22T00:00:00"/>
    <s v="CDS2407063"/>
    <s v="D-R"/>
    <x v="0"/>
    <s v=""/>
    <n v="7"/>
    <s v="cutterbesar88taco"/>
    <s v="cutterbesar88taco18600001"/>
    <s v="cutterbesar88taco18600001"/>
    <s v=""/>
    <n v="791"/>
    <b v="1"/>
    <s v="60 LSN"/>
    <s v="cutterbesar88taco60lsnuntana"/>
    <n v="791"/>
    <x v="188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4"/>
    <n v="64"/>
    <m/>
    <s v="BINTANG SAUDARA"/>
    <s v="UNTANA"/>
    <s v="SO2024070087011"/>
    <m/>
    <d v="2024-07-22T00:00:00"/>
    <m/>
    <s v="ACRYLIC SISIPAN KERTAS A4 T (21X30 CM)"/>
    <n v="1"/>
    <n v="40"/>
    <s v="PCS"/>
    <n v="51000"/>
    <m/>
    <s v="40 PCS"/>
    <m/>
    <m/>
    <m/>
    <m/>
    <m/>
    <n v="2040000"/>
    <n v="0"/>
    <n v="0"/>
    <n v="0"/>
    <n v="0"/>
    <n v="2040000"/>
    <m/>
    <s v=""/>
    <s v=""/>
    <n v="2040000"/>
    <n v="2040000"/>
    <x v="22"/>
    <d v="2024-07-22T00:00:00"/>
    <s v="SO2024070087011"/>
    <s v="BINTANG SAUDARA"/>
    <x v="0"/>
    <n v="3"/>
    <n v="7"/>
    <s v="acrylicsisipankertasa4t21x30cm"/>
    <s v="acrylicsisipankertasa4t21x30cm2040000"/>
    <s v="acrylicsisipankertasa4t21x30cm2040000"/>
    <s v="BINTANG SAUDARAUNTANASO202407008701145495acrylicsisipankertasa4t21x30cm"/>
    <n v="43"/>
    <b v="1"/>
    <s v="40 PCS"/>
    <s v="acrylicsisipankertasa4t21x30cm40pcsuntana"/>
    <n v="43"/>
    <x v="189"/>
    <m/>
  </r>
  <r>
    <s v=""/>
    <n v="64"/>
    <m/>
    <m/>
    <m/>
    <m/>
    <m/>
    <m/>
    <m/>
    <s v="ACRYLIC SISIPAN KERTAS A5 (15 X21 CM)"/>
    <n v="1"/>
    <n v="60"/>
    <s v="PCS"/>
    <n v="28500"/>
    <m/>
    <s v="60 PCS"/>
    <m/>
    <m/>
    <m/>
    <m/>
    <m/>
    <n v="1710000"/>
    <n v="0"/>
    <n v="0"/>
    <n v="0"/>
    <n v="0"/>
    <n v="1710000"/>
    <m/>
    <s v=""/>
    <s v=""/>
    <n v="1710000"/>
    <n v="1710000"/>
    <x v="22"/>
    <d v="2024-07-22T00:00:00"/>
    <s v="SO2024070087011"/>
    <s v="BINTANG SAUDARA"/>
    <x v="0"/>
    <s v=""/>
    <n v="7"/>
    <s v="acrylicsisipankertasa515x21cm"/>
    <s v="acrylicsisipankertasa515x21cm1710000"/>
    <s v="acrylicsisipankertasa515x21cm1710000"/>
    <s v=""/>
    <n v="44"/>
    <b v="1"/>
    <s v="60 PCS"/>
    <s v="acrylicsisipankertasa515x21cm60pcsuntana"/>
    <n v="44"/>
    <x v="190"/>
    <m/>
  </r>
  <r>
    <s v=""/>
    <n v="64"/>
    <m/>
    <m/>
    <m/>
    <m/>
    <m/>
    <m/>
    <m/>
    <s v="ACRYLIC SISIPAN KERTAS FOLIO (21.5X33CM)"/>
    <n v="1"/>
    <n v="40"/>
    <s v="PCS"/>
    <n v="50000"/>
    <m/>
    <s v="40 PCS"/>
    <m/>
    <m/>
    <m/>
    <m/>
    <m/>
    <n v="2000000"/>
    <n v="0"/>
    <n v="0"/>
    <n v="0"/>
    <n v="0"/>
    <n v="2000000"/>
    <m/>
    <n v="0"/>
    <n v="5750000"/>
    <n v="2000000"/>
    <n v="2000000"/>
    <x v="22"/>
    <d v="2024-07-22T00:00:00"/>
    <s v="SO2024070087011"/>
    <s v="BINTANG SAUDARA"/>
    <x v="0"/>
    <s v=""/>
    <n v="7"/>
    <s v="acrylicsisipankertasfolio215x33cm"/>
    <s v="acrylicsisipankertasfolio215x33cm2000000"/>
    <s v="acrylicsisipankertasfolio215x33cm2000000"/>
    <s v=""/>
    <n v="47"/>
    <b v="1"/>
    <s v="40 PCS"/>
    <s v="acrylicsisipankertasfolio215x33cm40pcsuntana"/>
    <n v="47"/>
    <x v="191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5"/>
    <n v="65"/>
    <m/>
    <s v="WIN'S SENTOSA"/>
    <s v="UNTANA"/>
    <s v="SI-2024/07-0207/M"/>
    <m/>
    <d v="2024-07-27T00:00:00"/>
    <m/>
    <s v="GLUE STICK 7X29"/>
    <n v="15"/>
    <n v="375"/>
    <s v="PCS"/>
    <n v="39000"/>
    <m/>
    <s v="25 PCS"/>
    <m/>
    <m/>
    <m/>
    <m/>
    <m/>
    <n v="14625000"/>
    <n v="0"/>
    <n v="0"/>
    <n v="0"/>
    <n v="0"/>
    <n v="14625000"/>
    <m/>
    <s v=""/>
    <s v=""/>
    <n v="975000"/>
    <n v="14625000"/>
    <x v="22"/>
    <d v="2024-07-27T00:00:00"/>
    <s v="SI-2024/07-0207/M"/>
    <s v="WIN'S SENTOSA"/>
    <x v="0"/>
    <n v="4"/>
    <n v="7"/>
    <s v="gluestick7x29"/>
    <s v="gluestick7x29975000"/>
    <s v="gluestick7x29975000"/>
    <s v="WIN'S SENTOSAUNTANASI-2024/07-0207/M45500gluestick7x29"/>
    <n v="1384"/>
    <b v="1"/>
    <s v="25 PCS"/>
    <s v="gluestick7x2925pcsuntana"/>
    <n v="1384"/>
    <x v="192"/>
    <m/>
  </r>
  <r>
    <s v=""/>
    <n v="65"/>
    <m/>
    <m/>
    <m/>
    <m/>
    <m/>
    <m/>
    <m/>
    <s v="GLUE STICK 11 X 29"/>
    <n v="10"/>
    <n v="250"/>
    <s v="PCS"/>
    <n v="39000"/>
    <m/>
    <s v="25 PCS"/>
    <m/>
    <m/>
    <m/>
    <m/>
    <m/>
    <n v="9750000"/>
    <n v="0"/>
    <n v="0"/>
    <n v="0"/>
    <n v="0"/>
    <n v="9750000"/>
    <m/>
    <s v=""/>
    <s v=""/>
    <n v="975000"/>
    <n v="9750000"/>
    <x v="22"/>
    <d v="2024-07-27T00:00:00"/>
    <s v="SI-2024/07-0207/M"/>
    <s v="WIN'S SENTOSA"/>
    <x v="0"/>
    <s v=""/>
    <n v="7"/>
    <s v="gluestick11x29"/>
    <s v="gluestick11x29975000"/>
    <s v="gluestick11x29975000"/>
    <s v=""/>
    <n v="1382"/>
    <b v="1"/>
    <s v="25 PCS"/>
    <s v="gluestick11x2925pcsuntana"/>
    <n v="1382"/>
    <x v="193"/>
    <m/>
  </r>
  <r>
    <s v=""/>
    <n v="65"/>
    <m/>
    <m/>
    <m/>
    <m/>
    <m/>
    <m/>
    <m/>
    <s v="TEROMPET TR OW-02"/>
    <n v="3"/>
    <n v="360"/>
    <s v="PCS"/>
    <n v="13750"/>
    <m/>
    <s v="120 PCS"/>
    <m/>
    <m/>
    <m/>
    <m/>
    <m/>
    <n v="4950000"/>
    <n v="0"/>
    <n v="0"/>
    <n v="0"/>
    <n v="0"/>
    <n v="4950000"/>
    <m/>
    <s v=""/>
    <s v=""/>
    <n v="1650000"/>
    <n v="4950000"/>
    <x v="22"/>
    <d v="2024-07-27T00:00:00"/>
    <s v="SI-2024/07-0207/M"/>
    <s v="WIN'S SENTOSA"/>
    <x v="0"/>
    <s v=""/>
    <n v="7"/>
    <s v="terompettrow02"/>
    <s v="terompettrow021650000"/>
    <s v="terompettrow021650000"/>
    <s v=""/>
    <e v="#N/A"/>
    <b v="1"/>
    <s v="120 PCS"/>
    <s v="terompettrow02120pcsuntana"/>
    <e v="#N/A"/>
    <x v="194"/>
    <m/>
  </r>
  <r>
    <s v=""/>
    <n v="65"/>
    <m/>
    <m/>
    <m/>
    <m/>
    <m/>
    <m/>
    <m/>
    <s v="RULER 30CM ISI 40"/>
    <n v="2"/>
    <n v="3200"/>
    <s v="PCS"/>
    <n v="1000"/>
    <m/>
    <s v="1600 PCS"/>
    <m/>
    <m/>
    <m/>
    <m/>
    <m/>
    <n v="3200000"/>
    <n v="0"/>
    <n v="0"/>
    <n v="0"/>
    <n v="0"/>
    <n v="3200000"/>
    <m/>
    <n v="0"/>
    <n v="32525000"/>
    <n v="1600000"/>
    <n v="3200000"/>
    <x v="22"/>
    <d v="2024-07-27T00:00:00"/>
    <s v="SI-2024/07-0207/M"/>
    <s v="WIN'S SENTOSA"/>
    <x v="0"/>
    <s v=""/>
    <n v="7"/>
    <s v="ruler30cmisi40"/>
    <s v="ruler30cmisi401600000"/>
    <s v="ruler30cmisi401600000"/>
    <s v=""/>
    <n v="2238"/>
    <b v="1"/>
    <s v="1600 PCS"/>
    <s v="ruler30cmisi401600pcsuntana"/>
    <n v="2238"/>
    <x v="195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n v="66"/>
    <n v="66"/>
    <m/>
    <s v="DB STATIONERI"/>
    <s v="UNTANA"/>
    <s v="JUG225824"/>
    <m/>
    <d v="2024-07-23T00:00:00"/>
    <m/>
    <s v="MEK PENSIL TIZO TM01730"/>
    <n v="1"/>
    <n v="144"/>
    <s v="LSN"/>
    <n v="17500"/>
    <m/>
    <s v="144 LSN"/>
    <m/>
    <m/>
    <m/>
    <m/>
    <m/>
    <n v="2520000"/>
    <n v="0"/>
    <n v="0"/>
    <n v="0"/>
    <n v="0"/>
    <n v="2520000"/>
    <m/>
    <s v=""/>
    <s v=""/>
    <n v="2520000"/>
    <n v="2520000"/>
    <x v="22"/>
    <d v="2024-07-23T00:00:00"/>
    <s v="JUG225824"/>
    <s v="DB STATIONERI"/>
    <x v="0"/>
    <n v="5"/>
    <n v="7"/>
    <s v="mekpensiltizotm01730"/>
    <s v="mekpensiltizotm017302520000"/>
    <s v="mekpensiltizotm017302520000"/>
    <s v="DB STATIONERIUNTANAJUG22582445496mekpensiltizotm01730"/>
    <n v="2167"/>
    <b v="1"/>
    <s v="144 LSN"/>
    <s v="mekpensiltizotm01730144lsnuntana"/>
    <n v="2167"/>
    <x v="196"/>
    <m/>
  </r>
  <r>
    <s v=""/>
    <n v="66"/>
    <m/>
    <m/>
    <m/>
    <m/>
    <m/>
    <m/>
    <m/>
    <s v="TP BD XLG BD191-27"/>
    <n v="1"/>
    <n v="180"/>
    <s v="PCS"/>
    <n v="17000"/>
    <m/>
    <s v="180 PCS"/>
    <m/>
    <m/>
    <m/>
    <m/>
    <m/>
    <n v="3060000"/>
    <n v="0"/>
    <n v="0"/>
    <n v="0"/>
    <n v="0"/>
    <n v="3060000"/>
    <m/>
    <s v=""/>
    <s v=""/>
    <n v="3060000"/>
    <n v="3060000"/>
    <x v="22"/>
    <d v="2024-07-23T00:00:00"/>
    <s v="JUG225824"/>
    <s v="DB STATIONERI"/>
    <x v="0"/>
    <s v=""/>
    <n v="7"/>
    <s v="tpbdxlgbd19127"/>
    <s v="tpbdxlgbd191273060000"/>
    <s v="tpbdxlgbd191273060000"/>
    <s v=""/>
    <n v="3433"/>
    <b v="1"/>
    <s v="180 PCS"/>
    <s v="tpbdxlgbd19127180pcsuntana"/>
    <n v="3433"/>
    <x v="197"/>
    <m/>
  </r>
  <r>
    <s v=""/>
    <n v="66"/>
    <m/>
    <m/>
    <m/>
    <m/>
    <m/>
    <m/>
    <m/>
    <s v="TP BD XLG BD193-27"/>
    <n v="1"/>
    <n v="180"/>
    <s v="PCS"/>
    <n v="16000"/>
    <m/>
    <s v="180 PCS"/>
    <m/>
    <m/>
    <m/>
    <m/>
    <m/>
    <n v="2880000"/>
    <n v="0"/>
    <n v="0"/>
    <n v="0"/>
    <n v="0"/>
    <n v="2880000"/>
    <m/>
    <s v=""/>
    <s v=""/>
    <n v="2880000"/>
    <n v="2880000"/>
    <x v="22"/>
    <d v="2024-07-23T00:00:00"/>
    <s v="JUG225824"/>
    <s v="DB STATIONERI"/>
    <x v="0"/>
    <s v=""/>
    <n v="7"/>
    <s v="tpbdxlgbd19327"/>
    <s v="tpbdxlgbd193272880000"/>
    <s v="tpbdxlgbd193272880000"/>
    <s v=""/>
    <n v="3434"/>
    <b v="1"/>
    <s v="180 PCS"/>
    <s v="tpbdxlgbd19327180pcsuntana"/>
    <n v="3434"/>
    <x v="198"/>
    <m/>
  </r>
  <r>
    <s v=""/>
    <n v="66"/>
    <m/>
    <m/>
    <m/>
    <m/>
    <m/>
    <m/>
    <m/>
    <s v="TP BD XLG BD194-26"/>
    <n v="1"/>
    <n v="180"/>
    <s v="PCS"/>
    <n v="16000"/>
    <m/>
    <s v="180 PCS"/>
    <m/>
    <m/>
    <m/>
    <m/>
    <m/>
    <n v="2880000"/>
    <n v="0"/>
    <n v="0"/>
    <n v="0"/>
    <n v="0"/>
    <n v="2880000"/>
    <m/>
    <s v=""/>
    <s v=""/>
    <n v="2880000"/>
    <n v="2880000"/>
    <x v="22"/>
    <d v="2024-07-23T00:00:00"/>
    <s v="JUG225824"/>
    <s v="DB STATIONERI"/>
    <x v="0"/>
    <s v=""/>
    <n v="7"/>
    <s v="tpbdxlgbd19426"/>
    <s v="tpbdxlgbd194262880000"/>
    <s v="tpbdxlgbd194262880000"/>
    <s v=""/>
    <n v="3435"/>
    <b v="1"/>
    <s v="180 PCS"/>
    <s v="tpbdxlgbd19426180pcsuntana"/>
    <n v="3435"/>
    <x v="199"/>
    <m/>
  </r>
  <r>
    <s v=""/>
    <n v="66"/>
    <m/>
    <m/>
    <m/>
    <m/>
    <m/>
    <m/>
    <m/>
    <s v="TP BD XLG BD331-23"/>
    <n v="1"/>
    <n v="180"/>
    <s v="PCS"/>
    <n v="11000"/>
    <m/>
    <s v="180 PCS"/>
    <m/>
    <m/>
    <m/>
    <m/>
    <m/>
    <n v="1980000"/>
    <n v="0"/>
    <n v="0"/>
    <n v="0"/>
    <n v="0"/>
    <n v="1980000"/>
    <m/>
    <n v="0"/>
    <n v="13320000"/>
    <n v="1980000"/>
    <n v="1980000"/>
    <x v="22"/>
    <d v="2024-07-23T00:00:00"/>
    <s v="JUG225824"/>
    <s v="DB STATIONERI"/>
    <x v="0"/>
    <s v=""/>
    <n v="7"/>
    <s v="tpbdxlgbd33123"/>
    <s v="tpbdxlgbd331231980000"/>
    <s v="tpbdxlgbd331231980000"/>
    <s v=""/>
    <n v="3438"/>
    <b v="1"/>
    <s v="180 PCS"/>
    <s v="tpbdxlgbd33123180pcsuntana"/>
    <n v="3438"/>
    <x v="200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  <r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205" firstHeaderRow="1" firstDataRow="1" firstDataCol="1" rowPageCount="2" colPageCount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7">
        <item x="1"/>
        <item h="1" m="1" x="73"/>
        <item h="1" m="1" x="83"/>
        <item h="1" m="1" x="78"/>
        <item h="1" m="1" x="58"/>
        <item h="1" m="1" x="71"/>
        <item h="1" m="1" x="62"/>
        <item h="1" m="1" x="76"/>
        <item h="1" m="1" x="81"/>
        <item h="1" m="1" x="60"/>
        <item h="1" m="1" x="74"/>
        <item h="1" m="1" x="56"/>
        <item h="1" m="1" x="67"/>
        <item h="1" m="1" x="84"/>
        <item m="1" x="59"/>
        <item m="1" x="72"/>
        <item m="1" x="55"/>
        <item m="1" x="82"/>
        <item m="1" x="69"/>
        <item m="1" x="65"/>
        <item m="1" x="80"/>
        <item h="1" m="1" x="79"/>
        <item h="1" m="1" x="70"/>
        <item h="1" m="1" x="85"/>
        <item h="1" m="1" x="66"/>
        <item h="1" m="1" x="57"/>
        <item h="1" m="1" x="63"/>
        <item h="1" m="1" x="77"/>
        <item h="1" m="1" x="61"/>
        <item h="1" m="1" x="75"/>
        <item m="1" x="68"/>
        <item m="1" x="64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23"/>
        <item m="1" x="24"/>
        <item m="1" x="25"/>
        <item m="1" x="54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5">
        <item x="0"/>
        <item x="1"/>
        <item x="2"/>
        <item x="3"/>
        <item m="1" x="291"/>
        <item x="5"/>
        <item x="6"/>
        <item x="7"/>
        <item x="8"/>
        <item m="1" x="206"/>
        <item x="9"/>
        <item m="1" x="207"/>
        <item x="10"/>
        <item m="1" x="201"/>
        <item x="11"/>
        <item x="12"/>
        <item x="13"/>
        <item m="1" x="202"/>
        <item x="14"/>
        <item x="15"/>
        <item m="1" x="203"/>
        <item x="16"/>
        <item x="17"/>
        <item m="1" x="204"/>
        <item x="18"/>
        <item x="19"/>
        <item x="20"/>
        <item x="21"/>
        <item x="22"/>
        <item x="23"/>
        <item m="1" x="205"/>
        <item x="24"/>
        <item x="25"/>
        <item m="1" x="208"/>
        <item x="26"/>
        <item m="1" x="209"/>
        <item x="27"/>
        <item m="1" x="210"/>
        <item x="28"/>
        <item m="1" x="211"/>
        <item x="29"/>
        <item m="1" x="212"/>
        <item x="30"/>
        <item m="1" x="213"/>
        <item x="31"/>
        <item m="1" x="214"/>
        <item x="32"/>
        <item m="1" x="215"/>
        <item x="33"/>
        <item x="34"/>
        <item x="35"/>
        <item x="36"/>
        <item x="37"/>
        <item x="38"/>
        <item x="39"/>
        <item x="40"/>
        <item x="41"/>
        <item x="42"/>
        <item m="1" x="216"/>
        <item x="43"/>
        <item m="1" x="217"/>
        <item x="44"/>
        <item x="45"/>
        <item x="46"/>
        <item x="47"/>
        <item x="48"/>
        <item x="49"/>
        <item x="50"/>
        <item x="51"/>
        <item x="52"/>
        <item x="53"/>
        <item m="1" x="257"/>
        <item x="54"/>
        <item m="1" x="218"/>
        <item x="55"/>
        <item m="1" x="219"/>
        <item x="56"/>
        <item m="1" x="258"/>
        <item x="57"/>
        <item x="58"/>
        <item x="59"/>
        <item m="1" x="220"/>
        <item x="60"/>
        <item m="1" x="221"/>
        <item x="61"/>
        <item x="62"/>
        <item x="63"/>
        <item m="1" x="222"/>
        <item x="64"/>
        <item m="1" x="223"/>
        <item x="65"/>
        <item m="1" x="256"/>
        <item x="66"/>
        <item x="67"/>
        <item x="68"/>
        <item m="1" x="224"/>
        <item x="69"/>
        <item x="70"/>
        <item m="1" x="225"/>
        <item x="71"/>
        <item m="1" x="226"/>
        <item x="72"/>
        <item m="1" x="227"/>
        <item x="73"/>
        <item x="74"/>
        <item x="75"/>
        <item x="76"/>
        <item m="1" x="228"/>
        <item x="77"/>
        <item x="78"/>
        <item x="79"/>
        <item x="80"/>
        <item m="1" x="259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m="1" x="229"/>
        <item x="93"/>
        <item x="94"/>
        <item x="95"/>
        <item x="96"/>
        <item x="97"/>
        <item x="98"/>
        <item x="99"/>
        <item x="100"/>
        <item x="101"/>
        <item m="1" x="230"/>
        <item x="102"/>
        <item x="103"/>
        <item m="1" x="231"/>
        <item x="104"/>
        <item m="1" x="232"/>
        <item x="105"/>
        <item x="106"/>
        <item x="107"/>
        <item m="1" x="233"/>
        <item x="108"/>
        <item x="109"/>
        <item x="110"/>
        <item x="111"/>
        <item x="112"/>
        <item x="113"/>
        <item x="114"/>
        <item x="115"/>
        <item x="116"/>
        <item m="1" x="234"/>
        <item x="117"/>
        <item m="1" x="260"/>
        <item x="118"/>
        <item x="119"/>
        <item m="1" x="235"/>
        <item x="120"/>
        <item x="121"/>
        <item m="1" x="236"/>
        <item x="122"/>
        <item x="123"/>
        <item x="124"/>
        <item m="1" x="237"/>
        <item x="125"/>
        <item m="1" x="238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m="1" x="239"/>
        <item x="138"/>
        <item x="139"/>
        <item m="1" x="240"/>
        <item x="140"/>
        <item x="141"/>
        <item m="1" x="241"/>
        <item x="142"/>
        <item x="143"/>
        <item m="1" x="242"/>
        <item x="144"/>
        <item x="145"/>
        <item m="1" x="243"/>
        <item x="146"/>
        <item m="1" x="244"/>
        <item x="147"/>
        <item x="148"/>
        <item m="1" x="245"/>
        <item x="149"/>
        <item m="1" x="246"/>
        <item x="150"/>
        <item x="151"/>
        <item m="1" x="247"/>
        <item x="152"/>
        <item m="1" x="261"/>
        <item x="153"/>
        <item x="154"/>
        <item x="155"/>
        <item m="1" x="262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m="1" x="248"/>
        <item x="167"/>
        <item m="1" x="263"/>
        <item x="168"/>
        <item m="1" x="249"/>
        <item x="169"/>
        <item x="170"/>
        <item x="171"/>
        <item x="172"/>
        <item x="173"/>
        <item m="1" x="250"/>
        <item x="174"/>
        <item x="175"/>
        <item m="1" x="251"/>
        <item x="176"/>
        <item x="177"/>
        <item x="178"/>
        <item x="179"/>
        <item x="180"/>
        <item x="181"/>
        <item x="182"/>
        <item x="183"/>
        <item x="184"/>
        <item x="185"/>
        <item m="1" x="308"/>
        <item x="186"/>
        <item m="1" x="252"/>
        <item x="187"/>
        <item x="188"/>
        <item m="1" x="253"/>
        <item x="189"/>
        <item x="190"/>
        <item x="191"/>
        <item m="1" x="254"/>
        <item x="192"/>
        <item x="193"/>
        <item x="194"/>
        <item x="195"/>
        <item m="1" x="255"/>
        <item x="196"/>
        <item x="197"/>
        <item x="198"/>
        <item x="199"/>
        <item x="200"/>
        <item m="1" x="447"/>
        <item m="1" x="381"/>
        <item m="1" x="324"/>
        <item m="1" x="460"/>
        <item m="1" x="397"/>
        <item m="1" x="337"/>
        <item m="1" x="274"/>
        <item m="1" x="410"/>
        <item m="1" x="292"/>
        <item m="1" x="425"/>
        <item m="1" x="363"/>
        <item m="1" x="304"/>
        <item m="1" x="440"/>
        <item m="1" x="376"/>
        <item m="1" x="391"/>
        <item m="1" x="331"/>
        <item m="1" x="269"/>
        <item m="1" x="404"/>
        <item m="1" x="285"/>
        <item m="1" x="359"/>
        <item m="1" x="433"/>
        <item m="1" x="313"/>
        <item m="1" x="451"/>
        <item m="1" x="279"/>
        <item m="1" x="353"/>
        <item m="1" x="321"/>
        <item m="1" x="394"/>
        <item m="1" x="334"/>
        <item m="1" x="408"/>
        <item m="1" x="347"/>
        <item m="1" x="288"/>
        <item m="1" x="422"/>
        <item m="1" x="301"/>
        <item m="1" x="437"/>
        <item m="1" x="374"/>
        <item m="1" x="316"/>
        <item m="1" x="453"/>
        <item m="1" x="328"/>
        <item m="1" x="267"/>
        <item m="1" x="402"/>
        <item m="1" x="342"/>
        <item m="1" x="282"/>
        <item m="1" x="417"/>
        <item m="1" x="357"/>
        <item m="1" x="297"/>
        <item m="1" x="382"/>
        <item m="1" x="461"/>
        <item m="1" x="338"/>
        <item m="1" x="275"/>
        <item m="1" x="411"/>
        <item m="1" x="350"/>
        <item m="1" x="293"/>
        <item m="1" x="426"/>
        <item m="1" x="305"/>
        <item m="1" x="441"/>
        <item m="1" x="319"/>
        <item m="1" x="456"/>
        <item m="1" x="392"/>
        <item m="1" x="332"/>
        <item m="1" x="270"/>
        <item m="1" x="405"/>
        <item m="1" x="345"/>
        <item m="1" x="286"/>
        <item m="1" x="360"/>
        <item m="1" x="299"/>
        <item m="1" x="434"/>
        <item m="1" x="371"/>
        <item m="1" x="452"/>
        <item m="1" x="386"/>
        <item m="1" x="264"/>
        <item m="1" x="400"/>
        <item m="1" x="280"/>
        <item m="1" x="415"/>
        <item m="1" x="354"/>
        <item m="1" x="429"/>
        <item m="1" x="366"/>
        <item m="1" x="309"/>
        <item m="1" x="444"/>
        <item m="1" x="379"/>
        <item m="1" x="322"/>
        <item m="1" x="459"/>
        <item m="1" x="395"/>
        <item m="1" x="335"/>
        <item m="1" x="272"/>
        <item m="1" x="348"/>
        <item m="1" x="289"/>
        <item m="1" x="423"/>
        <item m="1" x="302"/>
        <item m="1" x="438"/>
        <item m="1" x="317"/>
        <item m="1" x="454"/>
        <item m="1" x="389"/>
        <item m="1" x="329"/>
        <item m="1" x="403"/>
        <item m="1" x="343"/>
        <item m="1" x="283"/>
        <item m="1" x="418"/>
        <item m="1" x="358"/>
        <item m="1" x="431"/>
        <item m="1" x="368"/>
        <item m="1" x="311"/>
        <item m="1" x="448"/>
        <item m="1" x="383"/>
        <item m="1" x="325"/>
        <item m="1" x="462"/>
        <item m="1" x="339"/>
        <item m="1" x="276"/>
        <item m="1" x="412"/>
        <item m="1" x="351"/>
        <item m="1" x="294"/>
        <item m="1" x="427"/>
        <item m="1" x="364"/>
        <item m="1" x="306"/>
        <item m="1" x="442"/>
        <item m="1" x="377"/>
        <item m="1" x="457"/>
        <item m="1" x="393"/>
        <item m="1" x="271"/>
        <item m="1" x="406"/>
        <item m="1" x="346"/>
        <item m="1" x="420"/>
        <item m="1" x="361"/>
        <item m="1" x="435"/>
        <item m="1" x="372"/>
        <item m="1" x="314"/>
        <item m="1" x="387"/>
        <item m="1" x="326"/>
        <item m="1" x="265"/>
        <item m="1" x="401"/>
        <item m="1" x="355"/>
        <item m="1" x="295"/>
        <item m="1" x="367"/>
        <item m="1" x="310"/>
        <item m="1" x="445"/>
        <item m="1" x="380"/>
        <item m="1" x="323"/>
        <item m="1" x="396"/>
        <item m="1" x="336"/>
        <item m="1" x="273"/>
        <item m="1" x="409"/>
        <item m="1" x="349"/>
        <item m="1" x="290"/>
        <item m="1" x="424"/>
        <item m="1" x="362"/>
        <item m="1" x="303"/>
        <item m="1" x="439"/>
        <item m="1" x="375"/>
        <item m="1" x="318"/>
        <item m="1" x="455"/>
        <item m="1" x="390"/>
        <item m="1" x="330"/>
        <item m="1" x="268"/>
        <item m="1" x="344"/>
        <item m="1" x="284"/>
        <item m="1" x="419"/>
        <item m="1" x="298"/>
        <item m="1" x="432"/>
        <item m="1" x="369"/>
        <item m="1" x="449"/>
        <item m="1" x="384"/>
        <item m="1" x="463"/>
        <item m="1" x="398"/>
        <item m="1" x="340"/>
        <item m="1" x="277"/>
        <item m="1" x="413"/>
        <item m="1" x="352"/>
        <item m="1" x="428"/>
        <item m="1" x="365"/>
        <item m="1" x="307"/>
        <item m="1" x="443"/>
        <item m="1" x="378"/>
        <item m="1" x="320"/>
        <item m="1" x="458"/>
        <item m="1" x="333"/>
        <item m="1" x="407"/>
        <item m="1" x="287"/>
        <item m="1" x="421"/>
        <item m="1" x="300"/>
        <item m="1" x="436"/>
        <item m="1" x="373"/>
        <item m="1" x="315"/>
        <item m="1" x="388"/>
        <item m="1" x="327"/>
        <item m="1" x="266"/>
        <item m="1" x="370"/>
        <item m="1" x="341"/>
        <item m="1" x="312"/>
        <item m="1" x="281"/>
        <item m="1" x="450"/>
        <item m="1" x="416"/>
        <item m="1" x="385"/>
        <item m="1" x="356"/>
        <item m="1" x="296"/>
        <item m="1" x="464"/>
        <item m="1" x="430"/>
        <item m="1" x="399"/>
        <item m="1" x="278"/>
        <item m="1" x="446"/>
        <item m="1" x="414"/>
        <item x="4"/>
      </items>
    </pivotField>
    <pivotField showAll="0"/>
  </pivotFields>
  <rowFields count="1">
    <field x="48"/>
  </rowFields>
  <rowItems count="20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2"/>
    </i>
    <i>
      <x v="14"/>
    </i>
    <i>
      <x v="15"/>
    </i>
    <i>
      <x v="16"/>
    </i>
    <i>
      <x v="18"/>
    </i>
    <i>
      <x v="19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4"/>
    </i>
    <i>
      <x v="76"/>
    </i>
    <i>
      <x v="78"/>
    </i>
    <i>
      <x v="79"/>
    </i>
    <i>
      <x v="80"/>
    </i>
    <i>
      <x v="82"/>
    </i>
    <i>
      <x v="84"/>
    </i>
    <i>
      <x v="85"/>
    </i>
    <i>
      <x v="86"/>
    </i>
    <i>
      <x v="88"/>
    </i>
    <i>
      <x v="90"/>
    </i>
    <i>
      <x v="92"/>
    </i>
    <i>
      <x v="93"/>
    </i>
    <i>
      <x v="94"/>
    </i>
    <i>
      <x v="96"/>
    </i>
    <i>
      <x v="97"/>
    </i>
    <i>
      <x v="99"/>
    </i>
    <i>
      <x v="101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6"/>
    </i>
    <i>
      <x v="137"/>
    </i>
    <i>
      <x v="139"/>
    </i>
    <i>
      <x v="141"/>
    </i>
    <i>
      <x v="142"/>
    </i>
    <i>
      <x v="143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5"/>
    </i>
    <i>
      <x v="157"/>
    </i>
    <i>
      <x v="158"/>
    </i>
    <i>
      <x v="160"/>
    </i>
    <i>
      <x v="161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5"/>
    </i>
    <i>
      <x v="186"/>
    </i>
    <i>
      <x v="188"/>
    </i>
    <i>
      <x v="189"/>
    </i>
    <i>
      <x v="191"/>
    </i>
    <i>
      <x v="192"/>
    </i>
    <i>
      <x v="194"/>
    </i>
    <i>
      <x v="196"/>
    </i>
    <i>
      <x v="197"/>
    </i>
    <i>
      <x v="199"/>
    </i>
    <i>
      <x v="201"/>
    </i>
    <i>
      <x v="202"/>
    </i>
    <i>
      <x v="204"/>
    </i>
    <i>
      <x v="206"/>
    </i>
    <i>
      <x v="207"/>
    </i>
    <i>
      <x v="208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4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6"/>
    </i>
    <i>
      <x v="248"/>
    </i>
    <i>
      <x v="249"/>
    </i>
    <i>
      <x v="251"/>
    </i>
    <i>
      <x v="252"/>
    </i>
    <i>
      <x v="253"/>
    </i>
    <i>
      <x v="255"/>
    </i>
    <i>
      <x v="256"/>
    </i>
    <i>
      <x v="257"/>
    </i>
    <i>
      <x v="258"/>
    </i>
    <i>
      <x v="260"/>
    </i>
    <i>
      <x v="261"/>
    </i>
    <i>
      <x v="262"/>
    </i>
    <i>
      <x v="263"/>
    </i>
    <i>
      <x v="264"/>
    </i>
    <i t="grand">
      <x/>
    </i>
  </rowItems>
  <colItems count="1">
    <i/>
  </colItems>
  <pageFields count="2">
    <pageField fld="36" hier="-1"/>
    <pageField fld="32" hier="-1"/>
  </pageFields>
  <formats count="12">
    <format dxfId="388">
      <pivotArea dataOnly="0" labelOnly="1" fieldPosition="0">
        <references count="1">
          <reference field="48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387">
      <pivotArea type="all" dataOnly="0" outline="0" fieldPosition="0"/>
    </format>
    <format dxfId="386">
      <pivotArea field="48" type="button" dataOnly="0" labelOnly="1" outline="0" axis="axisRow" fieldPosition="0"/>
    </format>
    <format dxfId="385">
      <pivotArea dataOnly="0" labelOnly="1" fieldPosition="0">
        <references count="1">
          <reference field="48" count="50">
            <x v="0"/>
            <x v="1"/>
            <x v="2"/>
            <x v="3"/>
            <x v="5"/>
            <x v="6"/>
            <x v="7"/>
            <x v="8"/>
            <x v="10"/>
            <x v="12"/>
            <x v="14"/>
            <x v="15"/>
            <x v="16"/>
            <x v="18"/>
            <x v="19"/>
            <x v="21"/>
            <x v="22"/>
            <x v="24"/>
            <x v="25"/>
            <x v="26"/>
            <x v="27"/>
            <x v="28"/>
            <x v="29"/>
            <x v="31"/>
            <x v="32"/>
            <x v="34"/>
            <x v="36"/>
            <x v="38"/>
            <x v="40"/>
            <x v="42"/>
            <x v="44"/>
            <x v="46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1"/>
            <x v="62"/>
            <x v="63"/>
            <x v="64"/>
            <x v="65"/>
            <x v="66"/>
            <x v="67"/>
          </reference>
        </references>
      </pivotArea>
    </format>
    <format dxfId="384">
      <pivotArea dataOnly="0" labelOnly="1" fieldPosition="0">
        <references count="1">
          <reference field="48" count="50">
            <x v="68"/>
            <x v="69"/>
            <x v="70"/>
            <x v="72"/>
            <x v="74"/>
            <x v="76"/>
            <x v="78"/>
            <x v="79"/>
            <x v="80"/>
            <x v="82"/>
            <x v="84"/>
            <x v="85"/>
            <x v="86"/>
            <x v="88"/>
            <x v="90"/>
            <x v="92"/>
            <x v="93"/>
            <x v="94"/>
            <x v="96"/>
            <x v="97"/>
            <x v="99"/>
            <x v="101"/>
            <x v="103"/>
            <x v="104"/>
            <x v="105"/>
            <x v="106"/>
            <x v="108"/>
            <x v="109"/>
            <x v="110"/>
            <x v="111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383">
      <pivotArea dataOnly="0" labelOnly="1" fieldPosition="0">
        <references count="1">
          <reference field="48" count="17">
            <x v="134"/>
            <x v="136"/>
            <x v="137"/>
            <x v="139"/>
            <x v="141"/>
            <x v="142"/>
            <x v="143"/>
            <x v="145"/>
            <x v="146"/>
            <x v="147"/>
            <x v="148"/>
            <x v="149"/>
            <x v="150"/>
            <x v="151"/>
            <x v="152"/>
            <x v="153"/>
            <x v="155"/>
          </reference>
        </references>
      </pivotArea>
    </format>
    <format dxfId="382">
      <pivotArea dataOnly="0" labelOnly="1" grandRow="1" outline="0" fieldPosition="0"/>
    </format>
    <format dxfId="381">
      <pivotArea dataOnly="0" labelOnly="1" fieldPosition="0">
        <references count="1">
          <reference field="48" count="1">
            <x v="46"/>
          </reference>
        </references>
      </pivotArea>
    </format>
    <format dxfId="380">
      <pivotArea dataOnly="0" labelOnly="1" fieldPosition="0">
        <references count="1">
          <reference field="48" count="1">
            <x v="46"/>
          </reference>
        </references>
      </pivotArea>
    </format>
    <format dxfId="379">
      <pivotArea dataOnly="0" labelOnly="1" fieldPosition="0">
        <references count="1">
          <reference field="48" count="1">
            <x v="155"/>
          </reference>
        </references>
      </pivotArea>
    </format>
    <format dxfId="378">
      <pivotArea dataOnly="0" labelOnly="1" fieldPosition="0">
        <references count="1">
          <reference field="48" count="1">
            <x v="224"/>
          </reference>
        </references>
      </pivotArea>
    </format>
    <format dxfId="5">
      <pivotArea dataOnly="0" labelOnly="1" fieldPosition="0">
        <references count="1">
          <reference field="48" count="1">
            <x v="23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AX1012" headerRowDxfId="273" dataDxfId="271" totalsRowDxfId="272">
  <autoFilter ref="A2:AX1012" xr:uid="{00000000-0009-0000-0100-000001000000}"/>
  <sortState xmlns:xlrd2="http://schemas.microsoft.com/office/spreadsheetml/2017/richdata2" ref="A3:AQ50">
    <sortCondition ref="AG2:AG50"/>
  </sortState>
  <tableColumns count="50">
    <tableColumn id="36" xr3:uid="{00000000-0010-0000-0000-000024000000}" name="ID" totalsRowLabel="Total" dataDxfId="323" totalsRowDxfId="41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37" xr3:uid="{00000000-0010-0000-0000-000025000000}" name="ID_H" dataDxfId="322" totalsRowDxfId="415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321"/>
    <tableColumn id="3" xr3:uid="{00000000-0010-0000-0000-000003000000}" name="SUPPLIER" dataDxfId="320" totalsRowDxfId="414"/>
    <tableColumn id="4" xr3:uid="{00000000-0010-0000-0000-000004000000}" name="FAKTUR" dataDxfId="319" totalsRowDxfId="413"/>
    <tableColumn id="5" xr3:uid="{00000000-0010-0000-0000-000005000000}" name="NO.NOTA" dataDxfId="318" totalsRowDxfId="412"/>
    <tableColumn id="6" xr3:uid="{00000000-0010-0000-0000-000006000000}" name="NO.SJ" dataDxfId="317" totalsRowDxfId="411"/>
    <tableColumn id="7" xr3:uid="{00000000-0010-0000-0000-000007000000}" name="TGL.NOTA" dataDxfId="316" totalsRowDxfId="410"/>
    <tableColumn id="8" xr3:uid="{00000000-0010-0000-0000-000008000000}" name="B" dataDxfId="315"/>
    <tableColumn id="9" xr3:uid="{00000000-0010-0000-0000-000009000000}" name="NAMA BARANG" dataDxfId="314"/>
    <tableColumn id="10" xr3:uid="{00000000-0010-0000-0000-00000A000000}" name="C" dataDxfId="313"/>
    <tableColumn id="12" xr3:uid="{00000000-0010-0000-0000-00000C000000}" name="QTY" dataDxfId="312"/>
    <tableColumn id="13" xr3:uid="{00000000-0010-0000-0000-00000D000000}" name="STN" dataDxfId="311"/>
    <tableColumn id="14" xr3:uid="{00000000-0010-0000-0000-00000E000000}" name="HARGA SATUAN" dataDxfId="310"/>
    <tableColumn id="16" xr3:uid="{00000000-0010-0000-0000-000010000000}" name="HARGA/ CTN" dataDxfId="309"/>
    <tableColumn id="17" xr3:uid="{00000000-0010-0000-0000-000011000000}" name="Column5" dataDxfId="308"/>
    <tableColumn id="18" xr3:uid="{00000000-0010-0000-0000-000012000000}" name="Column6" dataDxfId="307"/>
    <tableColumn id="19" xr3:uid="{00000000-0010-0000-0000-000013000000}" name="Column7" dataDxfId="306"/>
    <tableColumn id="50" xr3:uid="{00000000-0010-0000-0000-000032000000}" name="Column8" dataDxfId="305"/>
    <tableColumn id="11" xr3:uid="{00000000-0010-0000-0000-00000B000000}" name="Column9" dataDxfId="304"/>
    <tableColumn id="31" xr3:uid="{00000000-0010-0000-0000-00001F000000}" name="Column10" dataDxfId="303"/>
    <tableColumn id="20" xr3:uid="{00000000-0010-0000-0000-000014000000}" name="JUMLAH" dataDxfId="302" totalsRowDxfId="409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301" totalsRowDxfId="408">
      <calculatedColumnFormula>IF(NOTA[[#This Row],[JUMLAH]]="","",NOTA[[#This Row],[JUMLAH]]*NOTA[[#This Row],[Column6]])</calculatedColumnFormula>
    </tableColumn>
    <tableColumn id="22" xr3:uid="{00000000-0010-0000-0000-000016000000}" name="DISC 2-" dataDxfId="300" totalsRowDxfId="407">
      <calculatedColumnFormula>IF(NOTA[[#This Row],[JUMLAH]]="","",(NOTA[[#This Row],[JUMLAH]]-NOTA[[#This Row],[DISC 1-]])*NOTA[[#This Row],[Column7]])</calculatedColumnFormula>
    </tableColumn>
    <tableColumn id="51" xr3:uid="{00000000-0010-0000-0000-000033000000}" name="DISC 3-" dataDxfId="299" totalsRowDxfId="406">
      <calculatedColumnFormula>IF(NOTA[[#This Row],[JUMLAH]]="","",(NOTA[[#This Row],[JUMLAH]]-NOTA[[#This Row],[DISC 1-]]-NOTA[[#This Row],[DISC 2-]])*NOTA[[#This Row],[Column8]])</calculatedColumnFormula>
    </tableColumn>
    <tableColumn id="25" xr3:uid="{00000000-0010-0000-0000-000019000000}" name="DISC" dataDxfId="298" totalsRowDxfId="405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297" totalsRowDxfId="404">
      <calculatedColumnFormula>IF(NOTA[[#This Row],[JUMLAH]]="","",NOTA[[#This Row],[JUMLAH]]-NOTA[[#This Row],[DISC]])</calculatedColumnFormula>
    </tableColumn>
    <tableColumn id="43" xr3:uid="{00000000-0010-0000-0000-00002B000000}" name="Column2" dataDxfId="296" totalsRowDxfId="403"/>
    <tableColumn id="33" xr3:uid="{00000000-0010-0000-0000-000021000000}" name="DISC TOTAL" dataDxfId="295" totalsRowDxfId="402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calculatedColumnFormula>
    </tableColumn>
    <tableColumn id="32" xr3:uid="{00000000-0010-0000-0000-000020000000}" name="TOTAL INVOICE" dataDxfId="294" totalsRowDxfId="40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calculatedColumnFormula>
    </tableColumn>
    <tableColumn id="23" xr3:uid="{00000000-0010-0000-0000-000017000000}" name="HARGA/ CTN_H" dataDxfId="293" totalsRowDxfId="400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292" totalsRowDxfId="399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291" totalsRowDxfId="398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290" totalsRowDxfId="397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289" totalsRowDxfId="396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288" totalsRowDxfId="395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287" totalsRowDxfId="394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286">
      <calculatedColumnFormula>IF(NOTA[[#This Row],[ID]]="","",COUNTIF(NOTA[ID_H],NOTA[[#This Row],[ID_H]]))</calculatedColumnFormula>
    </tableColumn>
    <tableColumn id="29" xr3:uid="{00000000-0010-0000-0000-00001D000000}" name="Column1" dataDxfId="285">
      <calculatedColumnFormula>IF(NOTA[[#This Row],[TGL.NOTA]]="",IF(NOTA[[#This Row],[SUPPLIER_H]]="","",AM2),MONTH(NOTA[[#This Row],[TGL.NOTA]]))</calculatedColumnFormula>
    </tableColumn>
    <tableColumn id="38" xr3:uid="{00000000-0010-0000-0000-000026000000}" name="CONCAT1" dataDxfId="284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283">
      <calculatedColumnFormula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calculatedColumnFormula>
    </tableColumn>
    <tableColumn id="40" xr3:uid="{00000000-0010-0000-0000-000028000000}" name="CONCAT3" dataDxfId="282">
      <calculatedColumnFormula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calculatedColumnFormula>
    </tableColumn>
    <tableColumn id="41" xr3:uid="{00000000-0010-0000-0000-000029000000}" name="CONCAT4" dataDxfId="281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39" xr3:uid="{00000000-0010-0000-0000-000027000000}" name="//DB" dataDxfId="280">
      <calculatedColumnFormula>IF(NOTA[[#This Row],[CONCAT1]]="","",MATCH(NOTA[[#This Row],[CONCAT1]],[3]!db[NB NOTA_C],0))</calculatedColumnFormula>
    </tableColumn>
    <tableColumn id="47" xr3:uid="{00000000-0010-0000-0000-00002F000000}" name="Column3" dataDxfId="279">
      <calculatedColumnFormula>IF(NOTA[[#This Row],[Column5]]="","",TRUE)</calculatedColumnFormula>
    </tableColumn>
    <tableColumn id="44" xr3:uid="{00000000-0010-0000-0000-00002C000000}" name="QTY/ CTN_H" dataDxfId="278" totalsRowDxfId="393">
      <calculatedColumnFormula>IF(NOTA[[#This Row],[ID_H]]="","",IF(NOTA[[#This Row],[Column3]]=TRUE,NOTA[[#This Row],[Column5]],INDEX([3]!db[QTY/ CTN],NOTA[[#This Row],[//DB]])))</calculatedColumnFormula>
    </tableColumn>
    <tableColumn id="45" xr3:uid="{00000000-0010-0000-0000-00002D000000}" name="NB NOTA_C_QTY" dataDxfId="277" totalsRowDxfId="39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276" totalsRowDxfId="391">
      <calculatedColumnFormula>IF(NOTA[[#This Row],[ID_H]]="","",MATCH(NOTA[[#This Row],[NB NOTA_C_QTY]],[3]!db[NB NOTA_C_QTY+F],0))</calculatedColumnFormula>
    </tableColumn>
    <tableColumn id="48" xr3:uid="{00000000-0010-0000-0000-000030000000}" name="ID BARANG" dataDxfId="275" totalsRowDxfId="390">
      <calculatedColumnFormula>IF(NOTA[[#This Row],[NB NOTA_C_QTY]]="","",ROW()-2)</calculatedColumnFormula>
    </tableColumn>
    <tableColumn id="49" xr3:uid="{00000000-0010-0000-0000-000031000000}" name="Column4" dataDxfId="274" totalsRowDxfId="38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BD204" totalsRowShown="0" headerRowDxfId="377" dataDxfId="376">
  <autoFilter ref="C4:BD204" xr:uid="{00000000-0009-0000-0100-000011000000}"/>
  <tableColumns count="54">
    <tableColumn id="1" xr3:uid="{00000000-0010-0000-0100-000001000000}" name="//db" dataDxfId="375">
      <calculatedColumnFormula>INDEX(NOTA[//DB],Sheet1!A:A)</calculatedColumnFormula>
    </tableColumn>
    <tableColumn id="2" xr3:uid="{00000000-0010-0000-0100-000002000000}" name="dbconcat" dataDxfId="374">
      <calculatedColumnFormula>_xlfn.IFNA(MATCH(Table17[[#This Row],[//db]],[3]!Table2[\\],0),"")</calculatedColumnFormula>
    </tableColumn>
    <tableColumn id="39" xr3:uid="{00000000-0010-0000-0100-000027000000}" name="NAMA_1" dataDxfId="373">
      <calculatedColumnFormula>INDEX([3]!db[NB NOTA],Table17[[#This Row],[//db]])</calculatedColumnFormula>
    </tableColumn>
    <tableColumn id="16" xr3:uid="{00000000-0010-0000-0100-000010000000}" name="NAMA_2" dataDxfId="372">
      <calculatedColumnFormula>INDEX([3]!db[NB BM],Table17[[#This Row],[//db]])</calculatedColumnFormula>
    </tableColumn>
    <tableColumn id="3" xr3:uid="{00000000-0010-0000-0100-000003000000}" name="NAMA_3" dataDxfId="371">
      <calculatedColumnFormula>IF(Table17[[#This Row],[dbconcat]]="","",INDEX([3]!Table2[NAMA],Table17[[#This Row],[dbconcat]]))</calculatedColumnFormula>
    </tableColumn>
    <tableColumn id="37" xr3:uid="{00000000-0010-0000-0100-000025000000}" name="Column32" dataDxfId="370">
      <calculatedColumnFormula>INDEX([3]!Table2[KODE BARANG],Table17[[#This Row],[dbconcat]])</calculatedColumnFormula>
    </tableColumn>
    <tableColumn id="4" xr3:uid="{00000000-0010-0000-0100-000004000000}" name="NAMA_C" dataDxfId="369">
      <calculatedColumnFormula>IF(Table17[[#This Row],[NAMA_3]]="",UPPER(Table17[[#This Row],[NAMA_2]]),Table17[[#This Row],[NAMA_3]])</calculatedColumnFormula>
    </tableColumn>
    <tableColumn id="41" xr3:uid="{C0D11B14-FDF2-468F-9FBC-61790EEA8F5D}" name="ISI NOTA" dataDxfId="368">
      <calculatedColumnFormula>INDEX(NOTA[QTY],Sheet1!A:A)</calculatedColumnFormula>
    </tableColumn>
    <tableColumn id="42" xr3:uid="{CB8C51A8-797D-47A3-ABF0-158BAFF84156}" name="SATUAN NOTA" dataDxfId="367">
      <calculatedColumnFormula>INDEX(NOTA[STN],Sheet1!A:A)</calculatedColumnFormula>
    </tableColumn>
    <tableColumn id="44" xr3:uid="{FB9AE53E-A05F-494C-8AB6-031B8C7845C9}" name="ISI DB" dataDxfId="366">
      <calculatedColumnFormula>INDEX([3]!db[QTY B],Table17[[#This Row],[//db]])</calculatedColumnFormula>
    </tableColumn>
    <tableColumn id="43" xr3:uid="{978714EA-768F-40AD-8229-0B378AD90B44}" name="SATUAN DB" dataDxfId="365">
      <calculatedColumnFormula>INDEX([3]!db[STN B],Table17[[#This Row],[//db]])</calculatedColumnFormula>
    </tableColumn>
    <tableColumn id="48" xr3:uid="{5B343E59-8086-40AC-8061-33CE889F8569}" name="//CONV" dataDxfId="364">
      <calculatedColumnFormula>IF(Table17[[#This Row],[SATUAN NOTA]]=Table17[[#This Row],[SATUAN DB]],"", MATCH(CONCATENATE(Table17[[#This Row],[SATUAN NOTA]],Table17[[#This Row],[SATUAN DB]]),Table2[4],0))</calculatedColumnFormula>
    </tableColumn>
    <tableColumn id="50" xr3:uid="{4AB40922-A172-477A-BBAA-0A61EBC3BE01}" name="CONV VAR" dataDxfId="363">
      <calculatedColumnFormula array="1">IF(Table17[[#This Row],[//CONV]]="","",INDEX(Table2[3],Table17[[#This Row],[//CONV]]))</calculatedColumnFormula>
    </tableColumn>
    <tableColumn id="47" xr3:uid="{A763350B-609F-4EF6-8093-544C0A39D0CD}" name="ISI DB CONV" dataDxfId="362">
      <calculatedColumnFormula>IF(Table17[[#This Row],[//CONV]]="",Table17[[#This Row],[ISI DB]],Table17[[#This Row],[ISI NOTA]]*Table17[[#This Row],[CONV VAR]])</calculatedColumnFormula>
    </tableColumn>
    <tableColumn id="46" xr3:uid="{1B3C0CE4-FC20-4E0C-80CC-5E87FE05B2C4}" name="SATUAN CONV" dataDxfId="361">
      <calculatedColumnFormula array="1">IF(Table17[[#This Row],[//CONV]]="",Table17[[#This Row],[SATUAN DB]],INDEX(Table2[2],Table17[[#This Row],[//CONV]]))</calculatedColumnFormula>
    </tableColumn>
    <tableColumn id="53" xr3:uid="{B78AFA93-7013-45F3-8261-F930597DE5BE}" name="ISI S" dataDxfId="360">
      <calculatedColumnFormula array="1">IF(Table17[[#This Row],[dbconcat]]="","",INDEX([3]!Table2[ISI],Table17[[#This Row],[dbconcat]]))</calculatedColumnFormula>
    </tableColumn>
    <tableColumn id="52" xr3:uid="{9B6F9C4D-ED37-4A5F-81E4-75E294701C6E}" name="SATUAN S" dataDxfId="359">
      <calculatedColumnFormula array="1">IF(Table17[[#This Row],[dbconcat]]="","",INDEX([3]!Table2[[SATUAN ]],Table17[[#This Row],[dbconcat]]))</calculatedColumnFormula>
    </tableColumn>
    <tableColumn id="54" xr3:uid="{441464FE-6C9E-40FA-B487-0034CB73530D}" name="CEK ISI S" dataDxfId="358">
      <calculatedColumnFormula>IF(Table17[[#This Row],[SATUAN S]]="","",IF(_xlfn.NUMBERVALUE(Table17[[#This Row],[ISI DB]])=_xlfn.NUMBERVALUE(Table17[[#This Row],[ISI S]]),"",1))</calculatedColumnFormula>
    </tableColumn>
    <tableColumn id="45" xr3:uid="{80C9CEB5-287D-4CB4-B000-61684AA060B4}" name="CEK STN S" dataDxfId="357">
      <calculatedColumnFormula>IF(Table17[[#This Row],[SATUAN S]]="","",IF(Table17[[#This Row],[SATUAN DB]]=Table17[[#This Row],[SATUAN S]],"",1))</calculatedColumnFormula>
    </tableColumn>
    <tableColumn id="6" xr3:uid="{AA3C88D3-BD48-4F95-ABCE-B92E4E481640}" name="CONV2_//" dataDxfId="356">
      <calculatedColumnFormula>IF(Table17[[#This Row],[CEK STN S]]="","",MATCH(CONCATENATE(Table17[[#This Row],[SATUAN CONV]],Table17[[#This Row],[SATUAN S]]),Table2[4],0))</calculatedColumnFormula>
    </tableColumn>
    <tableColumn id="8" xr3:uid="{1AF06085-FAB1-4D25-99B4-79D75E832C4F}" name="Column2" dataDxfId="355"/>
    <tableColumn id="7" xr3:uid="{8DE5539F-8DBE-400E-816E-A693B14A2DA2}" name="CONV2 VAR" dataDxfId="354">
      <calculatedColumnFormula array="1">IF(Table17[[#This Row],[CONV2_//]]="","",INDEX(Table2[3],Table17[[#This Row],[CONV2_//]]))</calculatedColumnFormula>
    </tableColumn>
    <tableColumn id="55" xr3:uid="{91E3D5B5-B876-4D6A-9BF0-65924F8CFE54}" name="ISI_C" dataDxfId="353">
      <calculatedColumnFormula>IF(Table17[[#This Row],[CEK ISI S]]="",Table17[[#This Row],[ISI DB]],Table17[[#This Row],[ISI S]])</calculatedColumnFormula>
    </tableColumn>
    <tableColumn id="56" xr3:uid="{FCAFFBDA-FEA4-45F0-A8C8-F982CA23732C}" name="SATUAN_C" dataDxfId="352">
      <calculatedColumnFormula>IF(Table17[[#This Row],[CEK STN S]]="",Table17[[#This Row],[SATUAN DB]],Table17[[#This Row],[SATUAN S]])</calculatedColumnFormula>
    </tableColumn>
    <tableColumn id="57" xr3:uid="{C9812A1C-E0F3-4F58-A141-51B63E76F853}" name="CTN" dataDxfId="351">
      <calculatedColumnFormula>IF(Table17[[#This Row],[//CONV]]="",Table17[[#This Row],[ISI NOTA]]/Table17[[#This Row],[ISI_C]],Table17[[#This Row],[ISI DB CONV]]/Table17[[#This Row],[ISI_C]])</calculatedColumnFormula>
    </tableColumn>
    <tableColumn id="60" xr3:uid="{AD25BA60-5134-4D06-9E92-5EAFC9F5ABF8}" name="HARGA NOTA" dataDxfId="350">
      <calculatedColumnFormula>INDEX(NOTA[HARGA SATUAN],Sheet1!A:A)</calculatedColumnFormula>
    </tableColumn>
    <tableColumn id="59" xr3:uid="{02A1E017-9147-4805-ACBC-DB4717F2C362}" name="HARGA CONV" dataDxfId="349">
      <calculatedColumnFormula>IF(Table17[[#This Row],[//CONV]]="",Table17[[#This Row],[HARGA NOTA]],Table17[[#This Row],[HARGA NOTA]]/Table17[[#This Row],[CONV VAR]])</calculatedColumnFormula>
    </tableColumn>
    <tableColumn id="5" xr3:uid="{FCB5FE44-DE65-424A-850D-7EFE7A1FB1D9}" name="HARGA CONV2" dataDxfId="348">
      <calculatedColumnFormula>IF(Table17[[#This Row],[CEK STN S]]="",Table17[[#This Row],[HARGA CONV]],Table17[[#This Row],[HARGA CONV]]/Table17[[#This Row],[CONV2 VAR]])</calculatedColumnFormula>
    </tableColumn>
    <tableColumn id="26" xr3:uid="{00000000-0010-0000-0100-00001A000000}" name="DISC 1" dataDxfId="347">
      <calculatedColumnFormula>IF(INDEX(NOTA[Column6],Sheet1!A:A)=0,"",INDEX(NOTA[Column6],Sheet1!A:A))</calculatedColumnFormula>
    </tableColumn>
    <tableColumn id="27" xr3:uid="{00000000-0010-0000-0100-00001B000000}" name="DISC 2" dataDxfId="346">
      <calculatedColumnFormula>IF(INDEX(NOTA[Column7],Sheet1!A:A)=0,"",INDEX(NOTA[Column7],Sheet1!A:A))</calculatedColumnFormula>
    </tableColumn>
    <tableColumn id="28" xr3:uid="{00000000-0010-0000-0100-00001C000000}" name="DISC 3" dataDxfId="345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344">
      <calculatedColumnFormula>INDEX(NOTA[HARGA/ CTN_H],Sheet1!A:A)</calculatedColumnFormula>
    </tableColumn>
    <tableColumn id="36" xr3:uid="{00000000-0010-0000-0100-000024000000}" name="Column9" dataDxfId="343">
      <calculatedColumnFormula>IF(Table17[[#This Row],[DISC 3]]="",Table17[[#This Row],[HRG / CTN]],Table17[[#This Row],[HRG / CTN]]-(Table17[[#This Row],[HRG / CTN]]*Table17[[#This Row],[DISC 3]]))</calculatedColumnFormula>
    </tableColumn>
    <tableColumn id="33" xr3:uid="{00000000-0010-0000-0100-000021000000}" name="Column7" dataDxfId="342">
      <calculatedColumnFormula>IF(#REF!&lt;1,Table17[[#This Row],[Column9]],Table17[[#This Row],[Column9]]*#REF!)</calculatedColumnFormula>
    </tableColumn>
    <tableColumn id="34" xr3:uid="{00000000-0010-0000-0100-000022000000}" name="Column8" dataDxfId="341">
      <calculatedColumnFormula>IF(NOT(AP6=Table17[[#This Row],[Column6]]),SUMIF(Table17[Column6],Table17[[#This Row],[Column6]],Table17[Column7]),"")</calculatedColumnFormula>
    </tableColumn>
    <tableColumn id="11" xr3:uid="{00000000-0010-0000-0100-00000B000000}" name="TGL DATANG" dataDxfId="340">
      <calculatedColumnFormula>INDEX(NOTA[TGL_H],Sheet1!A:A)</calculatedColumnFormula>
    </tableColumn>
    <tableColumn id="38" xr3:uid="{00000000-0010-0000-0100-000026000000}" name="Column10" dataDxfId="339">
      <calculatedColumnFormula>INDEX(NOTA[TGL.NOTA_H],Sheet1!A:A)</calculatedColumnFormula>
    </tableColumn>
    <tableColumn id="29" xr3:uid="{00000000-0010-0000-0100-00001D000000}" name="TGL INPUT" dataDxfId="338"/>
    <tableColumn id="12" xr3:uid="{00000000-0010-0000-0100-00000C000000}" name="KETERANGAN CONDRO" dataDxfId="337">
      <calculatedColumnFormula>IF(INDEX(NOTA[Column10],A:A)="","",INDEX(NOTA[Column10],A:A))</calculatedColumnFormula>
    </tableColumn>
    <tableColumn id="30" xr3:uid="{00000000-0010-0000-0100-00001E000000}" name="Column6" dataDxfId="336">
      <calculatedColumnFormula>INDEX(NOTA[NO.NOTA_H],Sheet1!A:A)</calculatedColumnFormula>
    </tableColumn>
    <tableColumn id="13" xr3:uid="{00000000-0010-0000-0100-00000D000000}" name="Column13" dataDxfId="335">
      <calculatedColumnFormula>INDEX(NOTA[Column10],Sheet1!A:A)</calculatedColumnFormula>
    </tableColumn>
    <tableColumn id="35" xr3:uid="{00000000-0010-0000-0100-000023000000}" name="SUPPLIER" dataDxfId="334">
      <calculatedColumnFormula>INDEX(NOTA[SUPPLIER_H],Sheet1!A:A)</calculatedColumnFormula>
    </tableColumn>
    <tableColumn id="15" xr3:uid="{00000000-0010-0000-0100-00000F000000}" name="NAMA BARANG_C" dataDxfId="333">
      <calculatedColumnFormula>Table17[[#This Row],[NAMA_C]]</calculatedColumnFormula>
    </tableColumn>
    <tableColumn id="61" xr3:uid="{997D4639-EE06-4940-9973-AA6F4072A1C5}" name="SUPPLIER_C" dataDxfId="332">
      <calculatedColumnFormula>Table17[[#This Row],[SUPPLIER]]</calculatedColumnFormula>
    </tableColumn>
    <tableColumn id="62" xr3:uid="{49758D83-0297-421E-8FF8-33896FB5CAD1}" name="JUMLAH KARTON_C" dataDxfId="2">
      <calculatedColumnFormula>SUBSTITUTE(Table17[[#This Row],[CTN]],",",".")</calculatedColumnFormula>
    </tableColumn>
    <tableColumn id="63" xr3:uid="{50BAB6B8-A620-48B7-877A-695AAEB7870D}" name="ISI_C2" dataDxfId="0">
      <calculatedColumnFormula>Table17[[#This Row],[ISI_C]]</calculatedColumnFormula>
    </tableColumn>
    <tableColumn id="64" xr3:uid="{6CEFA930-7560-4DFE-8263-9815BE6B103E}" name="SATUAN_C2" dataDxfId="1">
      <calculatedColumnFormula>Table17[[#This Row],[SATUAN_C]]</calculatedColumnFormula>
    </tableColumn>
    <tableColumn id="65" xr3:uid="{1E8A5B0C-82BA-48A7-9689-F9D57614F7E6}" name="HARGA PER ISI_C" dataDxfId="331">
      <calculatedColumnFormula>Table17[[#This Row],[HARGA CONV2]]</calculatedColumnFormula>
    </tableColumn>
    <tableColumn id="66" xr3:uid="{58BDF912-0C3B-4DBE-B967-974E25B7CC38}" name="DISKON_C" dataDxfId="330">
      <calculatedColumnFormula>SUBSTITUTE(Table17[[#This Row],[DISC 3]],",",".")</calculatedColumnFormula>
    </tableColumn>
    <tableColumn id="67" xr3:uid="{FDA21861-34CB-4C58-8938-2D6F63E3C228}" name="TGL DATANG_C" dataDxfId="329">
      <calculatedColumnFormula>Table17[[#This Row],[TGL DATANG]]</calculatedColumnFormula>
    </tableColumn>
    <tableColumn id="68" xr3:uid="{1E4E1A90-E687-41CC-9A2A-6C114441BDCC}" name="TGL NOTA_C" dataDxfId="328">
      <calculatedColumnFormula>Table17[[#This Row],[Column10]]</calculatedColumnFormula>
    </tableColumn>
    <tableColumn id="69" xr3:uid="{541A8282-C083-4C40-A848-6CA35F1F5902}" name="TGL INPUT_C" dataDxfId="327"/>
    <tableColumn id="70" xr3:uid="{909C6183-5370-41BE-AD33-85717B1F1035}" name="KETERANGAN CONDRO_C" dataDxfId="326">
      <calculatedColumnFormula>Table17[[#This Row],[KETERANGAN CONDRO]]</calculatedColumnFormula>
    </tableColumn>
    <tableColumn id="71" xr3:uid="{ED3F7F08-9CDE-437D-8049-5B8AA744B75D}" name="MO NOTA" dataDxfId="325">
      <calculatedColumnFormula>Table17[[#This Row],[Column6]]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4B6FF-FBD7-45E2-9C32-342AA40B1831}" name="Table2" displayName="Table2" ref="A1:D62" totalsRowShown="0">
  <autoFilter ref="A1:D62" xr:uid="{D5E4B6FF-FBD7-45E2-9C32-342AA40B1831}"/>
  <tableColumns count="4">
    <tableColumn id="1" xr3:uid="{8E7CD9F9-E774-47D7-ACDF-9E3C19FEB8F3}" name="1"/>
    <tableColumn id="2" xr3:uid="{725B2626-AAB9-450F-814A-42C2312591C1}" name="2"/>
    <tableColumn id="3" xr3:uid="{97C62C8A-A68A-4727-81A3-E9C08B0F677A}" name="3"/>
    <tableColumn id="4" xr3:uid="{F43662EE-5452-4961-8D6D-C2CC1C19E0FD}" name="4" dataDxfId="324">
      <calculatedColumnFormula>CONCATENATE(Table2[[#This Row],[1]],Table2[[#This Row],[2]])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012"/>
  <sheetViews>
    <sheetView topLeftCell="Y247" zoomScale="70" zoomScaleNormal="70" zoomScaleSheetLayoutView="55" zoomScalePageLayoutView="55" workbookViewId="0">
      <selection activeCell="Q260" sqref="Q260"/>
    </sheetView>
  </sheetViews>
  <sheetFormatPr defaultRowHeight="20.100000000000001" customHeight="1" outlineLevelCol="1"/>
  <cols>
    <col min="1" max="1" width="4.7109375" style="35" customWidth="1"/>
    <col min="2" max="2" width="3.85546875" style="35" customWidth="1" outlineLevel="1"/>
    <col min="3" max="3" width="11.85546875" style="35" bestFit="1" customWidth="1" outlineLevel="1"/>
    <col min="4" max="4" width="27.140625" style="35" bestFit="1" customWidth="1"/>
    <col min="5" max="5" width="9.7109375" style="35" bestFit="1" customWidth="1"/>
    <col min="6" max="6" width="16.140625" style="35" bestFit="1" customWidth="1"/>
    <col min="7" max="7" width="15.140625" style="44" customWidth="1"/>
    <col min="8" max="8" width="11.85546875" style="35" bestFit="1" customWidth="1"/>
    <col min="9" max="9" width="6" style="36" customWidth="1"/>
    <col min="10" max="10" width="47" style="35" bestFit="1" customWidth="1"/>
    <col min="11" max="11" width="3.42578125" style="35" bestFit="1" customWidth="1"/>
    <col min="12" max="12" width="6.7109375" style="37" bestFit="1" customWidth="1"/>
    <col min="13" max="13" width="5.28515625" style="35" bestFit="1" customWidth="1" outlineLevel="1"/>
    <col min="14" max="14" width="8.5703125" style="35" bestFit="1" customWidth="1" outlineLevel="1"/>
    <col min="15" max="15" width="11" style="38" customWidth="1" outlineLevel="1"/>
    <col min="16" max="16" width="7.85546875" style="52" bestFit="1" customWidth="1"/>
    <col min="17" max="17" width="10.7109375" style="38" bestFit="1" customWidth="1"/>
    <col min="18" max="18" width="8.42578125" style="40" bestFit="1" customWidth="1"/>
    <col min="19" max="19" width="8.7109375" style="41" customWidth="1"/>
    <col min="20" max="20" width="9.85546875" style="41" customWidth="1"/>
    <col min="21" max="21" width="8.28515625" style="35" bestFit="1" customWidth="1"/>
    <col min="22" max="22" width="16.42578125" style="41" bestFit="1" customWidth="1"/>
    <col min="23" max="23" width="15.28515625" style="53" bestFit="1" customWidth="1"/>
    <col min="24" max="24" width="15.28515625" style="38" bestFit="1" customWidth="1"/>
    <col min="25" max="25" width="5.85546875" style="38" bestFit="1" customWidth="1" outlineLevel="1"/>
    <col min="26" max="26" width="15.28515625" style="42" bestFit="1" customWidth="1" outlineLevel="1"/>
    <col min="27" max="27" width="16.42578125" style="38" customWidth="1"/>
    <col min="28" max="28" width="17.7109375" style="38" customWidth="1"/>
    <col min="29" max="29" width="16.42578125" style="38" bestFit="1" customWidth="1"/>
    <col min="30" max="30" width="16.42578125" style="53" customWidth="1"/>
    <col min="31" max="31" width="10.42578125" style="41" bestFit="1" customWidth="1"/>
    <col min="32" max="32" width="16.42578125" style="38" bestFit="1" customWidth="1"/>
    <col min="33" max="33" width="11.85546875" style="53" bestFit="1" customWidth="1"/>
    <col min="34" max="34" width="11.85546875" style="38" bestFit="1" customWidth="1"/>
    <col min="35" max="35" width="16.140625" style="38" bestFit="1" customWidth="1"/>
    <col min="36" max="36" width="27.140625" style="38" bestFit="1" customWidth="1"/>
    <col min="37" max="37" width="9.7109375" style="38" bestFit="1" customWidth="1"/>
    <col min="38" max="38" width="2.42578125" style="38" bestFit="1" customWidth="1"/>
    <col min="39" max="39" width="6.85546875" style="35" bestFit="1" customWidth="1"/>
    <col min="40" max="40" width="34.140625" style="35" bestFit="1" customWidth="1"/>
    <col min="41" max="42" width="46.7109375" style="53" bestFit="1" customWidth="1"/>
    <col min="43" max="43" width="77.5703125" style="53" bestFit="1" customWidth="1"/>
    <col min="44" max="45" width="6.42578125" style="36" bestFit="1" customWidth="1" outlineLevel="1"/>
    <col min="46" max="46" width="8.7109375" style="35" bestFit="1" customWidth="1" outlineLevel="1"/>
    <col min="47" max="47" width="45.5703125" style="35" bestFit="1" customWidth="1" outlineLevel="1"/>
    <col min="48" max="48" width="6.42578125" style="35" customWidth="1"/>
    <col min="49" max="49" width="6.42578125" style="43" bestFit="1" customWidth="1"/>
    <col min="50" max="50" width="20.28515625" style="35" customWidth="1"/>
    <col min="51" max="51" width="7.140625" style="35" customWidth="1"/>
    <col min="52" max="54" width="9.140625" style="35"/>
    <col min="55" max="55" width="11.140625" style="35" bestFit="1" customWidth="1"/>
    <col min="56" max="16384" width="9.140625" style="35"/>
  </cols>
  <sheetData>
    <row r="1" spans="1:50" ht="20.100000000000001" customHeight="1">
      <c r="A1" s="33" t="s">
        <v>32</v>
      </c>
      <c r="B1" s="34"/>
      <c r="C1" s="34"/>
      <c r="G1" s="35">
        <f>MONTH(I1)</f>
        <v>8</v>
      </c>
      <c r="I1" s="36">
        <v>44774</v>
      </c>
      <c r="P1" s="39"/>
      <c r="Q1" s="40"/>
      <c r="R1" s="41"/>
      <c r="U1" s="38"/>
      <c r="W1" s="38"/>
      <c r="AA1" s="35"/>
      <c r="AB1" s="35"/>
      <c r="AC1" s="35"/>
      <c r="AD1" s="38"/>
      <c r="AE1" s="35"/>
      <c r="AG1" s="36"/>
      <c r="AH1" s="35"/>
      <c r="AI1" s="35"/>
      <c r="AJ1" s="35"/>
      <c r="AK1" s="35"/>
      <c r="AL1" s="35"/>
      <c r="AO1" s="35"/>
      <c r="AP1" s="35"/>
      <c r="AQ1" s="35"/>
      <c r="AR1" s="35"/>
      <c r="AS1" s="35"/>
    </row>
    <row r="2" spans="1:50" ht="20.100000000000001" customHeight="1">
      <c r="A2" s="35" t="s">
        <v>0</v>
      </c>
      <c r="B2" s="35" t="s">
        <v>23</v>
      </c>
      <c r="C2" s="35" t="s">
        <v>1</v>
      </c>
      <c r="D2" s="35" t="s">
        <v>2</v>
      </c>
      <c r="E2" s="35" t="s">
        <v>3</v>
      </c>
      <c r="F2" s="44" t="s">
        <v>4</v>
      </c>
      <c r="G2" s="35" t="s">
        <v>5</v>
      </c>
      <c r="H2" s="36" t="s">
        <v>6</v>
      </c>
      <c r="I2" s="35" t="s">
        <v>45</v>
      </c>
      <c r="J2" s="35" t="s">
        <v>7</v>
      </c>
      <c r="K2" s="37" t="s">
        <v>8</v>
      </c>
      <c r="L2" s="35" t="s">
        <v>10</v>
      </c>
      <c r="M2" s="35" t="s">
        <v>9</v>
      </c>
      <c r="N2" s="38" t="s">
        <v>11</v>
      </c>
      <c r="O2" s="39" t="s">
        <v>12</v>
      </c>
      <c r="P2" s="40" t="s">
        <v>56</v>
      </c>
      <c r="Q2" s="41" t="s">
        <v>57</v>
      </c>
      <c r="R2" s="41" t="s">
        <v>65</v>
      </c>
      <c r="S2" s="41" t="s">
        <v>66</v>
      </c>
      <c r="T2" s="38" t="s">
        <v>67</v>
      </c>
      <c r="U2" s="41" t="s">
        <v>69</v>
      </c>
      <c r="V2" s="38" t="s">
        <v>15</v>
      </c>
      <c r="W2" s="38" t="s">
        <v>16</v>
      </c>
      <c r="X2" s="38" t="s">
        <v>17</v>
      </c>
      <c r="Y2" s="42" t="s">
        <v>48</v>
      </c>
      <c r="Z2" s="38" t="s">
        <v>18</v>
      </c>
      <c r="AA2" s="38" t="s">
        <v>19</v>
      </c>
      <c r="AB2" s="38" t="s">
        <v>39</v>
      </c>
      <c r="AC2" s="38" t="s">
        <v>20</v>
      </c>
      <c r="AD2" s="38" t="s">
        <v>21</v>
      </c>
      <c r="AE2" s="35" t="s">
        <v>24</v>
      </c>
      <c r="AF2" s="38" t="s">
        <v>31</v>
      </c>
      <c r="AG2" s="36" t="s">
        <v>22</v>
      </c>
      <c r="AH2" s="36" t="s">
        <v>52</v>
      </c>
      <c r="AI2" s="36" t="s">
        <v>53</v>
      </c>
      <c r="AJ2" s="35" t="s">
        <v>25</v>
      </c>
      <c r="AK2" s="35" t="s">
        <v>33</v>
      </c>
      <c r="AL2" s="35" t="s">
        <v>30</v>
      </c>
      <c r="AM2" s="35" t="s">
        <v>26</v>
      </c>
      <c r="AN2" s="35" t="s">
        <v>35</v>
      </c>
      <c r="AO2" s="35" t="s">
        <v>34</v>
      </c>
      <c r="AP2" s="35" t="s">
        <v>37</v>
      </c>
      <c r="AQ2" s="35" t="s">
        <v>38</v>
      </c>
      <c r="AR2" s="35" t="s">
        <v>36</v>
      </c>
      <c r="AS2" s="35" t="s">
        <v>41</v>
      </c>
      <c r="AT2" s="35" t="s">
        <v>40</v>
      </c>
      <c r="AU2" s="35" t="s">
        <v>43</v>
      </c>
      <c r="AV2" s="35" t="s">
        <v>42</v>
      </c>
      <c r="AW2" s="43" t="s">
        <v>44</v>
      </c>
      <c r="AX2" s="35" t="s">
        <v>46</v>
      </c>
    </row>
    <row r="3" spans="1:50" ht="20.100000000000001" customHeight="1">
      <c r="A3" s="38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5">
        <f ca="1">IF(NOTA[[#This Row],[NAMA BARANG]]="","",INDEX(NOTA[ID],MATCH(,INDIRECT(ADDRESS(ROW(NOTA[ID]),COLUMN(NOTA[ID]))&amp;":"&amp;ADDRESS(ROW(),COLUMN(NOTA[ID]))),-1)))</f>
        <v>1</v>
      </c>
      <c r="C3" s="45">
        <v>45470</v>
      </c>
      <c r="D3" s="35" t="s">
        <v>77</v>
      </c>
      <c r="E3" s="35" t="s">
        <v>49</v>
      </c>
      <c r="F3" s="46" t="s">
        <v>82</v>
      </c>
      <c r="G3" s="35"/>
      <c r="H3" s="36">
        <v>45470</v>
      </c>
      <c r="I3" s="35"/>
      <c r="J3" s="35" t="s">
        <v>83</v>
      </c>
      <c r="K3" s="37"/>
      <c r="L3" s="35">
        <v>55</v>
      </c>
      <c r="M3" s="35" t="s">
        <v>51</v>
      </c>
      <c r="N3" s="38">
        <v>16250</v>
      </c>
      <c r="O3" s="39"/>
      <c r="P3" s="47" t="s">
        <v>78</v>
      </c>
      <c r="Q3" s="48"/>
      <c r="R3" s="41"/>
      <c r="T3" s="42"/>
      <c r="U3" s="44"/>
      <c r="V3" s="42">
        <f>IF(NOTA[[#This Row],[HARGA/ CTN]]="",NOTA[[#This Row],[JUMLAH_H]],NOTA[[#This Row],[HARGA/ CTN]]*IF(NOTA[[#This Row],[C]]="",0,NOTA[[#This Row],[C]]))</f>
        <v>893750</v>
      </c>
      <c r="W3" s="42">
        <f>IF(NOTA[[#This Row],[JUMLAH]]="","",NOTA[[#This Row],[JUMLAH]]*NOTA[[#This Row],[Column6]])</f>
        <v>0</v>
      </c>
      <c r="X3" s="42">
        <f>IF(NOTA[[#This Row],[JUMLAH]]="","",(NOTA[[#This Row],[JUMLAH]]-NOTA[[#This Row],[DISC 1-]])*NOTA[[#This Row],[Column7]])</f>
        <v>0</v>
      </c>
      <c r="Y3" s="42">
        <f>IF(NOTA[[#This Row],[JUMLAH]]="","",(NOTA[[#This Row],[JUMLAH]]-NOTA[[#This Row],[DISC 1-]]-NOTA[[#This Row],[DISC 2-]])*NOTA[[#This Row],[Column8]])</f>
        <v>0</v>
      </c>
      <c r="Z3" s="42">
        <f>IF(NOTA[[#This Row],[JUMLAH]]="","",NOTA[[#This Row],[DISC 1-]]+NOTA[[#This Row],[DISC 2-]]+NOTA[[#This Row],[DISC 3-]])</f>
        <v>0</v>
      </c>
      <c r="AA3" s="42">
        <f>IF(NOTA[[#This Row],[JUMLAH]]="","",NOTA[[#This Row],[JUMLAH]]-NOTA[[#This Row],[DISC]])</f>
        <v>893750</v>
      </c>
      <c r="AB3" s="42"/>
      <c r="AC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" s="38">
        <f>IF(NOTA[[#This Row],[NAMA BARANG]]="","",IF(NOTA[[#This Row],[JUMLAH_H]]="",NOTA[[#This Row],[HARGA/ CTN]],NOTA[[#This Row],[QTY]]*NOTA[[#This Row],[HARGA SATUAN]]/IF(ISNUMBER(NOTA[[#This Row],[C]]),NOTA[[#This Row],[C]],1)))</f>
        <v>893750</v>
      </c>
      <c r="AF3" s="42">
        <f>IF(OR(NOTA[[#This Row],[QTY]]="",NOTA[[#This Row],[HARGA SATUAN]]="",),"",NOTA[[#This Row],[QTY]]*NOTA[[#This Row],[HARGA SATUAN]])</f>
        <v>893750</v>
      </c>
      <c r="AG3" s="36">
        <f ca="1">IF(NOTA[[#This Row],[ID_H]]="","",INDEX(NOTA[TANGGAL],MATCH(,INDIRECT(ADDRESS(ROW(NOTA[TANGGAL]),COLUMN(NOTA[TANGGAL]))&amp;":"&amp;ADDRESS(ROW(),COLUMN(NOTA[TANGGAL]))),-1)))</f>
        <v>45470</v>
      </c>
      <c r="AH3" s="36">
        <f ca="1">IF(NOTA[[#This Row],[ID_H]]="","",INDEX(NOTA[TGL.NOTA],MATCH(,INDIRECT(ADDRESS(ROW(NOTA[TGL.NOTA]),COLUMN(NOTA[TGL.NOTA]))&amp;":"&amp;ADDRESS(ROW(),COLUMN(NOTA[TGL.NOTA]))),-1)))</f>
        <v>45470</v>
      </c>
      <c r="AI3" s="36" t="str">
        <f ca="1">IF(NOTA[[#This Row],[ID_H]]="","",INDEX(NOTA[NO.NOTA],MATCH(NOTA[[#This Row],[ID_H]],NOTA[ID_H],0)))</f>
        <v>0644</v>
      </c>
      <c r="AJ3" s="38" t="str">
        <f ca="1">IF(NOTA[[#This Row],[NAMA BARANG]]="","",INDEX(NOTA[SUPPLIER],MATCH(,INDIRECT(ADDRESS(ROW(NOTA[ID]),COLUMN(NOTA[ID]))&amp;":"&amp;ADDRESS(ROW(),COLUMN(NOTA[ID]))),-1)))</f>
        <v>COMBI</v>
      </c>
      <c r="AK3" s="38" t="str">
        <f ca="1">IF(NOTA[[#This Row],[ID_H]]="","",IF(NOTA[[#This Row],[FAKTUR]]="",INDIRECT(ADDRESS(ROW()-1,COLUMN())),NOTA[[#This Row],[FAKTUR]]))</f>
        <v>UNTANA</v>
      </c>
      <c r="AL3" s="35">
        <f ca="1">IF(NOTA[[#This Row],[ID]]="","",COUNTIF(NOTA[ID_H],NOTA[[#This Row],[ID_H]]))</f>
        <v>4</v>
      </c>
      <c r="AM3" s="35">
        <f>IF(NOTA[[#This Row],[TGL.NOTA]]="",IF(NOTA[[#This Row],[SUPPLIER_H]]="","",#REF!),MONTH(NOTA[[#This Row],[TGL.NOTA]]))</f>
        <v>6</v>
      </c>
      <c r="AN3" s="35" t="str">
        <f>LOWER(SUBSTITUTE(SUBSTITUTE(SUBSTITUTE(SUBSTITUTE(SUBSTITUTE(SUBSTITUTE(SUBSTITUTE(SUBSTITUTE(SUBSTITUTE(NOTA[[#This Row],[NAMA BARANG]]," ",),".",""),"-",""),"(",""),")",""),",",""),"/",""),"""",""),"+",""))</f>
        <v>docritprestigemerah</v>
      </c>
      <c r="AO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docritprestigemerah893750</v>
      </c>
      <c r="AP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docritprestigemerah16250</v>
      </c>
      <c r="AQ3" s="35" t="str">
        <f>IF(NOTA[[#This Row],[SUPPLIER]]="","",NOTA[[#This Row],[SUPPLIER]]&amp;NOTA[[#This Row],[FAKTUR]]&amp;NOTA[[#This Row],[NO.NOTA]]&amp;NOTA[[#This Row],[NO.SJ]]&amp;NOTA[[#This Row],[TGL.NOTA]]&amp;NOTA[[#This Row],[CONCAT1]])</f>
        <v>COMBIUNTANA064445470docritprestigemerah</v>
      </c>
      <c r="AR3" s="35">
        <f>IF(NOTA[[#This Row],[CONCAT1]]="","",MATCH(NOTA[[#This Row],[CONCAT1]],[3]!db[NB NOTA_C],0))</f>
        <v>876</v>
      </c>
      <c r="AS3" s="35" t="b">
        <f>IF(NOTA[[#This Row],[Column5]]="","",TRUE)</f>
        <v>1</v>
      </c>
      <c r="AT3" s="35" t="str">
        <f ca="1">IF(NOTA[[#This Row],[ID_H]]="","",IF(NOTA[[#This Row],[Column3]]=TRUE,NOTA[[#This Row],[Column5]],INDEX([3]!db[QTY/ CTN],NOTA[[#This Row],[//DB]])))</f>
        <v>8 LSN</v>
      </c>
      <c r="AU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docritprestigemerah8lsnuntana</v>
      </c>
      <c r="AV3" s="35">
        <f ca="1">IF(NOTA[[#This Row],[ID_H]]="","",MATCH(NOTA[[#This Row],[NB NOTA_C_QTY]],[3]!db[NB NOTA_C_QTY+F],0))</f>
        <v>876</v>
      </c>
      <c r="AW3" s="43">
        <f ca="1">IF(NOTA[[#This Row],[NB NOTA_C_QTY]]="","",ROW()-2)</f>
        <v>1</v>
      </c>
    </row>
    <row r="4" spans="1:50" ht="20.100000000000001" customHeight="1">
      <c r="A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5">
        <f ca="1">IF(NOTA[[#This Row],[NAMA BARANG]]="","",INDEX(NOTA[ID],MATCH(,INDIRECT(ADDRESS(ROW(NOTA[ID]),COLUMN(NOTA[ID]))&amp;":"&amp;ADDRESS(ROW(),COLUMN(NOTA[ID]))),-1)))</f>
        <v>1</v>
      </c>
      <c r="C4" s="45"/>
      <c r="F4" s="46"/>
      <c r="G4" s="35"/>
      <c r="H4" s="36"/>
      <c r="I4" s="35"/>
      <c r="J4" s="49" t="s">
        <v>84</v>
      </c>
      <c r="K4" s="37"/>
      <c r="L4" s="35">
        <v>6</v>
      </c>
      <c r="M4" s="35" t="s">
        <v>51</v>
      </c>
      <c r="N4" s="38">
        <v>16250</v>
      </c>
      <c r="O4" s="39"/>
      <c r="P4" s="47" t="s">
        <v>78</v>
      </c>
      <c r="Q4" s="48"/>
      <c r="R4" s="41"/>
      <c r="T4" s="42"/>
      <c r="U4" s="44"/>
      <c r="V4" s="42">
        <f>IF(NOTA[[#This Row],[HARGA/ CTN]]="",NOTA[[#This Row],[JUMLAH_H]],NOTA[[#This Row],[HARGA/ CTN]]*IF(NOTA[[#This Row],[C]]="",0,NOTA[[#This Row],[C]]))</f>
        <v>97500</v>
      </c>
      <c r="W4" s="42">
        <f>IF(NOTA[[#This Row],[JUMLAH]]="","",NOTA[[#This Row],[JUMLAH]]*NOTA[[#This Row],[Column6]])</f>
        <v>0</v>
      </c>
      <c r="X4" s="42">
        <f>IF(NOTA[[#This Row],[JUMLAH]]="","",(NOTA[[#This Row],[JUMLAH]]-NOTA[[#This Row],[DISC 1-]])*NOTA[[#This Row],[Column7]])</f>
        <v>0</v>
      </c>
      <c r="Y4" s="42">
        <f>IF(NOTA[[#This Row],[JUMLAH]]="","",(NOTA[[#This Row],[JUMLAH]]-NOTA[[#This Row],[DISC 1-]]-NOTA[[#This Row],[DISC 2-]])*NOTA[[#This Row],[Column8]])</f>
        <v>0</v>
      </c>
      <c r="Z4" s="42">
        <f>IF(NOTA[[#This Row],[JUMLAH]]="","",NOTA[[#This Row],[DISC 1-]]+NOTA[[#This Row],[DISC 2-]]+NOTA[[#This Row],[DISC 3-]])</f>
        <v>0</v>
      </c>
      <c r="AA4" s="42">
        <f>IF(NOTA[[#This Row],[JUMLAH]]="","",NOTA[[#This Row],[JUMLAH]]-NOTA[[#This Row],[DISC]])</f>
        <v>97500</v>
      </c>
      <c r="AB4" s="42"/>
      <c r="AC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" s="38">
        <f>IF(NOTA[[#This Row],[NAMA BARANG]]="","",IF(NOTA[[#This Row],[JUMLAH_H]]="",NOTA[[#This Row],[HARGA/ CTN]],NOTA[[#This Row],[QTY]]*NOTA[[#This Row],[HARGA SATUAN]]/IF(ISNUMBER(NOTA[[#This Row],[C]]),NOTA[[#This Row],[C]],1)))</f>
        <v>97500</v>
      </c>
      <c r="AF4" s="42">
        <f>IF(OR(NOTA[[#This Row],[QTY]]="",NOTA[[#This Row],[HARGA SATUAN]]="",),"",NOTA[[#This Row],[QTY]]*NOTA[[#This Row],[HARGA SATUAN]])</f>
        <v>97500</v>
      </c>
      <c r="AG4" s="36">
        <f ca="1">IF(NOTA[[#This Row],[ID_H]]="","",INDEX(NOTA[TANGGAL],MATCH(,INDIRECT(ADDRESS(ROW(NOTA[TANGGAL]),COLUMN(NOTA[TANGGAL]))&amp;":"&amp;ADDRESS(ROW(),COLUMN(NOTA[TANGGAL]))),-1)))</f>
        <v>45470</v>
      </c>
      <c r="AH4" s="36">
        <f ca="1">IF(NOTA[[#This Row],[ID_H]]="","",INDEX(NOTA[TGL.NOTA],MATCH(,INDIRECT(ADDRESS(ROW(NOTA[TGL.NOTA]),COLUMN(NOTA[TGL.NOTA]))&amp;":"&amp;ADDRESS(ROW(),COLUMN(NOTA[TGL.NOTA]))),-1)))</f>
        <v>45470</v>
      </c>
      <c r="AI4" s="36" t="str">
        <f ca="1">IF(NOTA[[#This Row],[ID_H]]="","",INDEX(NOTA[NO.NOTA],MATCH(NOTA[[#This Row],[ID_H]],NOTA[ID_H],0)))</f>
        <v>0644</v>
      </c>
      <c r="AJ4" s="38" t="str">
        <f ca="1">IF(NOTA[[#This Row],[NAMA BARANG]]="","",INDEX(NOTA[SUPPLIER],MATCH(,INDIRECT(ADDRESS(ROW(NOTA[ID]),COLUMN(NOTA[ID]))&amp;":"&amp;ADDRESS(ROW(),COLUMN(NOTA[ID]))),-1)))</f>
        <v>COMBI</v>
      </c>
      <c r="AK4" s="38" t="str">
        <f ca="1">IF(NOTA[[#This Row],[ID_H]]="","",IF(NOTA[[#This Row],[FAKTUR]]="",INDIRECT(ADDRESS(ROW()-1,COLUMN())),NOTA[[#This Row],[FAKTUR]]))</f>
        <v>UNTANA</v>
      </c>
      <c r="AL4" s="35" t="str">
        <f ca="1">IF(NOTA[[#This Row],[ID]]="","",COUNTIF(NOTA[ID_H],NOTA[[#This Row],[ID_H]]))</f>
        <v/>
      </c>
      <c r="AM4" s="35" t="e">
        <f ca="1">IF(NOTA[[#This Row],[TGL.NOTA]]="",IF(NOTA[[#This Row],[SUPPLIER_H]]="","",#REF!),MONTH(NOTA[[#This Row],[TGL.NOTA]]))</f>
        <v>#REF!</v>
      </c>
      <c r="AN4" s="35" t="str">
        <f>LOWER(SUBSTITUTE(SUBSTITUTE(SUBSTITUTE(SUBSTITUTE(SUBSTITUTE(SUBSTITUTE(SUBSTITUTE(SUBSTITUTE(SUBSTITUTE(NOTA[[#This Row],[NAMA BARANG]]," ",),".",""),"-",""),"(",""),")",""),",",""),"/",""),"""",""),"+",""))</f>
        <v>docritprestigehitam</v>
      </c>
      <c r="AO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docritprestigehitam97500</v>
      </c>
      <c r="AP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docritprestigehitam16250</v>
      </c>
      <c r="AQ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" s="35">
        <f>IF(NOTA[[#This Row],[CONCAT1]]="","",MATCH(NOTA[[#This Row],[CONCAT1]],[3]!db[NB NOTA_C],0))</f>
        <v>875</v>
      </c>
      <c r="AS4" s="35" t="b">
        <f>IF(NOTA[[#This Row],[Column5]]="","",TRUE)</f>
        <v>1</v>
      </c>
      <c r="AT4" s="35" t="str">
        <f ca="1">IF(NOTA[[#This Row],[ID_H]]="","",IF(NOTA[[#This Row],[Column3]]=TRUE,NOTA[[#This Row],[Column5]],INDEX([3]!db[QTY/ CTN],NOTA[[#This Row],[//DB]])))</f>
        <v>8 LSN</v>
      </c>
      <c r="AU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docritprestigehitam8lsnuntana</v>
      </c>
      <c r="AV4" s="35">
        <f ca="1">IF(NOTA[[#This Row],[ID_H]]="","",MATCH(NOTA[[#This Row],[NB NOTA_C_QTY]],[3]!db[NB NOTA_C_QTY+F],0))</f>
        <v>875</v>
      </c>
      <c r="AW4" s="43">
        <f ca="1">IF(NOTA[[#This Row],[NB NOTA_C_QTY]]="","",ROW()-2)</f>
        <v>2</v>
      </c>
    </row>
    <row r="5" spans="1:50" ht="20.100000000000001" customHeight="1">
      <c r="A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5">
        <f ca="1">IF(NOTA[[#This Row],[NAMA BARANG]]="","",INDEX(NOTA[ID],MATCH(,INDIRECT(ADDRESS(ROW(NOTA[ID]),COLUMN(NOTA[ID]))&amp;":"&amp;ADDRESS(ROW(),COLUMN(NOTA[ID]))),-1)))</f>
        <v>1</v>
      </c>
      <c r="C5" s="45"/>
      <c r="F5" s="46"/>
      <c r="G5" s="35"/>
      <c r="H5" s="36"/>
      <c r="I5" s="35"/>
      <c r="J5" s="35" t="s">
        <v>84</v>
      </c>
      <c r="K5" s="37"/>
      <c r="L5" s="35">
        <v>6</v>
      </c>
      <c r="M5" s="35" t="s">
        <v>51</v>
      </c>
      <c r="N5" s="38">
        <v>16250</v>
      </c>
      <c r="O5" s="39"/>
      <c r="P5" s="47" t="s">
        <v>78</v>
      </c>
      <c r="Q5" s="48"/>
      <c r="R5" s="41"/>
      <c r="T5" s="42"/>
      <c r="U5" s="44"/>
      <c r="V5" s="42">
        <f>IF(NOTA[[#This Row],[HARGA/ CTN]]="",NOTA[[#This Row],[JUMLAH_H]],NOTA[[#This Row],[HARGA/ CTN]]*IF(NOTA[[#This Row],[C]]="",0,NOTA[[#This Row],[C]]))</f>
        <v>97500</v>
      </c>
      <c r="W5" s="42">
        <f>IF(NOTA[[#This Row],[JUMLAH]]="","",NOTA[[#This Row],[JUMLAH]]*NOTA[[#This Row],[Column6]])</f>
        <v>0</v>
      </c>
      <c r="X5" s="42">
        <f>IF(NOTA[[#This Row],[JUMLAH]]="","",(NOTA[[#This Row],[JUMLAH]]-NOTA[[#This Row],[DISC 1-]])*NOTA[[#This Row],[Column7]])</f>
        <v>0</v>
      </c>
      <c r="Y5" s="42">
        <f>IF(NOTA[[#This Row],[JUMLAH]]="","",(NOTA[[#This Row],[JUMLAH]]-NOTA[[#This Row],[DISC 1-]]-NOTA[[#This Row],[DISC 2-]])*NOTA[[#This Row],[Column8]])</f>
        <v>0</v>
      </c>
      <c r="Z5" s="42">
        <f>IF(NOTA[[#This Row],[JUMLAH]]="","",NOTA[[#This Row],[DISC 1-]]+NOTA[[#This Row],[DISC 2-]]+NOTA[[#This Row],[DISC 3-]])</f>
        <v>0</v>
      </c>
      <c r="AA5" s="42">
        <f>IF(NOTA[[#This Row],[JUMLAH]]="","",NOTA[[#This Row],[JUMLAH]]-NOTA[[#This Row],[DISC]])</f>
        <v>97500</v>
      </c>
      <c r="AB5" s="42"/>
      <c r="AC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" s="38">
        <f>IF(NOTA[[#This Row],[NAMA BARANG]]="","",IF(NOTA[[#This Row],[JUMLAH_H]]="",NOTA[[#This Row],[HARGA/ CTN]],NOTA[[#This Row],[QTY]]*NOTA[[#This Row],[HARGA SATUAN]]/IF(ISNUMBER(NOTA[[#This Row],[C]]),NOTA[[#This Row],[C]],1)))</f>
        <v>97500</v>
      </c>
      <c r="AF5" s="42">
        <f>IF(OR(NOTA[[#This Row],[QTY]]="",NOTA[[#This Row],[HARGA SATUAN]]="",),"",NOTA[[#This Row],[QTY]]*NOTA[[#This Row],[HARGA SATUAN]])</f>
        <v>97500</v>
      </c>
      <c r="AG5" s="36">
        <f ca="1">IF(NOTA[[#This Row],[ID_H]]="","",INDEX(NOTA[TANGGAL],MATCH(,INDIRECT(ADDRESS(ROW(NOTA[TANGGAL]),COLUMN(NOTA[TANGGAL]))&amp;":"&amp;ADDRESS(ROW(),COLUMN(NOTA[TANGGAL]))),-1)))</f>
        <v>45470</v>
      </c>
      <c r="AH5" s="36">
        <f ca="1">IF(NOTA[[#This Row],[ID_H]]="","",INDEX(NOTA[TGL.NOTA],MATCH(,INDIRECT(ADDRESS(ROW(NOTA[TGL.NOTA]),COLUMN(NOTA[TGL.NOTA]))&amp;":"&amp;ADDRESS(ROW(),COLUMN(NOTA[TGL.NOTA]))),-1)))</f>
        <v>45470</v>
      </c>
      <c r="AI5" s="36" t="str">
        <f ca="1">IF(NOTA[[#This Row],[ID_H]]="","",INDEX(NOTA[NO.NOTA],MATCH(NOTA[[#This Row],[ID_H]],NOTA[ID_H],0)))</f>
        <v>0644</v>
      </c>
      <c r="AJ5" s="38" t="str">
        <f ca="1">IF(NOTA[[#This Row],[NAMA BARANG]]="","",INDEX(NOTA[SUPPLIER],MATCH(,INDIRECT(ADDRESS(ROW(NOTA[ID]),COLUMN(NOTA[ID]))&amp;":"&amp;ADDRESS(ROW(),COLUMN(NOTA[ID]))),-1)))</f>
        <v>COMBI</v>
      </c>
      <c r="AK5" s="38" t="str">
        <f ca="1">IF(NOTA[[#This Row],[ID_H]]="","",IF(NOTA[[#This Row],[FAKTUR]]="",INDIRECT(ADDRESS(ROW()-1,COLUMN())),NOTA[[#This Row],[FAKTUR]]))</f>
        <v>UNTANA</v>
      </c>
      <c r="AL5" s="35" t="str">
        <f ca="1">IF(NOTA[[#This Row],[ID]]="","",COUNTIF(NOTA[ID_H],NOTA[[#This Row],[ID_H]]))</f>
        <v/>
      </c>
      <c r="AM5" s="35" t="e">
        <f ca="1">IF(NOTA[[#This Row],[TGL.NOTA]]="",IF(NOTA[[#This Row],[SUPPLIER_H]]="","",AM4),MONTH(NOTA[[#This Row],[TGL.NOTA]]))</f>
        <v>#REF!</v>
      </c>
      <c r="AN5" s="35" t="str">
        <f>LOWER(SUBSTITUTE(SUBSTITUTE(SUBSTITUTE(SUBSTITUTE(SUBSTITUTE(SUBSTITUTE(SUBSTITUTE(SUBSTITUTE(SUBSTITUTE(NOTA[[#This Row],[NAMA BARANG]]," ",),".",""),"-",""),"(",""),")",""),",",""),"/",""),"""",""),"+",""))</f>
        <v>docritprestigehitam</v>
      </c>
      <c r="AO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docritprestigehitam97500</v>
      </c>
      <c r="AP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docritprestigehitam16250</v>
      </c>
      <c r="AQ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" s="35">
        <f>IF(NOTA[[#This Row],[CONCAT1]]="","",MATCH(NOTA[[#This Row],[CONCAT1]],[3]!db[NB NOTA_C],0))</f>
        <v>875</v>
      </c>
      <c r="AS5" s="35" t="b">
        <f>IF(NOTA[[#This Row],[Column5]]="","",TRUE)</f>
        <v>1</v>
      </c>
      <c r="AT5" s="35" t="str">
        <f ca="1">IF(NOTA[[#This Row],[ID_H]]="","",IF(NOTA[[#This Row],[Column3]]=TRUE,NOTA[[#This Row],[Column5]],INDEX([3]!db[QTY/ CTN],NOTA[[#This Row],[//DB]])))</f>
        <v>8 LSN</v>
      </c>
      <c r="AU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docritprestigehitam8lsnuntana</v>
      </c>
      <c r="AV5" s="35">
        <f ca="1">IF(NOTA[[#This Row],[ID_H]]="","",MATCH(NOTA[[#This Row],[NB NOTA_C_QTY]],[3]!db[NB NOTA_C_QTY+F],0))</f>
        <v>875</v>
      </c>
      <c r="AW5" s="43">
        <f ca="1">IF(NOTA[[#This Row],[NB NOTA_C_QTY]]="","",ROW()-2)</f>
        <v>3</v>
      </c>
    </row>
    <row r="6" spans="1:50" ht="20.100000000000001" customHeight="1">
      <c r="A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5">
        <f ca="1">IF(NOTA[[#This Row],[NAMA BARANG]]="","",INDEX(NOTA[ID],MATCH(,INDIRECT(ADDRESS(ROW(NOTA[ID]),COLUMN(NOTA[ID]))&amp;":"&amp;ADDRESS(ROW(),COLUMN(NOTA[ID]))),-1)))</f>
        <v>1</v>
      </c>
      <c r="C6" s="45"/>
      <c r="F6" s="46"/>
      <c r="G6" s="35"/>
      <c r="H6" s="36"/>
      <c r="I6" s="35"/>
      <c r="J6" s="49" t="s">
        <v>85</v>
      </c>
      <c r="K6" s="37"/>
      <c r="L6" s="35">
        <v>90</v>
      </c>
      <c r="M6" s="35" t="s">
        <v>51</v>
      </c>
      <c r="N6" s="38">
        <v>16250</v>
      </c>
      <c r="O6" s="39"/>
      <c r="P6" s="47" t="s">
        <v>78</v>
      </c>
      <c r="Q6" s="48"/>
      <c r="R6" s="41"/>
      <c r="T6" s="42"/>
      <c r="U6" s="44"/>
      <c r="V6" s="42">
        <f>IF(NOTA[[#This Row],[HARGA/ CTN]]="",NOTA[[#This Row],[JUMLAH_H]],NOTA[[#This Row],[HARGA/ CTN]]*IF(NOTA[[#This Row],[C]]="",0,NOTA[[#This Row],[C]]))</f>
        <v>1462500</v>
      </c>
      <c r="W6" s="42">
        <f>IF(NOTA[[#This Row],[JUMLAH]]="","",NOTA[[#This Row],[JUMLAH]]*NOTA[[#This Row],[Column6]])</f>
        <v>0</v>
      </c>
      <c r="X6" s="42">
        <f>IF(NOTA[[#This Row],[JUMLAH]]="","",(NOTA[[#This Row],[JUMLAH]]-NOTA[[#This Row],[DISC 1-]])*NOTA[[#This Row],[Column7]])</f>
        <v>0</v>
      </c>
      <c r="Y6" s="42">
        <f>IF(NOTA[[#This Row],[JUMLAH]]="","",(NOTA[[#This Row],[JUMLAH]]-NOTA[[#This Row],[DISC 1-]]-NOTA[[#This Row],[DISC 2-]])*NOTA[[#This Row],[Column8]])</f>
        <v>0</v>
      </c>
      <c r="Z6" s="42">
        <f>IF(NOTA[[#This Row],[JUMLAH]]="","",NOTA[[#This Row],[DISC 1-]]+NOTA[[#This Row],[DISC 2-]]+NOTA[[#This Row],[DISC 3-]])</f>
        <v>0</v>
      </c>
      <c r="AA6" s="42">
        <f>IF(NOTA[[#This Row],[JUMLAH]]="","",NOTA[[#This Row],[JUMLAH]]-NOTA[[#This Row],[DISC]])</f>
        <v>1462500</v>
      </c>
      <c r="AB6" s="42"/>
      <c r="AC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2551250</v>
      </c>
      <c r="AE6" s="38">
        <f>IF(NOTA[[#This Row],[NAMA BARANG]]="","",IF(NOTA[[#This Row],[JUMLAH_H]]="",NOTA[[#This Row],[HARGA/ CTN]],NOTA[[#This Row],[QTY]]*NOTA[[#This Row],[HARGA SATUAN]]/IF(ISNUMBER(NOTA[[#This Row],[C]]),NOTA[[#This Row],[C]],1)))</f>
        <v>1462500</v>
      </c>
      <c r="AF6" s="42">
        <f>IF(OR(NOTA[[#This Row],[QTY]]="",NOTA[[#This Row],[HARGA SATUAN]]="",),"",NOTA[[#This Row],[QTY]]*NOTA[[#This Row],[HARGA SATUAN]])</f>
        <v>1462500</v>
      </c>
      <c r="AG6" s="36">
        <f ca="1">IF(NOTA[[#This Row],[ID_H]]="","",INDEX(NOTA[TANGGAL],MATCH(,INDIRECT(ADDRESS(ROW(NOTA[TANGGAL]),COLUMN(NOTA[TANGGAL]))&amp;":"&amp;ADDRESS(ROW(),COLUMN(NOTA[TANGGAL]))),-1)))</f>
        <v>45470</v>
      </c>
      <c r="AH6" s="36">
        <f ca="1">IF(NOTA[[#This Row],[ID_H]]="","",INDEX(NOTA[TGL.NOTA],MATCH(,INDIRECT(ADDRESS(ROW(NOTA[TGL.NOTA]),COLUMN(NOTA[TGL.NOTA]))&amp;":"&amp;ADDRESS(ROW(),COLUMN(NOTA[TGL.NOTA]))),-1)))</f>
        <v>45470</v>
      </c>
      <c r="AI6" s="36" t="str">
        <f ca="1">IF(NOTA[[#This Row],[ID_H]]="","",INDEX(NOTA[NO.NOTA],MATCH(NOTA[[#This Row],[ID_H]],NOTA[ID_H],0)))</f>
        <v>0644</v>
      </c>
      <c r="AJ6" s="38" t="str">
        <f ca="1">IF(NOTA[[#This Row],[NAMA BARANG]]="","",INDEX(NOTA[SUPPLIER],MATCH(,INDIRECT(ADDRESS(ROW(NOTA[ID]),COLUMN(NOTA[ID]))&amp;":"&amp;ADDRESS(ROW(),COLUMN(NOTA[ID]))),-1)))</f>
        <v>COMBI</v>
      </c>
      <c r="AK6" s="38" t="str">
        <f ca="1">IF(NOTA[[#This Row],[ID_H]]="","",IF(NOTA[[#This Row],[FAKTUR]]="",INDIRECT(ADDRESS(ROW()-1,COLUMN())),NOTA[[#This Row],[FAKTUR]]))</f>
        <v>UNTANA</v>
      </c>
      <c r="AL6" s="35" t="str">
        <f ca="1">IF(NOTA[[#This Row],[ID]]="","",COUNTIF(NOTA[ID_H],NOTA[[#This Row],[ID_H]]))</f>
        <v/>
      </c>
      <c r="AM6" s="35" t="e">
        <f ca="1">IF(NOTA[[#This Row],[TGL.NOTA]]="",IF(NOTA[[#This Row],[SUPPLIER_H]]="","",AM5),MONTH(NOTA[[#This Row],[TGL.NOTA]]))</f>
        <v>#REF!</v>
      </c>
      <c r="AN6" s="35" t="str">
        <f>LOWER(SUBSTITUTE(SUBSTITUTE(SUBSTITUTE(SUBSTITUTE(SUBSTITUTE(SUBSTITUTE(SUBSTITUTE(SUBSTITUTE(SUBSTITUTE(NOTA[[#This Row],[NAMA BARANG]]," ",),".",""),"-",""),"(",""),")",""),",",""),"/",""),"""",""),"+",""))</f>
        <v>docritprestigebiru</v>
      </c>
      <c r="AO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docritprestigebiru1462500</v>
      </c>
      <c r="AP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docritprestigebiru16250</v>
      </c>
      <c r="AQ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" s="35">
        <f>IF(NOTA[[#This Row],[CONCAT1]]="","",MATCH(NOTA[[#This Row],[CONCAT1]],[3]!db[NB NOTA_C],0))</f>
        <v>874</v>
      </c>
      <c r="AS6" s="35" t="b">
        <f>IF(NOTA[[#This Row],[Column5]]="","",TRUE)</f>
        <v>1</v>
      </c>
      <c r="AT6" s="35" t="str">
        <f ca="1">IF(NOTA[[#This Row],[ID_H]]="","",IF(NOTA[[#This Row],[Column3]]=TRUE,NOTA[[#This Row],[Column5]],INDEX([3]!db[QTY/ CTN],NOTA[[#This Row],[//DB]])))</f>
        <v>8 LSN</v>
      </c>
      <c r="AU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docritprestigebiru8lsnuntana</v>
      </c>
      <c r="AV6" s="35">
        <f ca="1">IF(NOTA[[#This Row],[ID_H]]="","",MATCH(NOTA[[#This Row],[NB NOTA_C_QTY]],[3]!db[NB NOTA_C_QTY+F],0))</f>
        <v>874</v>
      </c>
      <c r="AW6" s="43">
        <f ca="1">IF(NOTA[[#This Row],[NB NOTA_C_QTY]]="","",ROW()-2)</f>
        <v>4</v>
      </c>
    </row>
    <row r="7" spans="1:50" ht="20.100000000000001" customHeight="1">
      <c r="A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5" t="str">
        <f ca="1">IF(NOTA[[#This Row],[NAMA BARANG]]="","",INDEX(NOTA[ID],MATCH(,INDIRECT(ADDRESS(ROW(NOTA[ID]),COLUMN(NOTA[ID]))&amp;":"&amp;ADDRESS(ROW(),COLUMN(NOTA[ID]))),-1)))</f>
        <v/>
      </c>
      <c r="C7" s="45"/>
      <c r="F7" s="46"/>
      <c r="G7" s="35"/>
      <c r="H7" s="36"/>
      <c r="I7" s="35"/>
      <c r="K7" s="37"/>
      <c r="L7" s="35"/>
      <c r="N7" s="38"/>
      <c r="O7" s="39"/>
      <c r="P7" s="47"/>
      <c r="Q7" s="48"/>
      <c r="R7" s="41"/>
      <c r="T7" s="42"/>
      <c r="U7" s="44"/>
      <c r="V7" s="42" t="str">
        <f>IF(NOTA[[#This Row],[HARGA/ CTN]]="",NOTA[[#This Row],[JUMLAH_H]],NOTA[[#This Row],[HARGA/ CTN]]*IF(NOTA[[#This Row],[C]]="",0,NOTA[[#This Row],[C]]))</f>
        <v/>
      </c>
      <c r="W7" s="42" t="str">
        <f>IF(NOTA[[#This Row],[JUMLAH]]="","",NOTA[[#This Row],[JUMLAH]]*NOTA[[#This Row],[Column6]])</f>
        <v/>
      </c>
      <c r="X7" s="42" t="str">
        <f>IF(NOTA[[#This Row],[JUMLAH]]="","",(NOTA[[#This Row],[JUMLAH]]-NOTA[[#This Row],[DISC 1-]])*NOTA[[#This Row],[Column7]])</f>
        <v/>
      </c>
      <c r="Y7" s="42" t="str">
        <f>IF(NOTA[[#This Row],[JUMLAH]]="","",(NOTA[[#This Row],[JUMLAH]]-NOTA[[#This Row],[DISC 1-]]-NOTA[[#This Row],[DISC 2-]])*NOTA[[#This Row],[Column8]])</f>
        <v/>
      </c>
      <c r="Z7" s="42" t="str">
        <f>IF(NOTA[[#This Row],[JUMLAH]]="","",NOTA[[#This Row],[DISC 1-]]+NOTA[[#This Row],[DISC 2-]]+NOTA[[#This Row],[DISC 3-]])</f>
        <v/>
      </c>
      <c r="AA7" s="42" t="str">
        <f>IF(NOTA[[#This Row],[JUMLAH]]="","",NOTA[[#This Row],[JUMLAH]]-NOTA[[#This Row],[DISC]])</f>
        <v/>
      </c>
      <c r="AB7" s="42"/>
      <c r="AC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" s="42" t="str">
        <f>IF(OR(NOTA[[#This Row],[QTY]]="",NOTA[[#This Row],[HARGA SATUAN]]="",),"",NOTA[[#This Row],[QTY]]*NOTA[[#This Row],[HARGA SATUAN]])</f>
        <v/>
      </c>
      <c r="AG7" s="36" t="str">
        <f ca="1">IF(NOTA[[#This Row],[ID_H]]="","",INDEX(NOTA[TANGGAL],MATCH(,INDIRECT(ADDRESS(ROW(NOTA[TANGGAL]),COLUMN(NOTA[TANGGAL]))&amp;":"&amp;ADDRESS(ROW(),COLUMN(NOTA[TANGGAL]))),-1)))</f>
        <v/>
      </c>
      <c r="AH7" s="36" t="str">
        <f ca="1">IF(NOTA[[#This Row],[ID_H]]="","",INDEX(NOTA[TGL.NOTA],MATCH(,INDIRECT(ADDRESS(ROW(NOTA[TGL.NOTA]),COLUMN(NOTA[TGL.NOTA]))&amp;":"&amp;ADDRESS(ROW(),COLUMN(NOTA[TGL.NOTA]))),-1)))</f>
        <v/>
      </c>
      <c r="AI7" s="36" t="str">
        <f ca="1">IF(NOTA[[#This Row],[ID_H]]="","",INDEX(NOTA[NO.NOTA],MATCH(NOTA[[#This Row],[ID_H]],NOTA[ID_H],0)))</f>
        <v/>
      </c>
      <c r="AJ7" s="38" t="str">
        <f ca="1">IF(NOTA[[#This Row],[NAMA BARANG]]="","",INDEX(NOTA[SUPPLIER],MATCH(,INDIRECT(ADDRESS(ROW(NOTA[ID]),COLUMN(NOTA[ID]))&amp;":"&amp;ADDRESS(ROW(),COLUMN(NOTA[ID]))),-1)))</f>
        <v/>
      </c>
      <c r="AK7" s="38" t="str">
        <f ca="1">IF(NOTA[[#This Row],[ID_H]]="","",IF(NOTA[[#This Row],[FAKTUR]]="",INDIRECT(ADDRESS(ROW()-1,COLUMN())),NOTA[[#This Row],[FAKTUR]]))</f>
        <v/>
      </c>
      <c r="AL7" s="35" t="str">
        <f ca="1">IF(NOTA[[#This Row],[ID]]="","",COUNTIF(NOTA[ID_H],NOTA[[#This Row],[ID_H]]))</f>
        <v/>
      </c>
      <c r="AM7" s="35" t="str">
        <f ca="1">IF(NOTA[[#This Row],[TGL.NOTA]]="",IF(NOTA[[#This Row],[SUPPLIER_H]]="","",AM6),MONTH(NOTA[[#This Row],[TGL.NOTA]]))</f>
        <v/>
      </c>
      <c r="AN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" s="35" t="str">
        <f>IF(NOTA[[#This Row],[CONCAT1]]="","",MATCH(NOTA[[#This Row],[CONCAT1]],[3]!db[NB NOTA_C],0))</f>
        <v/>
      </c>
      <c r="AS7" s="35" t="str">
        <f>IF(NOTA[[#This Row],[Column5]]="","",TRUE)</f>
        <v/>
      </c>
      <c r="AT7" s="35" t="str">
        <f ca="1">IF(NOTA[[#This Row],[ID_H]]="","",IF(NOTA[[#This Row],[Column3]]=TRUE,NOTA[[#This Row],[Column5]],INDEX([3]!db[QTY/ CTN],NOTA[[#This Row],[//DB]])))</f>
        <v/>
      </c>
      <c r="AU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" s="35" t="str">
        <f ca="1">IF(NOTA[[#This Row],[ID_H]]="","",MATCH(NOTA[[#This Row],[NB NOTA_C_QTY]],[3]!db[NB NOTA_C_QTY+F],0))</f>
        <v/>
      </c>
      <c r="AW7" s="43" t="str">
        <f ca="1">IF(NOTA[[#This Row],[NB NOTA_C_QTY]]="","",ROW()-2)</f>
        <v/>
      </c>
    </row>
    <row r="8" spans="1:50" ht="20.100000000000001" customHeight="1">
      <c r="A8" s="38">
        <f ca="1">IF(INDIRECT(ADDRESS(ROW()-1,COLUMN(NOTA[[#Headers],[ID]])))="ID",1,IF(NOTA[[#This Row],[FAKTUR]]="","",COUNT(INDIRECT(ADDRESS(ROW(NOTA[ID]),COLUMN(NOTA[ID]))&amp;":"&amp;ADDRESS(ROW()-1,COLUMN(NOTA[ID]))))+1))</f>
        <v>2</v>
      </c>
      <c r="B8" s="35">
        <f ca="1">IF(NOTA[[#This Row],[NAMA BARANG]]="","",INDEX(NOTA[ID],MATCH(,INDIRECT(ADDRESS(ROW(NOTA[ID]),COLUMN(NOTA[ID]))&amp;":"&amp;ADDRESS(ROW(),COLUMN(NOTA[ID]))),-1)))</f>
        <v>2</v>
      </c>
      <c r="C8" s="45">
        <v>45470</v>
      </c>
      <c r="D8" s="35" t="s">
        <v>80</v>
      </c>
      <c r="E8" s="35" t="s">
        <v>49</v>
      </c>
      <c r="F8" s="46" t="s">
        <v>86</v>
      </c>
      <c r="G8" s="35"/>
      <c r="H8" s="36">
        <v>45470</v>
      </c>
      <c r="I8" s="35"/>
      <c r="J8" s="35" t="s">
        <v>87</v>
      </c>
      <c r="K8" s="37"/>
      <c r="L8" s="35">
        <v>1</v>
      </c>
      <c r="M8" s="35" t="s">
        <v>50</v>
      </c>
      <c r="N8" s="38">
        <v>13000</v>
      </c>
      <c r="O8" s="39"/>
      <c r="P8" s="47"/>
      <c r="Q8" s="48"/>
      <c r="R8" s="41"/>
      <c r="T8" s="42"/>
      <c r="U8" s="44"/>
      <c r="V8" s="42">
        <f>IF(NOTA[[#This Row],[HARGA/ CTN]]="",NOTA[[#This Row],[JUMLAH_H]],NOTA[[#This Row],[HARGA/ CTN]]*IF(NOTA[[#This Row],[C]]="",0,NOTA[[#This Row],[C]]))</f>
        <v>13000</v>
      </c>
      <c r="W8" s="42">
        <f>IF(NOTA[[#This Row],[JUMLAH]]="","",NOTA[[#This Row],[JUMLAH]]*NOTA[[#This Row],[Column6]])</f>
        <v>0</v>
      </c>
      <c r="X8" s="42">
        <f>IF(NOTA[[#This Row],[JUMLAH]]="","",(NOTA[[#This Row],[JUMLAH]]-NOTA[[#This Row],[DISC 1-]])*NOTA[[#This Row],[Column7]])</f>
        <v>0</v>
      </c>
      <c r="Y8" s="42">
        <f>IF(NOTA[[#This Row],[JUMLAH]]="","",(NOTA[[#This Row],[JUMLAH]]-NOTA[[#This Row],[DISC 1-]]-NOTA[[#This Row],[DISC 2-]])*NOTA[[#This Row],[Column8]])</f>
        <v>0</v>
      </c>
      <c r="Z8" s="42">
        <f>IF(NOTA[[#This Row],[JUMLAH]]="","",NOTA[[#This Row],[DISC 1-]]+NOTA[[#This Row],[DISC 2-]]+NOTA[[#This Row],[DISC 3-]])</f>
        <v>0</v>
      </c>
      <c r="AA8" s="42">
        <f>IF(NOTA[[#This Row],[JUMLAH]]="","",NOTA[[#This Row],[JUMLAH]]-NOTA[[#This Row],[DISC]])</f>
        <v>13000</v>
      </c>
      <c r="AB8" s="42"/>
      <c r="AC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" s="3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8" s="42">
        <f>IF(OR(NOTA[[#This Row],[QTY]]="",NOTA[[#This Row],[HARGA SATUAN]]="",),"",NOTA[[#This Row],[QTY]]*NOTA[[#This Row],[HARGA SATUAN]])</f>
        <v>13000</v>
      </c>
      <c r="AG8" s="36">
        <f ca="1">IF(NOTA[[#This Row],[ID_H]]="","",INDEX(NOTA[TANGGAL],MATCH(,INDIRECT(ADDRESS(ROW(NOTA[TANGGAL]),COLUMN(NOTA[TANGGAL]))&amp;":"&amp;ADDRESS(ROW(),COLUMN(NOTA[TANGGAL]))),-1)))</f>
        <v>45470</v>
      </c>
      <c r="AH8" s="36">
        <f ca="1">IF(NOTA[[#This Row],[ID_H]]="","",INDEX(NOTA[TGL.NOTA],MATCH(,INDIRECT(ADDRESS(ROW(NOTA[TGL.NOTA]),COLUMN(NOTA[TGL.NOTA]))&amp;":"&amp;ADDRESS(ROW(),COLUMN(NOTA[TGL.NOTA]))),-1)))</f>
        <v>45470</v>
      </c>
      <c r="AI8" s="36" t="str">
        <f ca="1">IF(NOTA[[#This Row],[ID_H]]="","",INDEX(NOTA[NO.NOTA],MATCH(NOTA[[#This Row],[ID_H]],NOTA[ID_H],0)))</f>
        <v>HN062024317</v>
      </c>
      <c r="AJ8" s="38" t="str">
        <f ca="1">IF(NOTA[[#This Row],[NAMA BARANG]]="","",INDEX(NOTA[SUPPLIER],MATCH(,INDIRECT(ADDRESS(ROW(NOTA[ID]),COLUMN(NOTA[ID]))&amp;":"&amp;ADDRESS(ROW(),COLUMN(NOTA[ID]))),-1)))</f>
        <v>HANSA</v>
      </c>
      <c r="AK8" s="38" t="str">
        <f ca="1">IF(NOTA[[#This Row],[ID_H]]="","",IF(NOTA[[#This Row],[FAKTUR]]="",INDIRECT(ADDRESS(ROW()-1,COLUMN())),NOTA[[#This Row],[FAKTUR]]))</f>
        <v>UNTANA</v>
      </c>
      <c r="AL8" s="35">
        <f ca="1">IF(NOTA[[#This Row],[ID]]="","",COUNTIF(NOTA[ID_H],NOTA[[#This Row],[ID_H]]))</f>
        <v>4</v>
      </c>
      <c r="AM8" s="35">
        <f>IF(NOTA[[#This Row],[TGL.NOTA]]="",IF(NOTA[[#This Row],[SUPPLIER_H]]="","",AM7),MONTH(NOTA[[#This Row],[TGL.NOTA]]))</f>
        <v>6</v>
      </c>
      <c r="AN8" s="35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O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lilinangkashintoengno413000</v>
      </c>
      <c r="AP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lilinangkashintoengno413000</v>
      </c>
      <c r="AQ8" s="35" t="str">
        <f>IF(NOTA[[#This Row],[SUPPLIER]]="","",NOTA[[#This Row],[SUPPLIER]]&amp;NOTA[[#This Row],[FAKTUR]]&amp;NOTA[[#This Row],[NO.NOTA]]&amp;NOTA[[#This Row],[NO.SJ]]&amp;NOTA[[#This Row],[TGL.NOTA]]&amp;NOTA[[#This Row],[CONCAT1]])</f>
        <v>HANSAUNTANAHN06202431745470lilinangkashintoengno4</v>
      </c>
      <c r="AR8" s="35">
        <f>IF(NOTA[[#This Row],[CONCAT1]]="","",MATCH(NOTA[[#This Row],[CONCAT1]],[3]!db[NB NOTA_C],0))</f>
        <v>1976</v>
      </c>
      <c r="AS8" s="35" t="str">
        <f>IF(NOTA[[#This Row],[Column5]]="","",TRUE)</f>
        <v/>
      </c>
      <c r="AT8" s="35" t="str">
        <f ca="1">IF(NOTA[[#This Row],[ID_H]]="","",IF(NOTA[[#This Row],[Column3]]=TRUE,NOTA[[#This Row],[Column5]],INDEX([3]!db[QTY/ CTN],NOTA[[#This Row],[//DB]])))</f>
        <v>100 LSN</v>
      </c>
      <c r="AU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V8" s="35">
        <f ca="1">IF(NOTA[[#This Row],[ID_H]]="","",MATCH(NOTA[[#This Row],[NB NOTA_C_QTY]],[3]!db[NB NOTA_C_QTY+F],0))</f>
        <v>1976</v>
      </c>
      <c r="AW8" s="43">
        <f ca="1">IF(NOTA[[#This Row],[NB NOTA_C_QTY]]="","",ROW()-2)</f>
        <v>6</v>
      </c>
    </row>
    <row r="9" spans="1:50" ht="20.100000000000001" customHeight="1">
      <c r="A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5">
        <f ca="1">IF(NOTA[[#This Row],[NAMA BARANG]]="","",INDEX(NOTA[ID],MATCH(,INDIRECT(ADDRESS(ROW(NOTA[ID]),COLUMN(NOTA[ID]))&amp;":"&amp;ADDRESS(ROW(),COLUMN(NOTA[ID]))),-1)))</f>
        <v>2</v>
      </c>
      <c r="C9" s="45"/>
      <c r="F9" s="46"/>
      <c r="G9" s="35"/>
      <c r="H9" s="36"/>
      <c r="I9" s="35"/>
      <c r="J9" s="35" t="s">
        <v>88</v>
      </c>
      <c r="K9" s="37"/>
      <c r="L9" s="35">
        <v>1</v>
      </c>
      <c r="M9" s="35" t="s">
        <v>50</v>
      </c>
      <c r="N9" s="38">
        <v>13000</v>
      </c>
      <c r="O9" s="39"/>
      <c r="P9" s="47"/>
      <c r="Q9" s="48"/>
      <c r="R9" s="41"/>
      <c r="T9" s="42"/>
      <c r="U9" s="44"/>
      <c r="V9" s="42">
        <f>IF(NOTA[[#This Row],[HARGA/ CTN]]="",NOTA[[#This Row],[JUMLAH_H]],NOTA[[#This Row],[HARGA/ CTN]]*IF(NOTA[[#This Row],[C]]="",0,NOTA[[#This Row],[C]]))</f>
        <v>13000</v>
      </c>
      <c r="W9" s="42">
        <f>IF(NOTA[[#This Row],[JUMLAH]]="","",NOTA[[#This Row],[JUMLAH]]*NOTA[[#This Row],[Column6]])</f>
        <v>0</v>
      </c>
      <c r="X9" s="42">
        <f>IF(NOTA[[#This Row],[JUMLAH]]="","",(NOTA[[#This Row],[JUMLAH]]-NOTA[[#This Row],[DISC 1-]])*NOTA[[#This Row],[Column7]])</f>
        <v>0</v>
      </c>
      <c r="Y9" s="42">
        <f>IF(NOTA[[#This Row],[JUMLAH]]="","",(NOTA[[#This Row],[JUMLAH]]-NOTA[[#This Row],[DISC 1-]]-NOTA[[#This Row],[DISC 2-]])*NOTA[[#This Row],[Column8]])</f>
        <v>0</v>
      </c>
      <c r="Z9" s="42">
        <f>IF(NOTA[[#This Row],[JUMLAH]]="","",NOTA[[#This Row],[DISC 1-]]+NOTA[[#This Row],[DISC 2-]]+NOTA[[#This Row],[DISC 3-]])</f>
        <v>0</v>
      </c>
      <c r="AA9" s="42">
        <f>IF(NOTA[[#This Row],[JUMLAH]]="","",NOTA[[#This Row],[JUMLAH]]-NOTA[[#This Row],[DISC]])</f>
        <v>13000</v>
      </c>
      <c r="AB9" s="42"/>
      <c r="AC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" s="3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9" s="42">
        <f>IF(OR(NOTA[[#This Row],[QTY]]="",NOTA[[#This Row],[HARGA SATUAN]]="",),"",NOTA[[#This Row],[QTY]]*NOTA[[#This Row],[HARGA SATUAN]])</f>
        <v>13000</v>
      </c>
      <c r="AG9" s="36">
        <f ca="1">IF(NOTA[[#This Row],[ID_H]]="","",INDEX(NOTA[TANGGAL],MATCH(,INDIRECT(ADDRESS(ROW(NOTA[TANGGAL]),COLUMN(NOTA[TANGGAL]))&amp;":"&amp;ADDRESS(ROW(),COLUMN(NOTA[TANGGAL]))),-1)))</f>
        <v>45470</v>
      </c>
      <c r="AH9" s="36">
        <f ca="1">IF(NOTA[[#This Row],[ID_H]]="","",INDEX(NOTA[TGL.NOTA],MATCH(,INDIRECT(ADDRESS(ROW(NOTA[TGL.NOTA]),COLUMN(NOTA[TGL.NOTA]))&amp;":"&amp;ADDRESS(ROW(),COLUMN(NOTA[TGL.NOTA]))),-1)))</f>
        <v>45470</v>
      </c>
      <c r="AI9" s="36" t="str">
        <f ca="1">IF(NOTA[[#This Row],[ID_H]]="","",INDEX(NOTA[NO.NOTA],MATCH(NOTA[[#This Row],[ID_H]],NOTA[ID_H],0)))</f>
        <v>HN062024317</v>
      </c>
      <c r="AJ9" s="38" t="str">
        <f ca="1">IF(NOTA[[#This Row],[NAMA BARANG]]="","",INDEX(NOTA[SUPPLIER],MATCH(,INDIRECT(ADDRESS(ROW(NOTA[ID]),COLUMN(NOTA[ID]))&amp;":"&amp;ADDRESS(ROW(),COLUMN(NOTA[ID]))),-1)))</f>
        <v>HANSA</v>
      </c>
      <c r="AK9" s="38" t="str">
        <f ca="1">IF(NOTA[[#This Row],[ID_H]]="","",IF(NOTA[[#This Row],[FAKTUR]]="",INDIRECT(ADDRESS(ROW()-1,COLUMN())),NOTA[[#This Row],[FAKTUR]]))</f>
        <v>UNTANA</v>
      </c>
      <c r="AL9" s="35" t="str">
        <f ca="1">IF(NOTA[[#This Row],[ID]]="","",COUNTIF(NOTA[ID_H],NOTA[[#This Row],[ID_H]]))</f>
        <v/>
      </c>
      <c r="AM9" s="35">
        <f ca="1">IF(NOTA[[#This Row],[TGL.NOTA]]="",IF(NOTA[[#This Row],[SUPPLIER_H]]="","",AM8),MONTH(NOTA[[#This Row],[TGL.NOTA]]))</f>
        <v>6</v>
      </c>
      <c r="AN9" s="35" t="str">
        <f>LOWER(SUBSTITUTE(SUBSTITUTE(SUBSTITUTE(SUBSTITUTE(SUBSTITUTE(SUBSTITUTE(SUBSTITUTE(SUBSTITUTE(SUBSTITUTE(NOTA[[#This Row],[NAMA BARANG]]," ",),".",""),"-",""),"(",""),")",""),",",""),"/",""),"""",""),"+",""))</f>
        <v>lilinangkashintoengno5</v>
      </c>
      <c r="AO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lilinangkashintoengno513000</v>
      </c>
      <c r="AP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lilinangkashintoengno513000</v>
      </c>
      <c r="AQ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" s="35">
        <f>IF(NOTA[[#This Row],[CONCAT1]]="","",MATCH(NOTA[[#This Row],[CONCAT1]],[3]!db[NB NOTA_C],0))</f>
        <v>1977</v>
      </c>
      <c r="AS9" s="35" t="str">
        <f>IF(NOTA[[#This Row],[Column5]]="","",TRUE)</f>
        <v/>
      </c>
      <c r="AT9" s="35" t="str">
        <f ca="1">IF(NOTA[[#This Row],[ID_H]]="","",IF(NOTA[[#This Row],[Column3]]=TRUE,NOTA[[#This Row],[Column5]],INDEX([3]!db[QTY/ CTN],NOTA[[#This Row],[//DB]])))</f>
        <v>100 LSN</v>
      </c>
      <c r="AU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lilinangkashintoengno5100lsnuntana</v>
      </c>
      <c r="AV9" s="35">
        <f ca="1">IF(NOTA[[#This Row],[ID_H]]="","",MATCH(NOTA[[#This Row],[NB NOTA_C_QTY]],[3]!db[NB NOTA_C_QTY+F],0))</f>
        <v>1977</v>
      </c>
      <c r="AW9" s="43">
        <f ca="1">IF(NOTA[[#This Row],[NB NOTA_C_QTY]]="","",ROW()-2)</f>
        <v>7</v>
      </c>
    </row>
    <row r="10" spans="1:50" ht="20.100000000000001" customHeight="1">
      <c r="A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5">
        <f ca="1">IF(NOTA[[#This Row],[NAMA BARANG]]="","",INDEX(NOTA[ID],MATCH(,INDIRECT(ADDRESS(ROW(NOTA[ID]),COLUMN(NOTA[ID]))&amp;":"&amp;ADDRESS(ROW(),COLUMN(NOTA[ID]))),-1)))</f>
        <v>2</v>
      </c>
      <c r="C10" s="45"/>
      <c r="F10" s="46"/>
      <c r="G10" s="35"/>
      <c r="H10" s="36"/>
      <c r="I10" s="35"/>
      <c r="J10" s="35" t="s">
        <v>89</v>
      </c>
      <c r="K10" s="37"/>
      <c r="L10" s="35">
        <v>1</v>
      </c>
      <c r="M10" s="35" t="s">
        <v>50</v>
      </c>
      <c r="N10" s="38">
        <v>13000</v>
      </c>
      <c r="O10" s="39"/>
      <c r="P10" s="47"/>
      <c r="Q10" s="48"/>
      <c r="R10" s="41"/>
      <c r="T10" s="42"/>
      <c r="U10" s="44"/>
      <c r="V10" s="42">
        <f>IF(NOTA[[#This Row],[HARGA/ CTN]]="",NOTA[[#This Row],[JUMLAH_H]],NOTA[[#This Row],[HARGA/ CTN]]*IF(NOTA[[#This Row],[C]]="",0,NOTA[[#This Row],[C]]))</f>
        <v>13000</v>
      </c>
      <c r="W10" s="42">
        <f>IF(NOTA[[#This Row],[JUMLAH]]="","",NOTA[[#This Row],[JUMLAH]]*NOTA[[#This Row],[Column6]])</f>
        <v>0</v>
      </c>
      <c r="X10" s="42">
        <f>IF(NOTA[[#This Row],[JUMLAH]]="","",(NOTA[[#This Row],[JUMLAH]]-NOTA[[#This Row],[DISC 1-]])*NOTA[[#This Row],[Column7]])</f>
        <v>0</v>
      </c>
      <c r="Y10" s="42">
        <f>IF(NOTA[[#This Row],[JUMLAH]]="","",(NOTA[[#This Row],[JUMLAH]]-NOTA[[#This Row],[DISC 1-]]-NOTA[[#This Row],[DISC 2-]])*NOTA[[#This Row],[Column8]])</f>
        <v>0</v>
      </c>
      <c r="Z10" s="42">
        <f>IF(NOTA[[#This Row],[JUMLAH]]="","",NOTA[[#This Row],[DISC 1-]]+NOTA[[#This Row],[DISC 2-]]+NOTA[[#This Row],[DISC 3-]])</f>
        <v>0</v>
      </c>
      <c r="AA10" s="42">
        <f>IF(NOTA[[#This Row],[JUMLAH]]="","",NOTA[[#This Row],[JUMLAH]]-NOTA[[#This Row],[DISC]])</f>
        <v>13000</v>
      </c>
      <c r="AB10" s="42"/>
      <c r="AC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" s="3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10" s="42">
        <f>IF(OR(NOTA[[#This Row],[QTY]]="",NOTA[[#This Row],[HARGA SATUAN]]="",),"",NOTA[[#This Row],[QTY]]*NOTA[[#This Row],[HARGA SATUAN]])</f>
        <v>13000</v>
      </c>
      <c r="AG10" s="36">
        <f ca="1">IF(NOTA[[#This Row],[ID_H]]="","",INDEX(NOTA[TANGGAL],MATCH(,INDIRECT(ADDRESS(ROW(NOTA[TANGGAL]),COLUMN(NOTA[TANGGAL]))&amp;":"&amp;ADDRESS(ROW(),COLUMN(NOTA[TANGGAL]))),-1)))</f>
        <v>45470</v>
      </c>
      <c r="AH10" s="36">
        <f ca="1">IF(NOTA[[#This Row],[ID_H]]="","",INDEX(NOTA[TGL.NOTA],MATCH(,INDIRECT(ADDRESS(ROW(NOTA[TGL.NOTA]),COLUMN(NOTA[TGL.NOTA]))&amp;":"&amp;ADDRESS(ROW(),COLUMN(NOTA[TGL.NOTA]))),-1)))</f>
        <v>45470</v>
      </c>
      <c r="AI10" s="36" t="str">
        <f ca="1">IF(NOTA[[#This Row],[ID_H]]="","",INDEX(NOTA[NO.NOTA],MATCH(NOTA[[#This Row],[ID_H]],NOTA[ID_H],0)))</f>
        <v>HN062024317</v>
      </c>
      <c r="AJ10" s="38" t="str">
        <f ca="1">IF(NOTA[[#This Row],[NAMA BARANG]]="","",INDEX(NOTA[SUPPLIER],MATCH(,INDIRECT(ADDRESS(ROW(NOTA[ID]),COLUMN(NOTA[ID]))&amp;":"&amp;ADDRESS(ROW(),COLUMN(NOTA[ID]))),-1)))</f>
        <v>HANSA</v>
      </c>
      <c r="AK10" s="38" t="str">
        <f ca="1">IF(NOTA[[#This Row],[ID_H]]="","",IF(NOTA[[#This Row],[FAKTUR]]="",INDIRECT(ADDRESS(ROW()-1,COLUMN())),NOTA[[#This Row],[FAKTUR]]))</f>
        <v>UNTANA</v>
      </c>
      <c r="AL10" s="35" t="str">
        <f ca="1">IF(NOTA[[#This Row],[ID]]="","",COUNTIF(NOTA[ID_H],NOTA[[#This Row],[ID_H]]))</f>
        <v/>
      </c>
      <c r="AM10" s="35">
        <f ca="1">IF(NOTA[[#This Row],[TGL.NOTA]]="",IF(NOTA[[#This Row],[SUPPLIER_H]]="","",AM9),MONTH(NOTA[[#This Row],[TGL.NOTA]]))</f>
        <v>6</v>
      </c>
      <c r="AN10" s="35" t="str">
        <f>LOWER(SUBSTITUTE(SUBSTITUTE(SUBSTITUTE(SUBSTITUTE(SUBSTITUTE(SUBSTITUTE(SUBSTITUTE(SUBSTITUTE(SUBSTITUTE(NOTA[[#This Row],[NAMA BARANG]]," ",),".",""),"-",""),"(",""),")",""),",",""),"/",""),"""",""),"+",""))</f>
        <v>lilinangkashintoengno6</v>
      </c>
      <c r="AO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lilinangkashintoengno613000</v>
      </c>
      <c r="AP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lilinangkashintoengno613000</v>
      </c>
      <c r="AQ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" s="35">
        <f>IF(NOTA[[#This Row],[CONCAT1]]="","",MATCH(NOTA[[#This Row],[CONCAT1]],[3]!db[NB NOTA_C],0))</f>
        <v>1978</v>
      </c>
      <c r="AS10" s="35" t="str">
        <f>IF(NOTA[[#This Row],[Column5]]="","",TRUE)</f>
        <v/>
      </c>
      <c r="AT10" s="35" t="str">
        <f ca="1">IF(NOTA[[#This Row],[ID_H]]="","",IF(NOTA[[#This Row],[Column3]]=TRUE,NOTA[[#This Row],[Column5]],INDEX([3]!db[QTY/ CTN],NOTA[[#This Row],[//DB]])))</f>
        <v>100 LSN</v>
      </c>
      <c r="AU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lilinangkashintoengno6100lsnuntana</v>
      </c>
      <c r="AV10" s="35">
        <f ca="1">IF(NOTA[[#This Row],[ID_H]]="","",MATCH(NOTA[[#This Row],[NB NOTA_C_QTY]],[3]!db[NB NOTA_C_QTY+F],0))</f>
        <v>1978</v>
      </c>
      <c r="AW10" s="43">
        <f ca="1">IF(NOTA[[#This Row],[NB NOTA_C_QTY]]="","",ROW()-2)</f>
        <v>8</v>
      </c>
    </row>
    <row r="11" spans="1:50" ht="20.100000000000001" customHeight="1">
      <c r="A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5">
        <f ca="1">IF(NOTA[[#This Row],[NAMA BARANG]]="","",INDEX(NOTA[ID],MATCH(,INDIRECT(ADDRESS(ROW(NOTA[ID]),COLUMN(NOTA[ID]))&amp;":"&amp;ADDRESS(ROW(),COLUMN(NOTA[ID]))),-1)))</f>
        <v>2</v>
      </c>
      <c r="C11" s="45"/>
      <c r="F11" s="46"/>
      <c r="G11" s="35"/>
      <c r="H11" s="36"/>
      <c r="I11" s="35"/>
      <c r="J11" s="35" t="s">
        <v>90</v>
      </c>
      <c r="K11" s="37"/>
      <c r="L11" s="35">
        <v>1</v>
      </c>
      <c r="M11" s="35" t="s">
        <v>50</v>
      </c>
      <c r="N11" s="38">
        <v>13000</v>
      </c>
      <c r="O11" s="39"/>
      <c r="P11" s="47"/>
      <c r="Q11" s="48"/>
      <c r="R11" s="41"/>
      <c r="T11" s="42"/>
      <c r="U11" s="44"/>
      <c r="V11" s="42">
        <f>IF(NOTA[[#This Row],[HARGA/ CTN]]="",NOTA[[#This Row],[JUMLAH_H]],NOTA[[#This Row],[HARGA/ CTN]]*IF(NOTA[[#This Row],[C]]="",0,NOTA[[#This Row],[C]]))</f>
        <v>13000</v>
      </c>
      <c r="W11" s="42">
        <f>IF(NOTA[[#This Row],[JUMLAH]]="","",NOTA[[#This Row],[JUMLAH]]*NOTA[[#This Row],[Column6]])</f>
        <v>0</v>
      </c>
      <c r="X11" s="42">
        <f>IF(NOTA[[#This Row],[JUMLAH]]="","",(NOTA[[#This Row],[JUMLAH]]-NOTA[[#This Row],[DISC 1-]])*NOTA[[#This Row],[Column7]])</f>
        <v>0</v>
      </c>
      <c r="Y11" s="42">
        <f>IF(NOTA[[#This Row],[JUMLAH]]="","",(NOTA[[#This Row],[JUMLAH]]-NOTA[[#This Row],[DISC 1-]]-NOTA[[#This Row],[DISC 2-]])*NOTA[[#This Row],[Column8]])</f>
        <v>0</v>
      </c>
      <c r="Z11" s="42">
        <f>IF(NOTA[[#This Row],[JUMLAH]]="","",NOTA[[#This Row],[DISC 1-]]+NOTA[[#This Row],[DISC 2-]]+NOTA[[#This Row],[DISC 3-]])</f>
        <v>0</v>
      </c>
      <c r="AA11" s="42">
        <f>IF(NOTA[[#This Row],[JUMLAH]]="","",NOTA[[#This Row],[JUMLAH]]-NOTA[[#This Row],[DISC]])</f>
        <v>13000</v>
      </c>
      <c r="AB11" s="42"/>
      <c r="AC1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52000</v>
      </c>
      <c r="AE11" s="3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11" s="42">
        <f>IF(OR(NOTA[[#This Row],[QTY]]="",NOTA[[#This Row],[HARGA SATUAN]]="",),"",NOTA[[#This Row],[QTY]]*NOTA[[#This Row],[HARGA SATUAN]])</f>
        <v>13000</v>
      </c>
      <c r="AG11" s="36">
        <f ca="1">IF(NOTA[[#This Row],[ID_H]]="","",INDEX(NOTA[TANGGAL],MATCH(,INDIRECT(ADDRESS(ROW(NOTA[TANGGAL]),COLUMN(NOTA[TANGGAL]))&amp;":"&amp;ADDRESS(ROW(),COLUMN(NOTA[TANGGAL]))),-1)))</f>
        <v>45470</v>
      </c>
      <c r="AH11" s="36">
        <f ca="1">IF(NOTA[[#This Row],[ID_H]]="","",INDEX(NOTA[TGL.NOTA],MATCH(,INDIRECT(ADDRESS(ROW(NOTA[TGL.NOTA]),COLUMN(NOTA[TGL.NOTA]))&amp;":"&amp;ADDRESS(ROW(),COLUMN(NOTA[TGL.NOTA]))),-1)))</f>
        <v>45470</v>
      </c>
      <c r="AI11" s="36" t="str">
        <f ca="1">IF(NOTA[[#This Row],[ID_H]]="","",INDEX(NOTA[NO.NOTA],MATCH(NOTA[[#This Row],[ID_H]],NOTA[ID_H],0)))</f>
        <v>HN062024317</v>
      </c>
      <c r="AJ11" s="38" t="str">
        <f ca="1">IF(NOTA[[#This Row],[NAMA BARANG]]="","",INDEX(NOTA[SUPPLIER],MATCH(,INDIRECT(ADDRESS(ROW(NOTA[ID]),COLUMN(NOTA[ID]))&amp;":"&amp;ADDRESS(ROW(),COLUMN(NOTA[ID]))),-1)))</f>
        <v>HANSA</v>
      </c>
      <c r="AK11" s="38" t="str">
        <f ca="1">IF(NOTA[[#This Row],[ID_H]]="","",IF(NOTA[[#This Row],[FAKTUR]]="",INDIRECT(ADDRESS(ROW()-1,COLUMN())),NOTA[[#This Row],[FAKTUR]]))</f>
        <v>UNTANA</v>
      </c>
      <c r="AL11" s="35" t="str">
        <f ca="1">IF(NOTA[[#This Row],[ID]]="","",COUNTIF(NOTA[ID_H],NOTA[[#This Row],[ID_H]]))</f>
        <v/>
      </c>
      <c r="AM11" s="35">
        <f ca="1">IF(NOTA[[#This Row],[TGL.NOTA]]="",IF(NOTA[[#This Row],[SUPPLIER_H]]="","",AM10),MONTH(NOTA[[#This Row],[TGL.NOTA]]))</f>
        <v>6</v>
      </c>
      <c r="AN11" s="35" t="str">
        <f>LOWER(SUBSTITUTE(SUBSTITUTE(SUBSTITUTE(SUBSTITUTE(SUBSTITUTE(SUBSTITUTE(SUBSTITUTE(SUBSTITUTE(SUBSTITUTE(NOTA[[#This Row],[NAMA BARANG]]," ",),".",""),"-",""),"(",""),")",""),",",""),"/",""),"""",""),"+",""))</f>
        <v>lilinangkashintoengno7</v>
      </c>
      <c r="AO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lilinangkashintoengno713000</v>
      </c>
      <c r="AP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lilinangkashintoengno713000</v>
      </c>
      <c r="AQ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" s="35">
        <f>IF(NOTA[[#This Row],[CONCAT1]]="","",MATCH(NOTA[[#This Row],[CONCAT1]],[3]!db[NB NOTA_C],0))</f>
        <v>1970</v>
      </c>
      <c r="AS11" s="35" t="str">
        <f>IF(NOTA[[#This Row],[Column5]]="","",TRUE)</f>
        <v/>
      </c>
      <c r="AT11" s="35" t="str">
        <f ca="1">IF(NOTA[[#This Row],[ID_H]]="","",IF(NOTA[[#This Row],[Column3]]=TRUE,NOTA[[#This Row],[Column5]],INDEX([3]!db[QTY/ CTN],NOTA[[#This Row],[//DB]])))</f>
        <v>100 LSN</v>
      </c>
      <c r="AU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lilinangkashintoengno7100lsnuntana</v>
      </c>
      <c r="AV11" s="35">
        <f ca="1">IF(NOTA[[#This Row],[ID_H]]="","",MATCH(NOTA[[#This Row],[NB NOTA_C_QTY]],[3]!db[NB NOTA_C_QTY+F],0))</f>
        <v>1970</v>
      </c>
      <c r="AW11" s="43">
        <f ca="1">IF(NOTA[[#This Row],[NB NOTA_C_QTY]]="","",ROW()-2)</f>
        <v>9</v>
      </c>
    </row>
    <row r="12" spans="1:50" ht="20.100000000000001" customHeight="1">
      <c r="A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5" t="str">
        <f ca="1">IF(NOTA[[#This Row],[NAMA BARANG]]="","",INDEX(NOTA[ID],MATCH(,INDIRECT(ADDRESS(ROW(NOTA[ID]),COLUMN(NOTA[ID]))&amp;":"&amp;ADDRESS(ROW(),COLUMN(NOTA[ID]))),-1)))</f>
        <v/>
      </c>
      <c r="C12" s="45"/>
      <c r="F12" s="46"/>
      <c r="G12" s="35"/>
      <c r="H12" s="36"/>
      <c r="I12" s="35"/>
      <c r="K12" s="37"/>
      <c r="L12" s="35"/>
      <c r="N12" s="38"/>
      <c r="O12" s="39"/>
      <c r="P12" s="47"/>
      <c r="Q12" s="48"/>
      <c r="R12" s="41"/>
      <c r="T12" s="42"/>
      <c r="U12" s="44"/>
      <c r="V12" s="42" t="str">
        <f>IF(NOTA[[#This Row],[HARGA/ CTN]]="",NOTA[[#This Row],[JUMLAH_H]],NOTA[[#This Row],[HARGA/ CTN]]*IF(NOTA[[#This Row],[C]]="",0,NOTA[[#This Row],[C]]))</f>
        <v/>
      </c>
      <c r="W12" s="42" t="str">
        <f>IF(NOTA[[#This Row],[JUMLAH]]="","",NOTA[[#This Row],[JUMLAH]]*NOTA[[#This Row],[Column6]])</f>
        <v/>
      </c>
      <c r="X12" s="42" t="str">
        <f>IF(NOTA[[#This Row],[JUMLAH]]="","",(NOTA[[#This Row],[JUMLAH]]-NOTA[[#This Row],[DISC 1-]])*NOTA[[#This Row],[Column7]])</f>
        <v/>
      </c>
      <c r="Y12" s="42" t="str">
        <f>IF(NOTA[[#This Row],[JUMLAH]]="","",(NOTA[[#This Row],[JUMLAH]]-NOTA[[#This Row],[DISC 1-]]-NOTA[[#This Row],[DISC 2-]])*NOTA[[#This Row],[Column8]])</f>
        <v/>
      </c>
      <c r="Z12" s="42" t="str">
        <f>IF(NOTA[[#This Row],[JUMLAH]]="","",NOTA[[#This Row],[DISC 1-]]+NOTA[[#This Row],[DISC 2-]]+NOTA[[#This Row],[DISC 3-]])</f>
        <v/>
      </c>
      <c r="AA12" s="42" t="str">
        <f>IF(NOTA[[#This Row],[JUMLAH]]="","",NOTA[[#This Row],[JUMLAH]]-NOTA[[#This Row],[DISC]])</f>
        <v/>
      </c>
      <c r="AB12" s="42"/>
      <c r="AC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" s="42" t="str">
        <f>IF(OR(NOTA[[#This Row],[QTY]]="",NOTA[[#This Row],[HARGA SATUAN]]="",),"",NOTA[[#This Row],[QTY]]*NOTA[[#This Row],[HARGA SATUAN]])</f>
        <v/>
      </c>
      <c r="AG12" s="36" t="str">
        <f ca="1">IF(NOTA[[#This Row],[ID_H]]="","",INDEX(NOTA[TANGGAL],MATCH(,INDIRECT(ADDRESS(ROW(NOTA[TANGGAL]),COLUMN(NOTA[TANGGAL]))&amp;":"&amp;ADDRESS(ROW(),COLUMN(NOTA[TANGGAL]))),-1)))</f>
        <v/>
      </c>
      <c r="AH12" s="36" t="str">
        <f ca="1">IF(NOTA[[#This Row],[ID_H]]="","",INDEX(NOTA[TGL.NOTA],MATCH(,INDIRECT(ADDRESS(ROW(NOTA[TGL.NOTA]),COLUMN(NOTA[TGL.NOTA]))&amp;":"&amp;ADDRESS(ROW(),COLUMN(NOTA[TGL.NOTA]))),-1)))</f>
        <v/>
      </c>
      <c r="AI12" s="36" t="str">
        <f ca="1">IF(NOTA[[#This Row],[ID_H]]="","",INDEX(NOTA[NO.NOTA],MATCH(NOTA[[#This Row],[ID_H]],NOTA[ID_H],0)))</f>
        <v/>
      </c>
      <c r="AJ12" s="38" t="str">
        <f ca="1">IF(NOTA[[#This Row],[NAMA BARANG]]="","",INDEX(NOTA[SUPPLIER],MATCH(,INDIRECT(ADDRESS(ROW(NOTA[ID]),COLUMN(NOTA[ID]))&amp;":"&amp;ADDRESS(ROW(),COLUMN(NOTA[ID]))),-1)))</f>
        <v/>
      </c>
      <c r="AK12" s="38" t="str">
        <f ca="1">IF(NOTA[[#This Row],[ID_H]]="","",IF(NOTA[[#This Row],[FAKTUR]]="",INDIRECT(ADDRESS(ROW()-1,COLUMN())),NOTA[[#This Row],[FAKTUR]]))</f>
        <v/>
      </c>
      <c r="AL12" s="35" t="str">
        <f ca="1">IF(NOTA[[#This Row],[ID]]="","",COUNTIF(NOTA[ID_H],NOTA[[#This Row],[ID_H]]))</f>
        <v/>
      </c>
      <c r="AM12" s="35" t="str">
        <f ca="1">IF(NOTA[[#This Row],[TGL.NOTA]]="",IF(NOTA[[#This Row],[SUPPLIER_H]]="","",AM11),MONTH(NOTA[[#This Row],[TGL.NOTA]]))</f>
        <v/>
      </c>
      <c r="AN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" s="35" t="str">
        <f>IF(NOTA[[#This Row],[CONCAT1]]="","",MATCH(NOTA[[#This Row],[CONCAT1]],[3]!db[NB NOTA_C],0))</f>
        <v/>
      </c>
      <c r="AS12" s="35" t="str">
        <f>IF(NOTA[[#This Row],[Column5]]="","",TRUE)</f>
        <v/>
      </c>
      <c r="AT12" s="35" t="str">
        <f ca="1">IF(NOTA[[#This Row],[ID_H]]="","",IF(NOTA[[#This Row],[Column3]]=TRUE,NOTA[[#This Row],[Column5]],INDEX([3]!db[QTY/ CTN],NOTA[[#This Row],[//DB]])))</f>
        <v/>
      </c>
      <c r="AU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" s="35" t="str">
        <f ca="1">IF(NOTA[[#This Row],[ID_H]]="","",MATCH(NOTA[[#This Row],[NB NOTA_C_QTY]],[3]!db[NB NOTA_C_QTY+F],0))</f>
        <v/>
      </c>
      <c r="AW12" s="43" t="str">
        <f ca="1">IF(NOTA[[#This Row],[NB NOTA_C_QTY]]="","",ROW()-2)</f>
        <v/>
      </c>
    </row>
    <row r="13" spans="1:50" ht="20.100000000000001" customHeight="1">
      <c r="A13" s="38">
        <f ca="1">IF(INDIRECT(ADDRESS(ROW()-1,COLUMN(NOTA[[#Headers],[ID]])))="ID",1,IF(NOTA[[#This Row],[FAKTUR]]="","",COUNT(INDIRECT(ADDRESS(ROW(NOTA[ID]),COLUMN(NOTA[ID]))&amp;":"&amp;ADDRESS(ROW()-1,COLUMN(NOTA[ID]))))+1))</f>
        <v>3</v>
      </c>
      <c r="B13" s="35">
        <f ca="1">IF(NOTA[[#This Row],[NAMA BARANG]]="","",INDEX(NOTA[ID],MATCH(,INDIRECT(ADDRESS(ROW(NOTA[ID]),COLUMN(NOTA[ID]))&amp;":"&amp;ADDRESS(ROW(),COLUMN(NOTA[ID]))),-1)))</f>
        <v>3</v>
      </c>
      <c r="C13" s="45">
        <v>45471</v>
      </c>
      <c r="D13" s="35" t="s">
        <v>74</v>
      </c>
      <c r="E13" s="35" t="s">
        <v>49</v>
      </c>
      <c r="F13" s="46" t="s">
        <v>91</v>
      </c>
      <c r="G13" s="35"/>
      <c r="H13" s="36">
        <v>45469</v>
      </c>
      <c r="I13" s="35"/>
      <c r="J13" s="35" t="s">
        <v>75</v>
      </c>
      <c r="K13" s="37">
        <v>6</v>
      </c>
      <c r="L13" s="35">
        <v>576</v>
      </c>
      <c r="M13" s="35" t="s">
        <v>50</v>
      </c>
      <c r="N13" s="38">
        <v>26500</v>
      </c>
      <c r="O13" s="39"/>
      <c r="P13" s="47" t="s">
        <v>76</v>
      </c>
      <c r="Q13" s="48">
        <v>0.03</v>
      </c>
      <c r="R13" s="41"/>
      <c r="T13" s="42"/>
      <c r="U13" s="44"/>
      <c r="V13" s="42">
        <f>IF(NOTA[[#This Row],[HARGA/ CTN]]="",NOTA[[#This Row],[JUMLAH_H]],NOTA[[#This Row],[HARGA/ CTN]]*IF(NOTA[[#This Row],[C]]="",0,NOTA[[#This Row],[C]]))</f>
        <v>15264000</v>
      </c>
      <c r="W13" s="42">
        <f>IF(NOTA[[#This Row],[JUMLAH]]="","",NOTA[[#This Row],[JUMLAH]]*NOTA[[#This Row],[Column6]])</f>
        <v>457920</v>
      </c>
      <c r="X13" s="42">
        <f>IF(NOTA[[#This Row],[JUMLAH]]="","",(NOTA[[#This Row],[JUMLAH]]-NOTA[[#This Row],[DISC 1-]])*NOTA[[#This Row],[Column7]])</f>
        <v>0</v>
      </c>
      <c r="Y13" s="42">
        <f>IF(NOTA[[#This Row],[JUMLAH]]="","",(NOTA[[#This Row],[JUMLAH]]-NOTA[[#This Row],[DISC 1-]]-NOTA[[#This Row],[DISC 2-]])*NOTA[[#This Row],[Column8]])</f>
        <v>0</v>
      </c>
      <c r="Z13" s="42">
        <f>IF(NOTA[[#This Row],[JUMLAH]]="","",NOTA[[#This Row],[DISC 1-]]+NOTA[[#This Row],[DISC 2-]]+NOTA[[#This Row],[DISC 3-]])</f>
        <v>457920</v>
      </c>
      <c r="AA13" s="42">
        <f>IF(NOTA[[#This Row],[JUMLAH]]="","",NOTA[[#This Row],[JUMLAH]]-NOTA[[#This Row],[DISC]])</f>
        <v>14806080</v>
      </c>
      <c r="AB13" s="42"/>
      <c r="AC1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457920</v>
      </c>
      <c r="AD1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14806080</v>
      </c>
      <c r="AE13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3" s="42">
        <f>IF(OR(NOTA[[#This Row],[QTY]]="",NOTA[[#This Row],[HARGA SATUAN]]="",),"",NOTA[[#This Row],[QTY]]*NOTA[[#This Row],[HARGA SATUAN]])</f>
        <v>15264000</v>
      </c>
      <c r="AG13" s="36">
        <f ca="1">IF(NOTA[[#This Row],[ID_H]]="","",INDEX(NOTA[TANGGAL],MATCH(,INDIRECT(ADDRESS(ROW(NOTA[TANGGAL]),COLUMN(NOTA[TANGGAL]))&amp;":"&amp;ADDRESS(ROW(),COLUMN(NOTA[TANGGAL]))),-1)))</f>
        <v>45471</v>
      </c>
      <c r="AH13" s="36">
        <f ca="1">IF(NOTA[[#This Row],[ID_H]]="","",INDEX(NOTA[TGL.NOTA],MATCH(,INDIRECT(ADDRESS(ROW(NOTA[TGL.NOTA]),COLUMN(NOTA[TGL.NOTA]))&amp;":"&amp;ADDRESS(ROW(),COLUMN(NOTA[TGL.NOTA]))),-1)))</f>
        <v>45469</v>
      </c>
      <c r="AI13" s="36" t="str">
        <f ca="1">IF(NOTA[[#This Row],[ID_H]]="","",INDEX(NOTA[NO.NOTA],MATCH(NOTA[[#This Row],[ID_H]],NOTA[ID_H],0)))</f>
        <v>HM/119/06-24H</v>
      </c>
      <c r="AJ13" s="38" t="str">
        <f ca="1">IF(NOTA[[#This Row],[NAMA BARANG]]="","",INDEX(NOTA[SUPPLIER],MATCH(,INDIRECT(ADDRESS(ROW(NOTA[ID]),COLUMN(NOTA[ID]))&amp;":"&amp;ADDRESS(ROW(),COLUMN(NOTA[ID]))),-1)))</f>
        <v>DUTA BUANA</v>
      </c>
      <c r="AK13" s="38" t="str">
        <f ca="1">IF(NOTA[[#This Row],[ID_H]]="","",IF(NOTA[[#This Row],[FAKTUR]]="",INDIRECT(ADDRESS(ROW()-1,COLUMN())),NOTA[[#This Row],[FAKTUR]]))</f>
        <v>UNTANA</v>
      </c>
      <c r="AL13" s="35">
        <f ca="1">IF(NOTA[[#This Row],[ID]]="","",COUNTIF(NOTA[ID_H],NOTA[[#This Row],[ID_H]]))</f>
        <v>1</v>
      </c>
      <c r="AM13" s="35">
        <f>IF(NOTA[[#This Row],[TGL.NOTA]]="",IF(NOTA[[#This Row],[SUPPLIER_H]]="","",AM12),MONTH(NOTA[[#This Row],[TGL.NOTA]]))</f>
        <v>6</v>
      </c>
      <c r="AN13" s="3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13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BUANAUNTANAHM/119/06-24H45469ballpengeltf1190htm03mmhightech</v>
      </c>
      <c r="AR13" s="35">
        <f>IF(NOTA[[#This Row],[CONCAT1]]="","",MATCH(NOTA[[#This Row],[CONCAT1]],[3]!db[NB NOTA_C],0))</f>
        <v>150</v>
      </c>
      <c r="AS13" s="35" t="b">
        <f>IF(NOTA[[#This Row],[Column5]]="","",TRUE)</f>
        <v>1</v>
      </c>
      <c r="AT13" s="35" t="str">
        <f ca="1">IF(NOTA[[#This Row],[ID_H]]="","",IF(NOTA[[#This Row],[Column3]]=TRUE,NOTA[[#This Row],[Column5]],INDEX([3]!db[QTY/ CTN],NOTA[[#This Row],[//DB]])))</f>
        <v>96 LSN</v>
      </c>
      <c r="AU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13" s="35">
        <f ca="1">IF(NOTA[[#This Row],[ID_H]]="","",MATCH(NOTA[[#This Row],[NB NOTA_C_QTY]],[3]!db[NB NOTA_C_QTY+F],0))</f>
        <v>151</v>
      </c>
      <c r="AW13" s="43">
        <f ca="1">IF(NOTA[[#This Row],[NB NOTA_C_QTY]]="","",ROW()-2)</f>
        <v>11</v>
      </c>
    </row>
    <row r="14" spans="1:50" ht="20.100000000000001" customHeight="1">
      <c r="A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5" t="str">
        <f ca="1">IF(NOTA[[#This Row],[NAMA BARANG]]="","",INDEX(NOTA[ID],MATCH(,INDIRECT(ADDRESS(ROW(NOTA[ID]),COLUMN(NOTA[ID]))&amp;":"&amp;ADDRESS(ROW(),COLUMN(NOTA[ID]))),-1)))</f>
        <v/>
      </c>
      <c r="C14" s="45"/>
      <c r="F14" s="46"/>
      <c r="G14" s="35"/>
      <c r="H14" s="36"/>
      <c r="I14" s="35"/>
      <c r="K14" s="37"/>
      <c r="L14" s="35"/>
      <c r="N14" s="38"/>
      <c r="O14" s="39"/>
      <c r="P14" s="47"/>
      <c r="Q14" s="48"/>
      <c r="R14" s="41"/>
      <c r="T14" s="42"/>
      <c r="U14" s="44"/>
      <c r="V14" s="42" t="str">
        <f>IF(NOTA[[#This Row],[HARGA/ CTN]]="",NOTA[[#This Row],[JUMLAH_H]],NOTA[[#This Row],[HARGA/ CTN]]*IF(NOTA[[#This Row],[C]]="",0,NOTA[[#This Row],[C]]))</f>
        <v/>
      </c>
      <c r="W14" s="42" t="str">
        <f>IF(NOTA[[#This Row],[JUMLAH]]="","",NOTA[[#This Row],[JUMLAH]]*NOTA[[#This Row],[Column6]])</f>
        <v/>
      </c>
      <c r="X14" s="42" t="str">
        <f>IF(NOTA[[#This Row],[JUMLAH]]="","",(NOTA[[#This Row],[JUMLAH]]-NOTA[[#This Row],[DISC 1-]])*NOTA[[#This Row],[Column7]])</f>
        <v/>
      </c>
      <c r="Y14" s="42" t="str">
        <f>IF(NOTA[[#This Row],[JUMLAH]]="","",(NOTA[[#This Row],[JUMLAH]]-NOTA[[#This Row],[DISC 1-]]-NOTA[[#This Row],[DISC 2-]])*NOTA[[#This Row],[Column8]])</f>
        <v/>
      </c>
      <c r="Z14" s="42" t="str">
        <f>IF(NOTA[[#This Row],[JUMLAH]]="","",NOTA[[#This Row],[DISC 1-]]+NOTA[[#This Row],[DISC 2-]]+NOTA[[#This Row],[DISC 3-]])</f>
        <v/>
      </c>
      <c r="AA14" s="42" t="str">
        <f>IF(NOTA[[#This Row],[JUMLAH]]="","",NOTA[[#This Row],[JUMLAH]]-NOTA[[#This Row],[DISC]])</f>
        <v/>
      </c>
      <c r="AB14" s="42"/>
      <c r="AC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42" t="str">
        <f>IF(OR(NOTA[[#This Row],[QTY]]="",NOTA[[#This Row],[HARGA SATUAN]]="",),"",NOTA[[#This Row],[QTY]]*NOTA[[#This Row],[HARGA SATUAN]])</f>
        <v/>
      </c>
      <c r="AG14" s="36" t="str">
        <f ca="1">IF(NOTA[[#This Row],[ID_H]]="","",INDEX(NOTA[TANGGAL],MATCH(,INDIRECT(ADDRESS(ROW(NOTA[TANGGAL]),COLUMN(NOTA[TANGGAL]))&amp;":"&amp;ADDRESS(ROW(),COLUMN(NOTA[TANGGAL]))),-1)))</f>
        <v/>
      </c>
      <c r="AH14" s="36" t="str">
        <f ca="1">IF(NOTA[[#This Row],[ID_H]]="","",INDEX(NOTA[TGL.NOTA],MATCH(,INDIRECT(ADDRESS(ROW(NOTA[TGL.NOTA]),COLUMN(NOTA[TGL.NOTA]))&amp;":"&amp;ADDRESS(ROW(),COLUMN(NOTA[TGL.NOTA]))),-1)))</f>
        <v/>
      </c>
      <c r="AI14" s="36" t="str">
        <f ca="1">IF(NOTA[[#This Row],[ID_H]]="","",INDEX(NOTA[NO.NOTA],MATCH(NOTA[[#This Row],[ID_H]],NOTA[ID_H],0)))</f>
        <v/>
      </c>
      <c r="AJ14" s="38" t="str">
        <f ca="1">IF(NOTA[[#This Row],[NAMA BARANG]]="","",INDEX(NOTA[SUPPLIER],MATCH(,INDIRECT(ADDRESS(ROW(NOTA[ID]),COLUMN(NOTA[ID]))&amp;":"&amp;ADDRESS(ROW(),COLUMN(NOTA[ID]))),-1)))</f>
        <v/>
      </c>
      <c r="AK14" s="38" t="str">
        <f ca="1">IF(NOTA[[#This Row],[ID_H]]="","",IF(NOTA[[#This Row],[FAKTUR]]="",INDIRECT(ADDRESS(ROW()-1,COLUMN())),NOTA[[#This Row],[FAKTUR]]))</f>
        <v/>
      </c>
      <c r="AL14" s="35" t="str">
        <f ca="1">IF(NOTA[[#This Row],[ID]]="","",COUNTIF(NOTA[ID_H],NOTA[[#This Row],[ID_H]]))</f>
        <v/>
      </c>
      <c r="AM14" s="35" t="str">
        <f ca="1">IF(NOTA[[#This Row],[TGL.NOTA]]="",IF(NOTA[[#This Row],[SUPPLIER_H]]="","",AM13),MONTH(NOTA[[#This Row],[TGL.NOTA]]))</f>
        <v/>
      </c>
      <c r="AN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" s="35" t="str">
        <f>IF(NOTA[[#This Row],[CONCAT1]]="","",MATCH(NOTA[[#This Row],[CONCAT1]],[3]!db[NB NOTA_C],0))</f>
        <v/>
      </c>
      <c r="AS14" s="35" t="str">
        <f>IF(NOTA[[#This Row],[Column5]]="","",TRUE)</f>
        <v/>
      </c>
      <c r="AT14" s="35" t="str">
        <f ca="1">IF(NOTA[[#This Row],[ID_H]]="","",IF(NOTA[[#This Row],[Column3]]=TRUE,NOTA[[#This Row],[Column5]],INDEX([3]!db[QTY/ CTN],NOTA[[#This Row],[//DB]])))</f>
        <v/>
      </c>
      <c r="AU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" s="35" t="str">
        <f ca="1">IF(NOTA[[#This Row],[ID_H]]="","",MATCH(NOTA[[#This Row],[NB NOTA_C_QTY]],[3]!db[NB NOTA_C_QTY+F],0))</f>
        <v/>
      </c>
      <c r="AW14" s="43" t="str">
        <f ca="1">IF(NOTA[[#This Row],[NB NOTA_C_QTY]]="","",ROW()-2)</f>
        <v/>
      </c>
    </row>
    <row r="15" spans="1:50" ht="20.100000000000001" customHeight="1">
      <c r="A15" s="38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5">
        <f ca="1">IF(NOTA[[#This Row],[NAMA BARANG]]="","",INDEX(NOTA[ID],MATCH(,INDIRECT(ADDRESS(ROW(NOTA[ID]),COLUMN(NOTA[ID]))&amp;":"&amp;ADDRESS(ROW(),COLUMN(NOTA[ID]))),-1)))</f>
        <v>4</v>
      </c>
      <c r="C15" s="45">
        <v>45471</v>
      </c>
      <c r="D15" s="35" t="s">
        <v>171</v>
      </c>
      <c r="E15" s="35" t="s">
        <v>49</v>
      </c>
      <c r="F15" s="46" t="s">
        <v>171</v>
      </c>
      <c r="G15" s="35"/>
      <c r="H15" s="36">
        <v>45469</v>
      </c>
      <c r="I15" s="35"/>
      <c r="J15" s="50" t="s">
        <v>172</v>
      </c>
      <c r="K15" s="37">
        <v>6</v>
      </c>
      <c r="L15" s="35">
        <v>576</v>
      </c>
      <c r="M15" s="35" t="s">
        <v>50</v>
      </c>
      <c r="N15" s="38">
        <v>26500</v>
      </c>
      <c r="O15" s="39"/>
      <c r="P15" s="47" t="s">
        <v>76</v>
      </c>
      <c r="Q15" s="48">
        <v>0.03</v>
      </c>
      <c r="R15" s="41"/>
      <c r="T15" s="42"/>
      <c r="U15" s="44"/>
      <c r="V15" s="42">
        <f>IF(NOTA[[#This Row],[HARGA/ CTN]]="",NOTA[[#This Row],[JUMLAH_H]],NOTA[[#This Row],[HARGA/ CTN]]*IF(NOTA[[#This Row],[C]]="",0,NOTA[[#This Row],[C]]))</f>
        <v>15264000</v>
      </c>
      <c r="W15" s="42">
        <f>IF(NOTA[[#This Row],[JUMLAH]]="","",NOTA[[#This Row],[JUMLAH]]*NOTA[[#This Row],[Column6]])</f>
        <v>457920</v>
      </c>
      <c r="X15" s="42">
        <f>IF(NOTA[[#This Row],[JUMLAH]]="","",(NOTA[[#This Row],[JUMLAH]]-NOTA[[#This Row],[DISC 1-]])*NOTA[[#This Row],[Column7]])</f>
        <v>0</v>
      </c>
      <c r="Y15" s="42">
        <f>IF(NOTA[[#This Row],[JUMLAH]]="","",(NOTA[[#This Row],[JUMLAH]]-NOTA[[#This Row],[DISC 1-]]-NOTA[[#This Row],[DISC 2-]])*NOTA[[#This Row],[Column8]])</f>
        <v>0</v>
      </c>
      <c r="Z15" s="42">
        <f>IF(NOTA[[#This Row],[JUMLAH]]="","",NOTA[[#This Row],[DISC 1-]]+NOTA[[#This Row],[DISC 2-]]+NOTA[[#This Row],[DISC 3-]])</f>
        <v>457920</v>
      </c>
      <c r="AA15" s="42">
        <f>IF(NOTA[[#This Row],[JUMLAH]]="","",NOTA[[#This Row],[JUMLAH]]-NOTA[[#This Row],[DISC]])</f>
        <v>14806080</v>
      </c>
      <c r="AB15" s="42"/>
      <c r="AC1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457920</v>
      </c>
      <c r="AD1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14806080</v>
      </c>
      <c r="AE15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5" s="42">
        <f>IF(OR(NOTA[[#This Row],[QTY]]="",NOTA[[#This Row],[HARGA SATUAN]]="",),"",NOTA[[#This Row],[QTY]]*NOTA[[#This Row],[HARGA SATUAN]])</f>
        <v>15264000</v>
      </c>
      <c r="AG15" s="36">
        <f ca="1">IF(NOTA[[#This Row],[ID_H]]="","",INDEX(NOTA[TANGGAL],MATCH(,INDIRECT(ADDRESS(ROW(NOTA[TANGGAL]),COLUMN(NOTA[TANGGAL]))&amp;":"&amp;ADDRESS(ROW(),COLUMN(NOTA[TANGGAL]))),-1)))</f>
        <v>45471</v>
      </c>
      <c r="AH15" s="36">
        <f ca="1">IF(NOTA[[#This Row],[ID_H]]="","",INDEX(NOTA[TGL.NOTA],MATCH(,INDIRECT(ADDRESS(ROW(NOTA[TGL.NOTA]),COLUMN(NOTA[TGL.NOTA]))&amp;":"&amp;ADDRESS(ROW(),COLUMN(NOTA[TGL.NOTA]))),-1)))</f>
        <v>45469</v>
      </c>
      <c r="AI15" s="36" t="str">
        <f ca="1">IF(NOTA[[#This Row],[ID_H]]="","",INDEX(NOTA[NO.NOTA],MATCH(NOTA[[#This Row],[ID_H]],NOTA[ID_H],0)))</f>
        <v>CC</v>
      </c>
      <c r="AJ15" s="38" t="str">
        <f ca="1">IF(NOTA[[#This Row],[NAMA BARANG]]="","",INDEX(NOTA[SUPPLIER],MATCH(,INDIRECT(ADDRESS(ROW(NOTA[ID]),COLUMN(NOTA[ID]))&amp;":"&amp;ADDRESS(ROW(),COLUMN(NOTA[ID]))),-1)))</f>
        <v>CC</v>
      </c>
      <c r="AK15" s="38" t="str">
        <f ca="1">IF(NOTA[[#This Row],[ID_H]]="","",IF(NOTA[[#This Row],[FAKTUR]]="",INDIRECT(ADDRESS(ROW()-1,COLUMN())),NOTA[[#This Row],[FAKTUR]]))</f>
        <v>UNTANA</v>
      </c>
      <c r="AL15" s="35">
        <f ca="1">IF(NOTA[[#This Row],[ID]]="","",COUNTIF(NOTA[ID_H],NOTA[[#This Row],[ID_H]]))</f>
        <v>1</v>
      </c>
      <c r="AM15" s="35">
        <f>IF(NOTA[[#This Row],[TGL.NOTA]]="",IF(NOTA[[#This Row],[SUPPLIER_H]]="","",AM14),MONTH(NOTA[[#This Row],[TGL.NOTA]]))</f>
        <v>6</v>
      </c>
      <c r="AN15" s="35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O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ballpengeltf311503mmhightechknock25440000,03</v>
      </c>
      <c r="AP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ballpengeltf311503mmhightechknock25440000,03</v>
      </c>
      <c r="AQ15" s="35" t="str">
        <f>IF(NOTA[[#This Row],[SUPPLIER]]="","",NOTA[[#This Row],[SUPPLIER]]&amp;NOTA[[#This Row],[FAKTUR]]&amp;NOTA[[#This Row],[NO.NOTA]]&amp;NOTA[[#This Row],[NO.SJ]]&amp;NOTA[[#This Row],[TGL.NOTA]]&amp;NOTA[[#This Row],[CONCAT1]])</f>
        <v>CCUNTANACC45469ballpengeltf311503mmhightechknock</v>
      </c>
      <c r="AR15" s="35">
        <f>IF(NOTA[[#This Row],[CONCAT1]]="","",MATCH(NOTA[[#This Row],[CONCAT1]],[3]!db[NB NOTA_C],0))</f>
        <v>155</v>
      </c>
      <c r="AS15" s="35" t="b">
        <f>IF(NOTA[[#This Row],[Column5]]="","",TRUE)</f>
        <v>1</v>
      </c>
      <c r="AT15" s="35" t="str">
        <f ca="1">IF(NOTA[[#This Row],[ID_H]]="","",IF(NOTA[[#This Row],[Column3]]=TRUE,NOTA[[#This Row],[Column5]],INDEX([3]!db[QTY/ CTN],NOTA[[#This Row],[//DB]])))</f>
        <v>96 LSN</v>
      </c>
      <c r="AU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V15" s="35">
        <f ca="1">IF(NOTA[[#This Row],[ID_H]]="","",MATCH(NOTA[[#This Row],[NB NOTA_C_QTY]],[3]!db[NB NOTA_C_QTY+F],0))</f>
        <v>155</v>
      </c>
      <c r="AW15" s="43">
        <f ca="1">IF(NOTA[[#This Row],[NB NOTA_C_QTY]]="","",ROW()-2)</f>
        <v>13</v>
      </c>
    </row>
    <row r="16" spans="1:50" ht="20.100000000000001" customHeight="1">
      <c r="A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5" t="str">
        <f ca="1">IF(NOTA[[#This Row],[NAMA BARANG]]="","",INDEX(NOTA[ID],MATCH(,INDIRECT(ADDRESS(ROW(NOTA[ID]),COLUMN(NOTA[ID]))&amp;":"&amp;ADDRESS(ROW(),COLUMN(NOTA[ID]))),-1)))</f>
        <v/>
      </c>
      <c r="C16" s="45"/>
      <c r="F16" s="46"/>
      <c r="G16" s="35"/>
      <c r="H16" s="36"/>
      <c r="I16" s="35"/>
      <c r="K16" s="37"/>
      <c r="L16" s="35"/>
      <c r="N16" s="38"/>
      <c r="O16" s="39"/>
      <c r="P16" s="47"/>
      <c r="Q16" s="48"/>
      <c r="R16" s="41"/>
      <c r="T16" s="42"/>
      <c r="U16" s="44"/>
      <c r="V16" s="42" t="str">
        <f>IF(NOTA[[#This Row],[HARGA/ CTN]]="",NOTA[[#This Row],[JUMLAH_H]],NOTA[[#This Row],[HARGA/ CTN]]*IF(NOTA[[#This Row],[C]]="",0,NOTA[[#This Row],[C]]))</f>
        <v/>
      </c>
      <c r="W16" s="42" t="str">
        <f>IF(NOTA[[#This Row],[JUMLAH]]="","",NOTA[[#This Row],[JUMLAH]]*NOTA[[#This Row],[Column6]])</f>
        <v/>
      </c>
      <c r="X16" s="42" t="str">
        <f>IF(NOTA[[#This Row],[JUMLAH]]="","",(NOTA[[#This Row],[JUMLAH]]-NOTA[[#This Row],[DISC 1-]])*NOTA[[#This Row],[Column7]])</f>
        <v/>
      </c>
      <c r="Y16" s="42" t="str">
        <f>IF(NOTA[[#This Row],[JUMLAH]]="","",(NOTA[[#This Row],[JUMLAH]]-NOTA[[#This Row],[DISC 1-]]-NOTA[[#This Row],[DISC 2-]])*NOTA[[#This Row],[Column8]])</f>
        <v/>
      </c>
      <c r="Z16" s="42" t="str">
        <f>IF(NOTA[[#This Row],[JUMLAH]]="","",NOTA[[#This Row],[DISC 1-]]+NOTA[[#This Row],[DISC 2-]]+NOTA[[#This Row],[DISC 3-]])</f>
        <v/>
      </c>
      <c r="AA16" s="42" t="str">
        <f>IF(NOTA[[#This Row],[JUMLAH]]="","",NOTA[[#This Row],[JUMLAH]]-NOTA[[#This Row],[DISC]])</f>
        <v/>
      </c>
      <c r="AB16" s="42"/>
      <c r="AC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42" t="str">
        <f>IF(OR(NOTA[[#This Row],[QTY]]="",NOTA[[#This Row],[HARGA SATUAN]]="",),"",NOTA[[#This Row],[QTY]]*NOTA[[#This Row],[HARGA SATUAN]])</f>
        <v/>
      </c>
      <c r="AG16" s="36" t="str">
        <f ca="1">IF(NOTA[[#This Row],[ID_H]]="","",INDEX(NOTA[TANGGAL],MATCH(,INDIRECT(ADDRESS(ROW(NOTA[TANGGAL]),COLUMN(NOTA[TANGGAL]))&amp;":"&amp;ADDRESS(ROW(),COLUMN(NOTA[TANGGAL]))),-1)))</f>
        <v/>
      </c>
      <c r="AH16" s="36" t="str">
        <f ca="1">IF(NOTA[[#This Row],[ID_H]]="","",INDEX(NOTA[TGL.NOTA],MATCH(,INDIRECT(ADDRESS(ROW(NOTA[TGL.NOTA]),COLUMN(NOTA[TGL.NOTA]))&amp;":"&amp;ADDRESS(ROW(),COLUMN(NOTA[TGL.NOTA]))),-1)))</f>
        <v/>
      </c>
      <c r="AI16" s="36" t="str">
        <f ca="1">IF(NOTA[[#This Row],[ID_H]]="","",INDEX(NOTA[NO.NOTA],MATCH(NOTA[[#This Row],[ID_H]],NOTA[ID_H],0)))</f>
        <v/>
      </c>
      <c r="AJ16" s="38" t="str">
        <f ca="1">IF(NOTA[[#This Row],[NAMA BARANG]]="","",INDEX(NOTA[SUPPLIER],MATCH(,INDIRECT(ADDRESS(ROW(NOTA[ID]),COLUMN(NOTA[ID]))&amp;":"&amp;ADDRESS(ROW(),COLUMN(NOTA[ID]))),-1)))</f>
        <v/>
      </c>
      <c r="AK16" s="38" t="str">
        <f ca="1">IF(NOTA[[#This Row],[ID_H]]="","",IF(NOTA[[#This Row],[FAKTUR]]="",INDIRECT(ADDRESS(ROW()-1,COLUMN())),NOTA[[#This Row],[FAKTUR]]))</f>
        <v/>
      </c>
      <c r="AL16" s="35" t="str">
        <f ca="1">IF(NOTA[[#This Row],[ID]]="","",COUNTIF(NOTA[ID_H],NOTA[[#This Row],[ID_H]]))</f>
        <v/>
      </c>
      <c r="AM16" s="35" t="str">
        <f ca="1">IF(NOTA[[#This Row],[TGL.NOTA]]="",IF(NOTA[[#This Row],[SUPPLIER_H]]="","",AM13),MONTH(NOTA[[#This Row],[TGL.NOTA]]))</f>
        <v/>
      </c>
      <c r="AN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" s="35" t="str">
        <f>IF(NOTA[[#This Row],[CONCAT1]]="","",MATCH(NOTA[[#This Row],[CONCAT1]],[3]!db[NB NOTA_C],0))</f>
        <v/>
      </c>
      <c r="AS16" s="35" t="str">
        <f>IF(NOTA[[#This Row],[Column5]]="","",TRUE)</f>
        <v/>
      </c>
      <c r="AT16" s="35" t="str">
        <f ca="1">IF(NOTA[[#This Row],[ID_H]]="","",IF(NOTA[[#This Row],[Column3]]=TRUE,NOTA[[#This Row],[Column5]],INDEX([3]!db[QTY/ CTN],NOTA[[#This Row],[//DB]])))</f>
        <v/>
      </c>
      <c r="AU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" s="35" t="str">
        <f ca="1">IF(NOTA[[#This Row],[ID_H]]="","",MATCH(NOTA[[#This Row],[NB NOTA_C_QTY]],[3]!db[NB NOTA_C_QTY+F],0))</f>
        <v/>
      </c>
      <c r="AW16" s="43" t="str">
        <f ca="1">IF(NOTA[[#This Row],[NB NOTA_C_QTY]]="","",ROW()-2)</f>
        <v/>
      </c>
    </row>
    <row r="17" spans="1:49" ht="20.100000000000001" customHeight="1">
      <c r="A17" s="38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5">
        <f ca="1">IF(NOTA[[#This Row],[NAMA BARANG]]="","",INDEX(NOTA[ID],MATCH(,INDIRECT(ADDRESS(ROW(NOTA[ID]),COLUMN(NOTA[ID]))&amp;":"&amp;ADDRESS(ROW(),COLUMN(NOTA[ID]))),-1)))</f>
        <v>5</v>
      </c>
      <c r="C17" s="45"/>
      <c r="D17" s="35" t="s">
        <v>74</v>
      </c>
      <c r="E17" s="35" t="s">
        <v>49</v>
      </c>
      <c r="F17" s="46" t="s">
        <v>92</v>
      </c>
      <c r="G17" s="35"/>
      <c r="H17" s="36">
        <v>45469</v>
      </c>
      <c r="I17" s="35"/>
      <c r="J17" s="35" t="s">
        <v>93</v>
      </c>
      <c r="K17" s="37">
        <v>1</v>
      </c>
      <c r="L17" s="35">
        <v>96</v>
      </c>
      <c r="M17" s="35" t="s">
        <v>51</v>
      </c>
      <c r="N17" s="38">
        <v>15000</v>
      </c>
      <c r="O17" s="39"/>
      <c r="P17" s="47"/>
      <c r="Q17" s="48">
        <v>0.03</v>
      </c>
      <c r="R17" s="41"/>
      <c r="T17" s="42"/>
      <c r="U17" s="44"/>
      <c r="V17" s="42">
        <f>IF(NOTA[[#This Row],[HARGA/ CTN]]="",NOTA[[#This Row],[JUMLAH_H]],NOTA[[#This Row],[HARGA/ CTN]]*IF(NOTA[[#This Row],[C]]="",0,NOTA[[#This Row],[C]]))</f>
        <v>1440000</v>
      </c>
      <c r="W17" s="42">
        <f>IF(NOTA[[#This Row],[JUMLAH]]="","",NOTA[[#This Row],[JUMLAH]]*NOTA[[#This Row],[Column6]])</f>
        <v>43200</v>
      </c>
      <c r="X17" s="42">
        <f>IF(NOTA[[#This Row],[JUMLAH]]="","",(NOTA[[#This Row],[JUMLAH]]-NOTA[[#This Row],[DISC 1-]])*NOTA[[#This Row],[Column7]])</f>
        <v>0</v>
      </c>
      <c r="Y17" s="42">
        <f>IF(NOTA[[#This Row],[JUMLAH]]="","",(NOTA[[#This Row],[JUMLAH]]-NOTA[[#This Row],[DISC 1-]]-NOTA[[#This Row],[DISC 2-]])*NOTA[[#This Row],[Column8]])</f>
        <v>0</v>
      </c>
      <c r="Z17" s="42">
        <f>IF(NOTA[[#This Row],[JUMLAH]]="","",NOTA[[#This Row],[DISC 1-]]+NOTA[[#This Row],[DISC 2-]]+NOTA[[#This Row],[DISC 3-]])</f>
        <v>43200</v>
      </c>
      <c r="AA17" s="42">
        <f>IF(NOTA[[#This Row],[JUMLAH]]="","",NOTA[[#This Row],[JUMLAH]]-NOTA[[#This Row],[DISC]])</f>
        <v>1396800</v>
      </c>
      <c r="AB17" s="42"/>
      <c r="AC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" s="3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7" s="42">
        <f>IF(OR(NOTA[[#This Row],[QTY]]="",NOTA[[#This Row],[HARGA SATUAN]]="",),"",NOTA[[#This Row],[QTY]]*NOTA[[#This Row],[HARGA SATUAN]])</f>
        <v>1440000</v>
      </c>
      <c r="AG17" s="36">
        <f ca="1">IF(NOTA[[#This Row],[ID_H]]="","",INDEX(NOTA[TANGGAL],MATCH(,INDIRECT(ADDRESS(ROW(NOTA[TANGGAL]),COLUMN(NOTA[TANGGAL]))&amp;":"&amp;ADDRESS(ROW(),COLUMN(NOTA[TANGGAL]))),-1)))</f>
        <v>45471</v>
      </c>
      <c r="AH17" s="36">
        <f ca="1">IF(NOTA[[#This Row],[ID_H]]="","",INDEX(NOTA[TGL.NOTA],MATCH(,INDIRECT(ADDRESS(ROW(NOTA[TGL.NOTA]),COLUMN(NOTA[TGL.NOTA]))&amp;":"&amp;ADDRESS(ROW(),COLUMN(NOTA[TGL.NOTA]))),-1)))</f>
        <v>45469</v>
      </c>
      <c r="AI17" s="36" t="str">
        <f ca="1">IF(NOTA[[#This Row],[ID_H]]="","",INDEX(NOTA[NO.NOTA],MATCH(NOTA[[#This Row],[ID_H]],NOTA[ID_H],0)))</f>
        <v>HM/118/06-24H</v>
      </c>
      <c r="AJ17" s="38" t="str">
        <f ca="1">IF(NOTA[[#This Row],[NAMA BARANG]]="","",INDEX(NOTA[SUPPLIER],MATCH(,INDIRECT(ADDRESS(ROW(NOTA[ID]),COLUMN(NOTA[ID]))&amp;":"&amp;ADDRESS(ROW(),COLUMN(NOTA[ID]))),-1)))</f>
        <v>DUTA BUANA</v>
      </c>
      <c r="AK17" s="38" t="str">
        <f ca="1">IF(NOTA[[#This Row],[ID_H]]="","",IF(NOTA[[#This Row],[FAKTUR]]="",INDIRECT(ADDRESS(ROW()-1,COLUMN())),NOTA[[#This Row],[FAKTUR]]))</f>
        <v>UNTANA</v>
      </c>
      <c r="AL17" s="35">
        <f ca="1">IF(NOTA[[#This Row],[ID]]="","",COUNTIF(NOTA[ID_H],NOTA[[#This Row],[ID_H]]))</f>
        <v>3</v>
      </c>
      <c r="AM17" s="35">
        <f>IF(NOTA[[#This Row],[TGL.NOTA]]="",IF(NOTA[[#This Row],[SUPPLIER_H]]="","",AM16),MONTH(NOTA[[#This Row],[TGL.NOTA]]))</f>
        <v>6</v>
      </c>
      <c r="AN17" s="35" t="str">
        <f>LOWER(SUBSTITUTE(SUBSTITUTE(SUBSTITUTE(SUBSTITUTE(SUBSTITUTE(SUBSTITUTE(SUBSTITUTE(SUBSTITUTE(SUBSTITUTE(NOTA[[#This Row],[NAMA BARANG]]," ",),".",""),"-",""),"(",""),")",""),",",""),"/",""),"""",""),"+",""))</f>
        <v>clipboardacrylictf013</v>
      </c>
      <c r="AO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clipboardacrylictf01314400000,03</v>
      </c>
      <c r="AP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clipboardacrylictf01314400000,03</v>
      </c>
      <c r="AQ17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BUANAUNTANAHM/118/06-24H45469clipboardacrylictf013</v>
      </c>
      <c r="AR17" s="35">
        <f>IF(NOTA[[#This Row],[CONCAT1]]="","",MATCH(NOTA[[#This Row],[CONCAT1]],[3]!db[NB NOTA_C],0))</f>
        <v>3364</v>
      </c>
      <c r="AS17" s="35" t="str">
        <f>IF(NOTA[[#This Row],[Column5]]="","",TRUE)</f>
        <v/>
      </c>
      <c r="AT17" s="35" t="str">
        <f ca="1">IF(NOTA[[#This Row],[ID_H]]="","",IF(NOTA[[#This Row],[Column3]]=TRUE,NOTA[[#This Row],[Column5]],INDEX([3]!db[QTY/ CTN],NOTA[[#This Row],[//DB]])))</f>
        <v>96 PCS</v>
      </c>
      <c r="AU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clipboardacrylictf01396pcsuntana</v>
      </c>
      <c r="AV17" s="35">
        <f ca="1">IF(NOTA[[#This Row],[ID_H]]="","",MATCH(NOTA[[#This Row],[NB NOTA_C_QTY]],[3]!db[NB NOTA_C_QTY+F],0))</f>
        <v>3364</v>
      </c>
      <c r="AW17" s="43">
        <f ca="1">IF(NOTA[[#This Row],[NB NOTA_C_QTY]]="","",ROW()-2)</f>
        <v>15</v>
      </c>
    </row>
    <row r="18" spans="1:49" ht="20.100000000000001" customHeight="1">
      <c r="A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5">
        <f ca="1">IF(NOTA[[#This Row],[NAMA BARANG]]="","",INDEX(NOTA[ID],MATCH(,INDIRECT(ADDRESS(ROW(NOTA[ID]),COLUMN(NOTA[ID]))&amp;":"&amp;ADDRESS(ROW(),COLUMN(NOTA[ID]))),-1)))</f>
        <v>5</v>
      </c>
      <c r="C18" s="45"/>
      <c r="F18" s="46"/>
      <c r="G18" s="35"/>
      <c r="H18" s="36"/>
      <c r="I18" s="35"/>
      <c r="J18" s="35" t="s">
        <v>94</v>
      </c>
      <c r="K18" s="37">
        <v>1</v>
      </c>
      <c r="L18" s="35">
        <v>96</v>
      </c>
      <c r="M18" s="35" t="s">
        <v>51</v>
      </c>
      <c r="N18" s="38">
        <v>15000</v>
      </c>
      <c r="O18" s="39"/>
      <c r="P18" s="47"/>
      <c r="Q18" s="48">
        <v>0.03</v>
      </c>
      <c r="R18" s="41"/>
      <c r="T18" s="42"/>
      <c r="U18" s="44"/>
      <c r="V18" s="42">
        <f>IF(NOTA[[#This Row],[HARGA/ CTN]]="",NOTA[[#This Row],[JUMLAH_H]],NOTA[[#This Row],[HARGA/ CTN]]*IF(NOTA[[#This Row],[C]]="",0,NOTA[[#This Row],[C]]))</f>
        <v>1440000</v>
      </c>
      <c r="W18" s="42">
        <f>IF(NOTA[[#This Row],[JUMLAH]]="","",NOTA[[#This Row],[JUMLAH]]*NOTA[[#This Row],[Column6]])</f>
        <v>43200</v>
      </c>
      <c r="X18" s="42">
        <f>IF(NOTA[[#This Row],[JUMLAH]]="","",(NOTA[[#This Row],[JUMLAH]]-NOTA[[#This Row],[DISC 1-]])*NOTA[[#This Row],[Column7]])</f>
        <v>0</v>
      </c>
      <c r="Y18" s="42">
        <f>IF(NOTA[[#This Row],[JUMLAH]]="","",(NOTA[[#This Row],[JUMLAH]]-NOTA[[#This Row],[DISC 1-]]-NOTA[[#This Row],[DISC 2-]])*NOTA[[#This Row],[Column8]])</f>
        <v>0</v>
      </c>
      <c r="Z18" s="42">
        <f>IF(NOTA[[#This Row],[JUMLAH]]="","",NOTA[[#This Row],[DISC 1-]]+NOTA[[#This Row],[DISC 2-]]+NOTA[[#This Row],[DISC 3-]])</f>
        <v>43200</v>
      </c>
      <c r="AA18" s="42">
        <f>IF(NOTA[[#This Row],[JUMLAH]]="","",NOTA[[#This Row],[JUMLAH]]-NOTA[[#This Row],[DISC]])</f>
        <v>1396800</v>
      </c>
      <c r="AB18" s="42"/>
      <c r="AC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" s="3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8" s="42">
        <f>IF(OR(NOTA[[#This Row],[QTY]]="",NOTA[[#This Row],[HARGA SATUAN]]="",),"",NOTA[[#This Row],[QTY]]*NOTA[[#This Row],[HARGA SATUAN]])</f>
        <v>1440000</v>
      </c>
      <c r="AG18" s="36">
        <f ca="1">IF(NOTA[[#This Row],[ID_H]]="","",INDEX(NOTA[TANGGAL],MATCH(,INDIRECT(ADDRESS(ROW(NOTA[TANGGAL]),COLUMN(NOTA[TANGGAL]))&amp;":"&amp;ADDRESS(ROW(),COLUMN(NOTA[TANGGAL]))),-1)))</f>
        <v>45471</v>
      </c>
      <c r="AH18" s="36">
        <f ca="1">IF(NOTA[[#This Row],[ID_H]]="","",INDEX(NOTA[TGL.NOTA],MATCH(,INDIRECT(ADDRESS(ROW(NOTA[TGL.NOTA]),COLUMN(NOTA[TGL.NOTA]))&amp;":"&amp;ADDRESS(ROW(),COLUMN(NOTA[TGL.NOTA]))),-1)))</f>
        <v>45469</v>
      </c>
      <c r="AI18" s="36" t="str">
        <f ca="1">IF(NOTA[[#This Row],[ID_H]]="","",INDEX(NOTA[NO.NOTA],MATCH(NOTA[[#This Row],[ID_H]],NOTA[ID_H],0)))</f>
        <v>HM/118/06-24H</v>
      </c>
      <c r="AJ18" s="38" t="str">
        <f ca="1">IF(NOTA[[#This Row],[NAMA BARANG]]="","",INDEX(NOTA[SUPPLIER],MATCH(,INDIRECT(ADDRESS(ROW(NOTA[ID]),COLUMN(NOTA[ID]))&amp;":"&amp;ADDRESS(ROW(),COLUMN(NOTA[ID]))),-1)))</f>
        <v>DUTA BUANA</v>
      </c>
      <c r="AK18" s="38" t="str">
        <f ca="1">IF(NOTA[[#This Row],[ID_H]]="","",IF(NOTA[[#This Row],[FAKTUR]]="",INDIRECT(ADDRESS(ROW()-1,COLUMN())),NOTA[[#This Row],[FAKTUR]]))</f>
        <v>UNTANA</v>
      </c>
      <c r="AL18" s="35" t="str">
        <f ca="1">IF(NOTA[[#This Row],[ID]]="","",COUNTIF(NOTA[ID_H],NOTA[[#This Row],[ID_H]]))</f>
        <v/>
      </c>
      <c r="AM18" s="35">
        <f ca="1">IF(NOTA[[#This Row],[TGL.NOTA]]="",IF(NOTA[[#This Row],[SUPPLIER_H]]="","",AM17),MONTH(NOTA[[#This Row],[TGL.NOTA]]))</f>
        <v>6</v>
      </c>
      <c r="AN18" s="35" t="str">
        <f>LOWER(SUBSTITUTE(SUBSTITUTE(SUBSTITUTE(SUBSTITUTE(SUBSTITUTE(SUBSTITUTE(SUBSTITUTE(SUBSTITUTE(SUBSTITUTE(NOTA[[#This Row],[NAMA BARANG]]," ",),".",""),"-",""),"(",""),")",""),",",""),"/",""),"""",""),"+",""))</f>
        <v>clipboardacrylictf015</v>
      </c>
      <c r="AO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clipboardacrylictf01514400000,03</v>
      </c>
      <c r="AP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clipboardacrylictf01514400000,03</v>
      </c>
      <c r="AQ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" s="35">
        <f>IF(NOTA[[#This Row],[CONCAT1]]="","",MATCH(NOTA[[#This Row],[CONCAT1]],[3]!db[NB NOTA_C],0))</f>
        <v>3365</v>
      </c>
      <c r="AS18" s="35" t="str">
        <f>IF(NOTA[[#This Row],[Column5]]="","",TRUE)</f>
        <v/>
      </c>
      <c r="AT18" s="35" t="str">
        <f ca="1">IF(NOTA[[#This Row],[ID_H]]="","",IF(NOTA[[#This Row],[Column3]]=TRUE,NOTA[[#This Row],[Column5]],INDEX([3]!db[QTY/ CTN],NOTA[[#This Row],[//DB]])))</f>
        <v>96 PCS</v>
      </c>
      <c r="AU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clipboardacrylictf01596pcsuntana</v>
      </c>
      <c r="AV18" s="35">
        <f ca="1">IF(NOTA[[#This Row],[ID_H]]="","",MATCH(NOTA[[#This Row],[NB NOTA_C_QTY]],[3]!db[NB NOTA_C_QTY+F],0))</f>
        <v>3365</v>
      </c>
      <c r="AW18" s="43">
        <f ca="1">IF(NOTA[[#This Row],[NB NOTA_C_QTY]]="","",ROW()-2)</f>
        <v>16</v>
      </c>
    </row>
    <row r="19" spans="1:49" ht="20.100000000000001" customHeight="1">
      <c r="A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5">
        <f ca="1">IF(NOTA[[#This Row],[NAMA BARANG]]="","",INDEX(NOTA[ID],MATCH(,INDIRECT(ADDRESS(ROW(NOTA[ID]),COLUMN(NOTA[ID]))&amp;":"&amp;ADDRESS(ROW(),COLUMN(NOTA[ID]))),-1)))</f>
        <v>5</v>
      </c>
      <c r="C19" s="45"/>
      <c r="F19" s="46"/>
      <c r="G19" s="35"/>
      <c r="H19" s="36"/>
      <c r="I19" s="35"/>
      <c r="J19" s="35" t="s">
        <v>95</v>
      </c>
      <c r="K19" s="37">
        <v>1</v>
      </c>
      <c r="L19" s="35">
        <v>96</v>
      </c>
      <c r="M19" s="35" t="s">
        <v>51</v>
      </c>
      <c r="N19" s="38">
        <v>15000</v>
      </c>
      <c r="O19" s="39"/>
      <c r="P19" s="47"/>
      <c r="Q19" s="48">
        <v>0.03</v>
      </c>
      <c r="R19" s="41"/>
      <c r="T19" s="42"/>
      <c r="U19" s="44"/>
      <c r="V19" s="42">
        <f>IF(NOTA[[#This Row],[HARGA/ CTN]]="",NOTA[[#This Row],[JUMLAH_H]],NOTA[[#This Row],[HARGA/ CTN]]*IF(NOTA[[#This Row],[C]]="",0,NOTA[[#This Row],[C]]))</f>
        <v>1440000</v>
      </c>
      <c r="W19" s="42">
        <f>IF(NOTA[[#This Row],[JUMLAH]]="","",NOTA[[#This Row],[JUMLAH]]*NOTA[[#This Row],[Column6]])</f>
        <v>43200</v>
      </c>
      <c r="X19" s="42">
        <f>IF(NOTA[[#This Row],[JUMLAH]]="","",(NOTA[[#This Row],[JUMLAH]]-NOTA[[#This Row],[DISC 1-]])*NOTA[[#This Row],[Column7]])</f>
        <v>0</v>
      </c>
      <c r="Y19" s="42">
        <f>IF(NOTA[[#This Row],[JUMLAH]]="","",(NOTA[[#This Row],[JUMLAH]]-NOTA[[#This Row],[DISC 1-]]-NOTA[[#This Row],[DISC 2-]])*NOTA[[#This Row],[Column8]])</f>
        <v>0</v>
      </c>
      <c r="Z19" s="42">
        <f>IF(NOTA[[#This Row],[JUMLAH]]="","",NOTA[[#This Row],[DISC 1-]]+NOTA[[#This Row],[DISC 2-]]+NOTA[[#This Row],[DISC 3-]])</f>
        <v>43200</v>
      </c>
      <c r="AA19" s="42">
        <f>IF(NOTA[[#This Row],[JUMLAH]]="","",NOTA[[#This Row],[JUMLAH]]-NOTA[[#This Row],[DISC]])</f>
        <v>1396800</v>
      </c>
      <c r="AB19" s="42"/>
      <c r="AC1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129600</v>
      </c>
      <c r="AD1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4190400</v>
      </c>
      <c r="AE19" s="3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9" s="42">
        <f>IF(OR(NOTA[[#This Row],[QTY]]="",NOTA[[#This Row],[HARGA SATUAN]]="",),"",NOTA[[#This Row],[QTY]]*NOTA[[#This Row],[HARGA SATUAN]])</f>
        <v>1440000</v>
      </c>
      <c r="AG19" s="36">
        <f ca="1">IF(NOTA[[#This Row],[ID_H]]="","",INDEX(NOTA[TANGGAL],MATCH(,INDIRECT(ADDRESS(ROW(NOTA[TANGGAL]),COLUMN(NOTA[TANGGAL]))&amp;":"&amp;ADDRESS(ROW(),COLUMN(NOTA[TANGGAL]))),-1)))</f>
        <v>45471</v>
      </c>
      <c r="AH19" s="36">
        <f ca="1">IF(NOTA[[#This Row],[ID_H]]="","",INDEX(NOTA[TGL.NOTA],MATCH(,INDIRECT(ADDRESS(ROW(NOTA[TGL.NOTA]),COLUMN(NOTA[TGL.NOTA]))&amp;":"&amp;ADDRESS(ROW(),COLUMN(NOTA[TGL.NOTA]))),-1)))</f>
        <v>45469</v>
      </c>
      <c r="AI19" s="36" t="str">
        <f ca="1">IF(NOTA[[#This Row],[ID_H]]="","",INDEX(NOTA[NO.NOTA],MATCH(NOTA[[#This Row],[ID_H]],NOTA[ID_H],0)))</f>
        <v>HM/118/06-24H</v>
      </c>
      <c r="AJ19" s="38" t="str">
        <f ca="1">IF(NOTA[[#This Row],[NAMA BARANG]]="","",INDEX(NOTA[SUPPLIER],MATCH(,INDIRECT(ADDRESS(ROW(NOTA[ID]),COLUMN(NOTA[ID]))&amp;":"&amp;ADDRESS(ROW(),COLUMN(NOTA[ID]))),-1)))</f>
        <v>DUTA BUANA</v>
      </c>
      <c r="AK19" s="38" t="str">
        <f ca="1">IF(NOTA[[#This Row],[ID_H]]="","",IF(NOTA[[#This Row],[FAKTUR]]="",INDIRECT(ADDRESS(ROW()-1,COLUMN())),NOTA[[#This Row],[FAKTUR]]))</f>
        <v>UNTANA</v>
      </c>
      <c r="AL19" s="35" t="str">
        <f ca="1">IF(NOTA[[#This Row],[ID]]="","",COUNTIF(NOTA[ID_H],NOTA[[#This Row],[ID_H]]))</f>
        <v/>
      </c>
      <c r="AM19" s="35">
        <f ca="1">IF(NOTA[[#This Row],[TGL.NOTA]]="",IF(NOTA[[#This Row],[SUPPLIER_H]]="","",AM18),MONTH(NOTA[[#This Row],[TGL.NOTA]]))</f>
        <v>6</v>
      </c>
      <c r="AN19" s="35" t="str">
        <f>LOWER(SUBSTITUTE(SUBSTITUTE(SUBSTITUTE(SUBSTITUTE(SUBSTITUTE(SUBSTITUTE(SUBSTITUTE(SUBSTITUTE(SUBSTITUTE(NOTA[[#This Row],[NAMA BARANG]]," ",),".",""),"-",""),"(",""),")",""),",",""),"/",""),"""",""),"+",""))</f>
        <v>clipboardacrylictf016</v>
      </c>
      <c r="AO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clipboardacrylictf01614400000,03</v>
      </c>
      <c r="AP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clipboardacrylictf01614400000,03</v>
      </c>
      <c r="AQ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" s="35">
        <f>IF(NOTA[[#This Row],[CONCAT1]]="","",MATCH(NOTA[[#This Row],[CONCAT1]],[3]!db[NB NOTA_C],0))</f>
        <v>3366</v>
      </c>
      <c r="AS19" s="35" t="str">
        <f>IF(NOTA[[#This Row],[Column5]]="","",TRUE)</f>
        <v/>
      </c>
      <c r="AT19" s="35" t="str">
        <f ca="1">IF(NOTA[[#This Row],[ID_H]]="","",IF(NOTA[[#This Row],[Column3]]=TRUE,NOTA[[#This Row],[Column5]],INDEX([3]!db[QTY/ CTN],NOTA[[#This Row],[//DB]])))</f>
        <v>96 PCS</v>
      </c>
      <c r="AU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clipboardacrylictf01696pcsuntana</v>
      </c>
      <c r="AV19" s="35">
        <f ca="1">IF(NOTA[[#This Row],[ID_H]]="","",MATCH(NOTA[[#This Row],[NB NOTA_C_QTY]],[3]!db[NB NOTA_C_QTY+F],0))</f>
        <v>3366</v>
      </c>
      <c r="AW19" s="43">
        <f ca="1">IF(NOTA[[#This Row],[NB NOTA_C_QTY]]="","",ROW()-2)</f>
        <v>17</v>
      </c>
    </row>
    <row r="20" spans="1:49" ht="20.100000000000001" customHeight="1">
      <c r="A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5" t="str">
        <f ca="1">IF(NOTA[[#This Row],[NAMA BARANG]]="","",INDEX(NOTA[ID],MATCH(,INDIRECT(ADDRESS(ROW(NOTA[ID]),COLUMN(NOTA[ID]))&amp;":"&amp;ADDRESS(ROW(),COLUMN(NOTA[ID]))),-1)))</f>
        <v/>
      </c>
      <c r="C20" s="45"/>
      <c r="F20" s="46"/>
      <c r="G20" s="35"/>
      <c r="H20" s="36"/>
      <c r="I20" s="35"/>
      <c r="K20" s="37"/>
      <c r="L20" s="35"/>
      <c r="N20" s="38"/>
      <c r="O20" s="39"/>
      <c r="P20" s="47"/>
      <c r="Q20" s="48"/>
      <c r="R20" s="41"/>
      <c r="T20" s="42"/>
      <c r="U20" s="44"/>
      <c r="V20" s="42" t="str">
        <f>IF(NOTA[[#This Row],[HARGA/ CTN]]="",NOTA[[#This Row],[JUMLAH_H]],NOTA[[#This Row],[HARGA/ CTN]]*IF(NOTA[[#This Row],[C]]="",0,NOTA[[#This Row],[C]]))</f>
        <v/>
      </c>
      <c r="W20" s="42" t="str">
        <f>IF(NOTA[[#This Row],[JUMLAH]]="","",NOTA[[#This Row],[JUMLAH]]*NOTA[[#This Row],[Column6]])</f>
        <v/>
      </c>
      <c r="X20" s="42" t="str">
        <f>IF(NOTA[[#This Row],[JUMLAH]]="","",(NOTA[[#This Row],[JUMLAH]]-NOTA[[#This Row],[DISC 1-]])*NOTA[[#This Row],[Column7]])</f>
        <v/>
      </c>
      <c r="Y20" s="42" t="str">
        <f>IF(NOTA[[#This Row],[JUMLAH]]="","",(NOTA[[#This Row],[JUMLAH]]-NOTA[[#This Row],[DISC 1-]]-NOTA[[#This Row],[DISC 2-]])*NOTA[[#This Row],[Column8]])</f>
        <v/>
      </c>
      <c r="Z20" s="42" t="str">
        <f>IF(NOTA[[#This Row],[JUMLAH]]="","",NOTA[[#This Row],[DISC 1-]]+NOTA[[#This Row],[DISC 2-]]+NOTA[[#This Row],[DISC 3-]])</f>
        <v/>
      </c>
      <c r="AA20" s="42" t="str">
        <f>IF(NOTA[[#This Row],[JUMLAH]]="","",NOTA[[#This Row],[JUMLAH]]-NOTA[[#This Row],[DISC]])</f>
        <v/>
      </c>
      <c r="AB20" s="42"/>
      <c r="AC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" s="42" t="str">
        <f>IF(OR(NOTA[[#This Row],[QTY]]="",NOTA[[#This Row],[HARGA SATUAN]]="",),"",NOTA[[#This Row],[QTY]]*NOTA[[#This Row],[HARGA SATUAN]])</f>
        <v/>
      </c>
      <c r="AG20" s="36" t="str">
        <f ca="1">IF(NOTA[[#This Row],[ID_H]]="","",INDEX(NOTA[TANGGAL],MATCH(,INDIRECT(ADDRESS(ROW(NOTA[TANGGAL]),COLUMN(NOTA[TANGGAL]))&amp;":"&amp;ADDRESS(ROW(),COLUMN(NOTA[TANGGAL]))),-1)))</f>
        <v/>
      </c>
      <c r="AH20" s="36" t="str">
        <f ca="1">IF(NOTA[[#This Row],[ID_H]]="","",INDEX(NOTA[TGL.NOTA],MATCH(,INDIRECT(ADDRESS(ROW(NOTA[TGL.NOTA]),COLUMN(NOTA[TGL.NOTA]))&amp;":"&amp;ADDRESS(ROW(),COLUMN(NOTA[TGL.NOTA]))),-1)))</f>
        <v/>
      </c>
      <c r="AI20" s="36" t="str">
        <f ca="1">IF(NOTA[[#This Row],[ID_H]]="","",INDEX(NOTA[NO.NOTA],MATCH(NOTA[[#This Row],[ID_H]],NOTA[ID_H],0)))</f>
        <v/>
      </c>
      <c r="AJ20" s="38" t="str">
        <f ca="1">IF(NOTA[[#This Row],[NAMA BARANG]]="","",INDEX(NOTA[SUPPLIER],MATCH(,INDIRECT(ADDRESS(ROW(NOTA[ID]),COLUMN(NOTA[ID]))&amp;":"&amp;ADDRESS(ROW(),COLUMN(NOTA[ID]))),-1)))</f>
        <v/>
      </c>
      <c r="AK20" s="38" t="str">
        <f ca="1">IF(NOTA[[#This Row],[ID_H]]="","",IF(NOTA[[#This Row],[FAKTUR]]="",INDIRECT(ADDRESS(ROW()-1,COLUMN())),NOTA[[#This Row],[FAKTUR]]))</f>
        <v/>
      </c>
      <c r="AL20" s="35" t="str">
        <f ca="1">IF(NOTA[[#This Row],[ID]]="","",COUNTIF(NOTA[ID_H],NOTA[[#This Row],[ID_H]]))</f>
        <v/>
      </c>
      <c r="AM20" s="35" t="str">
        <f ca="1">IF(NOTA[[#This Row],[TGL.NOTA]]="",IF(NOTA[[#This Row],[SUPPLIER_H]]="","",AM19),MONTH(NOTA[[#This Row],[TGL.NOTA]]))</f>
        <v/>
      </c>
      <c r="AN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" s="35" t="str">
        <f>IF(NOTA[[#This Row],[CONCAT1]]="","",MATCH(NOTA[[#This Row],[CONCAT1]],[3]!db[NB NOTA_C],0))</f>
        <v/>
      </c>
      <c r="AS20" s="35" t="str">
        <f>IF(NOTA[[#This Row],[Column5]]="","",TRUE)</f>
        <v/>
      </c>
      <c r="AT20" s="35" t="str">
        <f ca="1">IF(NOTA[[#This Row],[ID_H]]="","",IF(NOTA[[#This Row],[Column3]]=TRUE,NOTA[[#This Row],[Column5]],INDEX([3]!db[QTY/ CTN],NOTA[[#This Row],[//DB]])))</f>
        <v/>
      </c>
      <c r="AU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" s="35" t="str">
        <f ca="1">IF(NOTA[[#This Row],[ID_H]]="","",MATCH(NOTA[[#This Row],[NB NOTA_C_QTY]],[3]!db[NB NOTA_C_QTY+F],0))</f>
        <v/>
      </c>
      <c r="AW20" s="43" t="str">
        <f ca="1">IF(NOTA[[#This Row],[NB NOTA_C_QTY]]="","",ROW()-2)</f>
        <v/>
      </c>
    </row>
    <row r="21" spans="1:49" ht="20.100000000000001" customHeight="1">
      <c r="A21" s="38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35">
        <f ca="1">IF(NOTA[[#This Row],[NAMA BARANG]]="","",INDEX(NOTA[ID],MATCH(,INDIRECT(ADDRESS(ROW(NOTA[ID]),COLUMN(NOTA[ID]))&amp;":"&amp;ADDRESS(ROW(),COLUMN(NOTA[ID]))),-1)))</f>
        <v>6</v>
      </c>
      <c r="C21" s="45">
        <v>45472</v>
      </c>
      <c r="D21" s="35" t="s">
        <v>81</v>
      </c>
      <c r="E21" s="35" t="s">
        <v>49</v>
      </c>
      <c r="F21" s="46" t="s">
        <v>96</v>
      </c>
      <c r="G21" s="35"/>
      <c r="H21" s="36">
        <v>45469</v>
      </c>
      <c r="I21" s="35"/>
      <c r="J21" s="35" t="s">
        <v>97</v>
      </c>
      <c r="K21" s="37">
        <v>2</v>
      </c>
      <c r="L21" s="35">
        <v>144</v>
      </c>
      <c r="M21" s="35" t="s">
        <v>51</v>
      </c>
      <c r="N21" s="38">
        <v>22500</v>
      </c>
      <c r="O21" s="39"/>
      <c r="P21" s="47" t="s">
        <v>72</v>
      </c>
      <c r="Q21" s="48"/>
      <c r="R21" s="41"/>
      <c r="T21" s="42"/>
      <c r="U21" s="44"/>
      <c r="V21" s="42">
        <f>IF(NOTA[[#This Row],[HARGA/ CTN]]="",NOTA[[#This Row],[JUMLAH_H]],NOTA[[#This Row],[HARGA/ CTN]]*IF(NOTA[[#This Row],[C]]="",0,NOTA[[#This Row],[C]]))</f>
        <v>3240000</v>
      </c>
      <c r="W21" s="42">
        <f>IF(NOTA[[#This Row],[JUMLAH]]="","",NOTA[[#This Row],[JUMLAH]]*NOTA[[#This Row],[Column6]])</f>
        <v>0</v>
      </c>
      <c r="X21" s="42">
        <f>IF(NOTA[[#This Row],[JUMLAH]]="","",(NOTA[[#This Row],[JUMLAH]]-NOTA[[#This Row],[DISC 1-]])*NOTA[[#This Row],[Column7]])</f>
        <v>0</v>
      </c>
      <c r="Y21" s="42">
        <f>IF(NOTA[[#This Row],[JUMLAH]]="","",(NOTA[[#This Row],[JUMLAH]]-NOTA[[#This Row],[DISC 1-]]-NOTA[[#This Row],[DISC 2-]])*NOTA[[#This Row],[Column8]])</f>
        <v>0</v>
      </c>
      <c r="Z21" s="42">
        <f>IF(NOTA[[#This Row],[JUMLAH]]="","",NOTA[[#This Row],[DISC 1-]]+NOTA[[#This Row],[DISC 2-]]+NOTA[[#This Row],[DISC 3-]])</f>
        <v>0</v>
      </c>
      <c r="AA21" s="42">
        <f>IF(NOTA[[#This Row],[JUMLAH]]="","",NOTA[[#This Row],[JUMLAH]]-NOTA[[#This Row],[DISC]])</f>
        <v>3240000</v>
      </c>
      <c r="AB21" s="42"/>
      <c r="AC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" s="38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21" s="42">
        <f>IF(OR(NOTA[[#This Row],[QTY]]="",NOTA[[#This Row],[HARGA SATUAN]]="",),"",NOTA[[#This Row],[QTY]]*NOTA[[#This Row],[HARGA SATUAN]])</f>
        <v>3240000</v>
      </c>
      <c r="AG21" s="36">
        <f ca="1">IF(NOTA[[#This Row],[ID_H]]="","",INDEX(NOTA[TANGGAL],MATCH(,INDIRECT(ADDRESS(ROW(NOTA[TANGGAL]),COLUMN(NOTA[TANGGAL]))&amp;":"&amp;ADDRESS(ROW(),COLUMN(NOTA[TANGGAL]))),-1)))</f>
        <v>45472</v>
      </c>
      <c r="AH21" s="36">
        <f ca="1">IF(NOTA[[#This Row],[ID_H]]="","",INDEX(NOTA[TGL.NOTA],MATCH(,INDIRECT(ADDRESS(ROW(NOTA[TGL.NOTA]),COLUMN(NOTA[TGL.NOTA]))&amp;":"&amp;ADDRESS(ROW(),COLUMN(NOTA[TGL.NOTA]))),-1)))</f>
        <v>45469</v>
      </c>
      <c r="AI21" s="36" t="str">
        <f ca="1">IF(NOTA[[#This Row],[ID_H]]="","",INDEX(NOTA[NO.NOTA],MATCH(NOTA[[#This Row],[ID_H]],NOTA[ID_H],0)))</f>
        <v>03185</v>
      </c>
      <c r="AJ21" s="38" t="str">
        <f ca="1">IF(NOTA[[#This Row],[NAMA BARANG]]="","",INDEX(NOTA[SUPPLIER],MATCH(,INDIRECT(ADDRESS(ROW(NOTA[ID]),COLUMN(NOTA[ID]))&amp;":"&amp;ADDRESS(ROW(),COLUMN(NOTA[ID]))),-1)))</f>
        <v>PMJP</v>
      </c>
      <c r="AK21" s="38" t="str">
        <f ca="1">IF(NOTA[[#This Row],[ID_H]]="","",IF(NOTA[[#This Row],[FAKTUR]]="",INDIRECT(ADDRESS(ROW()-1,COLUMN())),NOTA[[#This Row],[FAKTUR]]))</f>
        <v>UNTANA</v>
      </c>
      <c r="AL21" s="35">
        <f ca="1">IF(NOTA[[#This Row],[ID]]="","",COUNTIF(NOTA[ID_H],NOTA[[#This Row],[ID_H]]))</f>
        <v>2</v>
      </c>
      <c r="AM21" s="35">
        <f>IF(NOTA[[#This Row],[TGL.NOTA]]="",IF(NOTA[[#This Row],[SUPPLIER_H]]="","",AM20),MONTH(NOTA[[#This Row],[TGL.NOTA]]))</f>
        <v>6</v>
      </c>
      <c r="AN21" s="35" t="str">
        <f>LOWER(SUBSTITUTE(SUBSTITUTE(SUBSTITUTE(SUBSTITUTE(SUBSTITUTE(SUBSTITUTE(SUBSTITUTE(SUBSTITUTE(SUBSTITUTE(NOTA[[#This Row],[NAMA BARANG]]," ",),".",""),"-",""),"(",""),")",""),",",""),"/",""),"""",""),"+",""))</f>
        <v>serutan009</v>
      </c>
      <c r="AO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serutan0091620000</v>
      </c>
      <c r="AP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serutan0091620000</v>
      </c>
      <c r="AQ21" s="35" t="str">
        <f>IF(NOTA[[#This Row],[SUPPLIER]]="","",NOTA[[#This Row],[SUPPLIER]]&amp;NOTA[[#This Row],[FAKTUR]]&amp;NOTA[[#This Row],[NO.NOTA]]&amp;NOTA[[#This Row],[NO.SJ]]&amp;NOTA[[#This Row],[TGL.NOTA]]&amp;NOTA[[#This Row],[CONCAT1]])</f>
        <v>PMJPUNTANA0318545469serutan009</v>
      </c>
      <c r="AR21" s="35">
        <f>IF(NOTA[[#This Row],[CONCAT1]]="","",MATCH(NOTA[[#This Row],[CONCAT1]],[3]!db[NB NOTA_C],0))</f>
        <v>2872</v>
      </c>
      <c r="AS21" s="35" t="b">
        <f>IF(NOTA[[#This Row],[Column5]]="","",TRUE)</f>
        <v>1</v>
      </c>
      <c r="AT21" s="35" t="str">
        <f ca="1">IF(NOTA[[#This Row],[ID_H]]="","",IF(NOTA[[#This Row],[Column3]]=TRUE,NOTA[[#This Row],[Column5]],INDEX([3]!db[QTY/ CTN],NOTA[[#This Row],[//DB]])))</f>
        <v>72 PCS</v>
      </c>
      <c r="AU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serutan00972pcsuntana</v>
      </c>
      <c r="AV21" s="35">
        <f ca="1">IF(NOTA[[#This Row],[ID_H]]="","",MATCH(NOTA[[#This Row],[NB NOTA_C_QTY]],[3]!db[NB NOTA_C_QTY+F],0))</f>
        <v>2872</v>
      </c>
      <c r="AW21" s="43">
        <f ca="1">IF(NOTA[[#This Row],[NB NOTA_C_QTY]]="","",ROW()-2)</f>
        <v>19</v>
      </c>
    </row>
    <row r="22" spans="1:49" ht="20.100000000000001" customHeight="1">
      <c r="A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5">
        <f ca="1">IF(NOTA[[#This Row],[NAMA BARANG]]="","",INDEX(NOTA[ID],MATCH(,INDIRECT(ADDRESS(ROW(NOTA[ID]),COLUMN(NOTA[ID]))&amp;":"&amp;ADDRESS(ROW(),COLUMN(NOTA[ID]))),-1)))</f>
        <v>6</v>
      </c>
      <c r="C22" s="45"/>
      <c r="F22" s="46"/>
      <c r="G22" s="35"/>
      <c r="H22" s="36"/>
      <c r="I22" s="35"/>
      <c r="J22" s="35" t="s">
        <v>97</v>
      </c>
      <c r="K22" s="37">
        <v>1</v>
      </c>
      <c r="L22" s="35">
        <v>73</v>
      </c>
      <c r="M22" s="35" t="s">
        <v>51</v>
      </c>
      <c r="N22" s="38">
        <v>22500</v>
      </c>
      <c r="O22" s="39"/>
      <c r="P22" s="47" t="s">
        <v>72</v>
      </c>
      <c r="Q22" s="48"/>
      <c r="R22" s="41"/>
      <c r="T22" s="42"/>
      <c r="U22" s="44"/>
      <c r="V22" s="42">
        <f>IF(NOTA[[#This Row],[HARGA/ CTN]]="",NOTA[[#This Row],[JUMLAH_H]],NOTA[[#This Row],[HARGA/ CTN]]*IF(NOTA[[#This Row],[C]]="",0,NOTA[[#This Row],[C]]))</f>
        <v>1642500</v>
      </c>
      <c r="W22" s="42">
        <f>IF(NOTA[[#This Row],[JUMLAH]]="","",NOTA[[#This Row],[JUMLAH]]*NOTA[[#This Row],[Column6]])</f>
        <v>0</v>
      </c>
      <c r="X22" s="42">
        <f>IF(NOTA[[#This Row],[JUMLAH]]="","",(NOTA[[#This Row],[JUMLAH]]-NOTA[[#This Row],[DISC 1-]])*NOTA[[#This Row],[Column7]])</f>
        <v>0</v>
      </c>
      <c r="Y22" s="42">
        <f>IF(NOTA[[#This Row],[JUMLAH]]="","",(NOTA[[#This Row],[JUMLAH]]-NOTA[[#This Row],[DISC 1-]]-NOTA[[#This Row],[DISC 2-]])*NOTA[[#This Row],[Column8]])</f>
        <v>0</v>
      </c>
      <c r="Z22" s="42">
        <f>IF(NOTA[[#This Row],[JUMLAH]]="","",NOTA[[#This Row],[DISC 1-]]+NOTA[[#This Row],[DISC 2-]]+NOTA[[#This Row],[DISC 3-]])</f>
        <v>0</v>
      </c>
      <c r="AA22" s="42">
        <f>IF(NOTA[[#This Row],[JUMLAH]]="","",NOTA[[#This Row],[JUMLAH]]-NOTA[[#This Row],[DISC]])</f>
        <v>1642500</v>
      </c>
      <c r="AB22" s="42"/>
      <c r="AC2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4882500</v>
      </c>
      <c r="AE22" s="38">
        <f>IF(NOTA[[#This Row],[NAMA BARANG]]="","",IF(NOTA[[#This Row],[JUMLAH_H]]="",NOTA[[#This Row],[HARGA/ CTN]],NOTA[[#This Row],[QTY]]*NOTA[[#This Row],[HARGA SATUAN]]/IF(ISNUMBER(NOTA[[#This Row],[C]]),NOTA[[#This Row],[C]],1)))</f>
        <v>1642500</v>
      </c>
      <c r="AF22" s="42">
        <f>IF(OR(NOTA[[#This Row],[QTY]]="",NOTA[[#This Row],[HARGA SATUAN]]="",),"",NOTA[[#This Row],[QTY]]*NOTA[[#This Row],[HARGA SATUAN]])</f>
        <v>1642500</v>
      </c>
      <c r="AG22" s="36">
        <f ca="1">IF(NOTA[[#This Row],[ID_H]]="","",INDEX(NOTA[TANGGAL],MATCH(,INDIRECT(ADDRESS(ROW(NOTA[TANGGAL]),COLUMN(NOTA[TANGGAL]))&amp;":"&amp;ADDRESS(ROW(),COLUMN(NOTA[TANGGAL]))),-1)))</f>
        <v>45472</v>
      </c>
      <c r="AH22" s="36">
        <f ca="1">IF(NOTA[[#This Row],[ID_H]]="","",INDEX(NOTA[TGL.NOTA],MATCH(,INDIRECT(ADDRESS(ROW(NOTA[TGL.NOTA]),COLUMN(NOTA[TGL.NOTA]))&amp;":"&amp;ADDRESS(ROW(),COLUMN(NOTA[TGL.NOTA]))),-1)))</f>
        <v>45469</v>
      </c>
      <c r="AI22" s="36" t="str">
        <f ca="1">IF(NOTA[[#This Row],[ID_H]]="","",INDEX(NOTA[NO.NOTA],MATCH(NOTA[[#This Row],[ID_H]],NOTA[ID_H],0)))</f>
        <v>03185</v>
      </c>
      <c r="AJ22" s="38" t="str">
        <f ca="1">IF(NOTA[[#This Row],[NAMA BARANG]]="","",INDEX(NOTA[SUPPLIER],MATCH(,INDIRECT(ADDRESS(ROW(NOTA[ID]),COLUMN(NOTA[ID]))&amp;":"&amp;ADDRESS(ROW(),COLUMN(NOTA[ID]))),-1)))</f>
        <v>PMJP</v>
      </c>
      <c r="AK22" s="38" t="str">
        <f ca="1">IF(NOTA[[#This Row],[ID_H]]="","",IF(NOTA[[#This Row],[FAKTUR]]="",INDIRECT(ADDRESS(ROW()-1,COLUMN())),NOTA[[#This Row],[FAKTUR]]))</f>
        <v>UNTANA</v>
      </c>
      <c r="AL22" s="35" t="str">
        <f ca="1">IF(NOTA[[#This Row],[ID]]="","",COUNTIF(NOTA[ID_H],NOTA[[#This Row],[ID_H]]))</f>
        <v/>
      </c>
      <c r="AM22" s="35">
        <f ca="1">IF(NOTA[[#This Row],[TGL.NOTA]]="",IF(NOTA[[#This Row],[SUPPLIER_H]]="","",AM21),MONTH(NOTA[[#This Row],[TGL.NOTA]]))</f>
        <v>6</v>
      </c>
      <c r="AN22" s="35" t="str">
        <f>LOWER(SUBSTITUTE(SUBSTITUTE(SUBSTITUTE(SUBSTITUTE(SUBSTITUTE(SUBSTITUTE(SUBSTITUTE(SUBSTITUTE(SUBSTITUTE(NOTA[[#This Row],[NAMA BARANG]]," ",),".",""),"-",""),"(",""),")",""),",",""),"/",""),"""",""),"+",""))</f>
        <v>serutan009</v>
      </c>
      <c r="AO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serutan0091642500</v>
      </c>
      <c r="AP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serutan0091642500</v>
      </c>
      <c r="AQ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" s="35">
        <f>IF(NOTA[[#This Row],[CONCAT1]]="","",MATCH(NOTA[[#This Row],[CONCAT1]],[3]!db[NB NOTA_C],0))</f>
        <v>2872</v>
      </c>
      <c r="AS22" s="35" t="b">
        <f>IF(NOTA[[#This Row],[Column5]]="","",TRUE)</f>
        <v>1</v>
      </c>
      <c r="AT22" s="35" t="str">
        <f ca="1">IF(NOTA[[#This Row],[ID_H]]="","",IF(NOTA[[#This Row],[Column3]]=TRUE,NOTA[[#This Row],[Column5]],INDEX([3]!db[QTY/ CTN],NOTA[[#This Row],[//DB]])))</f>
        <v>72 PCS</v>
      </c>
      <c r="AU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serutan00972pcsuntana</v>
      </c>
      <c r="AV22" s="35">
        <f ca="1">IF(NOTA[[#This Row],[ID_H]]="","",MATCH(NOTA[[#This Row],[NB NOTA_C_QTY]],[3]!db[NB NOTA_C_QTY+F],0))</f>
        <v>2872</v>
      </c>
      <c r="AW22" s="43">
        <f ca="1">IF(NOTA[[#This Row],[NB NOTA_C_QTY]]="","",ROW()-2)</f>
        <v>20</v>
      </c>
    </row>
    <row r="23" spans="1:49" ht="20.100000000000001" customHeight="1">
      <c r="A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5" t="str">
        <f ca="1">IF(NOTA[[#This Row],[NAMA BARANG]]="","",INDEX(NOTA[ID],MATCH(,INDIRECT(ADDRESS(ROW(NOTA[ID]),COLUMN(NOTA[ID]))&amp;":"&amp;ADDRESS(ROW(),COLUMN(NOTA[ID]))),-1)))</f>
        <v/>
      </c>
      <c r="C23" s="45"/>
      <c r="F23" s="46"/>
      <c r="G23" s="35"/>
      <c r="H23" s="36"/>
      <c r="I23" s="35"/>
      <c r="K23" s="37"/>
      <c r="L23" s="35"/>
      <c r="N23" s="38"/>
      <c r="O23" s="39"/>
      <c r="P23" s="47"/>
      <c r="Q23" s="48"/>
      <c r="R23" s="41"/>
      <c r="T23" s="42"/>
      <c r="U23" s="44"/>
      <c r="V23" s="42" t="str">
        <f>IF(NOTA[[#This Row],[HARGA/ CTN]]="",NOTA[[#This Row],[JUMLAH_H]],NOTA[[#This Row],[HARGA/ CTN]]*IF(NOTA[[#This Row],[C]]="",0,NOTA[[#This Row],[C]]))</f>
        <v/>
      </c>
      <c r="W23" s="42" t="str">
        <f>IF(NOTA[[#This Row],[JUMLAH]]="","",NOTA[[#This Row],[JUMLAH]]*NOTA[[#This Row],[Column6]])</f>
        <v/>
      </c>
      <c r="X23" s="42" t="str">
        <f>IF(NOTA[[#This Row],[JUMLAH]]="","",(NOTA[[#This Row],[JUMLAH]]-NOTA[[#This Row],[DISC 1-]])*NOTA[[#This Row],[Column7]])</f>
        <v/>
      </c>
      <c r="Y23" s="42" t="str">
        <f>IF(NOTA[[#This Row],[JUMLAH]]="","",(NOTA[[#This Row],[JUMLAH]]-NOTA[[#This Row],[DISC 1-]]-NOTA[[#This Row],[DISC 2-]])*NOTA[[#This Row],[Column8]])</f>
        <v/>
      </c>
      <c r="Z23" s="42" t="str">
        <f>IF(NOTA[[#This Row],[JUMLAH]]="","",NOTA[[#This Row],[DISC 1-]]+NOTA[[#This Row],[DISC 2-]]+NOTA[[#This Row],[DISC 3-]])</f>
        <v/>
      </c>
      <c r="AA23" s="42" t="str">
        <f>IF(NOTA[[#This Row],[JUMLAH]]="","",NOTA[[#This Row],[JUMLAH]]-NOTA[[#This Row],[DISC]])</f>
        <v/>
      </c>
      <c r="AB23" s="42"/>
      <c r="AC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42" t="str">
        <f>IF(OR(NOTA[[#This Row],[QTY]]="",NOTA[[#This Row],[HARGA SATUAN]]="",),"",NOTA[[#This Row],[QTY]]*NOTA[[#This Row],[HARGA SATUAN]])</f>
        <v/>
      </c>
      <c r="AG23" s="36" t="str">
        <f ca="1">IF(NOTA[[#This Row],[ID_H]]="","",INDEX(NOTA[TANGGAL],MATCH(,INDIRECT(ADDRESS(ROW(NOTA[TANGGAL]),COLUMN(NOTA[TANGGAL]))&amp;":"&amp;ADDRESS(ROW(),COLUMN(NOTA[TANGGAL]))),-1)))</f>
        <v/>
      </c>
      <c r="AH23" s="36" t="str">
        <f ca="1">IF(NOTA[[#This Row],[ID_H]]="","",INDEX(NOTA[TGL.NOTA],MATCH(,INDIRECT(ADDRESS(ROW(NOTA[TGL.NOTA]),COLUMN(NOTA[TGL.NOTA]))&amp;":"&amp;ADDRESS(ROW(),COLUMN(NOTA[TGL.NOTA]))),-1)))</f>
        <v/>
      </c>
      <c r="AI23" s="36" t="str">
        <f ca="1">IF(NOTA[[#This Row],[ID_H]]="","",INDEX(NOTA[NO.NOTA],MATCH(NOTA[[#This Row],[ID_H]],NOTA[ID_H],0)))</f>
        <v/>
      </c>
      <c r="AJ23" s="38" t="str">
        <f ca="1">IF(NOTA[[#This Row],[NAMA BARANG]]="","",INDEX(NOTA[SUPPLIER],MATCH(,INDIRECT(ADDRESS(ROW(NOTA[ID]),COLUMN(NOTA[ID]))&amp;":"&amp;ADDRESS(ROW(),COLUMN(NOTA[ID]))),-1)))</f>
        <v/>
      </c>
      <c r="AK23" s="38" t="str">
        <f ca="1">IF(NOTA[[#This Row],[ID_H]]="","",IF(NOTA[[#This Row],[FAKTUR]]="",INDIRECT(ADDRESS(ROW()-1,COLUMN())),NOTA[[#This Row],[FAKTUR]]))</f>
        <v/>
      </c>
      <c r="AL23" s="35" t="str">
        <f ca="1">IF(NOTA[[#This Row],[ID]]="","",COUNTIF(NOTA[ID_H],NOTA[[#This Row],[ID_H]]))</f>
        <v/>
      </c>
      <c r="AM23" s="35" t="str">
        <f ca="1">IF(NOTA[[#This Row],[TGL.NOTA]]="",IF(NOTA[[#This Row],[SUPPLIER_H]]="","",AM22),MONTH(NOTA[[#This Row],[TGL.NOTA]]))</f>
        <v/>
      </c>
      <c r="AN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" s="35" t="str">
        <f>IF(NOTA[[#This Row],[CONCAT1]]="","",MATCH(NOTA[[#This Row],[CONCAT1]],[3]!db[NB NOTA_C],0))</f>
        <v/>
      </c>
      <c r="AS23" s="35" t="str">
        <f>IF(NOTA[[#This Row],[Column5]]="","",TRUE)</f>
        <v/>
      </c>
      <c r="AT23" s="35" t="str">
        <f ca="1">IF(NOTA[[#This Row],[ID_H]]="","",IF(NOTA[[#This Row],[Column3]]=TRUE,NOTA[[#This Row],[Column5]],INDEX([3]!db[QTY/ CTN],NOTA[[#This Row],[//DB]])))</f>
        <v/>
      </c>
      <c r="AU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" s="35" t="str">
        <f ca="1">IF(NOTA[[#This Row],[ID_H]]="","",MATCH(NOTA[[#This Row],[NB NOTA_C_QTY]],[3]!db[NB NOTA_C_QTY+F],0))</f>
        <v/>
      </c>
      <c r="AW23" s="43" t="str">
        <f ca="1">IF(NOTA[[#This Row],[NB NOTA_C_QTY]]="","",ROW()-2)</f>
        <v/>
      </c>
    </row>
    <row r="24" spans="1:49" ht="20.100000000000001" customHeight="1">
      <c r="A24" s="38">
        <f ca="1">IF(INDIRECT(ADDRESS(ROW()-1,COLUMN(NOTA[[#Headers],[ID]])))="ID",1,IF(NOTA[[#This Row],[FAKTUR]]="","",COUNT(INDIRECT(ADDRESS(ROW(NOTA[ID]),COLUMN(NOTA[ID]))&amp;":"&amp;ADDRESS(ROW()-1,COLUMN(NOTA[ID]))))+1))</f>
        <v>7</v>
      </c>
      <c r="B24" s="35">
        <f ca="1">IF(NOTA[[#This Row],[NAMA BARANG]]="","",INDEX(NOTA[ID],MATCH(,INDIRECT(ADDRESS(ROW(NOTA[ID]),COLUMN(NOTA[ID]))&amp;":"&amp;ADDRESS(ROW(),COLUMN(NOTA[ID]))),-1)))</f>
        <v>7</v>
      </c>
      <c r="C24" s="45">
        <v>45474</v>
      </c>
      <c r="D24" s="35" t="s">
        <v>98</v>
      </c>
      <c r="E24" s="35" t="s">
        <v>49</v>
      </c>
      <c r="F24" s="46" t="s">
        <v>99</v>
      </c>
      <c r="G24" s="35"/>
      <c r="H24" s="36">
        <v>45470</v>
      </c>
      <c r="I24" s="35"/>
      <c r="J24" s="35" t="s">
        <v>100</v>
      </c>
      <c r="K24" s="37">
        <v>6</v>
      </c>
      <c r="L24" s="35">
        <v>360</v>
      </c>
      <c r="M24" s="35" t="s">
        <v>50</v>
      </c>
      <c r="N24" s="38">
        <v>26500</v>
      </c>
      <c r="O24" s="39"/>
      <c r="P24" s="47" t="s">
        <v>70</v>
      </c>
      <c r="Q24" s="48">
        <v>0.05</v>
      </c>
      <c r="R24" s="41">
        <v>0.03</v>
      </c>
      <c r="T24" s="42"/>
      <c r="U24" s="44"/>
      <c r="V24" s="42">
        <f>IF(NOTA[[#This Row],[HARGA/ CTN]]="",NOTA[[#This Row],[JUMLAH_H]],NOTA[[#This Row],[HARGA/ CTN]]*IF(NOTA[[#This Row],[C]]="",0,NOTA[[#This Row],[C]]))</f>
        <v>9540000</v>
      </c>
      <c r="W24" s="42">
        <f>IF(NOTA[[#This Row],[JUMLAH]]="","",NOTA[[#This Row],[JUMLAH]]*NOTA[[#This Row],[Column6]])</f>
        <v>477000</v>
      </c>
      <c r="X24" s="42">
        <f>IF(NOTA[[#This Row],[JUMLAH]]="","",(NOTA[[#This Row],[JUMLAH]]-NOTA[[#This Row],[DISC 1-]])*NOTA[[#This Row],[Column7]])</f>
        <v>271890</v>
      </c>
      <c r="Y24" s="42">
        <f>IF(NOTA[[#This Row],[JUMLAH]]="","",(NOTA[[#This Row],[JUMLAH]]-NOTA[[#This Row],[DISC 1-]]-NOTA[[#This Row],[DISC 2-]])*NOTA[[#This Row],[Column8]])</f>
        <v>0</v>
      </c>
      <c r="Z24" s="42">
        <f>IF(NOTA[[#This Row],[JUMLAH]]="","",NOTA[[#This Row],[DISC 1-]]+NOTA[[#This Row],[DISC 2-]]+NOTA[[#This Row],[DISC 3-]])</f>
        <v>748890</v>
      </c>
      <c r="AA24" s="42">
        <f>IF(NOTA[[#This Row],[JUMLAH]]="","",NOTA[[#This Row],[JUMLAH]]-NOTA[[#This Row],[DISC]])</f>
        <v>8791110</v>
      </c>
      <c r="AB24" s="42"/>
      <c r="AC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" s="3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4" s="42">
        <f>IF(OR(NOTA[[#This Row],[QTY]]="",NOTA[[#This Row],[HARGA SATUAN]]="",),"",NOTA[[#This Row],[QTY]]*NOTA[[#This Row],[HARGA SATUAN]])</f>
        <v>9540000</v>
      </c>
      <c r="AG24" s="36">
        <f ca="1">IF(NOTA[[#This Row],[ID_H]]="","",INDEX(NOTA[TANGGAL],MATCH(,INDIRECT(ADDRESS(ROW(NOTA[TANGGAL]),COLUMN(NOTA[TANGGAL]))&amp;":"&amp;ADDRESS(ROW(),COLUMN(NOTA[TANGGAL]))),-1)))</f>
        <v>45474</v>
      </c>
      <c r="AH24" s="36">
        <f ca="1">IF(NOTA[[#This Row],[ID_H]]="","",INDEX(NOTA[TGL.NOTA],MATCH(,INDIRECT(ADDRESS(ROW(NOTA[TGL.NOTA]),COLUMN(NOTA[TGL.NOTA]))&amp;":"&amp;ADDRESS(ROW(),COLUMN(NOTA[TGL.NOTA]))),-1)))</f>
        <v>45470</v>
      </c>
      <c r="AI24" s="36" t="str">
        <f ca="1">IF(NOTA[[#This Row],[ID_H]]="","",INDEX(NOTA[NO.NOTA],MATCH(NOTA[[#This Row],[ID_H]],NOTA[ID_H],0)))</f>
        <v>01883</v>
      </c>
      <c r="AJ24" s="38" t="str">
        <f ca="1">IF(NOTA[[#This Row],[NAMA BARANG]]="","",INDEX(NOTA[SUPPLIER],MATCH(,INDIRECT(ADDRESS(ROW(NOTA[ID]),COLUMN(NOTA[ID]))&amp;":"&amp;ADDRESS(ROW(),COLUMN(NOTA[ID]))),-1)))</f>
        <v>PUTRA HARAPAN SUKSES</v>
      </c>
      <c r="AK24" s="38" t="str">
        <f ca="1">IF(NOTA[[#This Row],[ID_H]]="","",IF(NOTA[[#This Row],[FAKTUR]]="",INDIRECT(ADDRESS(ROW()-1,COLUMN())),NOTA[[#This Row],[FAKTUR]]))</f>
        <v>UNTANA</v>
      </c>
      <c r="AL24" s="35">
        <f ca="1">IF(NOTA[[#This Row],[ID]]="","",COUNTIF(NOTA[ID_H],NOTA[[#This Row],[ID_H]]))</f>
        <v>2</v>
      </c>
      <c r="AM24" s="35">
        <f>IF(NOTA[[#This Row],[TGL.NOTA]]="",IF(NOTA[[#This Row],[SUPPLIER_H]]="","",AM23),MONTH(NOTA[[#This Row],[TGL.NOTA]]))</f>
        <v>6</v>
      </c>
      <c r="AN24" s="35" t="str">
        <f>LOWER(SUBSTITUTE(SUBSTITUTE(SUBSTITUTE(SUBSTITUTE(SUBSTITUTE(SUBSTITUTE(SUBSTITUTE(SUBSTITUTE(SUBSTITUTE(NOTA[[#This Row],[NAMA BARANG]]," ",),".",""),"-",""),"(",""),")",""),",",""),"/",""),"""",""),"+",""))</f>
        <v>penghapuswbclearkecil</v>
      </c>
      <c r="AO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penghapuswbclearkecil15900000,050,03</v>
      </c>
      <c r="AP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penghapuswbclearkecil15900000,050,03</v>
      </c>
      <c r="AQ24" s="35" t="str">
        <f>IF(NOTA[[#This Row],[SUPPLIER]]="","",NOTA[[#This Row],[SUPPLIER]]&amp;NOTA[[#This Row],[FAKTUR]]&amp;NOTA[[#This Row],[NO.NOTA]]&amp;NOTA[[#This Row],[NO.SJ]]&amp;NOTA[[#This Row],[TGL.NOTA]]&amp;NOTA[[#This Row],[CONCAT1]])</f>
        <v>PUTRA HARAPAN SUKSESUNTANA0188345470penghapuswbclearkecil</v>
      </c>
      <c r="AR24" s="35">
        <f>IF(NOTA[[#This Row],[CONCAT1]]="","",MATCH(NOTA[[#This Row],[CONCAT1]],[3]!db[NB NOTA_C],0))</f>
        <v>2640</v>
      </c>
      <c r="AS24" s="35" t="b">
        <f>IF(NOTA[[#This Row],[Column5]]="","",TRUE)</f>
        <v>1</v>
      </c>
      <c r="AT24" s="35" t="str">
        <f ca="1">IF(NOTA[[#This Row],[ID_H]]="","",IF(NOTA[[#This Row],[Column3]]=TRUE,NOTA[[#This Row],[Column5]],INDEX([3]!db[QTY/ CTN],NOTA[[#This Row],[//DB]])))</f>
        <v>60 LSN</v>
      </c>
      <c r="AU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penghapuswbclearkecil60lsnuntana</v>
      </c>
      <c r="AV24" s="35">
        <f ca="1">IF(NOTA[[#This Row],[ID_H]]="","",MATCH(NOTA[[#This Row],[NB NOTA_C_QTY]],[3]!db[NB NOTA_C_QTY+F],0))</f>
        <v>2640</v>
      </c>
      <c r="AW24" s="43">
        <f ca="1">IF(NOTA[[#This Row],[NB NOTA_C_QTY]]="","",ROW()-2)</f>
        <v>22</v>
      </c>
    </row>
    <row r="25" spans="1:49" ht="20.100000000000001" customHeight="1">
      <c r="A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5">
        <f ca="1">IF(NOTA[[#This Row],[NAMA BARANG]]="","",INDEX(NOTA[ID],MATCH(,INDIRECT(ADDRESS(ROW(NOTA[ID]),COLUMN(NOTA[ID]))&amp;":"&amp;ADDRESS(ROW(),COLUMN(NOTA[ID]))),-1)))</f>
        <v>7</v>
      </c>
      <c r="C25" s="45"/>
      <c r="F25" s="46"/>
      <c r="G25" s="35"/>
      <c r="H25" s="36"/>
      <c r="I25" s="35"/>
      <c r="J25" s="35" t="s">
        <v>101</v>
      </c>
      <c r="K25" s="37">
        <v>9</v>
      </c>
      <c r="L25" s="35">
        <v>432</v>
      </c>
      <c r="M25" s="35" t="s">
        <v>50</v>
      </c>
      <c r="N25" s="38">
        <v>38000</v>
      </c>
      <c r="O25" s="39"/>
      <c r="P25" s="47" t="s">
        <v>79</v>
      </c>
      <c r="Q25" s="48">
        <v>0.05</v>
      </c>
      <c r="R25" s="41">
        <v>0.03</v>
      </c>
      <c r="T25" s="42"/>
      <c r="U25" s="44"/>
      <c r="V25" s="42">
        <f>IF(NOTA[[#This Row],[HARGA/ CTN]]="",NOTA[[#This Row],[JUMLAH_H]],NOTA[[#This Row],[HARGA/ CTN]]*IF(NOTA[[#This Row],[C]]="",0,NOTA[[#This Row],[C]]))</f>
        <v>16416000</v>
      </c>
      <c r="W25" s="42">
        <f>IF(NOTA[[#This Row],[JUMLAH]]="","",NOTA[[#This Row],[JUMLAH]]*NOTA[[#This Row],[Column6]])</f>
        <v>820800</v>
      </c>
      <c r="X25" s="42">
        <f>IF(NOTA[[#This Row],[JUMLAH]]="","",(NOTA[[#This Row],[JUMLAH]]-NOTA[[#This Row],[DISC 1-]])*NOTA[[#This Row],[Column7]])</f>
        <v>467856</v>
      </c>
      <c r="Y25" s="42">
        <f>IF(NOTA[[#This Row],[JUMLAH]]="","",(NOTA[[#This Row],[JUMLAH]]-NOTA[[#This Row],[DISC 1-]]-NOTA[[#This Row],[DISC 2-]])*NOTA[[#This Row],[Column8]])</f>
        <v>0</v>
      </c>
      <c r="Z25" s="42">
        <f>IF(NOTA[[#This Row],[JUMLAH]]="","",NOTA[[#This Row],[DISC 1-]]+NOTA[[#This Row],[DISC 2-]]+NOTA[[#This Row],[DISC 3-]])</f>
        <v>1288656</v>
      </c>
      <c r="AA25" s="42">
        <f>IF(NOTA[[#This Row],[JUMLAH]]="","",NOTA[[#This Row],[JUMLAH]]-NOTA[[#This Row],[DISC]])</f>
        <v>15127344</v>
      </c>
      <c r="AB25" s="42"/>
      <c r="AC2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2037546</v>
      </c>
      <c r="AD2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23918454</v>
      </c>
      <c r="AE25" s="3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25" s="42">
        <f>IF(OR(NOTA[[#This Row],[QTY]]="",NOTA[[#This Row],[HARGA SATUAN]]="",),"",NOTA[[#This Row],[QTY]]*NOTA[[#This Row],[HARGA SATUAN]])</f>
        <v>16416000</v>
      </c>
      <c r="AG25" s="36">
        <f ca="1">IF(NOTA[[#This Row],[ID_H]]="","",INDEX(NOTA[TANGGAL],MATCH(,INDIRECT(ADDRESS(ROW(NOTA[TANGGAL]),COLUMN(NOTA[TANGGAL]))&amp;":"&amp;ADDRESS(ROW(),COLUMN(NOTA[TANGGAL]))),-1)))</f>
        <v>45474</v>
      </c>
      <c r="AH25" s="36">
        <f ca="1">IF(NOTA[[#This Row],[ID_H]]="","",INDEX(NOTA[TGL.NOTA],MATCH(,INDIRECT(ADDRESS(ROW(NOTA[TGL.NOTA]),COLUMN(NOTA[TGL.NOTA]))&amp;":"&amp;ADDRESS(ROW(),COLUMN(NOTA[TGL.NOTA]))),-1)))</f>
        <v>45470</v>
      </c>
      <c r="AI25" s="36" t="str">
        <f ca="1">IF(NOTA[[#This Row],[ID_H]]="","",INDEX(NOTA[NO.NOTA],MATCH(NOTA[[#This Row],[ID_H]],NOTA[ID_H],0)))</f>
        <v>01883</v>
      </c>
      <c r="AJ25" s="38" t="str">
        <f ca="1">IF(NOTA[[#This Row],[NAMA BARANG]]="","",INDEX(NOTA[SUPPLIER],MATCH(,INDIRECT(ADDRESS(ROW(NOTA[ID]),COLUMN(NOTA[ID]))&amp;":"&amp;ADDRESS(ROW(),COLUMN(NOTA[ID]))),-1)))</f>
        <v>PUTRA HARAPAN SUKSES</v>
      </c>
      <c r="AK25" s="38" t="str">
        <f ca="1">IF(NOTA[[#This Row],[ID_H]]="","",IF(NOTA[[#This Row],[FAKTUR]]="",INDIRECT(ADDRESS(ROW()-1,COLUMN())),NOTA[[#This Row],[FAKTUR]]))</f>
        <v>UNTANA</v>
      </c>
      <c r="AL25" s="35" t="str">
        <f ca="1">IF(NOTA[[#This Row],[ID]]="","",COUNTIF(NOTA[ID_H],NOTA[[#This Row],[ID_H]]))</f>
        <v/>
      </c>
      <c r="AM25" s="35">
        <f ca="1">IF(NOTA[[#This Row],[TGL.NOTA]]="",IF(NOTA[[#This Row],[SUPPLIER_H]]="","",AM24),MONTH(NOTA[[#This Row],[TGL.NOTA]]))</f>
        <v>6</v>
      </c>
      <c r="AN25" s="35" t="str">
        <f>LOWER(SUBSTITUTE(SUBSTITUTE(SUBSTITUTE(SUBSTITUTE(SUBSTITUTE(SUBSTITUTE(SUBSTITUTE(SUBSTITUTE(SUBSTITUTE(NOTA[[#This Row],[NAMA BARANG]]," ",),".",""),"-",""),"(",""),")",""),",",""),"/",""),"""",""),"+",""))</f>
        <v>penghapuswbclearbesar</v>
      </c>
      <c r="AO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penghapuswbclearbesar18240000,050,03</v>
      </c>
      <c r="AP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penghapuswbclearbesar18240000,050,03</v>
      </c>
      <c r="AQ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" s="35">
        <f>IF(NOTA[[#This Row],[CONCAT1]]="","",MATCH(NOTA[[#This Row],[CONCAT1]],[3]!db[NB NOTA_C],0))</f>
        <v>2638</v>
      </c>
      <c r="AS25" s="35" t="b">
        <f>IF(NOTA[[#This Row],[Column5]]="","",TRUE)</f>
        <v>1</v>
      </c>
      <c r="AT25" s="35" t="str">
        <f ca="1">IF(NOTA[[#This Row],[ID_H]]="","",IF(NOTA[[#This Row],[Column3]]=TRUE,NOTA[[#This Row],[Column5]],INDEX([3]!db[QTY/ CTN],NOTA[[#This Row],[//DB]])))</f>
        <v>48 LSN</v>
      </c>
      <c r="AU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penghapuswbclearbesar48lsnuntana</v>
      </c>
      <c r="AV25" s="35">
        <f ca="1">IF(NOTA[[#This Row],[ID_H]]="","",MATCH(NOTA[[#This Row],[NB NOTA_C_QTY]],[3]!db[NB NOTA_C_QTY+F],0))</f>
        <v>2638</v>
      </c>
      <c r="AW25" s="43">
        <f ca="1">IF(NOTA[[#This Row],[NB NOTA_C_QTY]]="","",ROW()-2)</f>
        <v>23</v>
      </c>
    </row>
    <row r="26" spans="1:49" ht="20.100000000000001" customHeight="1">
      <c r="A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5" t="str">
        <f ca="1">IF(NOTA[[#This Row],[NAMA BARANG]]="","",INDEX(NOTA[ID],MATCH(,INDIRECT(ADDRESS(ROW(NOTA[ID]),COLUMN(NOTA[ID]))&amp;":"&amp;ADDRESS(ROW(),COLUMN(NOTA[ID]))),-1)))</f>
        <v/>
      </c>
      <c r="C26" s="45"/>
      <c r="F26" s="46"/>
      <c r="G26" s="35"/>
      <c r="H26" s="36"/>
      <c r="I26" s="35"/>
      <c r="K26" s="37"/>
      <c r="L26" s="35"/>
      <c r="N26" s="38"/>
      <c r="O26" s="39"/>
      <c r="P26" s="47"/>
      <c r="Q26" s="48"/>
      <c r="R26" s="41"/>
      <c r="T26" s="42"/>
      <c r="U26" s="44"/>
      <c r="V26" s="42" t="str">
        <f>IF(NOTA[[#This Row],[HARGA/ CTN]]="",NOTA[[#This Row],[JUMLAH_H]],NOTA[[#This Row],[HARGA/ CTN]]*IF(NOTA[[#This Row],[C]]="",0,NOTA[[#This Row],[C]]))</f>
        <v/>
      </c>
      <c r="W26" s="42" t="str">
        <f>IF(NOTA[[#This Row],[JUMLAH]]="","",NOTA[[#This Row],[JUMLAH]]*NOTA[[#This Row],[Column6]])</f>
        <v/>
      </c>
      <c r="X26" s="42" t="str">
        <f>IF(NOTA[[#This Row],[JUMLAH]]="","",(NOTA[[#This Row],[JUMLAH]]-NOTA[[#This Row],[DISC 1-]])*NOTA[[#This Row],[Column7]])</f>
        <v/>
      </c>
      <c r="Y26" s="42" t="str">
        <f>IF(NOTA[[#This Row],[JUMLAH]]="","",(NOTA[[#This Row],[JUMLAH]]-NOTA[[#This Row],[DISC 1-]]-NOTA[[#This Row],[DISC 2-]])*NOTA[[#This Row],[Column8]])</f>
        <v/>
      </c>
      <c r="Z26" s="42" t="str">
        <f>IF(NOTA[[#This Row],[JUMLAH]]="","",NOTA[[#This Row],[DISC 1-]]+NOTA[[#This Row],[DISC 2-]]+NOTA[[#This Row],[DISC 3-]])</f>
        <v/>
      </c>
      <c r="AA26" s="42" t="str">
        <f>IF(NOTA[[#This Row],[JUMLAH]]="","",NOTA[[#This Row],[JUMLAH]]-NOTA[[#This Row],[DISC]])</f>
        <v/>
      </c>
      <c r="AB26" s="42"/>
      <c r="AC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" s="42" t="str">
        <f>IF(OR(NOTA[[#This Row],[QTY]]="",NOTA[[#This Row],[HARGA SATUAN]]="",),"",NOTA[[#This Row],[QTY]]*NOTA[[#This Row],[HARGA SATUAN]])</f>
        <v/>
      </c>
      <c r="AG26" s="36" t="str">
        <f ca="1">IF(NOTA[[#This Row],[ID_H]]="","",INDEX(NOTA[TANGGAL],MATCH(,INDIRECT(ADDRESS(ROW(NOTA[TANGGAL]),COLUMN(NOTA[TANGGAL]))&amp;":"&amp;ADDRESS(ROW(),COLUMN(NOTA[TANGGAL]))),-1)))</f>
        <v/>
      </c>
      <c r="AH26" s="36" t="str">
        <f ca="1">IF(NOTA[[#This Row],[ID_H]]="","",INDEX(NOTA[TGL.NOTA],MATCH(,INDIRECT(ADDRESS(ROW(NOTA[TGL.NOTA]),COLUMN(NOTA[TGL.NOTA]))&amp;":"&amp;ADDRESS(ROW(),COLUMN(NOTA[TGL.NOTA]))),-1)))</f>
        <v/>
      </c>
      <c r="AI26" s="36" t="str">
        <f ca="1">IF(NOTA[[#This Row],[ID_H]]="","",INDEX(NOTA[NO.NOTA],MATCH(NOTA[[#This Row],[ID_H]],NOTA[ID_H],0)))</f>
        <v/>
      </c>
      <c r="AJ26" s="38" t="str">
        <f ca="1">IF(NOTA[[#This Row],[NAMA BARANG]]="","",INDEX(NOTA[SUPPLIER],MATCH(,INDIRECT(ADDRESS(ROW(NOTA[ID]),COLUMN(NOTA[ID]))&amp;":"&amp;ADDRESS(ROW(),COLUMN(NOTA[ID]))),-1)))</f>
        <v/>
      </c>
      <c r="AK26" s="38" t="str">
        <f ca="1">IF(NOTA[[#This Row],[ID_H]]="","",IF(NOTA[[#This Row],[FAKTUR]]="",INDIRECT(ADDRESS(ROW()-1,COLUMN())),NOTA[[#This Row],[FAKTUR]]))</f>
        <v/>
      </c>
      <c r="AL26" s="35" t="str">
        <f ca="1">IF(NOTA[[#This Row],[ID]]="","",COUNTIF(NOTA[ID_H],NOTA[[#This Row],[ID_H]]))</f>
        <v/>
      </c>
      <c r="AM26" s="35" t="str">
        <f ca="1">IF(NOTA[[#This Row],[TGL.NOTA]]="",IF(NOTA[[#This Row],[SUPPLIER_H]]="","",AM25),MONTH(NOTA[[#This Row],[TGL.NOTA]]))</f>
        <v/>
      </c>
      <c r="AN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" s="35" t="str">
        <f>IF(NOTA[[#This Row],[CONCAT1]]="","",MATCH(NOTA[[#This Row],[CONCAT1]],[3]!db[NB NOTA_C],0))</f>
        <v/>
      </c>
      <c r="AS26" s="35" t="str">
        <f>IF(NOTA[[#This Row],[Column5]]="","",TRUE)</f>
        <v/>
      </c>
      <c r="AT26" s="35" t="str">
        <f ca="1">IF(NOTA[[#This Row],[ID_H]]="","",IF(NOTA[[#This Row],[Column3]]=TRUE,NOTA[[#This Row],[Column5]],INDEX([3]!db[QTY/ CTN],NOTA[[#This Row],[//DB]])))</f>
        <v/>
      </c>
      <c r="AU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" s="35" t="str">
        <f ca="1">IF(NOTA[[#This Row],[ID_H]]="","",MATCH(NOTA[[#This Row],[NB NOTA_C_QTY]],[3]!db[NB NOTA_C_QTY+F],0))</f>
        <v/>
      </c>
      <c r="AW26" s="43" t="str">
        <f ca="1">IF(NOTA[[#This Row],[NB NOTA_C_QTY]]="","",ROW()-2)</f>
        <v/>
      </c>
    </row>
    <row r="27" spans="1:49" ht="20.100000000000001" customHeight="1">
      <c r="A27" s="3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35">
        <f ca="1">IF(NOTA[[#This Row],[NAMA BARANG]]="","",INDEX(NOTA[ID],MATCH(,INDIRECT(ADDRESS(ROW(NOTA[ID]),COLUMN(NOTA[ID]))&amp;":"&amp;ADDRESS(ROW(),COLUMN(NOTA[ID]))),-1)))</f>
        <v>8</v>
      </c>
      <c r="C27" s="45">
        <v>45474</v>
      </c>
      <c r="D27" s="35" t="s">
        <v>102</v>
      </c>
      <c r="E27" s="35" t="s">
        <v>49</v>
      </c>
      <c r="F27" s="46" t="s">
        <v>103</v>
      </c>
      <c r="G27" s="35"/>
      <c r="H27" s="36">
        <v>45472</v>
      </c>
      <c r="I27" s="35"/>
      <c r="J27" s="35" t="s">
        <v>104</v>
      </c>
      <c r="K27" s="37">
        <v>3</v>
      </c>
      <c r="L27" s="35">
        <v>180</v>
      </c>
      <c r="M27" s="35" t="s">
        <v>50</v>
      </c>
      <c r="N27" s="38">
        <v>61000</v>
      </c>
      <c r="O27" s="39"/>
      <c r="P27" s="47" t="s">
        <v>70</v>
      </c>
      <c r="Q27" s="48">
        <v>0.19</v>
      </c>
      <c r="R27" s="41">
        <v>0.1</v>
      </c>
      <c r="T27" s="42"/>
      <c r="U27" s="44"/>
      <c r="V27" s="42">
        <f>IF(NOTA[[#This Row],[HARGA/ CTN]]="",NOTA[[#This Row],[JUMLAH_H]],NOTA[[#This Row],[HARGA/ CTN]]*IF(NOTA[[#This Row],[C]]="",0,NOTA[[#This Row],[C]]))</f>
        <v>10980000</v>
      </c>
      <c r="W27" s="42">
        <f>IF(NOTA[[#This Row],[JUMLAH]]="","",NOTA[[#This Row],[JUMLAH]]*NOTA[[#This Row],[Column6]])</f>
        <v>2086200</v>
      </c>
      <c r="X27" s="42">
        <f>IF(NOTA[[#This Row],[JUMLAH]]="","",(NOTA[[#This Row],[JUMLAH]]-NOTA[[#This Row],[DISC 1-]])*NOTA[[#This Row],[Column7]])</f>
        <v>889380</v>
      </c>
      <c r="Y27" s="42">
        <f>IF(NOTA[[#This Row],[JUMLAH]]="","",(NOTA[[#This Row],[JUMLAH]]-NOTA[[#This Row],[DISC 1-]]-NOTA[[#This Row],[DISC 2-]])*NOTA[[#This Row],[Column8]])</f>
        <v>0</v>
      </c>
      <c r="Z27" s="42">
        <f>IF(NOTA[[#This Row],[JUMLAH]]="","",NOTA[[#This Row],[DISC 1-]]+NOTA[[#This Row],[DISC 2-]]+NOTA[[#This Row],[DISC 3-]])</f>
        <v>2975580</v>
      </c>
      <c r="AA27" s="42">
        <f>IF(NOTA[[#This Row],[JUMLAH]]="","",NOTA[[#This Row],[JUMLAH]]-NOTA[[#This Row],[DISC]])</f>
        <v>8004420</v>
      </c>
      <c r="AB27" s="42"/>
      <c r="AC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" s="38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27" s="42">
        <f>IF(OR(NOTA[[#This Row],[QTY]]="",NOTA[[#This Row],[HARGA SATUAN]]="",),"",NOTA[[#This Row],[QTY]]*NOTA[[#This Row],[HARGA SATUAN]])</f>
        <v>10980000</v>
      </c>
      <c r="AG27" s="36">
        <f ca="1">IF(NOTA[[#This Row],[ID_H]]="","",INDEX(NOTA[TANGGAL],MATCH(,INDIRECT(ADDRESS(ROW(NOTA[TANGGAL]),COLUMN(NOTA[TANGGAL]))&amp;":"&amp;ADDRESS(ROW(),COLUMN(NOTA[TANGGAL]))),-1)))</f>
        <v>45474</v>
      </c>
      <c r="AH27" s="36">
        <f ca="1">IF(NOTA[[#This Row],[ID_H]]="","",INDEX(NOTA[TGL.NOTA],MATCH(,INDIRECT(ADDRESS(ROW(NOTA[TGL.NOTA]),COLUMN(NOTA[TGL.NOTA]))&amp;":"&amp;ADDRESS(ROW(),COLUMN(NOTA[TGL.NOTA]))),-1)))</f>
        <v>45472</v>
      </c>
      <c r="AI27" s="36" t="str">
        <f ca="1">IF(NOTA[[#This Row],[ID_H]]="","",INDEX(NOTA[NO.NOTA],MATCH(NOTA[[#This Row],[ID_H]],NOTA[ID_H],0)))</f>
        <v>2406099</v>
      </c>
      <c r="AJ27" s="38" t="str">
        <f ca="1">IF(NOTA[[#This Row],[NAMA BARANG]]="","",INDEX(NOTA[SUPPLIER],MATCH(,INDIRECT(ADDRESS(ROW(NOTA[ID]),COLUMN(NOTA[ID]))&amp;":"&amp;ADDRESS(ROW(),COLUMN(NOTA[ID]))),-1)))</f>
        <v>D-R</v>
      </c>
      <c r="AK27" s="38" t="str">
        <f ca="1">IF(NOTA[[#This Row],[ID_H]]="","",IF(NOTA[[#This Row],[FAKTUR]]="",INDIRECT(ADDRESS(ROW()-1,COLUMN())),NOTA[[#This Row],[FAKTUR]]))</f>
        <v>UNTANA</v>
      </c>
      <c r="AL27" s="35">
        <f ca="1">IF(NOTA[[#This Row],[ID]]="","",COUNTIF(NOTA[ID_H],NOTA[[#This Row],[ID_H]]))</f>
        <v>6</v>
      </c>
      <c r="AM27" s="35">
        <f>IF(NOTA[[#This Row],[TGL.NOTA]]="",IF(NOTA[[#This Row],[SUPPLIER_H]]="","",AM26),MONTH(NOTA[[#This Row],[TGL.NOTA]]))</f>
        <v>6</v>
      </c>
      <c r="AN27" s="35" t="str">
        <f>LOWER(SUBSTITUTE(SUBSTITUTE(SUBSTITUTE(SUBSTITUTE(SUBSTITUTE(SUBSTITUTE(SUBSTITUTE(SUBSTITUTE(SUBSTITUTE(NOTA[[#This Row],[NAMA BARANG]]," ",),".",""),"-",""),"(",""),")",""),",",""),"/",""),"""",""),"+",""))</f>
        <v>guntingdr6ideal</v>
      </c>
      <c r="AO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guntingdr6ideal36600000,190,1</v>
      </c>
      <c r="AP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guntingdr6ideal36600000,190,1</v>
      </c>
      <c r="AQ27" s="35" t="str">
        <f>IF(NOTA[[#This Row],[SUPPLIER]]="","",NOTA[[#This Row],[SUPPLIER]]&amp;NOTA[[#This Row],[FAKTUR]]&amp;NOTA[[#This Row],[NO.NOTA]]&amp;NOTA[[#This Row],[NO.SJ]]&amp;NOTA[[#This Row],[TGL.NOTA]]&amp;NOTA[[#This Row],[CONCAT1]])</f>
        <v>D-RUNTANA240609945472guntingdr6ideal</v>
      </c>
      <c r="AR27" s="35">
        <f>IF(NOTA[[#This Row],[CONCAT1]]="","",MATCH(NOTA[[#This Row],[CONCAT1]],[3]!db[NB NOTA_C],0))</f>
        <v>1417</v>
      </c>
      <c r="AS27" s="35" t="b">
        <f>IF(NOTA[[#This Row],[Column5]]="","",TRUE)</f>
        <v>1</v>
      </c>
      <c r="AT27" s="35" t="str">
        <f ca="1">IF(NOTA[[#This Row],[ID_H]]="","",IF(NOTA[[#This Row],[Column3]]=TRUE,NOTA[[#This Row],[Column5]],INDEX([3]!db[QTY/ CTN],NOTA[[#This Row],[//DB]])))</f>
        <v>60 LSN</v>
      </c>
      <c r="AU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guntingdr6ideal60lsnuntana</v>
      </c>
      <c r="AV27" s="35">
        <f ca="1">IF(NOTA[[#This Row],[ID_H]]="","",MATCH(NOTA[[#This Row],[NB NOTA_C_QTY]],[3]!db[NB NOTA_C_QTY+F],0))</f>
        <v>1417</v>
      </c>
      <c r="AW27" s="43">
        <f ca="1">IF(NOTA[[#This Row],[NB NOTA_C_QTY]]="","",ROW()-2)</f>
        <v>25</v>
      </c>
    </row>
    <row r="28" spans="1:49" ht="20.100000000000001" customHeight="1">
      <c r="A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5">
        <f ca="1">IF(NOTA[[#This Row],[NAMA BARANG]]="","",INDEX(NOTA[ID],MATCH(,INDIRECT(ADDRESS(ROW(NOTA[ID]),COLUMN(NOTA[ID]))&amp;":"&amp;ADDRESS(ROW(),COLUMN(NOTA[ID]))),-1)))</f>
        <v>8</v>
      </c>
      <c r="C28" s="45"/>
      <c r="F28" s="46"/>
      <c r="G28" s="35"/>
      <c r="H28" s="36"/>
      <c r="I28" s="35"/>
      <c r="J28" s="35" t="s">
        <v>105</v>
      </c>
      <c r="K28" s="37">
        <v>2</v>
      </c>
      <c r="L28" s="35">
        <v>60</v>
      </c>
      <c r="M28" s="35" t="s">
        <v>50</v>
      </c>
      <c r="N28" s="38">
        <v>109000</v>
      </c>
      <c r="O28" s="39"/>
      <c r="P28" s="47" t="s">
        <v>118</v>
      </c>
      <c r="Q28" s="48">
        <v>0.19</v>
      </c>
      <c r="R28" s="41">
        <v>0.1</v>
      </c>
      <c r="T28" s="42"/>
      <c r="U28" s="44"/>
      <c r="V28" s="42">
        <f>IF(NOTA[[#This Row],[HARGA/ CTN]]="",NOTA[[#This Row],[JUMLAH_H]],NOTA[[#This Row],[HARGA/ CTN]]*IF(NOTA[[#This Row],[C]]="",0,NOTA[[#This Row],[C]]))</f>
        <v>6540000</v>
      </c>
      <c r="W28" s="42">
        <f>IF(NOTA[[#This Row],[JUMLAH]]="","",NOTA[[#This Row],[JUMLAH]]*NOTA[[#This Row],[Column6]])</f>
        <v>1242600</v>
      </c>
      <c r="X28" s="42">
        <f>IF(NOTA[[#This Row],[JUMLAH]]="","",(NOTA[[#This Row],[JUMLAH]]-NOTA[[#This Row],[DISC 1-]])*NOTA[[#This Row],[Column7]])</f>
        <v>529740</v>
      </c>
      <c r="Y28" s="42">
        <f>IF(NOTA[[#This Row],[JUMLAH]]="","",(NOTA[[#This Row],[JUMLAH]]-NOTA[[#This Row],[DISC 1-]]-NOTA[[#This Row],[DISC 2-]])*NOTA[[#This Row],[Column8]])</f>
        <v>0</v>
      </c>
      <c r="Z28" s="42">
        <f>IF(NOTA[[#This Row],[JUMLAH]]="","",NOTA[[#This Row],[DISC 1-]]+NOTA[[#This Row],[DISC 2-]]+NOTA[[#This Row],[DISC 3-]])</f>
        <v>1772340</v>
      </c>
      <c r="AA28" s="42">
        <f>IF(NOTA[[#This Row],[JUMLAH]]="","",NOTA[[#This Row],[JUMLAH]]-NOTA[[#This Row],[DISC]])</f>
        <v>4767660</v>
      </c>
      <c r="AB28" s="42"/>
      <c r="AC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" s="38">
        <f>IF(NOTA[[#This Row],[NAMA BARANG]]="","",IF(NOTA[[#This Row],[JUMLAH_H]]="",NOTA[[#This Row],[HARGA/ CTN]],NOTA[[#This Row],[QTY]]*NOTA[[#This Row],[HARGA SATUAN]]/IF(ISNUMBER(NOTA[[#This Row],[C]]),NOTA[[#This Row],[C]],1)))</f>
        <v>3270000</v>
      </c>
      <c r="AF28" s="42">
        <f>IF(OR(NOTA[[#This Row],[QTY]]="",NOTA[[#This Row],[HARGA SATUAN]]="",),"",NOTA[[#This Row],[QTY]]*NOTA[[#This Row],[HARGA SATUAN]])</f>
        <v>6540000</v>
      </c>
      <c r="AG28" s="36">
        <f ca="1">IF(NOTA[[#This Row],[ID_H]]="","",INDEX(NOTA[TANGGAL],MATCH(,INDIRECT(ADDRESS(ROW(NOTA[TANGGAL]),COLUMN(NOTA[TANGGAL]))&amp;":"&amp;ADDRESS(ROW(),COLUMN(NOTA[TANGGAL]))),-1)))</f>
        <v>45474</v>
      </c>
      <c r="AH28" s="36">
        <f ca="1">IF(NOTA[[#This Row],[ID_H]]="","",INDEX(NOTA[TGL.NOTA],MATCH(,INDIRECT(ADDRESS(ROW(NOTA[TGL.NOTA]),COLUMN(NOTA[TGL.NOTA]))&amp;":"&amp;ADDRESS(ROW(),COLUMN(NOTA[TGL.NOTA]))),-1)))</f>
        <v>45472</v>
      </c>
      <c r="AI28" s="36" t="str">
        <f ca="1">IF(NOTA[[#This Row],[ID_H]]="","",INDEX(NOTA[NO.NOTA],MATCH(NOTA[[#This Row],[ID_H]],NOTA[ID_H],0)))</f>
        <v>2406099</v>
      </c>
      <c r="AJ28" s="38" t="str">
        <f ca="1">IF(NOTA[[#This Row],[NAMA BARANG]]="","",INDEX(NOTA[SUPPLIER],MATCH(,INDIRECT(ADDRESS(ROW(NOTA[ID]),COLUMN(NOTA[ID]))&amp;":"&amp;ADDRESS(ROW(),COLUMN(NOTA[ID]))),-1)))</f>
        <v>D-R</v>
      </c>
      <c r="AK28" s="38" t="str">
        <f ca="1">IF(NOTA[[#This Row],[ID_H]]="","",IF(NOTA[[#This Row],[FAKTUR]]="",INDIRECT(ADDRESS(ROW()-1,COLUMN())),NOTA[[#This Row],[FAKTUR]]))</f>
        <v>UNTANA</v>
      </c>
      <c r="AL28" s="35" t="str">
        <f ca="1">IF(NOTA[[#This Row],[ID]]="","",COUNTIF(NOTA[ID_H],NOTA[[#This Row],[ID_H]]))</f>
        <v/>
      </c>
      <c r="AM28" s="35">
        <f ca="1">IF(NOTA[[#This Row],[TGL.NOTA]]="",IF(NOTA[[#This Row],[SUPPLIER_H]]="","",AM27),MONTH(NOTA[[#This Row],[TGL.NOTA]]))</f>
        <v>6</v>
      </c>
      <c r="AN28" s="35" t="str">
        <f>LOWER(SUBSTITUTE(SUBSTITUTE(SUBSTITUTE(SUBSTITUTE(SUBSTITUTE(SUBSTITUTE(SUBSTITUTE(SUBSTITUTE(SUBSTITUTE(NOTA[[#This Row],[NAMA BARANG]]," ",),".",""),"-",""),"(",""),")",""),",",""),"/",""),"""",""),"+",""))</f>
        <v>guntingdr8ideal</v>
      </c>
      <c r="AO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guntingdr8ideal32700000,190,1</v>
      </c>
      <c r="AP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guntingdr8ideal32700000,190,1</v>
      </c>
      <c r="AQ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" s="35">
        <f>IF(NOTA[[#This Row],[CONCAT1]]="","",MATCH(NOTA[[#This Row],[CONCAT1]],[3]!db[NB NOTA_C],0))</f>
        <v>1418</v>
      </c>
      <c r="AS28" s="35" t="b">
        <f>IF(NOTA[[#This Row],[Column5]]="","",TRUE)</f>
        <v>1</v>
      </c>
      <c r="AT28" s="35" t="str">
        <f ca="1">IF(NOTA[[#This Row],[ID_H]]="","",IF(NOTA[[#This Row],[Column3]]=TRUE,NOTA[[#This Row],[Column5]],INDEX([3]!db[QTY/ CTN],NOTA[[#This Row],[//DB]])))</f>
        <v>30 LSN</v>
      </c>
      <c r="AU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guntingdr8ideal30lsnuntana</v>
      </c>
      <c r="AV28" s="35">
        <f ca="1">IF(NOTA[[#This Row],[ID_H]]="","",MATCH(NOTA[[#This Row],[NB NOTA_C_QTY]],[3]!db[NB NOTA_C_QTY+F],0))</f>
        <v>1418</v>
      </c>
      <c r="AW28" s="43">
        <f ca="1">IF(NOTA[[#This Row],[NB NOTA_C_QTY]]="","",ROW()-2)</f>
        <v>26</v>
      </c>
    </row>
    <row r="29" spans="1:49" ht="20.100000000000001" customHeight="1">
      <c r="A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5">
        <f ca="1">IF(NOTA[[#This Row],[NAMA BARANG]]="","",INDEX(NOTA[ID],MATCH(,INDIRECT(ADDRESS(ROW(NOTA[ID]),COLUMN(NOTA[ID]))&amp;":"&amp;ADDRESS(ROW(),COLUMN(NOTA[ID]))),-1)))</f>
        <v>8</v>
      </c>
      <c r="C29" s="45"/>
      <c r="F29" s="46"/>
      <c r="G29" s="35"/>
      <c r="H29" s="36"/>
      <c r="I29" s="35"/>
      <c r="J29" s="35" t="s">
        <v>106</v>
      </c>
      <c r="K29" s="37">
        <v>2</v>
      </c>
      <c r="L29" s="35">
        <v>60</v>
      </c>
      <c r="M29" s="35" t="s">
        <v>50</v>
      </c>
      <c r="N29" s="38">
        <v>116000</v>
      </c>
      <c r="O29" s="39"/>
      <c r="P29" s="47" t="s">
        <v>118</v>
      </c>
      <c r="Q29" s="48">
        <v>0.19</v>
      </c>
      <c r="R29" s="41">
        <v>0.1</v>
      </c>
      <c r="T29" s="42"/>
      <c r="U29" s="44"/>
      <c r="V29" s="42">
        <f>IF(NOTA[[#This Row],[HARGA/ CTN]]="",NOTA[[#This Row],[JUMLAH_H]],NOTA[[#This Row],[HARGA/ CTN]]*IF(NOTA[[#This Row],[C]]="",0,NOTA[[#This Row],[C]]))</f>
        <v>6960000</v>
      </c>
      <c r="W29" s="42">
        <f>IF(NOTA[[#This Row],[JUMLAH]]="","",NOTA[[#This Row],[JUMLAH]]*NOTA[[#This Row],[Column6]])</f>
        <v>1322400</v>
      </c>
      <c r="X29" s="42">
        <f>IF(NOTA[[#This Row],[JUMLAH]]="","",(NOTA[[#This Row],[JUMLAH]]-NOTA[[#This Row],[DISC 1-]])*NOTA[[#This Row],[Column7]])</f>
        <v>563760</v>
      </c>
      <c r="Y29" s="42">
        <f>IF(NOTA[[#This Row],[JUMLAH]]="","",(NOTA[[#This Row],[JUMLAH]]-NOTA[[#This Row],[DISC 1-]]-NOTA[[#This Row],[DISC 2-]])*NOTA[[#This Row],[Column8]])</f>
        <v>0</v>
      </c>
      <c r="Z29" s="42">
        <f>IF(NOTA[[#This Row],[JUMLAH]]="","",NOTA[[#This Row],[DISC 1-]]+NOTA[[#This Row],[DISC 2-]]+NOTA[[#This Row],[DISC 3-]])</f>
        <v>1886160</v>
      </c>
      <c r="AA29" s="42">
        <f>IF(NOTA[[#This Row],[JUMLAH]]="","",NOTA[[#This Row],[JUMLAH]]-NOTA[[#This Row],[DISC]])</f>
        <v>5073840</v>
      </c>
      <c r="AB29" s="42"/>
      <c r="AC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" s="38">
        <f>IF(NOTA[[#This Row],[NAMA BARANG]]="","",IF(NOTA[[#This Row],[JUMLAH_H]]="",NOTA[[#This Row],[HARGA/ CTN]],NOTA[[#This Row],[QTY]]*NOTA[[#This Row],[HARGA SATUAN]]/IF(ISNUMBER(NOTA[[#This Row],[C]]),NOTA[[#This Row],[C]],1)))</f>
        <v>3480000</v>
      </c>
      <c r="AF29" s="42">
        <f>IF(OR(NOTA[[#This Row],[QTY]]="",NOTA[[#This Row],[HARGA SATUAN]]="",),"",NOTA[[#This Row],[QTY]]*NOTA[[#This Row],[HARGA SATUAN]])</f>
        <v>6960000</v>
      </c>
      <c r="AG29" s="36">
        <f ca="1">IF(NOTA[[#This Row],[ID_H]]="","",INDEX(NOTA[TANGGAL],MATCH(,INDIRECT(ADDRESS(ROW(NOTA[TANGGAL]),COLUMN(NOTA[TANGGAL]))&amp;":"&amp;ADDRESS(ROW(),COLUMN(NOTA[TANGGAL]))),-1)))</f>
        <v>45474</v>
      </c>
      <c r="AH29" s="36">
        <f ca="1">IF(NOTA[[#This Row],[ID_H]]="","",INDEX(NOTA[TGL.NOTA],MATCH(,INDIRECT(ADDRESS(ROW(NOTA[TGL.NOTA]),COLUMN(NOTA[TGL.NOTA]))&amp;":"&amp;ADDRESS(ROW(),COLUMN(NOTA[TGL.NOTA]))),-1)))</f>
        <v>45472</v>
      </c>
      <c r="AI29" s="36" t="str">
        <f ca="1">IF(NOTA[[#This Row],[ID_H]]="","",INDEX(NOTA[NO.NOTA],MATCH(NOTA[[#This Row],[ID_H]],NOTA[ID_H],0)))</f>
        <v>2406099</v>
      </c>
      <c r="AJ29" s="38" t="str">
        <f ca="1">IF(NOTA[[#This Row],[NAMA BARANG]]="","",INDEX(NOTA[SUPPLIER],MATCH(,INDIRECT(ADDRESS(ROW(NOTA[ID]),COLUMN(NOTA[ID]))&amp;":"&amp;ADDRESS(ROW(),COLUMN(NOTA[ID]))),-1)))</f>
        <v>D-R</v>
      </c>
      <c r="AK29" s="38" t="str">
        <f ca="1">IF(NOTA[[#This Row],[ID_H]]="","",IF(NOTA[[#This Row],[FAKTUR]]="",INDIRECT(ADDRESS(ROW()-1,COLUMN())),NOTA[[#This Row],[FAKTUR]]))</f>
        <v>UNTANA</v>
      </c>
      <c r="AL29" s="35" t="str">
        <f ca="1">IF(NOTA[[#This Row],[ID]]="","",COUNTIF(NOTA[ID_H],NOTA[[#This Row],[ID_H]]))</f>
        <v/>
      </c>
      <c r="AM29" s="35">
        <f ca="1">IF(NOTA[[#This Row],[TGL.NOTA]]="",IF(NOTA[[#This Row],[SUPPLIER_H]]="","",AM28),MONTH(NOTA[[#This Row],[TGL.NOTA]]))</f>
        <v>6</v>
      </c>
      <c r="AN29" s="35" t="str">
        <f>LOWER(SUBSTITUTE(SUBSTITUTE(SUBSTITUTE(SUBSTITUTE(SUBSTITUTE(SUBSTITUTE(SUBSTITUTE(SUBSTITUTE(SUBSTITUTE(NOTA[[#This Row],[NAMA BARANG]]," ",),".",""),"-",""),"(",""),")",""),",",""),"/",""),"""",""),"+",""))</f>
        <v>guntingdr9ideal</v>
      </c>
      <c r="AO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guntingdr9ideal34800000,190,1</v>
      </c>
      <c r="AP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guntingdr9ideal34800000,190,1</v>
      </c>
      <c r="AQ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" s="35">
        <f>IF(NOTA[[#This Row],[CONCAT1]]="","",MATCH(NOTA[[#This Row],[CONCAT1]],[3]!db[NB NOTA_C],0))</f>
        <v>1419</v>
      </c>
      <c r="AS29" s="35" t="b">
        <f>IF(NOTA[[#This Row],[Column5]]="","",TRUE)</f>
        <v>1</v>
      </c>
      <c r="AT29" s="35" t="str">
        <f ca="1">IF(NOTA[[#This Row],[ID_H]]="","",IF(NOTA[[#This Row],[Column3]]=TRUE,NOTA[[#This Row],[Column5]],INDEX([3]!db[QTY/ CTN],NOTA[[#This Row],[//DB]])))</f>
        <v>30 LSN</v>
      </c>
      <c r="AU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guntingdr9ideal30lsnuntana</v>
      </c>
      <c r="AV29" s="35">
        <f ca="1">IF(NOTA[[#This Row],[ID_H]]="","",MATCH(NOTA[[#This Row],[NB NOTA_C_QTY]],[3]!db[NB NOTA_C_QTY+F],0))</f>
        <v>1419</v>
      </c>
      <c r="AW29" s="43">
        <f ca="1">IF(NOTA[[#This Row],[NB NOTA_C_QTY]]="","",ROW()-2)</f>
        <v>27</v>
      </c>
    </row>
    <row r="30" spans="1:49" ht="19.5" customHeight="1">
      <c r="A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5">
        <f ca="1">IF(NOTA[[#This Row],[NAMA BARANG]]="","",INDEX(NOTA[ID],MATCH(,INDIRECT(ADDRESS(ROW(NOTA[ID]),COLUMN(NOTA[ID]))&amp;":"&amp;ADDRESS(ROW(),COLUMN(NOTA[ID]))),-1)))</f>
        <v>8</v>
      </c>
      <c r="C30" s="45"/>
      <c r="F30" s="46"/>
      <c r="G30" s="35"/>
      <c r="H30" s="36"/>
      <c r="I30" s="35"/>
      <c r="J30" s="49" t="s">
        <v>107</v>
      </c>
      <c r="K30" s="37">
        <v>3</v>
      </c>
      <c r="L30" s="35">
        <v>144</v>
      </c>
      <c r="M30" s="35" t="s">
        <v>50</v>
      </c>
      <c r="N30" s="38">
        <v>38000</v>
      </c>
      <c r="O30" s="39"/>
      <c r="P30" s="47" t="s">
        <v>79</v>
      </c>
      <c r="Q30" s="48">
        <v>0.19</v>
      </c>
      <c r="R30" s="41">
        <v>0.1</v>
      </c>
      <c r="T30" s="42"/>
      <c r="U30" s="44"/>
      <c r="V30" s="42">
        <f>IF(NOTA[[#This Row],[HARGA/ CTN]]="",NOTA[[#This Row],[JUMLAH_H]],NOTA[[#This Row],[HARGA/ CTN]]*IF(NOTA[[#This Row],[C]]="",0,NOTA[[#This Row],[C]]))</f>
        <v>5472000</v>
      </c>
      <c r="W30" s="42">
        <f>IF(NOTA[[#This Row],[JUMLAH]]="","",NOTA[[#This Row],[JUMLAH]]*NOTA[[#This Row],[Column6]])</f>
        <v>1039680</v>
      </c>
      <c r="X30" s="42">
        <f>IF(NOTA[[#This Row],[JUMLAH]]="","",(NOTA[[#This Row],[JUMLAH]]-NOTA[[#This Row],[DISC 1-]])*NOTA[[#This Row],[Column7]])</f>
        <v>443232</v>
      </c>
      <c r="Y30" s="42">
        <f>IF(NOTA[[#This Row],[JUMLAH]]="","",(NOTA[[#This Row],[JUMLAH]]-NOTA[[#This Row],[DISC 1-]]-NOTA[[#This Row],[DISC 2-]])*NOTA[[#This Row],[Column8]])</f>
        <v>0</v>
      </c>
      <c r="Z30" s="42">
        <f>IF(NOTA[[#This Row],[JUMLAH]]="","",NOTA[[#This Row],[DISC 1-]]+NOTA[[#This Row],[DISC 2-]]+NOTA[[#This Row],[DISC 3-]])</f>
        <v>1482912</v>
      </c>
      <c r="AA30" s="42">
        <f>IF(NOTA[[#This Row],[JUMLAH]]="","",NOTA[[#This Row],[JUMLAH]]-NOTA[[#This Row],[DISC]])</f>
        <v>3989088</v>
      </c>
      <c r="AB30" s="42"/>
      <c r="AC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" s="3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30" s="42">
        <f>IF(OR(NOTA[[#This Row],[QTY]]="",NOTA[[#This Row],[HARGA SATUAN]]="",),"",NOTA[[#This Row],[QTY]]*NOTA[[#This Row],[HARGA SATUAN]])</f>
        <v>5472000</v>
      </c>
      <c r="AG30" s="36">
        <f ca="1">IF(NOTA[[#This Row],[ID_H]]="","",INDEX(NOTA[TANGGAL],MATCH(,INDIRECT(ADDRESS(ROW(NOTA[TANGGAL]),COLUMN(NOTA[TANGGAL]))&amp;":"&amp;ADDRESS(ROW(),COLUMN(NOTA[TANGGAL]))),-1)))</f>
        <v>45474</v>
      </c>
      <c r="AH30" s="36">
        <f ca="1">IF(NOTA[[#This Row],[ID_H]]="","",INDEX(NOTA[TGL.NOTA],MATCH(,INDIRECT(ADDRESS(ROW(NOTA[TGL.NOTA]),COLUMN(NOTA[TGL.NOTA]))&amp;":"&amp;ADDRESS(ROW(),COLUMN(NOTA[TGL.NOTA]))),-1)))</f>
        <v>45472</v>
      </c>
      <c r="AI30" s="36" t="str">
        <f ca="1">IF(NOTA[[#This Row],[ID_H]]="","",INDEX(NOTA[NO.NOTA],MATCH(NOTA[[#This Row],[ID_H]],NOTA[ID_H],0)))</f>
        <v>2406099</v>
      </c>
      <c r="AJ30" s="38" t="str">
        <f ca="1">IF(NOTA[[#This Row],[NAMA BARANG]]="","",INDEX(NOTA[SUPPLIER],MATCH(,INDIRECT(ADDRESS(ROW(NOTA[ID]),COLUMN(NOTA[ID]))&amp;":"&amp;ADDRESS(ROW(),COLUMN(NOTA[ID]))),-1)))</f>
        <v>D-R</v>
      </c>
      <c r="AK30" s="38" t="str">
        <f ca="1">IF(NOTA[[#This Row],[ID_H]]="","",IF(NOTA[[#This Row],[FAKTUR]]="",INDIRECT(ADDRESS(ROW()-1,COLUMN())),NOTA[[#This Row],[FAKTUR]]))</f>
        <v>UNTANA</v>
      </c>
      <c r="AL30" s="35" t="str">
        <f ca="1">IF(NOTA[[#This Row],[ID]]="","",COUNTIF(NOTA[ID_H],NOTA[[#This Row],[ID_H]]))</f>
        <v/>
      </c>
      <c r="AM30" s="35">
        <f ca="1">IF(NOTA[[#This Row],[TGL.NOTA]]="",IF(NOTA[[#This Row],[SUPPLIER_H]]="","",AM29),MONTH(NOTA[[#This Row],[TGL.NOTA]]))</f>
        <v>6</v>
      </c>
      <c r="AN30" s="35" t="str">
        <f>LOWER(SUBSTITUTE(SUBSTITUTE(SUBSTITUTE(SUBSTITUTE(SUBSTITUTE(SUBSTITUTE(SUBSTITUTE(SUBSTITUTE(SUBSTITUTE(NOTA[[#This Row],[NAMA BARANG]]," ",),".",""),"-",""),"(",""),")",""),",",""),"/",""),"""",""),"+",""))</f>
        <v>guntingjuniorj200junior</v>
      </c>
      <c r="AO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guntingjuniorj200junior18240000,190,1</v>
      </c>
      <c r="AP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guntingjuniorj200junior18240000,190,1</v>
      </c>
      <c r="AQ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" s="35">
        <f>IF(NOTA[[#This Row],[CONCAT1]]="","",MATCH(NOTA[[#This Row],[CONCAT1]],[3]!db[NB NOTA_C],0))</f>
        <v>1423</v>
      </c>
      <c r="AS30" s="35" t="b">
        <f>IF(NOTA[[#This Row],[Column5]]="","",TRUE)</f>
        <v>1</v>
      </c>
      <c r="AT30" s="35" t="str">
        <f ca="1">IF(NOTA[[#This Row],[ID_H]]="","",IF(NOTA[[#This Row],[Column3]]=TRUE,NOTA[[#This Row],[Column5]],INDEX([3]!db[QTY/ CTN],NOTA[[#This Row],[//DB]])))</f>
        <v>48 LSN</v>
      </c>
      <c r="AU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guntingjuniorj200junior48lsnuntana</v>
      </c>
      <c r="AV30" s="35">
        <f ca="1">IF(NOTA[[#This Row],[ID_H]]="","",MATCH(NOTA[[#This Row],[NB NOTA_C_QTY]],[3]!db[NB NOTA_C_QTY+F],0))</f>
        <v>1423</v>
      </c>
      <c r="AW30" s="43">
        <f ca="1">IF(NOTA[[#This Row],[NB NOTA_C_QTY]]="","",ROW()-2)</f>
        <v>28</v>
      </c>
    </row>
    <row r="31" spans="1:49" ht="20.100000000000001" customHeight="1">
      <c r="A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5">
        <f ca="1">IF(NOTA[[#This Row],[NAMA BARANG]]="","",INDEX(NOTA[ID],MATCH(,INDIRECT(ADDRESS(ROW(NOTA[ID]),COLUMN(NOTA[ID]))&amp;":"&amp;ADDRESS(ROW(),COLUMN(NOTA[ID]))),-1)))</f>
        <v>8</v>
      </c>
      <c r="C31" s="45"/>
      <c r="F31" s="46"/>
      <c r="G31" s="35"/>
      <c r="H31" s="36"/>
      <c r="I31" s="35"/>
      <c r="J31" s="49" t="s">
        <v>108</v>
      </c>
      <c r="K31" s="37">
        <v>3</v>
      </c>
      <c r="L31" s="35">
        <v>72</v>
      </c>
      <c r="M31" s="35" t="s">
        <v>50</v>
      </c>
      <c r="N31" s="38">
        <v>46000</v>
      </c>
      <c r="O31" s="39"/>
      <c r="P31" s="47" t="s">
        <v>119</v>
      </c>
      <c r="Q31" s="48">
        <v>0.19</v>
      </c>
      <c r="R31" s="41">
        <v>0.1</v>
      </c>
      <c r="T31" s="42"/>
      <c r="U31" s="44"/>
      <c r="V31" s="42">
        <f>IF(NOTA[[#This Row],[HARGA/ CTN]]="",NOTA[[#This Row],[JUMLAH_H]],NOTA[[#This Row],[HARGA/ CTN]]*IF(NOTA[[#This Row],[C]]="",0,NOTA[[#This Row],[C]]))</f>
        <v>3312000</v>
      </c>
      <c r="W31" s="42">
        <f>IF(NOTA[[#This Row],[JUMLAH]]="","",NOTA[[#This Row],[JUMLAH]]*NOTA[[#This Row],[Column6]])</f>
        <v>629280</v>
      </c>
      <c r="X31" s="42">
        <f>IF(NOTA[[#This Row],[JUMLAH]]="","",(NOTA[[#This Row],[JUMLAH]]-NOTA[[#This Row],[DISC 1-]])*NOTA[[#This Row],[Column7]])</f>
        <v>268272</v>
      </c>
      <c r="Y31" s="42">
        <f>IF(NOTA[[#This Row],[JUMLAH]]="","",(NOTA[[#This Row],[JUMLAH]]-NOTA[[#This Row],[DISC 1-]]-NOTA[[#This Row],[DISC 2-]])*NOTA[[#This Row],[Column8]])</f>
        <v>0</v>
      </c>
      <c r="Z31" s="42">
        <f>IF(NOTA[[#This Row],[JUMLAH]]="","",NOTA[[#This Row],[DISC 1-]]+NOTA[[#This Row],[DISC 2-]]+NOTA[[#This Row],[DISC 3-]])</f>
        <v>897552</v>
      </c>
      <c r="AA31" s="42">
        <f>IF(NOTA[[#This Row],[JUMLAH]]="","",NOTA[[#This Row],[JUMLAH]]-NOTA[[#This Row],[DISC]])</f>
        <v>2414448</v>
      </c>
      <c r="AB31" s="42"/>
      <c r="AC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" s="38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31" s="42">
        <f>IF(OR(NOTA[[#This Row],[QTY]]="",NOTA[[#This Row],[HARGA SATUAN]]="",),"",NOTA[[#This Row],[QTY]]*NOTA[[#This Row],[HARGA SATUAN]])</f>
        <v>3312000</v>
      </c>
      <c r="AG31" s="36">
        <f ca="1">IF(NOTA[[#This Row],[ID_H]]="","",INDEX(NOTA[TANGGAL],MATCH(,INDIRECT(ADDRESS(ROW(NOTA[TANGGAL]),COLUMN(NOTA[TANGGAL]))&amp;":"&amp;ADDRESS(ROW(),COLUMN(NOTA[TANGGAL]))),-1)))</f>
        <v>45474</v>
      </c>
      <c r="AH31" s="36">
        <f ca="1">IF(NOTA[[#This Row],[ID_H]]="","",INDEX(NOTA[TGL.NOTA],MATCH(,INDIRECT(ADDRESS(ROW(NOTA[TGL.NOTA]),COLUMN(NOTA[TGL.NOTA]))&amp;":"&amp;ADDRESS(ROW(),COLUMN(NOTA[TGL.NOTA]))),-1)))</f>
        <v>45472</v>
      </c>
      <c r="AI31" s="36" t="str">
        <f ca="1">IF(NOTA[[#This Row],[ID_H]]="","",INDEX(NOTA[NO.NOTA],MATCH(NOTA[[#This Row],[ID_H]],NOTA[ID_H],0)))</f>
        <v>2406099</v>
      </c>
      <c r="AJ31" s="38" t="str">
        <f ca="1">IF(NOTA[[#This Row],[NAMA BARANG]]="","",INDEX(NOTA[SUPPLIER],MATCH(,INDIRECT(ADDRESS(ROW(NOTA[ID]),COLUMN(NOTA[ID]))&amp;":"&amp;ADDRESS(ROW(),COLUMN(NOTA[ID]))),-1)))</f>
        <v>D-R</v>
      </c>
      <c r="AK31" s="38" t="str">
        <f ca="1">IF(NOTA[[#This Row],[ID_H]]="","",IF(NOTA[[#This Row],[FAKTUR]]="",INDIRECT(ADDRESS(ROW()-1,COLUMN())),NOTA[[#This Row],[FAKTUR]]))</f>
        <v>UNTANA</v>
      </c>
      <c r="AL31" s="35" t="str">
        <f ca="1">IF(NOTA[[#This Row],[ID]]="","",COUNTIF(NOTA[ID_H],NOTA[[#This Row],[ID_H]]))</f>
        <v/>
      </c>
      <c r="AM31" s="35">
        <f ca="1">IF(NOTA[[#This Row],[TGL.NOTA]]="",IF(NOTA[[#This Row],[SUPPLIER_H]]="","",AM30),MONTH(NOTA[[#This Row],[TGL.NOTA]]))</f>
        <v>6</v>
      </c>
      <c r="AN31" s="35" t="str">
        <f>LOWER(SUBSTITUTE(SUBSTITUTE(SUBSTITUTE(SUBSTITUTE(SUBSTITUTE(SUBSTITUTE(SUBSTITUTE(SUBSTITUTE(SUBSTITUTE(NOTA[[#This Row],[NAMA BARANG]]," ",),".",""),"-",""),"(",""),")",""),",",""),"/",""),"""",""),"+",""))</f>
        <v>guntingjuniorj300junior</v>
      </c>
      <c r="AO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guntingjuniorj300junior11040000,190,1</v>
      </c>
      <c r="AP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guntingjuniorj300junior11040000,190,1</v>
      </c>
      <c r="AQ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" s="35">
        <f>IF(NOTA[[#This Row],[CONCAT1]]="","",MATCH(NOTA[[#This Row],[CONCAT1]],[3]!db[NB NOTA_C],0))</f>
        <v>1424</v>
      </c>
      <c r="AS31" s="35" t="b">
        <f>IF(NOTA[[#This Row],[Column5]]="","",TRUE)</f>
        <v>1</v>
      </c>
      <c r="AT31" s="35" t="str">
        <f ca="1">IF(NOTA[[#This Row],[ID_H]]="","",IF(NOTA[[#This Row],[Column3]]=TRUE,NOTA[[#This Row],[Column5]],INDEX([3]!db[QTY/ CTN],NOTA[[#This Row],[//DB]])))</f>
        <v>24 LSN</v>
      </c>
      <c r="AU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guntingjuniorj300junior24lsnuntana</v>
      </c>
      <c r="AV31" s="35">
        <f ca="1">IF(NOTA[[#This Row],[ID_H]]="","",MATCH(NOTA[[#This Row],[NB NOTA_C_QTY]],[3]!db[NB NOTA_C_QTY+F],0))</f>
        <v>1424</v>
      </c>
      <c r="AW31" s="43">
        <f ca="1">IF(NOTA[[#This Row],[NB NOTA_C_QTY]]="","",ROW()-2)</f>
        <v>29</v>
      </c>
    </row>
    <row r="32" spans="1:49" ht="20.100000000000001" customHeight="1">
      <c r="A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5">
        <f ca="1">IF(NOTA[[#This Row],[NAMA BARANG]]="","",INDEX(NOTA[ID],MATCH(,INDIRECT(ADDRESS(ROW(NOTA[ID]),COLUMN(NOTA[ID]))&amp;":"&amp;ADDRESS(ROW(),COLUMN(NOTA[ID]))),-1)))</f>
        <v>8</v>
      </c>
      <c r="C32" s="45"/>
      <c r="F32" s="46"/>
      <c r="G32" s="35"/>
      <c r="H32" s="36"/>
      <c r="I32" s="35"/>
      <c r="J32" s="35" t="s">
        <v>109</v>
      </c>
      <c r="K32" s="37">
        <v>4</v>
      </c>
      <c r="L32" s="35">
        <v>96</v>
      </c>
      <c r="M32" s="35" t="s">
        <v>50</v>
      </c>
      <c r="N32" s="38">
        <v>52000</v>
      </c>
      <c r="O32" s="39"/>
      <c r="P32" s="47" t="s">
        <v>119</v>
      </c>
      <c r="Q32" s="48">
        <v>0.19</v>
      </c>
      <c r="R32" s="41">
        <v>0.1</v>
      </c>
      <c r="T32" s="42"/>
      <c r="U32" s="44"/>
      <c r="V32" s="42">
        <f>IF(NOTA[[#This Row],[HARGA/ CTN]]="",NOTA[[#This Row],[JUMLAH_H]],NOTA[[#This Row],[HARGA/ CTN]]*IF(NOTA[[#This Row],[C]]="",0,NOTA[[#This Row],[C]]))</f>
        <v>4992000</v>
      </c>
      <c r="W32" s="42">
        <f>IF(NOTA[[#This Row],[JUMLAH]]="","",NOTA[[#This Row],[JUMLAH]]*NOTA[[#This Row],[Column6]])</f>
        <v>948480</v>
      </c>
      <c r="X32" s="42">
        <f>IF(NOTA[[#This Row],[JUMLAH]]="","",(NOTA[[#This Row],[JUMLAH]]-NOTA[[#This Row],[DISC 1-]])*NOTA[[#This Row],[Column7]])</f>
        <v>404352</v>
      </c>
      <c r="Y32" s="42">
        <f>IF(NOTA[[#This Row],[JUMLAH]]="","",(NOTA[[#This Row],[JUMLAH]]-NOTA[[#This Row],[DISC 1-]]-NOTA[[#This Row],[DISC 2-]])*NOTA[[#This Row],[Column8]])</f>
        <v>0</v>
      </c>
      <c r="Z32" s="42">
        <f>IF(NOTA[[#This Row],[JUMLAH]]="","",NOTA[[#This Row],[DISC 1-]]+NOTA[[#This Row],[DISC 2-]]+NOTA[[#This Row],[DISC 3-]])</f>
        <v>1352832</v>
      </c>
      <c r="AA32" s="42">
        <f>IF(NOTA[[#This Row],[JUMLAH]]="","",NOTA[[#This Row],[JUMLAH]]-NOTA[[#This Row],[DISC]])</f>
        <v>3639168</v>
      </c>
      <c r="AB32" s="42"/>
      <c r="AC3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10367376</v>
      </c>
      <c r="AD3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27888624</v>
      </c>
      <c r="AE32" s="38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32" s="42">
        <f>IF(OR(NOTA[[#This Row],[QTY]]="",NOTA[[#This Row],[HARGA SATUAN]]="",),"",NOTA[[#This Row],[QTY]]*NOTA[[#This Row],[HARGA SATUAN]])</f>
        <v>4992000</v>
      </c>
      <c r="AG32" s="36">
        <f ca="1">IF(NOTA[[#This Row],[ID_H]]="","",INDEX(NOTA[TANGGAL],MATCH(,INDIRECT(ADDRESS(ROW(NOTA[TANGGAL]),COLUMN(NOTA[TANGGAL]))&amp;":"&amp;ADDRESS(ROW(),COLUMN(NOTA[TANGGAL]))),-1)))</f>
        <v>45474</v>
      </c>
      <c r="AH32" s="36">
        <f ca="1">IF(NOTA[[#This Row],[ID_H]]="","",INDEX(NOTA[TGL.NOTA],MATCH(,INDIRECT(ADDRESS(ROW(NOTA[TGL.NOTA]),COLUMN(NOTA[TGL.NOTA]))&amp;":"&amp;ADDRESS(ROW(),COLUMN(NOTA[TGL.NOTA]))),-1)))</f>
        <v>45472</v>
      </c>
      <c r="AI32" s="36" t="str">
        <f ca="1">IF(NOTA[[#This Row],[ID_H]]="","",INDEX(NOTA[NO.NOTA],MATCH(NOTA[[#This Row],[ID_H]],NOTA[ID_H],0)))</f>
        <v>2406099</v>
      </c>
      <c r="AJ32" s="38" t="str">
        <f ca="1">IF(NOTA[[#This Row],[NAMA BARANG]]="","",INDEX(NOTA[SUPPLIER],MATCH(,INDIRECT(ADDRESS(ROW(NOTA[ID]),COLUMN(NOTA[ID]))&amp;":"&amp;ADDRESS(ROW(),COLUMN(NOTA[ID]))),-1)))</f>
        <v>D-R</v>
      </c>
      <c r="AK32" s="38" t="str">
        <f ca="1">IF(NOTA[[#This Row],[ID_H]]="","",IF(NOTA[[#This Row],[FAKTUR]]="",INDIRECT(ADDRESS(ROW()-1,COLUMN())),NOTA[[#This Row],[FAKTUR]]))</f>
        <v>UNTANA</v>
      </c>
      <c r="AL32" s="35" t="str">
        <f ca="1">IF(NOTA[[#This Row],[ID]]="","",COUNTIF(NOTA[ID_H],NOTA[[#This Row],[ID_H]]))</f>
        <v/>
      </c>
      <c r="AM32" s="35">
        <f ca="1">IF(NOTA[[#This Row],[TGL.NOTA]]="",IF(NOTA[[#This Row],[SUPPLIER_H]]="","",AM31),MONTH(NOTA[[#This Row],[TGL.NOTA]]))</f>
        <v>6</v>
      </c>
      <c r="AN32" s="35" t="str">
        <f>LOWER(SUBSTITUTE(SUBSTITUTE(SUBSTITUTE(SUBSTITUTE(SUBSTITUTE(SUBSTITUTE(SUBSTITUTE(SUBSTITUTE(SUBSTITUTE(NOTA[[#This Row],[NAMA BARANG]]," ",),".",""),"-",""),"(",""),")",""),",",""),"/",""),"""",""),"+",""))</f>
        <v>guntingjuniorj400junior</v>
      </c>
      <c r="AO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guntingjuniorj400junior12480000,190,1</v>
      </c>
      <c r="AP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guntingjuniorj400junior12480000,190,1</v>
      </c>
      <c r="AQ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" s="35">
        <f>IF(NOTA[[#This Row],[CONCAT1]]="","",MATCH(NOTA[[#This Row],[CONCAT1]],[3]!db[NB NOTA_C],0))</f>
        <v>1425</v>
      </c>
      <c r="AS32" s="35" t="b">
        <f>IF(NOTA[[#This Row],[Column5]]="","",TRUE)</f>
        <v>1</v>
      </c>
      <c r="AT32" s="35" t="str">
        <f ca="1">IF(NOTA[[#This Row],[ID_H]]="","",IF(NOTA[[#This Row],[Column3]]=TRUE,NOTA[[#This Row],[Column5]],INDEX([3]!db[QTY/ CTN],NOTA[[#This Row],[//DB]])))</f>
        <v>24 LSN</v>
      </c>
      <c r="AU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guntingjuniorj400junior24lsnuntana</v>
      </c>
      <c r="AV32" s="35">
        <f ca="1">IF(NOTA[[#This Row],[ID_H]]="","",MATCH(NOTA[[#This Row],[NB NOTA_C_QTY]],[3]!db[NB NOTA_C_QTY+F],0))</f>
        <v>1425</v>
      </c>
      <c r="AW32" s="43">
        <f ca="1">IF(NOTA[[#This Row],[NB NOTA_C_QTY]]="","",ROW()-2)</f>
        <v>30</v>
      </c>
    </row>
    <row r="33" spans="1:49" ht="20.100000000000001" customHeight="1">
      <c r="A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5" t="str">
        <f ca="1">IF(NOTA[[#This Row],[NAMA BARANG]]="","",INDEX(NOTA[ID],MATCH(,INDIRECT(ADDRESS(ROW(NOTA[ID]),COLUMN(NOTA[ID]))&amp;":"&amp;ADDRESS(ROW(),COLUMN(NOTA[ID]))),-1)))</f>
        <v/>
      </c>
      <c r="C33" s="45"/>
      <c r="F33" s="46"/>
      <c r="G33" s="35"/>
      <c r="H33" s="36"/>
      <c r="I33" s="35"/>
      <c r="K33" s="37"/>
      <c r="L33" s="35"/>
      <c r="N33" s="38"/>
      <c r="O33" s="39"/>
      <c r="P33" s="47"/>
      <c r="Q33" s="48"/>
      <c r="R33" s="41"/>
      <c r="T33" s="42"/>
      <c r="U33" s="44"/>
      <c r="V33" s="42" t="str">
        <f>IF(NOTA[[#This Row],[HARGA/ CTN]]="",NOTA[[#This Row],[JUMLAH_H]],NOTA[[#This Row],[HARGA/ CTN]]*IF(NOTA[[#This Row],[C]]="",0,NOTA[[#This Row],[C]]))</f>
        <v/>
      </c>
      <c r="W33" s="42" t="str">
        <f>IF(NOTA[[#This Row],[JUMLAH]]="","",NOTA[[#This Row],[JUMLAH]]*NOTA[[#This Row],[Column6]])</f>
        <v/>
      </c>
      <c r="X33" s="42" t="str">
        <f>IF(NOTA[[#This Row],[JUMLAH]]="","",(NOTA[[#This Row],[JUMLAH]]-NOTA[[#This Row],[DISC 1-]])*NOTA[[#This Row],[Column7]])</f>
        <v/>
      </c>
      <c r="Y33" s="42" t="str">
        <f>IF(NOTA[[#This Row],[JUMLAH]]="","",(NOTA[[#This Row],[JUMLAH]]-NOTA[[#This Row],[DISC 1-]]-NOTA[[#This Row],[DISC 2-]])*NOTA[[#This Row],[Column8]])</f>
        <v/>
      </c>
      <c r="Z33" s="42" t="str">
        <f>IF(NOTA[[#This Row],[JUMLAH]]="","",NOTA[[#This Row],[DISC 1-]]+NOTA[[#This Row],[DISC 2-]]+NOTA[[#This Row],[DISC 3-]])</f>
        <v/>
      </c>
      <c r="AA33" s="42" t="str">
        <f>IF(NOTA[[#This Row],[JUMLAH]]="","",NOTA[[#This Row],[JUMLAH]]-NOTA[[#This Row],[DISC]])</f>
        <v/>
      </c>
      <c r="AB33" s="42"/>
      <c r="AC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" s="42" t="str">
        <f>IF(OR(NOTA[[#This Row],[QTY]]="",NOTA[[#This Row],[HARGA SATUAN]]="",),"",NOTA[[#This Row],[QTY]]*NOTA[[#This Row],[HARGA SATUAN]])</f>
        <v/>
      </c>
      <c r="AG33" s="36" t="str">
        <f ca="1">IF(NOTA[[#This Row],[ID_H]]="","",INDEX(NOTA[TANGGAL],MATCH(,INDIRECT(ADDRESS(ROW(NOTA[TANGGAL]),COLUMN(NOTA[TANGGAL]))&amp;":"&amp;ADDRESS(ROW(),COLUMN(NOTA[TANGGAL]))),-1)))</f>
        <v/>
      </c>
      <c r="AH33" s="36" t="str">
        <f ca="1">IF(NOTA[[#This Row],[ID_H]]="","",INDEX(NOTA[TGL.NOTA],MATCH(,INDIRECT(ADDRESS(ROW(NOTA[TGL.NOTA]),COLUMN(NOTA[TGL.NOTA]))&amp;":"&amp;ADDRESS(ROW(),COLUMN(NOTA[TGL.NOTA]))),-1)))</f>
        <v/>
      </c>
      <c r="AI33" s="36" t="str">
        <f ca="1">IF(NOTA[[#This Row],[ID_H]]="","",INDEX(NOTA[NO.NOTA],MATCH(NOTA[[#This Row],[ID_H]],NOTA[ID_H],0)))</f>
        <v/>
      </c>
      <c r="AJ33" s="38" t="str">
        <f ca="1">IF(NOTA[[#This Row],[NAMA BARANG]]="","",INDEX(NOTA[SUPPLIER],MATCH(,INDIRECT(ADDRESS(ROW(NOTA[ID]),COLUMN(NOTA[ID]))&amp;":"&amp;ADDRESS(ROW(),COLUMN(NOTA[ID]))),-1)))</f>
        <v/>
      </c>
      <c r="AK33" s="38" t="str">
        <f ca="1">IF(NOTA[[#This Row],[ID_H]]="","",IF(NOTA[[#This Row],[FAKTUR]]="",INDIRECT(ADDRESS(ROW()-1,COLUMN())),NOTA[[#This Row],[FAKTUR]]))</f>
        <v/>
      </c>
      <c r="AL33" s="35" t="str">
        <f ca="1">IF(NOTA[[#This Row],[ID]]="","",COUNTIF(NOTA[ID_H],NOTA[[#This Row],[ID_H]]))</f>
        <v/>
      </c>
      <c r="AM33" s="35" t="str">
        <f ca="1">IF(NOTA[[#This Row],[TGL.NOTA]]="",IF(NOTA[[#This Row],[SUPPLIER_H]]="","",AM32),MONTH(NOTA[[#This Row],[TGL.NOTA]]))</f>
        <v/>
      </c>
      <c r="AN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" s="35" t="str">
        <f>IF(NOTA[[#This Row],[CONCAT1]]="","",MATCH(NOTA[[#This Row],[CONCAT1]],[3]!db[NB NOTA_C],0))</f>
        <v/>
      </c>
      <c r="AS33" s="35" t="str">
        <f>IF(NOTA[[#This Row],[Column5]]="","",TRUE)</f>
        <v/>
      </c>
      <c r="AT33" s="35" t="str">
        <f ca="1">IF(NOTA[[#This Row],[ID_H]]="","",IF(NOTA[[#This Row],[Column3]]=TRUE,NOTA[[#This Row],[Column5]],INDEX([3]!db[QTY/ CTN],NOTA[[#This Row],[//DB]])))</f>
        <v/>
      </c>
      <c r="AU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" s="35" t="str">
        <f ca="1">IF(NOTA[[#This Row],[ID_H]]="","",MATCH(NOTA[[#This Row],[NB NOTA_C_QTY]],[3]!db[NB NOTA_C_QTY+F],0))</f>
        <v/>
      </c>
      <c r="AW33" s="43" t="str">
        <f ca="1">IF(NOTA[[#This Row],[NB NOTA_C_QTY]]="","",ROW()-2)</f>
        <v/>
      </c>
    </row>
    <row r="34" spans="1:49" ht="20.100000000000001" customHeight="1">
      <c r="A34" s="38">
        <f ca="1">IF(INDIRECT(ADDRESS(ROW()-1,COLUMN(NOTA[[#Headers],[ID]])))="ID",1,IF(NOTA[[#This Row],[FAKTUR]]="","",COUNT(INDIRECT(ADDRESS(ROW(NOTA[ID]),COLUMN(NOTA[ID]))&amp;":"&amp;ADDRESS(ROW()-1,COLUMN(NOTA[ID]))))+1))</f>
        <v>9</v>
      </c>
      <c r="B34" s="35">
        <f ca="1">IF(NOTA[[#This Row],[NAMA BARANG]]="","",INDEX(NOTA[ID],MATCH(,INDIRECT(ADDRESS(ROW(NOTA[ID]),COLUMN(NOTA[ID]))&amp;":"&amp;ADDRESS(ROW(),COLUMN(NOTA[ID]))),-1)))</f>
        <v>9</v>
      </c>
      <c r="C34" s="45"/>
      <c r="D34" s="35" t="s">
        <v>102</v>
      </c>
      <c r="E34" s="35" t="s">
        <v>49</v>
      </c>
      <c r="F34" s="46" t="s">
        <v>110</v>
      </c>
      <c r="G34" s="35"/>
      <c r="H34" s="36">
        <v>45472</v>
      </c>
      <c r="I34" s="35"/>
      <c r="J34" s="35" t="s">
        <v>111</v>
      </c>
      <c r="K34" s="37">
        <v>12</v>
      </c>
      <c r="L34" s="35">
        <v>1440</v>
      </c>
      <c r="M34" s="35" t="s">
        <v>50</v>
      </c>
      <c r="N34" s="38">
        <v>20000</v>
      </c>
      <c r="O34" s="39"/>
      <c r="P34" s="47" t="s">
        <v>120</v>
      </c>
      <c r="Q34" s="48">
        <v>0.19</v>
      </c>
      <c r="R34" s="41">
        <v>0.1</v>
      </c>
      <c r="T34" s="42"/>
      <c r="U34" s="44"/>
      <c r="V34" s="42">
        <f>IF(NOTA[[#This Row],[HARGA/ CTN]]="",NOTA[[#This Row],[JUMLAH_H]],NOTA[[#This Row],[HARGA/ CTN]]*IF(NOTA[[#This Row],[C]]="",0,NOTA[[#This Row],[C]]))</f>
        <v>28800000</v>
      </c>
      <c r="W34" s="42">
        <f>IF(NOTA[[#This Row],[JUMLAH]]="","",NOTA[[#This Row],[JUMLAH]]*NOTA[[#This Row],[Column6]])</f>
        <v>5472000</v>
      </c>
      <c r="X34" s="42">
        <f>IF(NOTA[[#This Row],[JUMLAH]]="","",(NOTA[[#This Row],[JUMLAH]]-NOTA[[#This Row],[DISC 1-]])*NOTA[[#This Row],[Column7]])</f>
        <v>2332800</v>
      </c>
      <c r="Y34" s="42">
        <f>IF(NOTA[[#This Row],[JUMLAH]]="","",(NOTA[[#This Row],[JUMLAH]]-NOTA[[#This Row],[DISC 1-]]-NOTA[[#This Row],[DISC 2-]])*NOTA[[#This Row],[Column8]])</f>
        <v>0</v>
      </c>
      <c r="Z34" s="42">
        <f>IF(NOTA[[#This Row],[JUMLAH]]="","",NOTA[[#This Row],[DISC 1-]]+NOTA[[#This Row],[DISC 2-]]+NOTA[[#This Row],[DISC 3-]])</f>
        <v>7804800</v>
      </c>
      <c r="AA34" s="42">
        <f>IF(NOTA[[#This Row],[JUMLAH]]="","",NOTA[[#This Row],[JUMLAH]]-NOTA[[#This Row],[DISC]])</f>
        <v>20995200</v>
      </c>
      <c r="AB34" s="42"/>
      <c r="AC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34" s="42">
        <f>IF(OR(NOTA[[#This Row],[QTY]]="",NOTA[[#This Row],[HARGA SATUAN]]="",),"",NOTA[[#This Row],[QTY]]*NOTA[[#This Row],[HARGA SATUAN]])</f>
        <v>28800000</v>
      </c>
      <c r="AG34" s="36">
        <f ca="1">IF(NOTA[[#This Row],[ID_H]]="","",INDEX(NOTA[TANGGAL],MATCH(,INDIRECT(ADDRESS(ROW(NOTA[TANGGAL]),COLUMN(NOTA[TANGGAL]))&amp;":"&amp;ADDRESS(ROW(),COLUMN(NOTA[TANGGAL]))),-1)))</f>
        <v>45474</v>
      </c>
      <c r="AH34" s="36">
        <f ca="1">IF(NOTA[[#This Row],[ID_H]]="","",INDEX(NOTA[TGL.NOTA],MATCH(,INDIRECT(ADDRESS(ROW(NOTA[TGL.NOTA]),COLUMN(NOTA[TGL.NOTA]))&amp;":"&amp;ADDRESS(ROW(),COLUMN(NOTA[TGL.NOTA]))),-1)))</f>
        <v>45472</v>
      </c>
      <c r="AI34" s="36" t="str">
        <f ca="1">IF(NOTA[[#This Row],[ID_H]]="","",INDEX(NOTA[NO.NOTA],MATCH(NOTA[[#This Row],[ID_H]],NOTA[ID_H],0)))</f>
        <v>2406079</v>
      </c>
      <c r="AJ34" s="38" t="str">
        <f ca="1">IF(NOTA[[#This Row],[NAMA BARANG]]="","",INDEX(NOTA[SUPPLIER],MATCH(,INDIRECT(ADDRESS(ROW(NOTA[ID]),COLUMN(NOTA[ID]))&amp;":"&amp;ADDRESS(ROW(),COLUMN(NOTA[ID]))),-1)))</f>
        <v>D-R</v>
      </c>
      <c r="AK34" s="38" t="str">
        <f ca="1">IF(NOTA[[#This Row],[ID_H]]="","",IF(NOTA[[#This Row],[FAKTUR]]="",INDIRECT(ADDRESS(ROW()-1,COLUMN())),NOTA[[#This Row],[FAKTUR]]))</f>
        <v>UNTANA</v>
      </c>
      <c r="AL34" s="35">
        <f ca="1">IF(NOTA[[#This Row],[ID]]="","",COUNTIF(NOTA[ID_H],NOTA[[#This Row],[ID_H]]))</f>
        <v>2</v>
      </c>
      <c r="AM34" s="35">
        <f>IF(NOTA[[#This Row],[TGL.NOTA]]="",IF(NOTA[[#This Row],[SUPPLIER_H]]="","",AM33),MONTH(NOTA[[#This Row],[TGL.NOTA]]))</f>
        <v>6</v>
      </c>
      <c r="AN34" s="35" t="str">
        <f>LOWER(SUBSTITUTE(SUBSTITUTE(SUBSTITUTE(SUBSTITUTE(SUBSTITUTE(SUBSTITUTE(SUBSTITUTE(SUBSTITUTE(SUBSTITUTE(NOTA[[#This Row],[NAMA BARANG]]," ",),".",""),"-",""),"(",""),")",""),",",""),"/",""),"""",""),"+",""))</f>
        <v>cuttertaco78kecil</v>
      </c>
      <c r="AO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cuttertaco78kecil24000000,190,1</v>
      </c>
      <c r="AP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cuttertaco78kecil24000000,190,1</v>
      </c>
      <c r="AQ34" s="35" t="str">
        <f>IF(NOTA[[#This Row],[SUPPLIER]]="","",NOTA[[#This Row],[SUPPLIER]]&amp;NOTA[[#This Row],[FAKTUR]]&amp;NOTA[[#This Row],[NO.NOTA]]&amp;NOTA[[#This Row],[NO.SJ]]&amp;NOTA[[#This Row],[TGL.NOTA]]&amp;NOTA[[#This Row],[CONCAT1]])</f>
        <v>D-RUNTANA240607945472cuttertaco78kecil</v>
      </c>
      <c r="AR34" s="35">
        <f>IF(NOTA[[#This Row],[CONCAT1]]="","",MATCH(NOTA[[#This Row],[CONCAT1]],[3]!db[NB NOTA_C],0))</f>
        <v>809</v>
      </c>
      <c r="AS34" s="35" t="b">
        <f>IF(NOTA[[#This Row],[Column5]]="","",TRUE)</f>
        <v>1</v>
      </c>
      <c r="AT34" s="35" t="str">
        <f ca="1">IF(NOTA[[#This Row],[ID_H]]="","",IF(NOTA[[#This Row],[Column3]]=TRUE,NOTA[[#This Row],[Column5]],INDEX([3]!db[QTY/ CTN],NOTA[[#This Row],[//DB]])))</f>
        <v>120 LSN</v>
      </c>
      <c r="AU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cuttertaco78kecil120lsnuntana</v>
      </c>
      <c r="AV34" s="35">
        <f ca="1">IF(NOTA[[#This Row],[ID_H]]="","",MATCH(NOTA[[#This Row],[NB NOTA_C_QTY]],[3]!db[NB NOTA_C_QTY+F],0))</f>
        <v>809</v>
      </c>
      <c r="AW34" s="43">
        <f ca="1">IF(NOTA[[#This Row],[NB NOTA_C_QTY]]="","",ROW()-2)</f>
        <v>32</v>
      </c>
    </row>
    <row r="35" spans="1:49" ht="20.100000000000001" customHeight="1">
      <c r="A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5">
        <f ca="1">IF(NOTA[[#This Row],[NAMA BARANG]]="","",INDEX(NOTA[ID],MATCH(,INDIRECT(ADDRESS(ROW(NOTA[ID]),COLUMN(NOTA[ID]))&amp;":"&amp;ADDRESS(ROW(),COLUMN(NOTA[ID]))),-1)))</f>
        <v>9</v>
      </c>
      <c r="C35" s="45"/>
      <c r="F35" s="46"/>
      <c r="G35" s="35"/>
      <c r="H35" s="36"/>
      <c r="I35" s="35"/>
      <c r="J35" s="35" t="s">
        <v>111</v>
      </c>
      <c r="K35" s="37">
        <v>1</v>
      </c>
      <c r="L35" s="35">
        <v>120</v>
      </c>
      <c r="M35" s="35" t="s">
        <v>50</v>
      </c>
      <c r="N35" s="38">
        <v>20000</v>
      </c>
      <c r="O35" s="39"/>
      <c r="P35" s="47" t="s">
        <v>120</v>
      </c>
      <c r="Q35" s="48">
        <v>1</v>
      </c>
      <c r="R35" s="41"/>
      <c r="T35" s="42"/>
      <c r="U35" s="44" t="s">
        <v>71</v>
      </c>
      <c r="V35" s="42">
        <f>IF(NOTA[[#This Row],[HARGA/ CTN]]="",NOTA[[#This Row],[JUMLAH_H]],NOTA[[#This Row],[HARGA/ CTN]]*IF(NOTA[[#This Row],[C]]="",0,NOTA[[#This Row],[C]]))</f>
        <v>2400000</v>
      </c>
      <c r="W35" s="42">
        <f>IF(NOTA[[#This Row],[JUMLAH]]="","",NOTA[[#This Row],[JUMLAH]]*NOTA[[#This Row],[Column6]])</f>
        <v>2400000</v>
      </c>
      <c r="X35" s="42">
        <f>IF(NOTA[[#This Row],[JUMLAH]]="","",(NOTA[[#This Row],[JUMLAH]]-NOTA[[#This Row],[DISC 1-]])*NOTA[[#This Row],[Column7]])</f>
        <v>0</v>
      </c>
      <c r="Y35" s="42">
        <f>IF(NOTA[[#This Row],[JUMLAH]]="","",(NOTA[[#This Row],[JUMLAH]]-NOTA[[#This Row],[DISC 1-]]-NOTA[[#This Row],[DISC 2-]])*NOTA[[#This Row],[Column8]])</f>
        <v>0</v>
      </c>
      <c r="Z35" s="42">
        <f>IF(NOTA[[#This Row],[JUMLAH]]="","",NOTA[[#This Row],[DISC 1-]]+NOTA[[#This Row],[DISC 2-]]+NOTA[[#This Row],[DISC 3-]])</f>
        <v>2400000</v>
      </c>
      <c r="AA35" s="42">
        <f>IF(NOTA[[#This Row],[JUMLAH]]="","",NOTA[[#This Row],[JUMLAH]]-NOTA[[#This Row],[DISC]])</f>
        <v>0</v>
      </c>
      <c r="AB35" s="42"/>
      <c r="AC3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10204800</v>
      </c>
      <c r="AD3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20995200</v>
      </c>
      <c r="AE35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35" s="42">
        <f>IF(OR(NOTA[[#This Row],[QTY]]="",NOTA[[#This Row],[HARGA SATUAN]]="",),"",NOTA[[#This Row],[QTY]]*NOTA[[#This Row],[HARGA SATUAN]])</f>
        <v>2400000</v>
      </c>
      <c r="AG35" s="36">
        <f ca="1">IF(NOTA[[#This Row],[ID_H]]="","",INDEX(NOTA[TANGGAL],MATCH(,INDIRECT(ADDRESS(ROW(NOTA[TANGGAL]),COLUMN(NOTA[TANGGAL]))&amp;":"&amp;ADDRESS(ROW(),COLUMN(NOTA[TANGGAL]))),-1)))</f>
        <v>45474</v>
      </c>
      <c r="AH35" s="36">
        <f ca="1">IF(NOTA[[#This Row],[ID_H]]="","",INDEX(NOTA[TGL.NOTA],MATCH(,INDIRECT(ADDRESS(ROW(NOTA[TGL.NOTA]),COLUMN(NOTA[TGL.NOTA]))&amp;":"&amp;ADDRESS(ROW(),COLUMN(NOTA[TGL.NOTA]))),-1)))</f>
        <v>45472</v>
      </c>
      <c r="AI35" s="36" t="str">
        <f ca="1">IF(NOTA[[#This Row],[ID_H]]="","",INDEX(NOTA[NO.NOTA],MATCH(NOTA[[#This Row],[ID_H]],NOTA[ID_H],0)))</f>
        <v>2406079</v>
      </c>
      <c r="AJ35" s="38" t="str">
        <f ca="1">IF(NOTA[[#This Row],[NAMA BARANG]]="","",INDEX(NOTA[SUPPLIER],MATCH(,INDIRECT(ADDRESS(ROW(NOTA[ID]),COLUMN(NOTA[ID]))&amp;":"&amp;ADDRESS(ROW(),COLUMN(NOTA[ID]))),-1)))</f>
        <v>D-R</v>
      </c>
      <c r="AK35" s="38" t="str">
        <f ca="1">IF(NOTA[[#This Row],[ID_H]]="","",IF(NOTA[[#This Row],[FAKTUR]]="",INDIRECT(ADDRESS(ROW()-1,COLUMN())),NOTA[[#This Row],[FAKTUR]]))</f>
        <v>UNTANA</v>
      </c>
      <c r="AL35" s="35" t="str">
        <f ca="1">IF(NOTA[[#This Row],[ID]]="","",COUNTIF(NOTA[ID_H],NOTA[[#This Row],[ID_H]]))</f>
        <v/>
      </c>
      <c r="AM35" s="35">
        <f ca="1">IF(NOTA[[#This Row],[TGL.NOTA]]="",IF(NOTA[[#This Row],[SUPPLIER_H]]="","",AM34),MONTH(NOTA[[#This Row],[TGL.NOTA]]))</f>
        <v>6</v>
      </c>
      <c r="AN35" s="35" t="str">
        <f>LOWER(SUBSTITUTE(SUBSTITUTE(SUBSTITUTE(SUBSTITUTE(SUBSTITUTE(SUBSTITUTE(SUBSTITUTE(SUBSTITUTE(SUBSTITUTE(NOTA[[#This Row],[NAMA BARANG]]," ",),".",""),"-",""),"(",""),")",""),",",""),"/",""),"""",""),"+",""))</f>
        <v>cuttertaco78kecil</v>
      </c>
      <c r="AO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cuttertaco78kecil24000001</v>
      </c>
      <c r="AP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cuttertaco78kecil24000001</v>
      </c>
      <c r="AQ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" s="35">
        <f>IF(NOTA[[#This Row],[CONCAT1]]="","",MATCH(NOTA[[#This Row],[CONCAT1]],[3]!db[NB NOTA_C],0))</f>
        <v>809</v>
      </c>
      <c r="AS35" s="35" t="b">
        <f>IF(NOTA[[#This Row],[Column5]]="","",TRUE)</f>
        <v>1</v>
      </c>
      <c r="AT35" s="35" t="str">
        <f ca="1">IF(NOTA[[#This Row],[ID_H]]="","",IF(NOTA[[#This Row],[Column3]]=TRUE,NOTA[[#This Row],[Column5]],INDEX([3]!db[QTY/ CTN],NOTA[[#This Row],[//DB]])))</f>
        <v>120 LSN</v>
      </c>
      <c r="AU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cuttertaco78kecil120lsnuntana</v>
      </c>
      <c r="AV35" s="35">
        <f ca="1">IF(NOTA[[#This Row],[ID_H]]="","",MATCH(NOTA[[#This Row],[NB NOTA_C_QTY]],[3]!db[NB NOTA_C_QTY+F],0))</f>
        <v>809</v>
      </c>
      <c r="AW35" s="43">
        <f ca="1">IF(NOTA[[#This Row],[NB NOTA_C_QTY]]="","",ROW()-2)</f>
        <v>33</v>
      </c>
    </row>
    <row r="36" spans="1:49" ht="20.100000000000001" customHeight="1">
      <c r="A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5" t="str">
        <f ca="1">IF(NOTA[[#This Row],[NAMA BARANG]]="","",INDEX(NOTA[ID],MATCH(,INDIRECT(ADDRESS(ROW(NOTA[ID]),COLUMN(NOTA[ID]))&amp;":"&amp;ADDRESS(ROW(),COLUMN(NOTA[ID]))),-1)))</f>
        <v/>
      </c>
      <c r="C36" s="45"/>
      <c r="F36" s="46"/>
      <c r="G36" s="35"/>
      <c r="H36" s="36"/>
      <c r="I36" s="35"/>
      <c r="K36" s="37"/>
      <c r="L36" s="35"/>
      <c r="N36" s="38"/>
      <c r="O36" s="39"/>
      <c r="P36" s="47"/>
      <c r="Q36" s="48"/>
      <c r="R36" s="41"/>
      <c r="T36" s="42"/>
      <c r="U36" s="44"/>
      <c r="V36" s="42" t="str">
        <f>IF(NOTA[[#This Row],[HARGA/ CTN]]="",NOTA[[#This Row],[JUMLAH_H]],NOTA[[#This Row],[HARGA/ CTN]]*IF(NOTA[[#This Row],[C]]="",0,NOTA[[#This Row],[C]]))</f>
        <v/>
      </c>
      <c r="W36" s="42" t="str">
        <f>IF(NOTA[[#This Row],[JUMLAH]]="","",NOTA[[#This Row],[JUMLAH]]*NOTA[[#This Row],[Column6]])</f>
        <v/>
      </c>
      <c r="X36" s="42" t="str">
        <f>IF(NOTA[[#This Row],[JUMLAH]]="","",(NOTA[[#This Row],[JUMLAH]]-NOTA[[#This Row],[DISC 1-]])*NOTA[[#This Row],[Column7]])</f>
        <v/>
      </c>
      <c r="Y36" s="42" t="str">
        <f>IF(NOTA[[#This Row],[JUMLAH]]="","",(NOTA[[#This Row],[JUMLAH]]-NOTA[[#This Row],[DISC 1-]]-NOTA[[#This Row],[DISC 2-]])*NOTA[[#This Row],[Column8]])</f>
        <v/>
      </c>
      <c r="Z36" s="42" t="str">
        <f>IF(NOTA[[#This Row],[JUMLAH]]="","",NOTA[[#This Row],[DISC 1-]]+NOTA[[#This Row],[DISC 2-]]+NOTA[[#This Row],[DISC 3-]])</f>
        <v/>
      </c>
      <c r="AA36" s="42" t="str">
        <f>IF(NOTA[[#This Row],[JUMLAH]]="","",NOTA[[#This Row],[JUMLAH]]-NOTA[[#This Row],[DISC]])</f>
        <v/>
      </c>
      <c r="AB36" s="42"/>
      <c r="AC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" s="42" t="str">
        <f>IF(OR(NOTA[[#This Row],[QTY]]="",NOTA[[#This Row],[HARGA SATUAN]]="",),"",NOTA[[#This Row],[QTY]]*NOTA[[#This Row],[HARGA SATUAN]])</f>
        <v/>
      </c>
      <c r="AG36" s="36" t="str">
        <f ca="1">IF(NOTA[[#This Row],[ID_H]]="","",INDEX(NOTA[TANGGAL],MATCH(,INDIRECT(ADDRESS(ROW(NOTA[TANGGAL]),COLUMN(NOTA[TANGGAL]))&amp;":"&amp;ADDRESS(ROW(),COLUMN(NOTA[TANGGAL]))),-1)))</f>
        <v/>
      </c>
      <c r="AH36" s="36" t="str">
        <f ca="1">IF(NOTA[[#This Row],[ID_H]]="","",INDEX(NOTA[TGL.NOTA],MATCH(,INDIRECT(ADDRESS(ROW(NOTA[TGL.NOTA]),COLUMN(NOTA[TGL.NOTA]))&amp;":"&amp;ADDRESS(ROW(),COLUMN(NOTA[TGL.NOTA]))),-1)))</f>
        <v/>
      </c>
      <c r="AI36" s="36" t="str">
        <f ca="1">IF(NOTA[[#This Row],[ID_H]]="","",INDEX(NOTA[NO.NOTA],MATCH(NOTA[[#This Row],[ID_H]],NOTA[ID_H],0)))</f>
        <v/>
      </c>
      <c r="AJ36" s="38" t="str">
        <f ca="1">IF(NOTA[[#This Row],[NAMA BARANG]]="","",INDEX(NOTA[SUPPLIER],MATCH(,INDIRECT(ADDRESS(ROW(NOTA[ID]),COLUMN(NOTA[ID]))&amp;":"&amp;ADDRESS(ROW(),COLUMN(NOTA[ID]))),-1)))</f>
        <v/>
      </c>
      <c r="AK36" s="38" t="str">
        <f ca="1">IF(NOTA[[#This Row],[ID_H]]="","",IF(NOTA[[#This Row],[FAKTUR]]="",INDIRECT(ADDRESS(ROW()-1,COLUMN())),NOTA[[#This Row],[FAKTUR]]))</f>
        <v/>
      </c>
      <c r="AL36" s="35" t="str">
        <f ca="1">IF(NOTA[[#This Row],[ID]]="","",COUNTIF(NOTA[ID_H],NOTA[[#This Row],[ID_H]]))</f>
        <v/>
      </c>
      <c r="AM36" s="35" t="str">
        <f ca="1">IF(NOTA[[#This Row],[TGL.NOTA]]="",IF(NOTA[[#This Row],[SUPPLIER_H]]="","",AM35),MONTH(NOTA[[#This Row],[TGL.NOTA]]))</f>
        <v/>
      </c>
      <c r="AN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" s="35" t="str">
        <f>IF(NOTA[[#This Row],[CONCAT1]]="","",MATCH(NOTA[[#This Row],[CONCAT1]],[3]!db[NB NOTA_C],0))</f>
        <v/>
      </c>
      <c r="AS36" s="35" t="str">
        <f>IF(NOTA[[#This Row],[Column5]]="","",TRUE)</f>
        <v/>
      </c>
      <c r="AT36" s="35" t="str">
        <f ca="1">IF(NOTA[[#This Row],[ID_H]]="","",IF(NOTA[[#This Row],[Column3]]=TRUE,NOTA[[#This Row],[Column5]],INDEX([3]!db[QTY/ CTN],NOTA[[#This Row],[//DB]])))</f>
        <v/>
      </c>
      <c r="AU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" s="35" t="str">
        <f ca="1">IF(NOTA[[#This Row],[ID_H]]="","",MATCH(NOTA[[#This Row],[NB NOTA_C_QTY]],[3]!db[NB NOTA_C_QTY+F],0))</f>
        <v/>
      </c>
      <c r="AW36" s="43" t="str">
        <f ca="1">IF(NOTA[[#This Row],[NB NOTA_C_QTY]]="","",ROW()-2)</f>
        <v/>
      </c>
    </row>
    <row r="37" spans="1:49" ht="20.100000000000001" customHeight="1">
      <c r="A37" s="38">
        <f ca="1">IF(INDIRECT(ADDRESS(ROW()-1,COLUMN(NOTA[[#Headers],[ID]])))="ID",1,IF(NOTA[[#This Row],[FAKTUR]]="","",COUNT(INDIRECT(ADDRESS(ROW(NOTA[ID]),COLUMN(NOTA[ID]))&amp;":"&amp;ADDRESS(ROW()-1,COLUMN(NOTA[ID]))))+1))</f>
        <v>10</v>
      </c>
      <c r="B37" s="35">
        <f ca="1">IF(NOTA[[#This Row],[NAMA BARANG]]="","",INDEX(NOTA[ID],MATCH(,INDIRECT(ADDRESS(ROW(NOTA[ID]),COLUMN(NOTA[ID]))&amp;":"&amp;ADDRESS(ROW(),COLUMN(NOTA[ID]))),-1)))</f>
        <v>10</v>
      </c>
      <c r="C37" s="45"/>
      <c r="D37" s="35" t="s">
        <v>77</v>
      </c>
      <c r="E37" s="35" t="s">
        <v>49</v>
      </c>
      <c r="F37" s="46" t="s">
        <v>112</v>
      </c>
      <c r="G37" s="35"/>
      <c r="H37" s="36">
        <v>45474</v>
      </c>
      <c r="I37" s="35"/>
      <c r="J37" s="35" t="s">
        <v>113</v>
      </c>
      <c r="K37" s="37"/>
      <c r="L37" s="35">
        <v>8</v>
      </c>
      <c r="M37" s="35" t="s">
        <v>50</v>
      </c>
      <c r="N37" s="38">
        <v>195000</v>
      </c>
      <c r="O37" s="39"/>
      <c r="P37" s="47" t="s">
        <v>78</v>
      </c>
      <c r="Q37" s="48"/>
      <c r="R37" s="41"/>
      <c r="T37" s="42"/>
      <c r="U37" s="44"/>
      <c r="V37" s="42">
        <f>IF(NOTA[[#This Row],[HARGA/ CTN]]="",NOTA[[#This Row],[JUMLAH_H]],NOTA[[#This Row],[HARGA/ CTN]]*IF(NOTA[[#This Row],[C]]="",0,NOTA[[#This Row],[C]]))</f>
        <v>1560000</v>
      </c>
      <c r="W37" s="42">
        <f>IF(NOTA[[#This Row],[JUMLAH]]="","",NOTA[[#This Row],[JUMLAH]]*NOTA[[#This Row],[Column6]])</f>
        <v>0</v>
      </c>
      <c r="X37" s="42">
        <f>IF(NOTA[[#This Row],[JUMLAH]]="","",(NOTA[[#This Row],[JUMLAH]]-NOTA[[#This Row],[DISC 1-]])*NOTA[[#This Row],[Column7]])</f>
        <v>0</v>
      </c>
      <c r="Y37" s="42">
        <f>IF(NOTA[[#This Row],[JUMLAH]]="","",(NOTA[[#This Row],[JUMLAH]]-NOTA[[#This Row],[DISC 1-]]-NOTA[[#This Row],[DISC 2-]])*NOTA[[#This Row],[Column8]])</f>
        <v>0</v>
      </c>
      <c r="Z37" s="42">
        <f>IF(NOTA[[#This Row],[JUMLAH]]="","",NOTA[[#This Row],[DISC 1-]]+NOTA[[#This Row],[DISC 2-]]+NOTA[[#This Row],[DISC 3-]])</f>
        <v>0</v>
      </c>
      <c r="AA37" s="42">
        <f>IF(NOTA[[#This Row],[JUMLAH]]="","",NOTA[[#This Row],[JUMLAH]]-NOTA[[#This Row],[DISC]])</f>
        <v>1560000</v>
      </c>
      <c r="AB37" s="42"/>
      <c r="AC3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3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1560000</v>
      </c>
      <c r="AE37" s="3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37" s="42">
        <f>IF(OR(NOTA[[#This Row],[QTY]]="",NOTA[[#This Row],[HARGA SATUAN]]="",),"",NOTA[[#This Row],[QTY]]*NOTA[[#This Row],[HARGA SATUAN]])</f>
        <v>1560000</v>
      </c>
      <c r="AG37" s="36">
        <f ca="1">IF(NOTA[[#This Row],[ID_H]]="","",INDEX(NOTA[TANGGAL],MATCH(,INDIRECT(ADDRESS(ROW(NOTA[TANGGAL]),COLUMN(NOTA[TANGGAL]))&amp;":"&amp;ADDRESS(ROW(),COLUMN(NOTA[TANGGAL]))),-1)))</f>
        <v>45474</v>
      </c>
      <c r="AH37" s="36">
        <f ca="1">IF(NOTA[[#This Row],[ID_H]]="","",INDEX(NOTA[TGL.NOTA],MATCH(,INDIRECT(ADDRESS(ROW(NOTA[TGL.NOTA]),COLUMN(NOTA[TGL.NOTA]))&amp;":"&amp;ADDRESS(ROW(),COLUMN(NOTA[TGL.NOTA]))),-1)))</f>
        <v>45474</v>
      </c>
      <c r="AI37" s="36" t="str">
        <f ca="1">IF(NOTA[[#This Row],[ID_H]]="","",INDEX(NOTA[NO.NOTA],MATCH(NOTA[[#This Row],[ID_H]],NOTA[ID_H],0)))</f>
        <v>0702</v>
      </c>
      <c r="AJ37" s="38" t="str">
        <f ca="1">IF(NOTA[[#This Row],[NAMA BARANG]]="","",INDEX(NOTA[SUPPLIER],MATCH(,INDIRECT(ADDRESS(ROW(NOTA[ID]),COLUMN(NOTA[ID]))&amp;":"&amp;ADDRESS(ROW(),COLUMN(NOTA[ID]))),-1)))</f>
        <v>COMBI</v>
      </c>
      <c r="AK37" s="38" t="str">
        <f ca="1">IF(NOTA[[#This Row],[ID_H]]="","",IF(NOTA[[#This Row],[FAKTUR]]="",INDIRECT(ADDRESS(ROW()-1,COLUMN())),NOTA[[#This Row],[FAKTUR]]))</f>
        <v>UNTANA</v>
      </c>
      <c r="AL37" s="35">
        <f ca="1">IF(NOTA[[#This Row],[ID]]="","",COUNTIF(NOTA[ID_H],NOTA[[#This Row],[ID_H]]))</f>
        <v>1</v>
      </c>
      <c r="AM37" s="35">
        <f>IF(NOTA[[#This Row],[TGL.NOTA]]="",IF(NOTA[[#This Row],[SUPPLIER_H]]="","",AM36),MONTH(NOTA[[#This Row],[TGL.NOTA]]))</f>
        <v>7</v>
      </c>
      <c r="AN37" s="35" t="str">
        <f>LOWER(SUBSTITUTE(SUBSTITUTE(SUBSTITUTE(SUBSTITUTE(SUBSTITUTE(SUBSTITUTE(SUBSTITUTE(SUBSTITUTE(SUBSTITUTE(NOTA[[#This Row],[NAMA BARANG]]," ",),".",""),"-",""),"(",""),")",""),",",""),"/",""),"""",""),"+",""))</f>
        <v>docritprestigehijau</v>
      </c>
      <c r="AO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docritprestigehijau1560000</v>
      </c>
      <c r="AP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docritprestigehijau195000</v>
      </c>
      <c r="AQ37" s="35" t="str">
        <f>IF(NOTA[[#This Row],[SUPPLIER]]="","",NOTA[[#This Row],[SUPPLIER]]&amp;NOTA[[#This Row],[FAKTUR]]&amp;NOTA[[#This Row],[NO.NOTA]]&amp;NOTA[[#This Row],[NO.SJ]]&amp;NOTA[[#This Row],[TGL.NOTA]]&amp;NOTA[[#This Row],[CONCAT1]])</f>
        <v>COMBIUNTANA070245474docritprestigehijau</v>
      </c>
      <c r="AR37" s="35">
        <f>IF(NOTA[[#This Row],[CONCAT1]]="","",MATCH(NOTA[[#This Row],[CONCAT1]],[3]!db[NB NOTA_C],0))</f>
        <v>877</v>
      </c>
      <c r="AS37" s="35" t="b">
        <f>IF(NOTA[[#This Row],[Column5]]="","",TRUE)</f>
        <v>1</v>
      </c>
      <c r="AT37" s="35" t="str">
        <f ca="1">IF(NOTA[[#This Row],[ID_H]]="","",IF(NOTA[[#This Row],[Column3]]=TRUE,NOTA[[#This Row],[Column5]],INDEX([3]!db[QTY/ CTN],NOTA[[#This Row],[//DB]])))</f>
        <v>8 LSN</v>
      </c>
      <c r="AU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docritprestigehijau8lsnuntana</v>
      </c>
      <c r="AV37" s="35">
        <f ca="1">IF(NOTA[[#This Row],[ID_H]]="","",MATCH(NOTA[[#This Row],[NB NOTA_C_QTY]],[3]!db[NB NOTA_C_QTY+F],0))</f>
        <v>877</v>
      </c>
      <c r="AW37" s="43">
        <f ca="1">IF(NOTA[[#This Row],[NB NOTA_C_QTY]]="","",ROW()-2)</f>
        <v>35</v>
      </c>
    </row>
    <row r="38" spans="1:49" ht="20.100000000000001" customHeight="1">
      <c r="A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5" t="str">
        <f ca="1">IF(NOTA[[#This Row],[NAMA BARANG]]="","",INDEX(NOTA[ID],MATCH(,INDIRECT(ADDRESS(ROW(NOTA[ID]),COLUMN(NOTA[ID]))&amp;":"&amp;ADDRESS(ROW(),COLUMN(NOTA[ID]))),-1)))</f>
        <v/>
      </c>
      <c r="C38" s="45"/>
      <c r="F38" s="46"/>
      <c r="G38" s="35"/>
      <c r="H38" s="36"/>
      <c r="I38" s="35"/>
      <c r="K38" s="37"/>
      <c r="L38" s="35"/>
      <c r="N38" s="38"/>
      <c r="O38" s="39"/>
      <c r="P38" s="47"/>
      <c r="Q38" s="48"/>
      <c r="R38" s="41"/>
      <c r="T38" s="42"/>
      <c r="U38" s="44"/>
      <c r="V38" s="42" t="str">
        <f>IF(NOTA[[#This Row],[HARGA/ CTN]]="",NOTA[[#This Row],[JUMLAH_H]],NOTA[[#This Row],[HARGA/ CTN]]*IF(NOTA[[#This Row],[C]]="",0,NOTA[[#This Row],[C]]))</f>
        <v/>
      </c>
      <c r="W38" s="42" t="str">
        <f>IF(NOTA[[#This Row],[JUMLAH]]="","",NOTA[[#This Row],[JUMLAH]]*NOTA[[#This Row],[Column6]])</f>
        <v/>
      </c>
      <c r="X38" s="42" t="str">
        <f>IF(NOTA[[#This Row],[JUMLAH]]="","",(NOTA[[#This Row],[JUMLAH]]-NOTA[[#This Row],[DISC 1-]])*NOTA[[#This Row],[Column7]])</f>
        <v/>
      </c>
      <c r="Y38" s="42" t="str">
        <f>IF(NOTA[[#This Row],[JUMLAH]]="","",(NOTA[[#This Row],[JUMLAH]]-NOTA[[#This Row],[DISC 1-]]-NOTA[[#This Row],[DISC 2-]])*NOTA[[#This Row],[Column8]])</f>
        <v/>
      </c>
      <c r="Z38" s="42" t="str">
        <f>IF(NOTA[[#This Row],[JUMLAH]]="","",NOTA[[#This Row],[DISC 1-]]+NOTA[[#This Row],[DISC 2-]]+NOTA[[#This Row],[DISC 3-]])</f>
        <v/>
      </c>
      <c r="AA38" s="42" t="str">
        <f>IF(NOTA[[#This Row],[JUMLAH]]="","",NOTA[[#This Row],[JUMLAH]]-NOTA[[#This Row],[DISC]])</f>
        <v/>
      </c>
      <c r="AB38" s="42"/>
      <c r="AC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" s="42" t="str">
        <f>IF(OR(NOTA[[#This Row],[QTY]]="",NOTA[[#This Row],[HARGA SATUAN]]="",),"",NOTA[[#This Row],[QTY]]*NOTA[[#This Row],[HARGA SATUAN]])</f>
        <v/>
      </c>
      <c r="AG38" s="36" t="str">
        <f ca="1">IF(NOTA[[#This Row],[ID_H]]="","",INDEX(NOTA[TANGGAL],MATCH(,INDIRECT(ADDRESS(ROW(NOTA[TANGGAL]),COLUMN(NOTA[TANGGAL]))&amp;":"&amp;ADDRESS(ROW(),COLUMN(NOTA[TANGGAL]))),-1)))</f>
        <v/>
      </c>
      <c r="AH38" s="36" t="str">
        <f ca="1">IF(NOTA[[#This Row],[ID_H]]="","",INDEX(NOTA[TGL.NOTA],MATCH(,INDIRECT(ADDRESS(ROW(NOTA[TGL.NOTA]),COLUMN(NOTA[TGL.NOTA]))&amp;":"&amp;ADDRESS(ROW(),COLUMN(NOTA[TGL.NOTA]))),-1)))</f>
        <v/>
      </c>
      <c r="AI38" s="36" t="str">
        <f ca="1">IF(NOTA[[#This Row],[ID_H]]="","",INDEX(NOTA[NO.NOTA],MATCH(NOTA[[#This Row],[ID_H]],NOTA[ID_H],0)))</f>
        <v/>
      </c>
      <c r="AJ38" s="38" t="str">
        <f ca="1">IF(NOTA[[#This Row],[NAMA BARANG]]="","",INDEX(NOTA[SUPPLIER],MATCH(,INDIRECT(ADDRESS(ROW(NOTA[ID]),COLUMN(NOTA[ID]))&amp;":"&amp;ADDRESS(ROW(),COLUMN(NOTA[ID]))),-1)))</f>
        <v/>
      </c>
      <c r="AK38" s="38" t="str">
        <f ca="1">IF(NOTA[[#This Row],[ID_H]]="","",IF(NOTA[[#This Row],[FAKTUR]]="",INDIRECT(ADDRESS(ROW()-1,COLUMN())),NOTA[[#This Row],[FAKTUR]]))</f>
        <v/>
      </c>
      <c r="AL38" s="35" t="str">
        <f ca="1">IF(NOTA[[#This Row],[ID]]="","",COUNTIF(NOTA[ID_H],NOTA[[#This Row],[ID_H]]))</f>
        <v/>
      </c>
      <c r="AM38" s="35" t="str">
        <f ca="1">IF(NOTA[[#This Row],[TGL.NOTA]]="",IF(NOTA[[#This Row],[SUPPLIER_H]]="","",AM37),MONTH(NOTA[[#This Row],[TGL.NOTA]]))</f>
        <v/>
      </c>
      <c r="AN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" s="35" t="str">
        <f>IF(NOTA[[#This Row],[CONCAT1]]="","",MATCH(NOTA[[#This Row],[CONCAT1]],[3]!db[NB NOTA_C],0))</f>
        <v/>
      </c>
      <c r="AS38" s="35" t="str">
        <f>IF(NOTA[[#This Row],[Column5]]="","",TRUE)</f>
        <v/>
      </c>
      <c r="AT38" s="35" t="str">
        <f ca="1">IF(NOTA[[#This Row],[ID_H]]="","",IF(NOTA[[#This Row],[Column3]]=TRUE,NOTA[[#This Row],[Column5]],INDEX([3]!db[QTY/ CTN],NOTA[[#This Row],[//DB]])))</f>
        <v/>
      </c>
      <c r="AU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" s="35" t="str">
        <f ca="1">IF(NOTA[[#This Row],[ID_H]]="","",MATCH(NOTA[[#This Row],[NB NOTA_C_QTY]],[3]!db[NB NOTA_C_QTY+F],0))</f>
        <v/>
      </c>
      <c r="AW38" s="43" t="str">
        <f ca="1">IF(NOTA[[#This Row],[NB NOTA_C_QTY]]="","",ROW()-2)</f>
        <v/>
      </c>
    </row>
    <row r="39" spans="1:49" ht="20.100000000000001" customHeight="1">
      <c r="A39" s="38">
        <f ca="1">IF(INDIRECT(ADDRESS(ROW()-1,COLUMN(NOTA[[#Headers],[ID]])))="ID",1,IF(NOTA[[#This Row],[FAKTUR]]="","",COUNT(INDIRECT(ADDRESS(ROW(NOTA[ID]),COLUMN(NOTA[ID]))&amp;":"&amp;ADDRESS(ROW()-1,COLUMN(NOTA[ID]))))+1))</f>
        <v>11</v>
      </c>
      <c r="B39" s="35">
        <f ca="1">IF(NOTA[[#This Row],[NAMA BARANG]]="","",INDEX(NOTA[ID],MATCH(,INDIRECT(ADDRESS(ROW(NOTA[ID]),COLUMN(NOTA[ID]))&amp;":"&amp;ADDRESS(ROW(),COLUMN(NOTA[ID]))),-1)))</f>
        <v>11</v>
      </c>
      <c r="C39" s="45">
        <v>45477</v>
      </c>
      <c r="D39" s="35" t="s">
        <v>191</v>
      </c>
      <c r="E39" s="35" t="s">
        <v>49</v>
      </c>
      <c r="F39" s="46" t="s">
        <v>192</v>
      </c>
      <c r="G39" s="35"/>
      <c r="H39" s="36">
        <v>45477</v>
      </c>
      <c r="I39" s="35"/>
      <c r="J39" s="35" t="s">
        <v>193</v>
      </c>
      <c r="K39" s="37"/>
      <c r="L39" s="35">
        <v>7</v>
      </c>
      <c r="M39" s="35" t="s">
        <v>50</v>
      </c>
      <c r="N39" s="38">
        <v>161000</v>
      </c>
      <c r="O39" s="39"/>
      <c r="P39" s="47"/>
      <c r="Q39" s="48">
        <v>0.05</v>
      </c>
      <c r="R39" s="41"/>
      <c r="T39" s="42"/>
      <c r="U39" s="44" t="s">
        <v>194</v>
      </c>
      <c r="V39" s="42">
        <f>IF(NOTA[[#This Row],[HARGA/ CTN]]="",NOTA[[#This Row],[JUMLAH_H]],NOTA[[#This Row],[HARGA/ CTN]]*IF(NOTA[[#This Row],[C]]="",0,NOTA[[#This Row],[C]]))</f>
        <v>1127000</v>
      </c>
      <c r="W39" s="42">
        <f>IF(NOTA[[#This Row],[JUMLAH]]="","",NOTA[[#This Row],[JUMLAH]]*NOTA[[#This Row],[Column6]])</f>
        <v>56350</v>
      </c>
      <c r="X39" s="42">
        <f>IF(NOTA[[#This Row],[JUMLAH]]="","",(NOTA[[#This Row],[JUMLAH]]-NOTA[[#This Row],[DISC 1-]])*NOTA[[#This Row],[Column7]])</f>
        <v>0</v>
      </c>
      <c r="Y39" s="42">
        <f>IF(NOTA[[#This Row],[JUMLAH]]="","",(NOTA[[#This Row],[JUMLAH]]-NOTA[[#This Row],[DISC 1-]]-NOTA[[#This Row],[DISC 2-]])*NOTA[[#This Row],[Column8]])</f>
        <v>0</v>
      </c>
      <c r="Z39" s="42">
        <f>IF(NOTA[[#This Row],[JUMLAH]]="","",NOTA[[#This Row],[DISC 1-]]+NOTA[[#This Row],[DISC 2-]]+NOTA[[#This Row],[DISC 3-]])</f>
        <v>56350</v>
      </c>
      <c r="AA39" s="42">
        <f>IF(NOTA[[#This Row],[JUMLAH]]="","",NOTA[[#This Row],[JUMLAH]]-NOTA[[#This Row],[DISC]])</f>
        <v>1070650</v>
      </c>
      <c r="AB39" s="42"/>
      <c r="AC3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56350</v>
      </c>
      <c r="AD3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1070650</v>
      </c>
      <c r="AE39" s="38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39" s="42">
        <f>IF(OR(NOTA[[#This Row],[QTY]]="",NOTA[[#This Row],[HARGA SATUAN]]="",),"",NOTA[[#This Row],[QTY]]*NOTA[[#This Row],[HARGA SATUAN]])</f>
        <v>1127000</v>
      </c>
      <c r="AG39" s="36">
        <f ca="1">IF(NOTA[[#This Row],[ID_H]]="","",INDEX(NOTA[TANGGAL],MATCH(,INDIRECT(ADDRESS(ROW(NOTA[TANGGAL]),COLUMN(NOTA[TANGGAL]))&amp;":"&amp;ADDRESS(ROW(),COLUMN(NOTA[TANGGAL]))),-1)))</f>
        <v>45477</v>
      </c>
      <c r="AH39" s="36">
        <f ca="1">IF(NOTA[[#This Row],[ID_H]]="","",INDEX(NOTA[TGL.NOTA],MATCH(,INDIRECT(ADDRESS(ROW(NOTA[TGL.NOTA]),COLUMN(NOTA[TGL.NOTA]))&amp;":"&amp;ADDRESS(ROW(),COLUMN(NOTA[TGL.NOTA]))),-1)))</f>
        <v>45477</v>
      </c>
      <c r="AI39" s="36" t="str">
        <f ca="1">IF(NOTA[[#This Row],[ID_H]]="","",INDEX(NOTA[NO.NOTA],MATCH(NOTA[[#This Row],[ID_H]],NOTA[ID_H],0)))</f>
        <v>014</v>
      </c>
      <c r="AJ39" s="38" t="str">
        <f ca="1">IF(NOTA[[#This Row],[NAMA BARANG]]="","",INDEX(NOTA[SUPPLIER],MATCH(,INDIRECT(ADDRESS(ROW(NOTA[ID]),COLUMN(NOTA[ID]))&amp;":"&amp;ADDRESS(ROW(),COLUMN(NOTA[ID]))),-1)))</f>
        <v>GLORY</v>
      </c>
      <c r="AK39" s="38" t="str">
        <f ca="1">IF(NOTA[[#This Row],[ID_H]]="","",IF(NOTA[[#This Row],[FAKTUR]]="",INDIRECT(ADDRESS(ROW()-1,COLUMN())),NOTA[[#This Row],[FAKTUR]]))</f>
        <v>UNTANA</v>
      </c>
      <c r="AL39" s="35">
        <f ca="1">IF(NOTA[[#This Row],[ID]]="","",COUNTIF(NOTA[ID_H],NOTA[[#This Row],[ID_H]]))</f>
        <v>1</v>
      </c>
      <c r="AM39" s="35">
        <f>IF(NOTA[[#This Row],[TGL.NOTA]]="",IF(NOTA[[#This Row],[SUPPLIER_H]]="","",AM38),MONTH(NOTA[[#This Row],[TGL.NOTA]]))</f>
        <v>7</v>
      </c>
      <c r="AN39" s="35" t="str">
        <f>LOWER(SUBSTITUTE(SUBSTITUTE(SUBSTITUTE(SUBSTITUTE(SUBSTITUTE(SUBSTITUTE(SUBSTITUTE(SUBSTITUTE(SUBSTITUTE(NOTA[[#This Row],[NAMA BARANG]]," ",),".",""),"-",""),"(",""),")",""),",",""),"/",""),"""",""),"+",""))</f>
        <v>btbatik</v>
      </c>
      <c r="AO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btbatik11270000,05</v>
      </c>
      <c r="AP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btbatik1610000,05</v>
      </c>
      <c r="AQ39" s="35" t="str">
        <f>IF(NOTA[[#This Row],[SUPPLIER]]="","",NOTA[[#This Row],[SUPPLIER]]&amp;NOTA[[#This Row],[FAKTUR]]&amp;NOTA[[#This Row],[NO.NOTA]]&amp;NOTA[[#This Row],[NO.SJ]]&amp;NOTA[[#This Row],[TGL.NOTA]]&amp;NOTA[[#This Row],[CONCAT1]])</f>
        <v>GLORYUNTANA01445477btbatik</v>
      </c>
      <c r="AR39" s="35">
        <f>IF(NOTA[[#This Row],[CONCAT1]]="","",MATCH(NOTA[[#This Row],[CONCAT1]],[3]!db[NB NOTA_C],0))</f>
        <v>519</v>
      </c>
      <c r="AS39" s="35" t="str">
        <f>IF(NOTA[[#This Row],[Column5]]="","",TRUE)</f>
        <v/>
      </c>
      <c r="AT39" s="35" t="str">
        <f ca="1">IF(NOTA[[#This Row],[ID_H]]="","",IF(NOTA[[#This Row],[Column3]]=TRUE,NOTA[[#This Row],[Column5]],INDEX([3]!db[QTY/ CTN],NOTA[[#This Row],[//DB]])))</f>
        <v>7 LSN</v>
      </c>
      <c r="AU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V39" s="35">
        <f ca="1">IF(NOTA[[#This Row],[ID_H]]="","",MATCH(NOTA[[#This Row],[NB NOTA_C_QTY]],[3]!db[NB NOTA_C_QTY+F],0))</f>
        <v>519</v>
      </c>
      <c r="AW39" s="43">
        <f ca="1">IF(NOTA[[#This Row],[NB NOTA_C_QTY]]="","",ROW()-2)</f>
        <v>37</v>
      </c>
    </row>
    <row r="40" spans="1:49" ht="20.100000000000001" customHeight="1">
      <c r="A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5" t="str">
        <f ca="1">IF(NOTA[[#This Row],[NAMA BARANG]]="","",INDEX(NOTA[ID],MATCH(,INDIRECT(ADDRESS(ROW(NOTA[ID]),COLUMN(NOTA[ID]))&amp;":"&amp;ADDRESS(ROW(),COLUMN(NOTA[ID]))),-1)))</f>
        <v/>
      </c>
      <c r="C40" s="45"/>
      <c r="F40" s="46"/>
      <c r="G40" s="35"/>
      <c r="H40" s="36"/>
      <c r="I40" s="35"/>
      <c r="K40" s="37"/>
      <c r="L40" s="35"/>
      <c r="N40" s="38"/>
      <c r="O40" s="39"/>
      <c r="P40" s="47"/>
      <c r="Q40" s="48"/>
      <c r="R40" s="41"/>
      <c r="T40" s="42"/>
      <c r="U40" s="44"/>
      <c r="V40" s="42" t="str">
        <f>IF(NOTA[[#This Row],[HARGA/ CTN]]="",NOTA[[#This Row],[JUMLAH_H]],NOTA[[#This Row],[HARGA/ CTN]]*IF(NOTA[[#This Row],[C]]="",0,NOTA[[#This Row],[C]]))</f>
        <v/>
      </c>
      <c r="W40" s="42" t="str">
        <f>IF(NOTA[[#This Row],[JUMLAH]]="","",NOTA[[#This Row],[JUMLAH]]*NOTA[[#This Row],[Column6]])</f>
        <v/>
      </c>
      <c r="X40" s="42" t="str">
        <f>IF(NOTA[[#This Row],[JUMLAH]]="","",(NOTA[[#This Row],[JUMLAH]]-NOTA[[#This Row],[DISC 1-]])*NOTA[[#This Row],[Column7]])</f>
        <v/>
      </c>
      <c r="Y40" s="42" t="str">
        <f>IF(NOTA[[#This Row],[JUMLAH]]="","",(NOTA[[#This Row],[JUMLAH]]-NOTA[[#This Row],[DISC 1-]]-NOTA[[#This Row],[DISC 2-]])*NOTA[[#This Row],[Column8]])</f>
        <v/>
      </c>
      <c r="Z40" s="42" t="str">
        <f>IF(NOTA[[#This Row],[JUMLAH]]="","",NOTA[[#This Row],[DISC 1-]]+NOTA[[#This Row],[DISC 2-]]+NOTA[[#This Row],[DISC 3-]])</f>
        <v/>
      </c>
      <c r="AA40" s="42" t="str">
        <f>IF(NOTA[[#This Row],[JUMLAH]]="","",NOTA[[#This Row],[JUMLAH]]-NOTA[[#This Row],[DISC]])</f>
        <v/>
      </c>
      <c r="AB40" s="42"/>
      <c r="AC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" s="42" t="str">
        <f>IF(OR(NOTA[[#This Row],[QTY]]="",NOTA[[#This Row],[HARGA SATUAN]]="",),"",NOTA[[#This Row],[QTY]]*NOTA[[#This Row],[HARGA SATUAN]])</f>
        <v/>
      </c>
      <c r="AG40" s="36" t="str">
        <f ca="1">IF(NOTA[[#This Row],[ID_H]]="","",INDEX(NOTA[TANGGAL],MATCH(,INDIRECT(ADDRESS(ROW(NOTA[TANGGAL]),COLUMN(NOTA[TANGGAL]))&amp;":"&amp;ADDRESS(ROW(),COLUMN(NOTA[TANGGAL]))),-1)))</f>
        <v/>
      </c>
      <c r="AH40" s="36" t="str">
        <f ca="1">IF(NOTA[[#This Row],[ID_H]]="","",INDEX(NOTA[TGL.NOTA],MATCH(,INDIRECT(ADDRESS(ROW(NOTA[TGL.NOTA]),COLUMN(NOTA[TGL.NOTA]))&amp;":"&amp;ADDRESS(ROW(),COLUMN(NOTA[TGL.NOTA]))),-1)))</f>
        <v/>
      </c>
      <c r="AI40" s="36" t="str">
        <f ca="1">IF(NOTA[[#This Row],[ID_H]]="","",INDEX(NOTA[NO.NOTA],MATCH(NOTA[[#This Row],[ID_H]],NOTA[ID_H],0)))</f>
        <v/>
      </c>
      <c r="AJ40" s="38" t="str">
        <f ca="1">IF(NOTA[[#This Row],[NAMA BARANG]]="","",INDEX(NOTA[SUPPLIER],MATCH(,INDIRECT(ADDRESS(ROW(NOTA[ID]),COLUMN(NOTA[ID]))&amp;":"&amp;ADDRESS(ROW(),COLUMN(NOTA[ID]))),-1)))</f>
        <v/>
      </c>
      <c r="AK40" s="38" t="str">
        <f ca="1">IF(NOTA[[#This Row],[ID_H]]="","",IF(NOTA[[#This Row],[FAKTUR]]="",INDIRECT(ADDRESS(ROW()-1,COLUMN())),NOTA[[#This Row],[FAKTUR]]))</f>
        <v/>
      </c>
      <c r="AL40" s="35" t="str">
        <f ca="1">IF(NOTA[[#This Row],[ID]]="","",COUNTIF(NOTA[ID_H],NOTA[[#This Row],[ID_H]]))</f>
        <v/>
      </c>
      <c r="AM40" s="35" t="str">
        <f ca="1">IF(NOTA[[#This Row],[TGL.NOTA]]="",IF(NOTA[[#This Row],[SUPPLIER_H]]="","",AM39),MONTH(NOTA[[#This Row],[TGL.NOTA]]))</f>
        <v/>
      </c>
      <c r="AN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" s="35" t="str">
        <f>IF(NOTA[[#This Row],[CONCAT1]]="","",MATCH(NOTA[[#This Row],[CONCAT1]],[3]!db[NB NOTA_C],0))</f>
        <v/>
      </c>
      <c r="AS40" s="35" t="str">
        <f>IF(NOTA[[#This Row],[Column5]]="","",TRUE)</f>
        <v/>
      </c>
      <c r="AT40" s="35" t="str">
        <f ca="1">IF(NOTA[[#This Row],[ID_H]]="","",IF(NOTA[[#This Row],[Column3]]=TRUE,NOTA[[#This Row],[Column5]],INDEX([3]!db[QTY/ CTN],NOTA[[#This Row],[//DB]])))</f>
        <v/>
      </c>
      <c r="AU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" s="35" t="str">
        <f ca="1">IF(NOTA[[#This Row],[ID_H]]="","",MATCH(NOTA[[#This Row],[NB NOTA_C_QTY]],[3]!db[NB NOTA_C_QTY+F],0))</f>
        <v/>
      </c>
      <c r="AW40" s="43" t="str">
        <f ca="1">IF(NOTA[[#This Row],[NB NOTA_C_QTY]]="","",ROW()-2)</f>
        <v/>
      </c>
    </row>
    <row r="41" spans="1:49" ht="20.100000000000001" customHeight="1">
      <c r="A41" s="38">
        <f ca="1">IF(INDIRECT(ADDRESS(ROW()-1,COLUMN(NOTA[[#Headers],[ID]])))="ID",1,IF(NOTA[[#This Row],[FAKTUR]]="","",COUNT(INDIRECT(ADDRESS(ROW(NOTA[ID]),COLUMN(NOTA[ID]))&amp;":"&amp;ADDRESS(ROW()-1,COLUMN(NOTA[ID]))))+1))</f>
        <v>12</v>
      </c>
      <c r="B41" s="35">
        <f ca="1">IF(NOTA[[#This Row],[NAMA BARANG]]="","",INDEX(NOTA[ID],MATCH(,INDIRECT(ADDRESS(ROW(NOTA[ID]),COLUMN(NOTA[ID]))&amp;":"&amp;ADDRESS(ROW(),COLUMN(NOTA[ID]))),-1)))</f>
        <v>12</v>
      </c>
      <c r="C41" s="45">
        <v>45478</v>
      </c>
      <c r="D41" s="35" t="s">
        <v>195</v>
      </c>
      <c r="E41" s="35" t="s">
        <v>49</v>
      </c>
      <c r="F41" s="35" t="s">
        <v>196</v>
      </c>
      <c r="G41" s="36"/>
      <c r="H41" s="36">
        <v>45475</v>
      </c>
      <c r="I41" s="35"/>
      <c r="J41" s="50" t="s">
        <v>197</v>
      </c>
      <c r="K41" s="37">
        <v>9</v>
      </c>
      <c r="L41" s="35">
        <v>405</v>
      </c>
      <c r="M41" s="35" t="s">
        <v>50</v>
      </c>
      <c r="N41" s="38">
        <v>27500</v>
      </c>
      <c r="O41" s="39"/>
      <c r="P41" s="47" t="s">
        <v>198</v>
      </c>
      <c r="Q41" s="48"/>
      <c r="R41" s="41"/>
      <c r="T41" s="42"/>
      <c r="U41" s="44"/>
      <c r="V41" s="42">
        <f>IF(NOTA[[#This Row],[HARGA/ CTN]]="",NOTA[[#This Row],[JUMLAH_H]],NOTA[[#This Row],[HARGA/ CTN]]*IF(NOTA[[#This Row],[C]]="",0,NOTA[[#This Row],[C]]))</f>
        <v>11137500</v>
      </c>
      <c r="W41" s="42">
        <f>IF(NOTA[[#This Row],[JUMLAH]]="","",NOTA[[#This Row],[JUMLAH]]*NOTA[[#This Row],[Column6]])</f>
        <v>0</v>
      </c>
      <c r="X41" s="42">
        <f>IF(NOTA[[#This Row],[JUMLAH]]="","",(NOTA[[#This Row],[JUMLAH]]-NOTA[[#This Row],[DISC 1-]])*NOTA[[#This Row],[Column7]])</f>
        <v>0</v>
      </c>
      <c r="Y41" s="42">
        <f>IF(NOTA[[#This Row],[JUMLAH]]="","",(NOTA[[#This Row],[JUMLAH]]-NOTA[[#This Row],[DISC 1-]]-NOTA[[#This Row],[DISC 2-]])*NOTA[[#This Row],[Column8]])</f>
        <v>0</v>
      </c>
      <c r="Z41" s="42">
        <f>IF(NOTA[[#This Row],[JUMLAH]]="","",NOTA[[#This Row],[DISC 1-]]+NOTA[[#This Row],[DISC 2-]]+NOTA[[#This Row],[DISC 3-]])</f>
        <v>0</v>
      </c>
      <c r="AA41" s="42">
        <f>IF(NOTA[[#This Row],[JUMLAH]]="","",NOTA[[#This Row],[JUMLAH]]-NOTA[[#This Row],[DISC]])</f>
        <v>11137500</v>
      </c>
      <c r="AB41" s="42"/>
      <c r="AC4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4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11137500</v>
      </c>
      <c r="AE41" s="38">
        <f>IF(NOTA[[#This Row],[NAMA BARANG]]="","",IF(NOTA[[#This Row],[JUMLAH_H]]="",NOTA[[#This Row],[HARGA/ CTN]],NOTA[[#This Row],[QTY]]*NOTA[[#This Row],[HARGA SATUAN]]/IF(ISNUMBER(NOTA[[#This Row],[C]]),NOTA[[#This Row],[C]],1)))</f>
        <v>1237500</v>
      </c>
      <c r="AF41" s="42">
        <f>IF(OR(NOTA[[#This Row],[QTY]]="",NOTA[[#This Row],[HARGA SATUAN]]="",),"",NOTA[[#This Row],[QTY]]*NOTA[[#This Row],[HARGA SATUAN]])</f>
        <v>11137500</v>
      </c>
      <c r="AG41" s="36">
        <f ca="1">IF(NOTA[[#This Row],[ID_H]]="","",INDEX(NOTA[TANGGAL],MATCH(,INDIRECT(ADDRESS(ROW(NOTA[TANGGAL]),COLUMN(NOTA[TANGGAL]))&amp;":"&amp;ADDRESS(ROW(),COLUMN(NOTA[TANGGAL]))),-1)))</f>
        <v>45478</v>
      </c>
      <c r="AH41" s="36">
        <f ca="1">IF(NOTA[[#This Row],[ID_H]]="","",INDEX(NOTA[TGL.NOTA],MATCH(,INDIRECT(ADDRESS(ROW(NOTA[TGL.NOTA]),COLUMN(NOTA[TGL.NOTA]))&amp;":"&amp;ADDRESS(ROW(),COLUMN(NOTA[TGL.NOTA]))),-1)))</f>
        <v>45475</v>
      </c>
      <c r="AI41" s="36" t="str">
        <f ca="1">IF(NOTA[[#This Row],[ID_H]]="","",INDEX(NOTA[NO.NOTA],MATCH(NOTA[[#This Row],[ID_H]],NOTA[ID_H],0)))</f>
        <v>H20</v>
      </c>
      <c r="AJ41" s="38" t="str">
        <f ca="1">IF(NOTA[[#This Row],[NAMA BARANG]]="","",INDEX(NOTA[SUPPLIER],MATCH(,INDIRECT(ADDRESS(ROW(NOTA[ID]),COLUMN(NOTA[ID]))&amp;":"&amp;ADDRESS(ROW(),COLUMN(NOTA[ID]))),-1)))</f>
        <v>ALPINDO</v>
      </c>
      <c r="AK41" s="38" t="str">
        <f ca="1">IF(NOTA[[#This Row],[ID_H]]="","",IF(NOTA[[#This Row],[FAKTUR]]="",INDIRECT(ADDRESS(ROW()-1,COLUMN())),NOTA[[#This Row],[FAKTUR]]))</f>
        <v>UNTANA</v>
      </c>
      <c r="AL41" s="35">
        <f ca="1">IF(NOTA[[#This Row],[ID]]="","",COUNTIF(NOTA[ID_H],NOTA[[#This Row],[ID_H]]))</f>
        <v>1</v>
      </c>
      <c r="AM41" s="35">
        <f>IF(NOTA[[#This Row],[TGL.NOTA]]="",IF(NOTA[[#This Row],[SUPPLIER_H]]="","",AM40),MONTH(NOTA[[#This Row],[TGL.NOTA]]))</f>
        <v>7</v>
      </c>
      <c r="AN41" s="35" t="str">
        <f>LOWER(SUBSTITUTE(SUBSTITUTE(SUBSTITUTE(SUBSTITUTE(SUBSTITUTE(SUBSTITUTE(SUBSTITUTE(SUBSTITUTE(SUBSTITUTE(NOTA[[#This Row],[NAMA BARANG]]," ",),".",""),"-",""),"(",""),")",""),",",""),"/",""),"""",""),"+",""))</f>
        <v>spbagjasminkecil</v>
      </c>
      <c r="AO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spbagjasminkecil1237500</v>
      </c>
      <c r="AP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spbagjasminkecil1237500</v>
      </c>
      <c r="AQ41" s="35" t="str">
        <f>IF(NOTA[[#This Row],[SUPPLIER]]="","",NOTA[[#This Row],[SUPPLIER]]&amp;NOTA[[#This Row],[FAKTUR]]&amp;NOTA[[#This Row],[NO.NOTA]]&amp;NOTA[[#This Row],[NO.SJ]]&amp;NOTA[[#This Row],[TGL.NOTA]]&amp;NOTA[[#This Row],[CONCAT1]])</f>
        <v>ALPINDOUNTANAH2045475spbagjasminkecil</v>
      </c>
      <c r="AR41" s="35">
        <f>IF(NOTA[[#This Row],[CONCAT1]]="","",MATCH(NOTA[[#This Row],[CONCAT1]],[3]!db[NB NOTA_C],0))</f>
        <v>2913</v>
      </c>
      <c r="AS41" s="35" t="b">
        <f>IF(NOTA[[#This Row],[Column5]]="","",TRUE)</f>
        <v>1</v>
      </c>
      <c r="AT41" s="35" t="str">
        <f ca="1">IF(NOTA[[#This Row],[ID_H]]="","",IF(NOTA[[#This Row],[Column3]]=TRUE,NOTA[[#This Row],[Column5]],INDEX([3]!db[QTY/ CTN],NOTA[[#This Row],[//DB]])))</f>
        <v>45 LSN</v>
      </c>
      <c r="AU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spbagjasminkecil45lsnuntana</v>
      </c>
      <c r="AV41" s="35">
        <f ca="1">IF(NOTA[[#This Row],[ID_H]]="","",MATCH(NOTA[[#This Row],[NB NOTA_C_QTY]],[3]!db[NB NOTA_C_QTY+F],0))</f>
        <v>2913</v>
      </c>
      <c r="AW41" s="43">
        <f ca="1">IF(NOTA[[#This Row],[NB NOTA_C_QTY]]="","",ROW()-2)</f>
        <v>39</v>
      </c>
    </row>
    <row r="42" spans="1:49" ht="20.100000000000001" customHeight="1">
      <c r="A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5" t="str">
        <f ca="1">IF(NOTA[[#This Row],[NAMA BARANG]]="","",INDEX(NOTA[ID],MATCH(,INDIRECT(ADDRESS(ROW(NOTA[ID]),COLUMN(NOTA[ID]))&amp;":"&amp;ADDRESS(ROW(),COLUMN(NOTA[ID]))),-1)))</f>
        <v/>
      </c>
      <c r="C42" s="45"/>
      <c r="F42" s="46"/>
      <c r="G42" s="35"/>
      <c r="H42" s="36"/>
      <c r="I42" s="35"/>
      <c r="K42" s="37"/>
      <c r="L42" s="35"/>
      <c r="N42" s="38"/>
      <c r="O42" s="39"/>
      <c r="P42" s="47"/>
      <c r="Q42" s="48"/>
      <c r="R42" s="41"/>
      <c r="T42" s="42"/>
      <c r="U42" s="44"/>
      <c r="V42" s="42" t="str">
        <f>IF(NOTA[[#This Row],[HARGA/ CTN]]="",NOTA[[#This Row],[JUMLAH_H]],NOTA[[#This Row],[HARGA/ CTN]]*IF(NOTA[[#This Row],[C]]="",0,NOTA[[#This Row],[C]]))</f>
        <v/>
      </c>
      <c r="W42" s="42" t="str">
        <f>IF(NOTA[[#This Row],[JUMLAH]]="","",NOTA[[#This Row],[JUMLAH]]*NOTA[[#This Row],[Column6]])</f>
        <v/>
      </c>
      <c r="X42" s="42" t="str">
        <f>IF(NOTA[[#This Row],[JUMLAH]]="","",(NOTA[[#This Row],[JUMLAH]]-NOTA[[#This Row],[DISC 1-]])*NOTA[[#This Row],[Column7]])</f>
        <v/>
      </c>
      <c r="Y42" s="42" t="str">
        <f>IF(NOTA[[#This Row],[JUMLAH]]="","",(NOTA[[#This Row],[JUMLAH]]-NOTA[[#This Row],[DISC 1-]]-NOTA[[#This Row],[DISC 2-]])*NOTA[[#This Row],[Column8]])</f>
        <v/>
      </c>
      <c r="Z42" s="42" t="str">
        <f>IF(NOTA[[#This Row],[JUMLAH]]="","",NOTA[[#This Row],[DISC 1-]]+NOTA[[#This Row],[DISC 2-]]+NOTA[[#This Row],[DISC 3-]])</f>
        <v/>
      </c>
      <c r="AA42" s="42" t="str">
        <f>IF(NOTA[[#This Row],[JUMLAH]]="","",NOTA[[#This Row],[JUMLAH]]-NOTA[[#This Row],[DISC]])</f>
        <v/>
      </c>
      <c r="AB42" s="42"/>
      <c r="AC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" s="42" t="str">
        <f>IF(OR(NOTA[[#This Row],[QTY]]="",NOTA[[#This Row],[HARGA SATUAN]]="",),"",NOTA[[#This Row],[QTY]]*NOTA[[#This Row],[HARGA SATUAN]])</f>
        <v/>
      </c>
      <c r="AG42" s="36" t="str">
        <f ca="1">IF(NOTA[[#This Row],[ID_H]]="","",INDEX(NOTA[TANGGAL],MATCH(,INDIRECT(ADDRESS(ROW(NOTA[TANGGAL]),COLUMN(NOTA[TANGGAL]))&amp;":"&amp;ADDRESS(ROW(),COLUMN(NOTA[TANGGAL]))),-1)))</f>
        <v/>
      </c>
      <c r="AH42" s="36" t="str">
        <f ca="1">IF(NOTA[[#This Row],[ID_H]]="","",INDEX(NOTA[TGL.NOTA],MATCH(,INDIRECT(ADDRESS(ROW(NOTA[TGL.NOTA]),COLUMN(NOTA[TGL.NOTA]))&amp;":"&amp;ADDRESS(ROW(),COLUMN(NOTA[TGL.NOTA]))),-1)))</f>
        <v/>
      </c>
      <c r="AI42" s="36" t="str">
        <f ca="1">IF(NOTA[[#This Row],[ID_H]]="","",INDEX(NOTA[NO.NOTA],MATCH(NOTA[[#This Row],[ID_H]],NOTA[ID_H],0)))</f>
        <v/>
      </c>
      <c r="AJ42" s="38" t="str">
        <f ca="1">IF(NOTA[[#This Row],[NAMA BARANG]]="","",INDEX(NOTA[SUPPLIER],MATCH(,INDIRECT(ADDRESS(ROW(NOTA[ID]),COLUMN(NOTA[ID]))&amp;":"&amp;ADDRESS(ROW(),COLUMN(NOTA[ID]))),-1)))</f>
        <v/>
      </c>
      <c r="AK42" s="38" t="str">
        <f ca="1">IF(NOTA[[#This Row],[ID_H]]="","",IF(NOTA[[#This Row],[FAKTUR]]="",INDIRECT(ADDRESS(ROW()-1,COLUMN())),NOTA[[#This Row],[FAKTUR]]))</f>
        <v/>
      </c>
      <c r="AL42" s="35" t="str">
        <f ca="1">IF(NOTA[[#This Row],[ID]]="","",COUNTIF(NOTA[ID_H],NOTA[[#This Row],[ID_H]]))</f>
        <v/>
      </c>
      <c r="AM42" s="35" t="str">
        <f ca="1">IF(NOTA[[#This Row],[TGL.NOTA]]="",IF(NOTA[[#This Row],[SUPPLIER_H]]="","",AM41),MONTH(NOTA[[#This Row],[TGL.NOTA]]))</f>
        <v/>
      </c>
      <c r="AN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" s="35" t="str">
        <f>IF(NOTA[[#This Row],[CONCAT1]]="","",MATCH(NOTA[[#This Row],[CONCAT1]],[3]!db[NB NOTA_C],0))</f>
        <v/>
      </c>
      <c r="AS42" s="35" t="str">
        <f>IF(NOTA[[#This Row],[Column5]]="","",TRUE)</f>
        <v/>
      </c>
      <c r="AT42" s="35" t="str">
        <f ca="1">IF(NOTA[[#This Row],[ID_H]]="","",IF(NOTA[[#This Row],[Column3]]=TRUE,NOTA[[#This Row],[Column5]],INDEX([3]!db[QTY/ CTN],NOTA[[#This Row],[//DB]])))</f>
        <v/>
      </c>
      <c r="AU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" s="35" t="str">
        <f ca="1">IF(NOTA[[#This Row],[ID_H]]="","",MATCH(NOTA[[#This Row],[NB NOTA_C_QTY]],[3]!db[NB NOTA_C_QTY+F],0))</f>
        <v/>
      </c>
      <c r="AW42" s="43" t="str">
        <f ca="1">IF(NOTA[[#This Row],[NB NOTA_C_QTY]]="","",ROW()-2)</f>
        <v/>
      </c>
    </row>
    <row r="43" spans="1:49" ht="20.100000000000001" customHeight="1">
      <c r="A43" s="38">
        <f ca="1">IF(INDIRECT(ADDRESS(ROW()-1,COLUMN(NOTA[[#Headers],[ID]])))="ID",1,IF(NOTA[[#This Row],[FAKTUR]]="","",COUNT(INDIRECT(ADDRESS(ROW(NOTA[ID]),COLUMN(NOTA[ID]))&amp;":"&amp;ADDRESS(ROW()-1,COLUMN(NOTA[ID]))))+1))</f>
        <v>13</v>
      </c>
      <c r="B43" s="35">
        <f ca="1">IF(NOTA[[#This Row],[NAMA BARANG]]="","",INDEX(NOTA[ID],MATCH(,INDIRECT(ADDRESS(ROW(NOTA[ID]),COLUMN(NOTA[ID]))&amp;":"&amp;ADDRESS(ROW(),COLUMN(NOTA[ID]))),-1)))</f>
        <v>13</v>
      </c>
      <c r="C43" s="45"/>
      <c r="D43" s="35" t="s">
        <v>199</v>
      </c>
      <c r="E43" s="35" t="s">
        <v>49</v>
      </c>
      <c r="F43" s="46" t="s">
        <v>200</v>
      </c>
      <c r="G43" s="35"/>
      <c r="H43" s="36">
        <v>45474</v>
      </c>
      <c r="I43" s="35"/>
      <c r="J43" s="35" t="s">
        <v>201</v>
      </c>
      <c r="K43" s="37">
        <v>5</v>
      </c>
      <c r="L43" s="35">
        <v>720</v>
      </c>
      <c r="M43" s="35" t="s">
        <v>50</v>
      </c>
      <c r="N43" s="38">
        <v>21000</v>
      </c>
      <c r="O43" s="39"/>
      <c r="P43" s="47" t="s">
        <v>203</v>
      </c>
      <c r="Q43" s="48">
        <v>0.4</v>
      </c>
      <c r="R43" s="41"/>
      <c r="T43" s="42"/>
      <c r="U43" s="44"/>
      <c r="V43" s="42">
        <f>IF(NOTA[[#This Row],[HARGA/ CTN]]="",NOTA[[#This Row],[JUMLAH_H]],NOTA[[#This Row],[HARGA/ CTN]]*IF(NOTA[[#This Row],[C]]="",0,NOTA[[#This Row],[C]]))</f>
        <v>15120000</v>
      </c>
      <c r="W43" s="42">
        <f>IF(NOTA[[#This Row],[JUMLAH]]="","",NOTA[[#This Row],[JUMLAH]]*NOTA[[#This Row],[Column6]])</f>
        <v>6048000</v>
      </c>
      <c r="X43" s="42">
        <f>IF(NOTA[[#This Row],[JUMLAH]]="","",(NOTA[[#This Row],[JUMLAH]]-NOTA[[#This Row],[DISC 1-]])*NOTA[[#This Row],[Column7]])</f>
        <v>0</v>
      </c>
      <c r="Y43" s="42">
        <f>IF(NOTA[[#This Row],[JUMLAH]]="","",(NOTA[[#This Row],[JUMLAH]]-NOTA[[#This Row],[DISC 1-]]-NOTA[[#This Row],[DISC 2-]])*NOTA[[#This Row],[Column8]])</f>
        <v>0</v>
      </c>
      <c r="Z43" s="42">
        <f>IF(NOTA[[#This Row],[JUMLAH]]="","",NOTA[[#This Row],[DISC 1-]]+NOTA[[#This Row],[DISC 2-]]+NOTA[[#This Row],[DISC 3-]])</f>
        <v>6048000</v>
      </c>
      <c r="AA43" s="42">
        <f>IF(NOTA[[#This Row],[JUMLAH]]="","",NOTA[[#This Row],[JUMLAH]]-NOTA[[#This Row],[DISC]])</f>
        <v>9072000</v>
      </c>
      <c r="AB43" s="42"/>
      <c r="AC4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6048000</v>
      </c>
      <c r="AD4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9072000</v>
      </c>
      <c r="AE43" s="3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3" s="42">
        <f>IF(OR(NOTA[[#This Row],[QTY]]="",NOTA[[#This Row],[HARGA SATUAN]]="",),"",NOTA[[#This Row],[QTY]]*NOTA[[#This Row],[HARGA SATUAN]])</f>
        <v>15120000</v>
      </c>
      <c r="AG43" s="36">
        <f ca="1">IF(NOTA[[#This Row],[ID_H]]="","",INDEX(NOTA[TANGGAL],MATCH(,INDIRECT(ADDRESS(ROW(NOTA[TANGGAL]),COLUMN(NOTA[TANGGAL]))&amp;":"&amp;ADDRESS(ROW(),COLUMN(NOTA[TANGGAL]))),-1)))</f>
        <v>45478</v>
      </c>
      <c r="AH43" s="36">
        <f ca="1">IF(NOTA[[#This Row],[ID_H]]="","",INDEX(NOTA[TGL.NOTA],MATCH(,INDIRECT(ADDRESS(ROW(NOTA[TGL.NOTA]),COLUMN(NOTA[TGL.NOTA]))&amp;":"&amp;ADDRESS(ROW(),COLUMN(NOTA[TGL.NOTA]))),-1)))</f>
        <v>45474</v>
      </c>
      <c r="AI43" s="36" t="str">
        <f ca="1">IF(NOTA[[#This Row],[ID_H]]="","",INDEX(NOTA[NO.NOTA],MATCH(NOTA[[#This Row],[ID_H]],NOTA[ID_H],0)))</f>
        <v>JUG016/24</v>
      </c>
      <c r="AJ43" s="38" t="str">
        <f ca="1">IF(NOTA[[#This Row],[NAMA BARANG]]="","",INDEX(NOTA[SUPPLIER],MATCH(,INDIRECT(ADDRESS(ROW(NOTA[ID]),COLUMN(NOTA[ID]))&amp;":"&amp;ADDRESS(ROW(),COLUMN(NOTA[ID]))),-1)))</f>
        <v>DB STATIONERY</v>
      </c>
      <c r="AK43" s="38" t="str">
        <f ca="1">IF(NOTA[[#This Row],[ID_H]]="","",IF(NOTA[[#This Row],[FAKTUR]]="",INDIRECT(ADDRESS(ROW()-1,COLUMN())),NOTA[[#This Row],[FAKTUR]]))</f>
        <v>UNTANA</v>
      </c>
      <c r="AL43" s="35">
        <f ca="1">IF(NOTA[[#This Row],[ID]]="","",COUNTIF(NOTA[ID_H],NOTA[[#This Row],[ID_H]]))</f>
        <v>1</v>
      </c>
      <c r="AM43" s="35">
        <f>IF(NOTA[[#This Row],[TGL.NOTA]]="",IF(NOTA[[#This Row],[SUPPLIER_H]]="","",AM42),MONTH(NOTA[[#This Row],[TGL.NOTA]]))</f>
        <v>7</v>
      </c>
      <c r="AN43" s="35" t="str">
        <f>LOWER(SUBSTITUTE(SUBSTITUTE(SUBSTITUTE(SUBSTITUTE(SUBSTITUTE(SUBSTITUTE(SUBSTITUTE(SUBSTITUTE(SUBSTITUTE(NOTA[[#This Row],[NAMA BARANG]]," ",),".",""),"-",""),"(",""),")",""),",",""),"/",""),"""",""),"+",""))</f>
        <v>geldebozz028dbgp800b</v>
      </c>
      <c r="AO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geldebozz028dbgp800b30240000,4</v>
      </c>
      <c r="AP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geldebozz028dbgp800b30240000,4</v>
      </c>
      <c r="AQ43" s="3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STATIONERYUNTANAJUG016/2445474geldebozz028dbgp800b</v>
      </c>
      <c r="AR43" s="35">
        <f>IF(NOTA[[#This Row],[CONCAT1]]="","",MATCH(NOTA[[#This Row],[CONCAT1]],[3]!db[NB NOTA_C],0))</f>
        <v>3452</v>
      </c>
      <c r="AS43" s="35" t="b">
        <f>IF(NOTA[[#This Row],[Column5]]="","",TRUE)</f>
        <v>1</v>
      </c>
      <c r="AT43" s="35" t="str">
        <f ca="1">IF(NOTA[[#This Row],[ID_H]]="","",IF(NOTA[[#This Row],[Column3]]=TRUE,NOTA[[#This Row],[Column5]],INDEX([3]!db[QTY/ CTN],NOTA[[#This Row],[//DB]])))</f>
        <v>144 LSN</v>
      </c>
      <c r="AU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geldebozz028dbgp800b144lsnuntana</v>
      </c>
      <c r="AV43" s="35">
        <f ca="1">IF(NOTA[[#This Row],[ID_H]]="","",MATCH(NOTA[[#This Row],[NB NOTA_C_QTY]],[3]!db[NB NOTA_C_QTY+F],0))</f>
        <v>3452</v>
      </c>
      <c r="AW43" s="43">
        <f ca="1">IF(NOTA[[#This Row],[NB NOTA_C_QTY]]="","",ROW()-2)</f>
        <v>41</v>
      </c>
    </row>
    <row r="44" spans="1:49" ht="20.100000000000001" customHeight="1">
      <c r="A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5" t="str">
        <f ca="1">IF(NOTA[[#This Row],[NAMA BARANG]]="","",INDEX(NOTA[ID],MATCH(,INDIRECT(ADDRESS(ROW(NOTA[ID]),COLUMN(NOTA[ID]))&amp;":"&amp;ADDRESS(ROW(),COLUMN(NOTA[ID]))),-1)))</f>
        <v/>
      </c>
      <c r="C44" s="45"/>
      <c r="F44" s="46"/>
      <c r="G44" s="35"/>
      <c r="H44" s="36"/>
      <c r="I44" s="35"/>
      <c r="J44" s="49"/>
      <c r="K44" s="37"/>
      <c r="L44" s="35"/>
      <c r="N44" s="38"/>
      <c r="O44" s="39"/>
      <c r="P44" s="47"/>
      <c r="Q44" s="48"/>
      <c r="R44" s="41"/>
      <c r="T44" s="42"/>
      <c r="U44" s="44"/>
      <c r="V44" s="42" t="str">
        <f>IF(NOTA[[#This Row],[HARGA/ CTN]]="",NOTA[[#This Row],[JUMLAH_H]],NOTA[[#This Row],[HARGA/ CTN]]*IF(NOTA[[#This Row],[C]]="",0,NOTA[[#This Row],[C]]))</f>
        <v/>
      </c>
      <c r="W44" s="42" t="str">
        <f>IF(NOTA[[#This Row],[JUMLAH]]="","",NOTA[[#This Row],[JUMLAH]]*NOTA[[#This Row],[Column6]])</f>
        <v/>
      </c>
      <c r="X44" s="42" t="str">
        <f>IF(NOTA[[#This Row],[JUMLAH]]="","",(NOTA[[#This Row],[JUMLAH]]-NOTA[[#This Row],[DISC 1-]])*NOTA[[#This Row],[Column7]])</f>
        <v/>
      </c>
      <c r="Y44" s="42" t="str">
        <f>IF(NOTA[[#This Row],[JUMLAH]]="","",(NOTA[[#This Row],[JUMLAH]]-NOTA[[#This Row],[DISC 1-]]-NOTA[[#This Row],[DISC 2-]])*NOTA[[#This Row],[Column8]])</f>
        <v/>
      </c>
      <c r="Z44" s="42" t="str">
        <f>IF(NOTA[[#This Row],[JUMLAH]]="","",NOTA[[#This Row],[DISC 1-]]+NOTA[[#This Row],[DISC 2-]]+NOTA[[#This Row],[DISC 3-]])</f>
        <v/>
      </c>
      <c r="AA44" s="42" t="str">
        <f>IF(NOTA[[#This Row],[JUMLAH]]="","",NOTA[[#This Row],[JUMLAH]]-NOTA[[#This Row],[DISC]])</f>
        <v/>
      </c>
      <c r="AB44" s="42"/>
      <c r="AC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" s="42" t="str">
        <f>IF(OR(NOTA[[#This Row],[QTY]]="",NOTA[[#This Row],[HARGA SATUAN]]="",),"",NOTA[[#This Row],[QTY]]*NOTA[[#This Row],[HARGA SATUAN]])</f>
        <v/>
      </c>
      <c r="AG44" s="36" t="str">
        <f ca="1">IF(NOTA[[#This Row],[ID_H]]="","",INDEX(NOTA[TANGGAL],MATCH(,INDIRECT(ADDRESS(ROW(NOTA[TANGGAL]),COLUMN(NOTA[TANGGAL]))&amp;":"&amp;ADDRESS(ROW(),COLUMN(NOTA[TANGGAL]))),-1)))</f>
        <v/>
      </c>
      <c r="AH44" s="36" t="str">
        <f ca="1">IF(NOTA[[#This Row],[ID_H]]="","",INDEX(NOTA[TGL.NOTA],MATCH(,INDIRECT(ADDRESS(ROW(NOTA[TGL.NOTA]),COLUMN(NOTA[TGL.NOTA]))&amp;":"&amp;ADDRESS(ROW(),COLUMN(NOTA[TGL.NOTA]))),-1)))</f>
        <v/>
      </c>
      <c r="AI44" s="36" t="str">
        <f ca="1">IF(NOTA[[#This Row],[ID_H]]="","",INDEX(NOTA[NO.NOTA],MATCH(NOTA[[#This Row],[ID_H]],NOTA[ID_H],0)))</f>
        <v/>
      </c>
      <c r="AJ44" s="38" t="str">
        <f ca="1">IF(NOTA[[#This Row],[NAMA BARANG]]="","",INDEX(NOTA[SUPPLIER],MATCH(,INDIRECT(ADDRESS(ROW(NOTA[ID]),COLUMN(NOTA[ID]))&amp;":"&amp;ADDRESS(ROW(),COLUMN(NOTA[ID]))),-1)))</f>
        <v/>
      </c>
      <c r="AK44" s="38" t="str">
        <f ca="1">IF(NOTA[[#This Row],[ID_H]]="","",IF(NOTA[[#This Row],[FAKTUR]]="",INDIRECT(ADDRESS(ROW()-1,COLUMN())),NOTA[[#This Row],[FAKTUR]]))</f>
        <v/>
      </c>
      <c r="AL44" s="35" t="str">
        <f ca="1">IF(NOTA[[#This Row],[ID]]="","",COUNTIF(NOTA[ID_H],NOTA[[#This Row],[ID_H]]))</f>
        <v/>
      </c>
      <c r="AM44" s="35" t="str">
        <f ca="1">IF(NOTA[[#This Row],[TGL.NOTA]]="",IF(NOTA[[#This Row],[SUPPLIER_H]]="","",AM43),MONTH(NOTA[[#This Row],[TGL.NOTA]]))</f>
        <v/>
      </c>
      <c r="AN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" s="35" t="str">
        <f>IF(NOTA[[#This Row],[CONCAT1]]="","",MATCH(NOTA[[#This Row],[CONCAT1]],[3]!db[NB NOTA_C],0))</f>
        <v/>
      </c>
      <c r="AS44" s="35" t="str">
        <f>IF(NOTA[[#This Row],[Column5]]="","",TRUE)</f>
        <v/>
      </c>
      <c r="AT44" s="35" t="str">
        <f ca="1">IF(NOTA[[#This Row],[ID_H]]="","",IF(NOTA[[#This Row],[Column3]]=TRUE,NOTA[[#This Row],[Column5]],INDEX([3]!db[QTY/ CTN],NOTA[[#This Row],[//DB]])))</f>
        <v/>
      </c>
      <c r="AU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" s="35" t="str">
        <f ca="1">IF(NOTA[[#This Row],[ID_H]]="","",MATCH(NOTA[[#This Row],[NB NOTA_C_QTY]],[3]!db[NB NOTA_C_QTY+F],0))</f>
        <v/>
      </c>
      <c r="AW44" s="43" t="str">
        <f ca="1">IF(NOTA[[#This Row],[NB NOTA_C_QTY]]="","",ROW()-2)</f>
        <v/>
      </c>
    </row>
    <row r="45" spans="1:49" ht="20.100000000000001" customHeight="1">
      <c r="A45" s="38">
        <f ca="1">IF(INDIRECT(ADDRESS(ROW()-1,COLUMN(NOTA[[#Headers],[ID]])))="ID",1,IF(NOTA[[#This Row],[FAKTUR]]="","",COUNT(INDIRECT(ADDRESS(ROW(NOTA[ID]),COLUMN(NOTA[ID]))&amp;":"&amp;ADDRESS(ROW()-1,COLUMN(NOTA[ID]))))+1))</f>
        <v>14</v>
      </c>
      <c r="B45" s="35">
        <f ca="1">IF(NOTA[[#This Row],[NAMA BARANG]]="","",INDEX(NOTA[ID],MATCH(,INDIRECT(ADDRESS(ROW(NOTA[ID]),COLUMN(NOTA[ID]))&amp;":"&amp;ADDRESS(ROW(),COLUMN(NOTA[ID]))),-1)))</f>
        <v>14</v>
      </c>
      <c r="C45" s="45"/>
      <c r="D45" s="35" t="s">
        <v>74</v>
      </c>
      <c r="E45" s="35" t="s">
        <v>49</v>
      </c>
      <c r="F45" s="46" t="s">
        <v>202</v>
      </c>
      <c r="G45" s="35"/>
      <c r="H45" s="36">
        <v>45475</v>
      </c>
      <c r="I45" s="35"/>
      <c r="J45" s="50" t="s">
        <v>172</v>
      </c>
      <c r="K45" s="37">
        <v>3</v>
      </c>
      <c r="L45" s="35">
        <v>288</v>
      </c>
      <c r="M45" s="35" t="s">
        <v>50</v>
      </c>
      <c r="N45" s="38">
        <v>30500</v>
      </c>
      <c r="O45" s="39"/>
      <c r="P45" s="47" t="s">
        <v>76</v>
      </c>
      <c r="Q45" s="48">
        <v>0.03</v>
      </c>
      <c r="R45" s="41"/>
      <c r="T45" s="42"/>
      <c r="U45" s="44"/>
      <c r="V45" s="42">
        <f>IF(NOTA[[#This Row],[HARGA/ CTN]]="",NOTA[[#This Row],[JUMLAH_H]],NOTA[[#This Row],[HARGA/ CTN]]*IF(NOTA[[#This Row],[C]]="",0,NOTA[[#This Row],[C]]))</f>
        <v>8784000</v>
      </c>
      <c r="W45" s="42">
        <f>IF(NOTA[[#This Row],[JUMLAH]]="","",NOTA[[#This Row],[JUMLAH]]*NOTA[[#This Row],[Column6]])</f>
        <v>263520</v>
      </c>
      <c r="X45" s="42">
        <f>IF(NOTA[[#This Row],[JUMLAH]]="","",(NOTA[[#This Row],[JUMLAH]]-NOTA[[#This Row],[DISC 1-]])*NOTA[[#This Row],[Column7]])</f>
        <v>0</v>
      </c>
      <c r="Y45" s="42">
        <f>IF(NOTA[[#This Row],[JUMLAH]]="","",(NOTA[[#This Row],[JUMLAH]]-NOTA[[#This Row],[DISC 1-]]-NOTA[[#This Row],[DISC 2-]])*NOTA[[#This Row],[Column8]])</f>
        <v>0</v>
      </c>
      <c r="Z45" s="42">
        <f>IF(NOTA[[#This Row],[JUMLAH]]="","",NOTA[[#This Row],[DISC 1-]]+NOTA[[#This Row],[DISC 2-]]+NOTA[[#This Row],[DISC 3-]])</f>
        <v>263520</v>
      </c>
      <c r="AA45" s="42">
        <f>IF(NOTA[[#This Row],[JUMLAH]]="","",NOTA[[#This Row],[JUMLAH]]-NOTA[[#This Row],[DISC]])</f>
        <v>8520480</v>
      </c>
      <c r="AB45" s="42"/>
      <c r="AC4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263520</v>
      </c>
      <c r="AD4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8520480</v>
      </c>
      <c r="AE45" s="3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5" s="42">
        <f>IF(OR(NOTA[[#This Row],[QTY]]="",NOTA[[#This Row],[HARGA SATUAN]]="",),"",NOTA[[#This Row],[QTY]]*NOTA[[#This Row],[HARGA SATUAN]])</f>
        <v>8784000</v>
      </c>
      <c r="AG45" s="36">
        <f ca="1">IF(NOTA[[#This Row],[ID_H]]="","",INDEX(NOTA[TANGGAL],MATCH(,INDIRECT(ADDRESS(ROW(NOTA[TANGGAL]),COLUMN(NOTA[TANGGAL]))&amp;":"&amp;ADDRESS(ROW(),COLUMN(NOTA[TANGGAL]))),-1)))</f>
        <v>45478</v>
      </c>
      <c r="AH45" s="36">
        <f ca="1">IF(NOTA[[#This Row],[ID_H]]="","",INDEX(NOTA[TGL.NOTA],MATCH(,INDIRECT(ADDRESS(ROW(NOTA[TGL.NOTA]),COLUMN(NOTA[TGL.NOTA]))&amp;":"&amp;ADDRESS(ROW(),COLUMN(NOTA[TGL.NOTA]))),-1)))</f>
        <v>45475</v>
      </c>
      <c r="AI45" s="36" t="str">
        <f ca="1">IF(NOTA[[#This Row],[ID_H]]="","",INDEX(NOTA[NO.NOTA],MATCH(NOTA[[#This Row],[ID_H]],NOTA[ID_H],0)))</f>
        <v>HM/123/07-24H</v>
      </c>
      <c r="AJ45" s="38" t="str">
        <f ca="1">IF(NOTA[[#This Row],[NAMA BARANG]]="","",INDEX(NOTA[SUPPLIER],MATCH(,INDIRECT(ADDRESS(ROW(NOTA[ID]),COLUMN(NOTA[ID]))&amp;":"&amp;ADDRESS(ROW(),COLUMN(NOTA[ID]))),-1)))</f>
        <v>DUTA BUANA</v>
      </c>
      <c r="AK45" s="38" t="str">
        <f ca="1">IF(NOTA[[#This Row],[ID_H]]="","",IF(NOTA[[#This Row],[FAKTUR]]="",INDIRECT(ADDRESS(ROW()-1,COLUMN())),NOTA[[#This Row],[FAKTUR]]))</f>
        <v>UNTANA</v>
      </c>
      <c r="AL45" s="35">
        <f ca="1">IF(NOTA[[#This Row],[ID]]="","",COUNTIF(NOTA[ID_H],NOTA[[#This Row],[ID_H]]))</f>
        <v>1</v>
      </c>
      <c r="AM45" s="35">
        <f>IF(NOTA[[#This Row],[TGL.NOTA]]="",IF(NOTA[[#This Row],[SUPPLIER_H]]="","",AM44),MONTH(NOTA[[#This Row],[TGL.NOTA]]))</f>
        <v>7</v>
      </c>
      <c r="AN45" s="35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O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ballpengeltf311503mmhightechknock29280000,03</v>
      </c>
      <c r="AP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ballpengeltf311503mmhightechknock29280000,03</v>
      </c>
      <c r="AQ45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BUANAUNTANAHM/123/07-24H45475ballpengeltf311503mmhightechknock</v>
      </c>
      <c r="AR45" s="35">
        <f>IF(NOTA[[#This Row],[CONCAT1]]="","",MATCH(NOTA[[#This Row],[CONCAT1]],[3]!db[NB NOTA_C],0))</f>
        <v>155</v>
      </c>
      <c r="AS45" s="35" t="b">
        <f>IF(NOTA[[#This Row],[Column5]]="","",TRUE)</f>
        <v>1</v>
      </c>
      <c r="AT45" s="35" t="str">
        <f ca="1">IF(NOTA[[#This Row],[ID_H]]="","",IF(NOTA[[#This Row],[Column3]]=TRUE,NOTA[[#This Row],[Column5]],INDEX([3]!db[QTY/ CTN],NOTA[[#This Row],[//DB]])))</f>
        <v>96 LSN</v>
      </c>
      <c r="AU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V45" s="35">
        <f ca="1">IF(NOTA[[#This Row],[ID_H]]="","",MATCH(NOTA[[#This Row],[NB NOTA_C_QTY]],[3]!db[NB NOTA_C_QTY+F],0))</f>
        <v>155</v>
      </c>
      <c r="AW45" s="43">
        <f ca="1">IF(NOTA[[#This Row],[NB NOTA_C_QTY]]="","",ROW()-2)</f>
        <v>43</v>
      </c>
    </row>
    <row r="46" spans="1:49" ht="20.100000000000001" customHeight="1">
      <c r="A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5" t="str">
        <f ca="1">IF(NOTA[[#This Row],[NAMA BARANG]]="","",INDEX(NOTA[ID],MATCH(,INDIRECT(ADDRESS(ROW(NOTA[ID]),COLUMN(NOTA[ID]))&amp;":"&amp;ADDRESS(ROW(),COLUMN(NOTA[ID]))),-1)))</f>
        <v/>
      </c>
      <c r="C46" s="45"/>
      <c r="F46" s="46"/>
      <c r="G46" s="35"/>
      <c r="H46" s="36"/>
      <c r="I46" s="35"/>
      <c r="J46" s="49"/>
      <c r="K46" s="37"/>
      <c r="L46" s="35"/>
      <c r="N46" s="38"/>
      <c r="O46" s="39"/>
      <c r="P46" s="47"/>
      <c r="Q46" s="48"/>
      <c r="R46" s="41"/>
      <c r="T46" s="42"/>
      <c r="U46" s="44"/>
      <c r="V46" s="42" t="str">
        <f>IF(NOTA[[#This Row],[HARGA/ CTN]]="",NOTA[[#This Row],[JUMLAH_H]],NOTA[[#This Row],[HARGA/ CTN]]*IF(NOTA[[#This Row],[C]]="",0,NOTA[[#This Row],[C]]))</f>
        <v/>
      </c>
      <c r="W46" s="42" t="str">
        <f>IF(NOTA[[#This Row],[JUMLAH]]="","",NOTA[[#This Row],[JUMLAH]]*NOTA[[#This Row],[Column6]])</f>
        <v/>
      </c>
      <c r="X46" s="42" t="str">
        <f>IF(NOTA[[#This Row],[JUMLAH]]="","",(NOTA[[#This Row],[JUMLAH]]-NOTA[[#This Row],[DISC 1-]])*NOTA[[#This Row],[Column7]])</f>
        <v/>
      </c>
      <c r="Y46" s="42" t="str">
        <f>IF(NOTA[[#This Row],[JUMLAH]]="","",(NOTA[[#This Row],[JUMLAH]]-NOTA[[#This Row],[DISC 1-]]-NOTA[[#This Row],[DISC 2-]])*NOTA[[#This Row],[Column8]])</f>
        <v/>
      </c>
      <c r="Z46" s="42" t="str">
        <f>IF(NOTA[[#This Row],[JUMLAH]]="","",NOTA[[#This Row],[DISC 1-]]+NOTA[[#This Row],[DISC 2-]]+NOTA[[#This Row],[DISC 3-]])</f>
        <v/>
      </c>
      <c r="AA46" s="42" t="str">
        <f>IF(NOTA[[#This Row],[JUMLAH]]="","",NOTA[[#This Row],[JUMLAH]]-NOTA[[#This Row],[DISC]])</f>
        <v/>
      </c>
      <c r="AB46" s="42"/>
      <c r="AC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" s="42" t="str">
        <f>IF(OR(NOTA[[#This Row],[QTY]]="",NOTA[[#This Row],[HARGA SATUAN]]="",),"",NOTA[[#This Row],[QTY]]*NOTA[[#This Row],[HARGA SATUAN]])</f>
        <v/>
      </c>
      <c r="AG46" s="36" t="str">
        <f ca="1">IF(NOTA[[#This Row],[ID_H]]="","",INDEX(NOTA[TANGGAL],MATCH(,INDIRECT(ADDRESS(ROW(NOTA[TANGGAL]),COLUMN(NOTA[TANGGAL]))&amp;":"&amp;ADDRESS(ROW(),COLUMN(NOTA[TANGGAL]))),-1)))</f>
        <v/>
      </c>
      <c r="AH46" s="36" t="str">
        <f ca="1">IF(NOTA[[#This Row],[ID_H]]="","",INDEX(NOTA[TGL.NOTA],MATCH(,INDIRECT(ADDRESS(ROW(NOTA[TGL.NOTA]),COLUMN(NOTA[TGL.NOTA]))&amp;":"&amp;ADDRESS(ROW(),COLUMN(NOTA[TGL.NOTA]))),-1)))</f>
        <v/>
      </c>
      <c r="AI46" s="36" t="str">
        <f ca="1">IF(NOTA[[#This Row],[ID_H]]="","",INDEX(NOTA[NO.NOTA],MATCH(NOTA[[#This Row],[ID_H]],NOTA[ID_H],0)))</f>
        <v/>
      </c>
      <c r="AJ46" s="38" t="str">
        <f ca="1">IF(NOTA[[#This Row],[NAMA BARANG]]="","",INDEX(NOTA[SUPPLIER],MATCH(,INDIRECT(ADDRESS(ROW(NOTA[ID]),COLUMN(NOTA[ID]))&amp;":"&amp;ADDRESS(ROW(),COLUMN(NOTA[ID]))),-1)))</f>
        <v/>
      </c>
      <c r="AK46" s="38" t="str">
        <f ca="1">IF(NOTA[[#This Row],[ID_H]]="","",IF(NOTA[[#This Row],[FAKTUR]]="",INDIRECT(ADDRESS(ROW()-1,COLUMN())),NOTA[[#This Row],[FAKTUR]]))</f>
        <v/>
      </c>
      <c r="AL46" s="35" t="str">
        <f ca="1">IF(NOTA[[#This Row],[ID]]="","",COUNTIF(NOTA[ID_H],NOTA[[#This Row],[ID_H]]))</f>
        <v/>
      </c>
      <c r="AM46" s="35" t="str">
        <f ca="1">IF(NOTA[[#This Row],[TGL.NOTA]]="",IF(NOTA[[#This Row],[SUPPLIER_H]]="","",AM45),MONTH(NOTA[[#This Row],[TGL.NOTA]]))</f>
        <v/>
      </c>
      <c r="AN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" s="35" t="str">
        <f>IF(NOTA[[#This Row],[CONCAT1]]="","",MATCH(NOTA[[#This Row],[CONCAT1]],[3]!db[NB NOTA_C],0))</f>
        <v/>
      </c>
      <c r="AS46" s="35" t="str">
        <f>IF(NOTA[[#This Row],[Column5]]="","",TRUE)</f>
        <v/>
      </c>
      <c r="AT46" s="35" t="str">
        <f ca="1">IF(NOTA[[#This Row],[ID_H]]="","",IF(NOTA[[#This Row],[Column3]]=TRUE,NOTA[[#This Row],[Column5]],INDEX([3]!db[QTY/ CTN],NOTA[[#This Row],[//DB]])))</f>
        <v/>
      </c>
      <c r="AU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" s="35" t="str">
        <f ca="1">IF(NOTA[[#This Row],[ID_H]]="","",MATCH(NOTA[[#This Row],[NB NOTA_C_QTY]],[3]!db[NB NOTA_C_QTY+F],0))</f>
        <v/>
      </c>
      <c r="AW46" s="43" t="str">
        <f ca="1">IF(NOTA[[#This Row],[NB NOTA_C_QTY]]="","",ROW()-2)</f>
        <v/>
      </c>
    </row>
    <row r="47" spans="1:49" ht="20.100000000000001" customHeight="1">
      <c r="A47" s="38">
        <f ca="1">IF(INDIRECT(ADDRESS(ROW()-1,COLUMN(NOTA[[#Headers],[ID]])))="ID",1,IF(NOTA[[#This Row],[FAKTUR]]="","",COUNT(INDIRECT(ADDRESS(ROW(NOTA[ID]),COLUMN(NOTA[ID]))&amp;":"&amp;ADDRESS(ROW()-1,COLUMN(NOTA[ID]))))+1))</f>
        <v>15</v>
      </c>
      <c r="B47" s="35">
        <f ca="1">IF(NOTA[[#This Row],[NAMA BARANG]]="","",INDEX(NOTA[ID],MATCH(,INDIRECT(ADDRESS(ROW(NOTA[ID]),COLUMN(NOTA[ID]))&amp;":"&amp;ADDRESS(ROW(),COLUMN(NOTA[ID]))),-1)))</f>
        <v>15</v>
      </c>
      <c r="C47" s="45"/>
      <c r="D47" s="35" t="s">
        <v>74</v>
      </c>
      <c r="E47" s="35" t="s">
        <v>49</v>
      </c>
      <c r="F47" s="46" t="s">
        <v>204</v>
      </c>
      <c r="G47" s="35"/>
      <c r="H47" s="36">
        <v>45475</v>
      </c>
      <c r="I47" s="35"/>
      <c r="J47" s="50" t="s">
        <v>205</v>
      </c>
      <c r="K47" s="37">
        <v>3</v>
      </c>
      <c r="L47" s="35">
        <v>288</v>
      </c>
      <c r="M47" s="35" t="s">
        <v>50</v>
      </c>
      <c r="N47" s="38">
        <v>30500</v>
      </c>
      <c r="O47" s="39"/>
      <c r="P47" s="47" t="s">
        <v>76</v>
      </c>
      <c r="Q47" s="48">
        <v>0.03</v>
      </c>
      <c r="R47" s="41"/>
      <c r="T47" s="42"/>
      <c r="U47" s="44"/>
      <c r="V47" s="42">
        <f>IF(NOTA[[#This Row],[HARGA/ CTN]]="",NOTA[[#This Row],[JUMLAH_H]],NOTA[[#This Row],[HARGA/ CTN]]*IF(NOTA[[#This Row],[C]]="",0,NOTA[[#This Row],[C]]))</f>
        <v>8784000</v>
      </c>
      <c r="W47" s="42">
        <f>IF(NOTA[[#This Row],[JUMLAH]]="","",NOTA[[#This Row],[JUMLAH]]*NOTA[[#This Row],[Column6]])</f>
        <v>263520</v>
      </c>
      <c r="X47" s="42">
        <f>IF(NOTA[[#This Row],[JUMLAH]]="","",(NOTA[[#This Row],[JUMLAH]]-NOTA[[#This Row],[DISC 1-]])*NOTA[[#This Row],[Column7]])</f>
        <v>0</v>
      </c>
      <c r="Y47" s="42">
        <f>IF(NOTA[[#This Row],[JUMLAH]]="","",(NOTA[[#This Row],[JUMLAH]]-NOTA[[#This Row],[DISC 1-]]-NOTA[[#This Row],[DISC 2-]])*NOTA[[#This Row],[Column8]])</f>
        <v>0</v>
      </c>
      <c r="Z47" s="42">
        <f>IF(NOTA[[#This Row],[JUMLAH]]="","",NOTA[[#This Row],[DISC 1-]]+NOTA[[#This Row],[DISC 2-]]+NOTA[[#This Row],[DISC 3-]])</f>
        <v>263520</v>
      </c>
      <c r="AA47" s="42">
        <f>IF(NOTA[[#This Row],[JUMLAH]]="","",NOTA[[#This Row],[JUMLAH]]-NOTA[[#This Row],[DISC]])</f>
        <v>8520480</v>
      </c>
      <c r="AB47" s="42"/>
      <c r="AC4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263520</v>
      </c>
      <c r="AD4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8520480</v>
      </c>
      <c r="AE47" s="3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7" s="42">
        <f>IF(OR(NOTA[[#This Row],[QTY]]="",NOTA[[#This Row],[HARGA SATUAN]]="",),"",NOTA[[#This Row],[QTY]]*NOTA[[#This Row],[HARGA SATUAN]])</f>
        <v>8784000</v>
      </c>
      <c r="AG47" s="36">
        <f ca="1">IF(NOTA[[#This Row],[ID_H]]="","",INDEX(NOTA[TANGGAL],MATCH(,INDIRECT(ADDRESS(ROW(NOTA[TANGGAL]),COLUMN(NOTA[TANGGAL]))&amp;":"&amp;ADDRESS(ROW(),COLUMN(NOTA[TANGGAL]))),-1)))</f>
        <v>45478</v>
      </c>
      <c r="AH47" s="36">
        <f ca="1">IF(NOTA[[#This Row],[ID_H]]="","",INDEX(NOTA[TGL.NOTA],MATCH(,INDIRECT(ADDRESS(ROW(NOTA[TGL.NOTA]),COLUMN(NOTA[TGL.NOTA]))&amp;":"&amp;ADDRESS(ROW(),COLUMN(NOTA[TGL.NOTA]))),-1)))</f>
        <v>45475</v>
      </c>
      <c r="AI47" s="36" t="str">
        <f ca="1">IF(NOTA[[#This Row],[ID_H]]="","",INDEX(NOTA[NO.NOTA],MATCH(NOTA[[#This Row],[ID_H]],NOTA[ID_H],0)))</f>
        <v>HM/129/07-24H</v>
      </c>
      <c r="AJ47" s="38" t="str">
        <f ca="1">IF(NOTA[[#This Row],[NAMA BARANG]]="","",INDEX(NOTA[SUPPLIER],MATCH(,INDIRECT(ADDRESS(ROW(NOTA[ID]),COLUMN(NOTA[ID]))&amp;":"&amp;ADDRESS(ROW(),COLUMN(NOTA[ID]))),-1)))</f>
        <v>DUTA BUANA</v>
      </c>
      <c r="AK47" s="38" t="str">
        <f ca="1">IF(NOTA[[#This Row],[ID_H]]="","",IF(NOTA[[#This Row],[FAKTUR]]="",INDIRECT(ADDRESS(ROW()-1,COLUMN())),NOTA[[#This Row],[FAKTUR]]))</f>
        <v>UNTANA</v>
      </c>
      <c r="AL47" s="35">
        <f ca="1">IF(NOTA[[#This Row],[ID]]="","",COUNTIF(NOTA[ID_H],NOTA[[#This Row],[ID_H]]))</f>
        <v>1</v>
      </c>
      <c r="AM47" s="35">
        <f>IF(NOTA[[#This Row],[TGL.NOTA]]="",IF(NOTA[[#This Row],[SUPPLIER_H]]="","",#REF!),MONTH(NOTA[[#This Row],[TGL.NOTA]]))</f>
        <v>7</v>
      </c>
      <c r="AN47" s="35" t="str">
        <f>LOWER(SUBSTITUTE(SUBSTITUTE(SUBSTITUTE(SUBSTITUTE(SUBSTITUTE(SUBSTITUTE(SUBSTITUTE(SUBSTITUTE(SUBSTITUTE(NOTA[[#This Row],[NAMA BARANG]]," ",),".",""),"-",""),"(",""),")",""),",",""),"/",""),"""",""),"+",""))</f>
        <v>ballpengeltfg311403mmhightechknock</v>
      </c>
      <c r="AO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ballpengeltfg311403mmhightechknock29280000,03</v>
      </c>
      <c r="AP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ballpengeltfg311403mmhightechknock29280000,03</v>
      </c>
      <c r="AQ47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BUANAUNTANAHM/129/07-24H45475ballpengeltfg311403mmhightechknock</v>
      </c>
      <c r="AR47" s="35">
        <f>IF(NOTA[[#This Row],[CONCAT1]]="","",MATCH(NOTA[[#This Row],[CONCAT1]],[3]!db[NB NOTA_C],0))</f>
        <v>148</v>
      </c>
      <c r="AS47" s="35" t="b">
        <f>IF(NOTA[[#This Row],[Column5]]="","",TRUE)</f>
        <v>1</v>
      </c>
      <c r="AT47" s="35" t="str">
        <f ca="1">IF(NOTA[[#This Row],[ID_H]]="","",IF(NOTA[[#This Row],[Column3]]=TRUE,NOTA[[#This Row],[Column5]],INDEX([3]!db[QTY/ CTN],NOTA[[#This Row],[//DB]])))</f>
        <v>96 LSN</v>
      </c>
      <c r="AU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ballpengeltfg311403mmhightechknock96lsnuntana</v>
      </c>
      <c r="AV47" s="35">
        <f ca="1">IF(NOTA[[#This Row],[ID_H]]="","",MATCH(NOTA[[#This Row],[NB NOTA_C_QTY]],[3]!db[NB NOTA_C_QTY+F],0))</f>
        <v>148</v>
      </c>
      <c r="AW47" s="43">
        <f ca="1">IF(NOTA[[#This Row],[NB NOTA_C_QTY]]="","",ROW()-2)</f>
        <v>45</v>
      </c>
    </row>
    <row r="48" spans="1:49" ht="20.100000000000001" customHeight="1">
      <c r="A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5" t="str">
        <f ca="1">IF(NOTA[[#This Row],[NAMA BARANG]]="","",INDEX(NOTA[ID],MATCH(,INDIRECT(ADDRESS(ROW(NOTA[ID]),COLUMN(NOTA[ID]))&amp;":"&amp;ADDRESS(ROW(),COLUMN(NOTA[ID]))),-1)))</f>
        <v/>
      </c>
      <c r="C48" s="45"/>
      <c r="F48" s="46"/>
      <c r="G48" s="35"/>
      <c r="H48" s="36"/>
      <c r="I48" s="35"/>
      <c r="K48" s="37"/>
      <c r="L48" s="35"/>
      <c r="N48" s="38"/>
      <c r="O48" s="39"/>
      <c r="P48" s="47"/>
      <c r="Q48" s="48"/>
      <c r="R48" s="41"/>
      <c r="T48" s="42"/>
      <c r="U48" s="44"/>
      <c r="V48" s="42" t="str">
        <f>IF(NOTA[[#This Row],[HARGA/ CTN]]="",NOTA[[#This Row],[JUMLAH_H]],NOTA[[#This Row],[HARGA/ CTN]]*IF(NOTA[[#This Row],[C]]="",0,NOTA[[#This Row],[C]]))</f>
        <v/>
      </c>
      <c r="W48" s="42" t="str">
        <f>IF(NOTA[[#This Row],[JUMLAH]]="","",NOTA[[#This Row],[JUMLAH]]*NOTA[[#This Row],[Column6]])</f>
        <v/>
      </c>
      <c r="X48" s="42" t="str">
        <f>IF(NOTA[[#This Row],[JUMLAH]]="","",(NOTA[[#This Row],[JUMLAH]]-NOTA[[#This Row],[DISC 1-]])*NOTA[[#This Row],[Column7]])</f>
        <v/>
      </c>
      <c r="Y48" s="42" t="str">
        <f>IF(NOTA[[#This Row],[JUMLAH]]="","",(NOTA[[#This Row],[JUMLAH]]-NOTA[[#This Row],[DISC 1-]]-NOTA[[#This Row],[DISC 2-]])*NOTA[[#This Row],[Column8]])</f>
        <v/>
      </c>
      <c r="Z48" s="42" t="str">
        <f>IF(NOTA[[#This Row],[JUMLAH]]="","",NOTA[[#This Row],[DISC 1-]]+NOTA[[#This Row],[DISC 2-]]+NOTA[[#This Row],[DISC 3-]])</f>
        <v/>
      </c>
      <c r="AA48" s="42" t="str">
        <f>IF(NOTA[[#This Row],[JUMLAH]]="","",NOTA[[#This Row],[JUMLAH]]-NOTA[[#This Row],[DISC]])</f>
        <v/>
      </c>
      <c r="AB48" s="42"/>
      <c r="AC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" s="42" t="str">
        <f>IF(OR(NOTA[[#This Row],[QTY]]="",NOTA[[#This Row],[HARGA SATUAN]]="",),"",NOTA[[#This Row],[QTY]]*NOTA[[#This Row],[HARGA SATUAN]])</f>
        <v/>
      </c>
      <c r="AG48" s="36" t="str">
        <f ca="1">IF(NOTA[[#This Row],[ID_H]]="","",INDEX(NOTA[TANGGAL],MATCH(,INDIRECT(ADDRESS(ROW(NOTA[TANGGAL]),COLUMN(NOTA[TANGGAL]))&amp;":"&amp;ADDRESS(ROW(),COLUMN(NOTA[TANGGAL]))),-1)))</f>
        <v/>
      </c>
      <c r="AH48" s="36" t="str">
        <f ca="1">IF(NOTA[[#This Row],[ID_H]]="","",INDEX(NOTA[TGL.NOTA],MATCH(,INDIRECT(ADDRESS(ROW(NOTA[TGL.NOTA]),COLUMN(NOTA[TGL.NOTA]))&amp;":"&amp;ADDRESS(ROW(),COLUMN(NOTA[TGL.NOTA]))),-1)))</f>
        <v/>
      </c>
      <c r="AI48" s="36" t="str">
        <f ca="1">IF(NOTA[[#This Row],[ID_H]]="","",INDEX(NOTA[NO.NOTA],MATCH(NOTA[[#This Row],[ID_H]],NOTA[ID_H],0)))</f>
        <v/>
      </c>
      <c r="AJ48" s="38" t="str">
        <f ca="1">IF(NOTA[[#This Row],[NAMA BARANG]]="","",INDEX(NOTA[SUPPLIER],MATCH(,INDIRECT(ADDRESS(ROW(NOTA[ID]),COLUMN(NOTA[ID]))&amp;":"&amp;ADDRESS(ROW(),COLUMN(NOTA[ID]))),-1)))</f>
        <v/>
      </c>
      <c r="AK48" s="38" t="str">
        <f ca="1">IF(NOTA[[#This Row],[ID_H]]="","",IF(NOTA[[#This Row],[FAKTUR]]="",INDIRECT(ADDRESS(ROW()-1,COLUMN())),NOTA[[#This Row],[FAKTUR]]))</f>
        <v/>
      </c>
      <c r="AL48" s="35" t="str">
        <f ca="1">IF(NOTA[[#This Row],[ID]]="","",COUNTIF(NOTA[ID_H],NOTA[[#This Row],[ID_H]]))</f>
        <v/>
      </c>
      <c r="AM48" s="35" t="str">
        <f ca="1">IF(NOTA[[#This Row],[TGL.NOTA]]="",IF(NOTA[[#This Row],[SUPPLIER_H]]="","",AM47),MONTH(NOTA[[#This Row],[TGL.NOTA]]))</f>
        <v/>
      </c>
      <c r="AN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" s="35" t="str">
        <f>IF(NOTA[[#This Row],[CONCAT1]]="","",MATCH(NOTA[[#This Row],[CONCAT1]],[3]!db[NB NOTA_C],0))</f>
        <v/>
      </c>
      <c r="AS48" s="35" t="str">
        <f>IF(NOTA[[#This Row],[Column5]]="","",TRUE)</f>
        <v/>
      </c>
      <c r="AT48" s="35" t="str">
        <f ca="1">IF(NOTA[[#This Row],[ID_H]]="","",IF(NOTA[[#This Row],[Column3]]=TRUE,NOTA[[#This Row],[Column5]],INDEX([3]!db[QTY/ CTN],NOTA[[#This Row],[//DB]])))</f>
        <v/>
      </c>
      <c r="AU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" s="35" t="str">
        <f ca="1">IF(NOTA[[#This Row],[ID_H]]="","",MATCH(NOTA[[#This Row],[NB NOTA_C_QTY]],[3]!db[NB NOTA_C_QTY+F],0))</f>
        <v/>
      </c>
      <c r="AW48" s="43" t="str">
        <f ca="1">IF(NOTA[[#This Row],[NB NOTA_C_QTY]]="","",ROW()-2)</f>
        <v/>
      </c>
    </row>
    <row r="49" spans="1:49" ht="20.100000000000001" customHeight="1">
      <c r="A49" s="38">
        <f ca="1">IF(INDIRECT(ADDRESS(ROW()-1,COLUMN(NOTA[[#Headers],[ID]])))="ID",1,IF(NOTA[[#This Row],[FAKTUR]]="","",COUNT(INDIRECT(ADDRESS(ROW(NOTA[ID]),COLUMN(NOTA[ID]))&amp;":"&amp;ADDRESS(ROW()-1,COLUMN(NOTA[ID]))))+1))</f>
        <v>16</v>
      </c>
      <c r="B49" s="35">
        <f ca="1">IF(NOTA[[#This Row],[NAMA BARANG]]="","",INDEX(NOTA[ID],MATCH(,INDIRECT(ADDRESS(ROW(NOTA[ID]),COLUMN(NOTA[ID]))&amp;":"&amp;ADDRESS(ROW(),COLUMN(NOTA[ID]))),-1)))</f>
        <v>16</v>
      </c>
      <c r="C49" s="45"/>
      <c r="D49" s="35" t="s">
        <v>74</v>
      </c>
      <c r="E49" s="35" t="s">
        <v>49</v>
      </c>
      <c r="F49" s="46" t="s">
        <v>206</v>
      </c>
      <c r="G49" s="35"/>
      <c r="H49" s="36">
        <v>45475</v>
      </c>
      <c r="I49" s="35"/>
      <c r="J49" s="50" t="s">
        <v>207</v>
      </c>
      <c r="K49" s="37">
        <v>2</v>
      </c>
      <c r="L49" s="35">
        <v>120</v>
      </c>
      <c r="M49" s="35" t="s">
        <v>50</v>
      </c>
      <c r="N49" s="38">
        <v>21500</v>
      </c>
      <c r="O49" s="39"/>
      <c r="P49" s="47" t="s">
        <v>70</v>
      </c>
      <c r="Q49" s="48">
        <v>0.03</v>
      </c>
      <c r="R49" s="41"/>
      <c r="T49" s="42"/>
      <c r="U49" s="44"/>
      <c r="V49" s="42">
        <f>IF(NOTA[[#This Row],[HARGA/ CTN]]="",NOTA[[#This Row],[JUMLAH_H]],NOTA[[#This Row],[HARGA/ CTN]]*IF(NOTA[[#This Row],[C]]="",0,NOTA[[#This Row],[C]]))</f>
        <v>2580000</v>
      </c>
      <c r="W49" s="42">
        <f>IF(NOTA[[#This Row],[JUMLAH]]="","",NOTA[[#This Row],[JUMLAH]]*NOTA[[#This Row],[Column6]])</f>
        <v>77400</v>
      </c>
      <c r="X49" s="42">
        <f>IF(NOTA[[#This Row],[JUMLAH]]="","",(NOTA[[#This Row],[JUMLAH]]-NOTA[[#This Row],[DISC 1-]])*NOTA[[#This Row],[Column7]])</f>
        <v>0</v>
      </c>
      <c r="Y49" s="42">
        <f>IF(NOTA[[#This Row],[JUMLAH]]="","",(NOTA[[#This Row],[JUMLAH]]-NOTA[[#This Row],[DISC 1-]]-NOTA[[#This Row],[DISC 2-]])*NOTA[[#This Row],[Column8]])</f>
        <v>0</v>
      </c>
      <c r="Z49" s="42">
        <f>IF(NOTA[[#This Row],[JUMLAH]]="","",NOTA[[#This Row],[DISC 1-]]+NOTA[[#This Row],[DISC 2-]]+NOTA[[#This Row],[DISC 3-]])</f>
        <v>77400</v>
      </c>
      <c r="AA49" s="42">
        <f>IF(NOTA[[#This Row],[JUMLAH]]="","",NOTA[[#This Row],[JUMLAH]]-NOTA[[#This Row],[DISC]])</f>
        <v>2502600</v>
      </c>
      <c r="AB49" s="42"/>
      <c r="AC4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77400</v>
      </c>
      <c r="AD4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2502600</v>
      </c>
      <c r="AE49" s="38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49" s="42">
        <f>IF(OR(NOTA[[#This Row],[QTY]]="",NOTA[[#This Row],[HARGA SATUAN]]="",),"",NOTA[[#This Row],[QTY]]*NOTA[[#This Row],[HARGA SATUAN]])</f>
        <v>2580000</v>
      </c>
      <c r="AG49" s="36">
        <f ca="1">IF(NOTA[[#This Row],[ID_H]]="","",INDEX(NOTA[TANGGAL],MATCH(,INDIRECT(ADDRESS(ROW(NOTA[TANGGAL]),COLUMN(NOTA[TANGGAL]))&amp;":"&amp;ADDRESS(ROW(),COLUMN(NOTA[TANGGAL]))),-1)))</f>
        <v>45478</v>
      </c>
      <c r="AH49" s="36">
        <f ca="1">IF(NOTA[[#This Row],[ID_H]]="","",INDEX(NOTA[TGL.NOTA],MATCH(,INDIRECT(ADDRESS(ROW(NOTA[TGL.NOTA]),COLUMN(NOTA[TGL.NOTA]))&amp;":"&amp;ADDRESS(ROW(),COLUMN(NOTA[TGL.NOTA]))),-1)))</f>
        <v>45475</v>
      </c>
      <c r="AI49" s="36" t="str">
        <f ca="1">IF(NOTA[[#This Row],[ID_H]]="","",INDEX(NOTA[NO.NOTA],MATCH(NOTA[[#This Row],[ID_H]],NOTA[ID_H],0)))</f>
        <v>HM/130/07-24H</v>
      </c>
      <c r="AJ49" s="38" t="str">
        <f ca="1">IF(NOTA[[#This Row],[NAMA BARANG]]="","",INDEX(NOTA[SUPPLIER],MATCH(,INDIRECT(ADDRESS(ROW(NOTA[ID]),COLUMN(NOTA[ID]))&amp;":"&amp;ADDRESS(ROW(),COLUMN(NOTA[ID]))),-1)))</f>
        <v>DUTA BUANA</v>
      </c>
      <c r="AK49" s="38" t="str">
        <f ca="1">IF(NOTA[[#This Row],[ID_H]]="","",IF(NOTA[[#This Row],[FAKTUR]]="",INDIRECT(ADDRESS(ROW()-1,COLUMN())),NOTA[[#This Row],[FAKTUR]]))</f>
        <v>UNTANA</v>
      </c>
      <c r="AL49" s="35">
        <f ca="1">IF(NOTA[[#This Row],[ID]]="","",COUNTIF(NOTA[ID_H],NOTA[[#This Row],[ID_H]]))</f>
        <v>1</v>
      </c>
      <c r="AM49" s="35">
        <f>IF(NOTA[[#This Row],[TGL.NOTA]]="",IF(NOTA[[#This Row],[SUPPLIER_H]]="","",AM48),MONTH(NOTA[[#This Row],[TGL.NOTA]]))</f>
        <v>7</v>
      </c>
      <c r="AN49" s="35" t="str">
        <f>LOWER(SUBSTITUTE(SUBSTITUTE(SUBSTITUTE(SUBSTITUTE(SUBSTITUTE(SUBSTITUTE(SUBSTITUTE(SUBSTITUTE(SUBSTITUTE(NOTA[[#This Row],[NAMA BARANG]]," ",),".",""),"-",""),"(",""),")",""),",",""),"/",""),"""",""),"+",""))</f>
        <v>stabillotf1145livecolourpastel</v>
      </c>
      <c r="AO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stabillotf1145livecolourpastel12900000,03</v>
      </c>
      <c r="AP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stabillotf1145livecolourpastel12900000,03</v>
      </c>
      <c r="AQ49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BUANAUNTANAHM/130/07-24H45475stabillotf1145livecolourpastel</v>
      </c>
      <c r="AR49" s="35">
        <f>IF(NOTA[[#This Row],[CONCAT1]]="","",MATCH(NOTA[[#This Row],[CONCAT1]],[3]!db[NB NOTA_C],0))</f>
        <v>2920</v>
      </c>
      <c r="AS49" s="35" t="b">
        <f>IF(NOTA[[#This Row],[Column5]]="","",TRUE)</f>
        <v>1</v>
      </c>
      <c r="AT49" s="35" t="str">
        <f ca="1">IF(NOTA[[#This Row],[ID_H]]="","",IF(NOTA[[#This Row],[Column3]]=TRUE,NOTA[[#This Row],[Column5]],INDEX([3]!db[QTY/ CTN],NOTA[[#This Row],[//DB]])))</f>
        <v>60 LSN</v>
      </c>
      <c r="AU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stabillotf1145livecolourpastel60lsnuntana</v>
      </c>
      <c r="AV49" s="35">
        <f ca="1">IF(NOTA[[#This Row],[ID_H]]="","",MATCH(NOTA[[#This Row],[NB NOTA_C_QTY]],[3]!db[NB NOTA_C_QTY+F],0))</f>
        <v>2920</v>
      </c>
      <c r="AW49" s="43">
        <f ca="1">IF(NOTA[[#This Row],[NB NOTA_C_QTY]]="","",ROW()-2)</f>
        <v>47</v>
      </c>
    </row>
    <row r="50" spans="1:49" ht="20.100000000000001" customHeight="1">
      <c r="A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5" t="str">
        <f ca="1">IF(NOTA[[#This Row],[NAMA BARANG]]="","",INDEX(NOTA[ID],MATCH(,INDIRECT(ADDRESS(ROW(NOTA[ID]),COLUMN(NOTA[ID]))&amp;":"&amp;ADDRESS(ROW(),COLUMN(NOTA[ID]))),-1)))</f>
        <v/>
      </c>
      <c r="C50" s="45"/>
      <c r="F50" s="46"/>
      <c r="G50" s="35"/>
      <c r="H50" s="36"/>
      <c r="I50" s="35"/>
      <c r="K50" s="37"/>
      <c r="L50" s="35"/>
      <c r="N50" s="38"/>
      <c r="O50" s="39"/>
      <c r="P50" s="47"/>
      <c r="Q50" s="48"/>
      <c r="R50" s="41"/>
      <c r="T50" s="42"/>
      <c r="U50" s="44"/>
      <c r="V50" s="42" t="str">
        <f>IF(NOTA[[#This Row],[HARGA/ CTN]]="",NOTA[[#This Row],[JUMLAH_H]],NOTA[[#This Row],[HARGA/ CTN]]*IF(NOTA[[#This Row],[C]]="",0,NOTA[[#This Row],[C]]))</f>
        <v/>
      </c>
      <c r="W50" s="42" t="str">
        <f>IF(NOTA[[#This Row],[JUMLAH]]="","",NOTA[[#This Row],[JUMLAH]]*NOTA[[#This Row],[Column6]])</f>
        <v/>
      </c>
      <c r="X50" s="42" t="str">
        <f>IF(NOTA[[#This Row],[JUMLAH]]="","",(NOTA[[#This Row],[JUMLAH]]-NOTA[[#This Row],[DISC 1-]])*NOTA[[#This Row],[Column7]])</f>
        <v/>
      </c>
      <c r="Y50" s="42" t="str">
        <f>IF(NOTA[[#This Row],[JUMLAH]]="","",(NOTA[[#This Row],[JUMLAH]]-NOTA[[#This Row],[DISC 1-]]-NOTA[[#This Row],[DISC 2-]])*NOTA[[#This Row],[Column8]])</f>
        <v/>
      </c>
      <c r="Z50" s="42" t="str">
        <f>IF(NOTA[[#This Row],[JUMLAH]]="","",NOTA[[#This Row],[DISC 1-]]+NOTA[[#This Row],[DISC 2-]]+NOTA[[#This Row],[DISC 3-]])</f>
        <v/>
      </c>
      <c r="AA50" s="42" t="str">
        <f>IF(NOTA[[#This Row],[JUMLAH]]="","",NOTA[[#This Row],[JUMLAH]]-NOTA[[#This Row],[DISC]])</f>
        <v/>
      </c>
      <c r="AB50" s="42"/>
      <c r="AC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" s="42" t="str">
        <f>IF(OR(NOTA[[#This Row],[QTY]]="",NOTA[[#This Row],[HARGA SATUAN]]="",),"",NOTA[[#This Row],[QTY]]*NOTA[[#This Row],[HARGA SATUAN]])</f>
        <v/>
      </c>
      <c r="AG50" s="36" t="str">
        <f ca="1">IF(NOTA[[#This Row],[ID_H]]="","",INDEX(NOTA[TANGGAL],MATCH(,INDIRECT(ADDRESS(ROW(NOTA[TANGGAL]),COLUMN(NOTA[TANGGAL]))&amp;":"&amp;ADDRESS(ROW(),COLUMN(NOTA[TANGGAL]))),-1)))</f>
        <v/>
      </c>
      <c r="AH50" s="36" t="str">
        <f ca="1">IF(NOTA[[#This Row],[ID_H]]="","",INDEX(NOTA[TGL.NOTA],MATCH(,INDIRECT(ADDRESS(ROW(NOTA[TGL.NOTA]),COLUMN(NOTA[TGL.NOTA]))&amp;":"&amp;ADDRESS(ROW(),COLUMN(NOTA[TGL.NOTA]))),-1)))</f>
        <v/>
      </c>
      <c r="AI50" s="36" t="str">
        <f ca="1">IF(NOTA[[#This Row],[ID_H]]="","",INDEX(NOTA[NO.NOTA],MATCH(NOTA[[#This Row],[ID_H]],NOTA[ID_H],0)))</f>
        <v/>
      </c>
      <c r="AJ50" s="38" t="str">
        <f ca="1">IF(NOTA[[#This Row],[NAMA BARANG]]="","",INDEX(NOTA[SUPPLIER],MATCH(,INDIRECT(ADDRESS(ROW(NOTA[ID]),COLUMN(NOTA[ID]))&amp;":"&amp;ADDRESS(ROW(),COLUMN(NOTA[ID]))),-1)))</f>
        <v/>
      </c>
      <c r="AK50" s="38" t="str">
        <f ca="1">IF(NOTA[[#This Row],[ID_H]]="","",IF(NOTA[[#This Row],[FAKTUR]]="",INDIRECT(ADDRESS(ROW()-1,COLUMN())),NOTA[[#This Row],[FAKTUR]]))</f>
        <v/>
      </c>
      <c r="AL50" s="35" t="str">
        <f ca="1">IF(NOTA[[#This Row],[ID]]="","",COUNTIF(NOTA[ID_H],NOTA[[#This Row],[ID_H]]))</f>
        <v/>
      </c>
      <c r="AM50" s="35" t="str">
        <f ca="1">IF(NOTA[[#This Row],[TGL.NOTA]]="",IF(NOTA[[#This Row],[SUPPLIER_H]]="","",AM49),MONTH(NOTA[[#This Row],[TGL.NOTA]]))</f>
        <v/>
      </c>
      <c r="AN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" s="35" t="str">
        <f>IF(NOTA[[#This Row],[CONCAT1]]="","",MATCH(NOTA[[#This Row],[CONCAT1]],[3]!db[NB NOTA_C],0))</f>
        <v/>
      </c>
      <c r="AS50" s="35" t="str">
        <f>IF(NOTA[[#This Row],[Column5]]="","",TRUE)</f>
        <v/>
      </c>
      <c r="AT50" s="35" t="str">
        <f ca="1">IF(NOTA[[#This Row],[ID_H]]="","",IF(NOTA[[#This Row],[Column3]]=TRUE,NOTA[[#This Row],[Column5]],INDEX([3]!db[QTY/ CTN],NOTA[[#This Row],[//DB]])))</f>
        <v/>
      </c>
      <c r="AU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" s="35" t="str">
        <f ca="1">IF(NOTA[[#This Row],[ID_H]]="","",MATCH(NOTA[[#This Row],[NB NOTA_C_QTY]],[3]!db[NB NOTA_C_QTY+F],0))</f>
        <v/>
      </c>
      <c r="AW50" s="43" t="str">
        <f ca="1">IF(NOTA[[#This Row],[NB NOTA_C_QTY]]="","",ROW()-2)</f>
        <v/>
      </c>
    </row>
    <row r="51" spans="1:49" ht="20.100000000000001" customHeight="1">
      <c r="A51" s="38">
        <f ca="1">IF(INDIRECT(ADDRESS(ROW()-1,COLUMN(NOTA[[#Headers],[ID]])))="ID",1,IF(NOTA[[#This Row],[FAKTUR]]="","",COUNT(INDIRECT(ADDRESS(ROW(NOTA[ID]),COLUMN(NOTA[ID]))&amp;":"&amp;ADDRESS(ROW()-1,COLUMN(NOTA[ID]))))+1))</f>
        <v>17</v>
      </c>
      <c r="B51" s="35">
        <f ca="1">IF(NOTA[[#This Row],[NAMA BARANG]]="","",INDEX(NOTA[ID],MATCH(,INDIRECT(ADDRESS(ROW(NOTA[ID]),COLUMN(NOTA[ID]))&amp;":"&amp;ADDRESS(ROW(),COLUMN(NOTA[ID]))),-1)))</f>
        <v>17</v>
      </c>
      <c r="C51" s="45">
        <v>45481</v>
      </c>
      <c r="D51" s="35" t="s">
        <v>208</v>
      </c>
      <c r="E51" s="35" t="s">
        <v>49</v>
      </c>
      <c r="F51" s="46" t="s">
        <v>209</v>
      </c>
      <c r="G51" s="35"/>
      <c r="H51" s="36">
        <v>45472</v>
      </c>
      <c r="I51" s="35"/>
      <c r="J51" s="50" t="s">
        <v>210</v>
      </c>
      <c r="K51" s="37"/>
      <c r="L51" s="35">
        <v>60</v>
      </c>
      <c r="M51" s="35" t="s">
        <v>50</v>
      </c>
      <c r="N51" s="38">
        <v>22500</v>
      </c>
      <c r="O51" s="39"/>
      <c r="P51" s="47" t="s">
        <v>203</v>
      </c>
      <c r="Q51" s="48"/>
      <c r="R51" s="41"/>
      <c r="T51" s="42"/>
      <c r="U51" s="44"/>
      <c r="V51" s="42">
        <f>IF(NOTA[[#This Row],[HARGA/ CTN]]="",NOTA[[#This Row],[JUMLAH_H]],NOTA[[#This Row],[HARGA/ CTN]]*IF(NOTA[[#This Row],[C]]="",0,NOTA[[#This Row],[C]]))</f>
        <v>1350000</v>
      </c>
      <c r="W51" s="42">
        <f>IF(NOTA[[#This Row],[JUMLAH]]="","",NOTA[[#This Row],[JUMLAH]]*NOTA[[#This Row],[Column6]])</f>
        <v>0</v>
      </c>
      <c r="X51" s="42">
        <f>IF(NOTA[[#This Row],[JUMLAH]]="","",(NOTA[[#This Row],[JUMLAH]]-NOTA[[#This Row],[DISC 1-]])*NOTA[[#This Row],[Column7]])</f>
        <v>0</v>
      </c>
      <c r="Y51" s="42">
        <f>IF(NOTA[[#This Row],[JUMLAH]]="","",(NOTA[[#This Row],[JUMLAH]]-NOTA[[#This Row],[DISC 1-]]-NOTA[[#This Row],[DISC 2-]])*NOTA[[#This Row],[Column8]])</f>
        <v>0</v>
      </c>
      <c r="Z51" s="42">
        <f>IF(NOTA[[#This Row],[JUMLAH]]="","",NOTA[[#This Row],[DISC 1-]]+NOTA[[#This Row],[DISC 2-]]+NOTA[[#This Row],[DISC 3-]])</f>
        <v>0</v>
      </c>
      <c r="AA51" s="42">
        <f>IF(NOTA[[#This Row],[JUMLAH]]="","",NOTA[[#This Row],[JUMLAH]]-NOTA[[#This Row],[DISC]])</f>
        <v>1350000</v>
      </c>
      <c r="AB51" s="42"/>
      <c r="AC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1" s="42">
        <f>IF(OR(NOTA[[#This Row],[QTY]]="",NOTA[[#This Row],[HARGA SATUAN]]="",),"",NOTA[[#This Row],[QTY]]*NOTA[[#This Row],[HARGA SATUAN]])</f>
        <v>1350000</v>
      </c>
      <c r="AG51" s="36">
        <f ca="1">IF(NOTA[[#This Row],[ID_H]]="","",INDEX(NOTA[TANGGAL],MATCH(,INDIRECT(ADDRESS(ROW(NOTA[TANGGAL]),COLUMN(NOTA[TANGGAL]))&amp;":"&amp;ADDRESS(ROW(),COLUMN(NOTA[TANGGAL]))),-1)))</f>
        <v>45481</v>
      </c>
      <c r="AH51" s="36">
        <f ca="1">IF(NOTA[[#This Row],[ID_H]]="","",INDEX(NOTA[TGL.NOTA],MATCH(,INDIRECT(ADDRESS(ROW(NOTA[TGL.NOTA]),COLUMN(NOTA[TGL.NOTA]))&amp;":"&amp;ADDRESS(ROW(),COLUMN(NOTA[TGL.NOTA]))),-1)))</f>
        <v>45472</v>
      </c>
      <c r="AI51" s="36" t="str">
        <f ca="1">IF(NOTA[[#This Row],[ID_H]]="","",INDEX(NOTA[NO.NOTA],MATCH(NOTA[[#This Row],[ID_H]],NOTA[ID_H],0)))</f>
        <v>SO2024070086563</v>
      </c>
      <c r="AJ51" s="38" t="str">
        <f ca="1">IF(NOTA[[#This Row],[NAMA BARANG]]="","",INDEX(NOTA[SUPPLIER],MATCH(,INDIRECT(ADDRESS(ROW(NOTA[ID]),COLUMN(NOTA[ID]))&amp;":"&amp;ADDRESS(ROW(),COLUMN(NOTA[ID]))),-1)))</f>
        <v>BINTANG SAUDARA</v>
      </c>
      <c r="AK51" s="38" t="str">
        <f ca="1">IF(NOTA[[#This Row],[ID_H]]="","",IF(NOTA[[#This Row],[FAKTUR]]="",INDIRECT(ADDRESS(ROW()-1,COLUMN())),NOTA[[#This Row],[FAKTUR]]))</f>
        <v>UNTANA</v>
      </c>
      <c r="AL51" s="35">
        <f ca="1">IF(NOTA[[#This Row],[ID]]="","",COUNTIF(NOTA[ID_H],NOTA[[#This Row],[ID_H]]))</f>
        <v>10</v>
      </c>
      <c r="AM51" s="35">
        <f>IF(NOTA[[#This Row],[TGL.NOTA]]="",IF(NOTA[[#This Row],[SUPPLIER_H]]="","",AM50),MONTH(NOTA[[#This Row],[TGL.NOTA]]))</f>
        <v>6</v>
      </c>
      <c r="AN51" s="35" t="str">
        <f>LOWER(SUBSTITUTE(SUBSTITUTE(SUBSTITUTE(SUBSTITUTE(SUBSTITUTE(SUBSTITUTE(SUBSTITUTE(SUBSTITUTE(SUBSTITUTE(NOTA[[#This Row],[NAMA BARANG]]," ",),".",""),"-",""),"(",""),")",""),",",""),"/",""),"""",""),"+",""))</f>
        <v>gelpenkoalagp168amerah</v>
      </c>
      <c r="AO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gelpenkoalagp168amerah1350000</v>
      </c>
      <c r="AP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gelpenkoalagp168amerah22500</v>
      </c>
      <c r="AQ51" s="3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SAUDARAUNTANASO202407008656345472gelpenkoalagp168amerah</v>
      </c>
      <c r="AR51" s="35">
        <f>IF(NOTA[[#This Row],[CONCAT1]]="","",MATCH(NOTA[[#This Row],[CONCAT1]],[3]!db[NB NOTA_C],0))</f>
        <v>3340</v>
      </c>
      <c r="AS51" s="35" t="b">
        <f>IF(NOTA[[#This Row],[Column5]]="","",TRUE)</f>
        <v>1</v>
      </c>
      <c r="AT51" s="35" t="str">
        <f ca="1">IF(NOTA[[#This Row],[ID_H]]="","",IF(NOTA[[#This Row],[Column3]]=TRUE,NOTA[[#This Row],[Column5]],INDEX([3]!db[QTY/ CTN],NOTA[[#This Row],[//DB]])))</f>
        <v>144 LSN</v>
      </c>
      <c r="AU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gelpenkoalagp168amerah144lsnuntana</v>
      </c>
      <c r="AV51" s="35">
        <f ca="1">IF(NOTA[[#This Row],[ID_H]]="","",MATCH(NOTA[[#This Row],[NB NOTA_C_QTY]],[3]!db[NB NOTA_C_QTY+F],0))</f>
        <v>3340</v>
      </c>
      <c r="AW51" s="43">
        <f ca="1">IF(NOTA[[#This Row],[NB NOTA_C_QTY]]="","",ROW()-2)</f>
        <v>49</v>
      </c>
    </row>
    <row r="52" spans="1:49" ht="20.100000000000001" customHeight="1">
      <c r="A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5">
        <f ca="1">IF(NOTA[[#This Row],[NAMA BARANG]]="","",INDEX(NOTA[ID],MATCH(,INDIRECT(ADDRESS(ROW(NOTA[ID]),COLUMN(NOTA[ID]))&amp;":"&amp;ADDRESS(ROW(),COLUMN(NOTA[ID]))),-1)))</f>
        <v>17</v>
      </c>
      <c r="C52" s="45"/>
      <c r="F52" s="46"/>
      <c r="G52" s="35"/>
      <c r="H52" s="36"/>
      <c r="I52" s="35"/>
      <c r="J52" s="50" t="s">
        <v>211</v>
      </c>
      <c r="K52" s="37"/>
      <c r="L52" s="35">
        <v>60</v>
      </c>
      <c r="M52" s="35" t="s">
        <v>50</v>
      </c>
      <c r="N52" s="38">
        <v>22500</v>
      </c>
      <c r="O52" s="39"/>
      <c r="P52" s="47" t="s">
        <v>203</v>
      </c>
      <c r="Q52" s="48"/>
      <c r="R52" s="41"/>
      <c r="T52" s="42"/>
      <c r="U52" s="44"/>
      <c r="V52" s="42">
        <f>IF(NOTA[[#This Row],[HARGA/ CTN]]="",NOTA[[#This Row],[JUMLAH_H]],NOTA[[#This Row],[HARGA/ CTN]]*IF(NOTA[[#This Row],[C]]="",0,NOTA[[#This Row],[C]]))</f>
        <v>1350000</v>
      </c>
      <c r="W52" s="42">
        <f>IF(NOTA[[#This Row],[JUMLAH]]="","",NOTA[[#This Row],[JUMLAH]]*NOTA[[#This Row],[Column6]])</f>
        <v>0</v>
      </c>
      <c r="X52" s="42">
        <f>IF(NOTA[[#This Row],[JUMLAH]]="","",(NOTA[[#This Row],[JUMLAH]]-NOTA[[#This Row],[DISC 1-]])*NOTA[[#This Row],[Column7]])</f>
        <v>0</v>
      </c>
      <c r="Y52" s="42">
        <f>IF(NOTA[[#This Row],[JUMLAH]]="","",(NOTA[[#This Row],[JUMLAH]]-NOTA[[#This Row],[DISC 1-]]-NOTA[[#This Row],[DISC 2-]])*NOTA[[#This Row],[Column8]])</f>
        <v>0</v>
      </c>
      <c r="Z52" s="42">
        <f>IF(NOTA[[#This Row],[JUMLAH]]="","",NOTA[[#This Row],[DISC 1-]]+NOTA[[#This Row],[DISC 2-]]+NOTA[[#This Row],[DISC 3-]])</f>
        <v>0</v>
      </c>
      <c r="AA52" s="42">
        <f>IF(NOTA[[#This Row],[JUMLAH]]="","",NOTA[[#This Row],[JUMLAH]]-NOTA[[#This Row],[DISC]])</f>
        <v>1350000</v>
      </c>
      <c r="AB52" s="42"/>
      <c r="AC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2" s="42">
        <f>IF(OR(NOTA[[#This Row],[QTY]]="",NOTA[[#This Row],[HARGA SATUAN]]="",),"",NOTA[[#This Row],[QTY]]*NOTA[[#This Row],[HARGA SATUAN]])</f>
        <v>1350000</v>
      </c>
      <c r="AG52" s="36">
        <f ca="1">IF(NOTA[[#This Row],[ID_H]]="","",INDEX(NOTA[TANGGAL],MATCH(,INDIRECT(ADDRESS(ROW(NOTA[TANGGAL]),COLUMN(NOTA[TANGGAL]))&amp;":"&amp;ADDRESS(ROW(),COLUMN(NOTA[TANGGAL]))),-1)))</f>
        <v>45481</v>
      </c>
      <c r="AH52" s="36">
        <f ca="1">IF(NOTA[[#This Row],[ID_H]]="","",INDEX(NOTA[TGL.NOTA],MATCH(,INDIRECT(ADDRESS(ROW(NOTA[TGL.NOTA]),COLUMN(NOTA[TGL.NOTA]))&amp;":"&amp;ADDRESS(ROW(),COLUMN(NOTA[TGL.NOTA]))),-1)))</f>
        <v>45472</v>
      </c>
      <c r="AI52" s="36" t="str">
        <f ca="1">IF(NOTA[[#This Row],[ID_H]]="","",INDEX(NOTA[NO.NOTA],MATCH(NOTA[[#This Row],[ID_H]],NOTA[ID_H],0)))</f>
        <v>SO2024070086563</v>
      </c>
      <c r="AJ52" s="38" t="str">
        <f ca="1">IF(NOTA[[#This Row],[NAMA BARANG]]="","",INDEX(NOTA[SUPPLIER],MATCH(,INDIRECT(ADDRESS(ROW(NOTA[ID]),COLUMN(NOTA[ID]))&amp;":"&amp;ADDRESS(ROW(),COLUMN(NOTA[ID]))),-1)))</f>
        <v>BINTANG SAUDARA</v>
      </c>
      <c r="AK52" s="38" t="str">
        <f ca="1">IF(NOTA[[#This Row],[ID_H]]="","",IF(NOTA[[#This Row],[FAKTUR]]="",INDIRECT(ADDRESS(ROW()-1,COLUMN())),NOTA[[#This Row],[FAKTUR]]))</f>
        <v>UNTANA</v>
      </c>
      <c r="AL52" s="35" t="str">
        <f ca="1">IF(NOTA[[#This Row],[ID]]="","",COUNTIF(NOTA[ID_H],NOTA[[#This Row],[ID_H]]))</f>
        <v/>
      </c>
      <c r="AM52" s="35">
        <f ca="1">IF(NOTA[[#This Row],[TGL.NOTA]]="",IF(NOTA[[#This Row],[SUPPLIER_H]]="","",AM51),MONTH(NOTA[[#This Row],[TGL.NOTA]]))</f>
        <v>6</v>
      </c>
      <c r="AN52" s="35" t="str">
        <f>LOWER(SUBSTITUTE(SUBSTITUTE(SUBSTITUTE(SUBSTITUTE(SUBSTITUTE(SUBSTITUTE(SUBSTITUTE(SUBSTITUTE(SUBSTITUTE(NOTA[[#This Row],[NAMA BARANG]]," ",),".",""),"-",""),"(",""),")",""),",",""),"/",""),"""",""),"+",""))</f>
        <v>gelpenkoalagp168bbr</v>
      </c>
      <c r="AO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gelpenkoalagp168bbr1350000</v>
      </c>
      <c r="AP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gelpenkoalagp168bbr22500</v>
      </c>
      <c r="AQ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" s="35">
        <f>IF(NOTA[[#This Row],[CONCAT1]]="","",MATCH(NOTA[[#This Row],[CONCAT1]],[3]!db[NB NOTA_C],0))</f>
        <v>3341</v>
      </c>
      <c r="AS52" s="35" t="b">
        <f>IF(NOTA[[#This Row],[Column5]]="","",TRUE)</f>
        <v>1</v>
      </c>
      <c r="AT52" s="35" t="str">
        <f ca="1">IF(NOTA[[#This Row],[ID_H]]="","",IF(NOTA[[#This Row],[Column3]]=TRUE,NOTA[[#This Row],[Column5]],INDEX([3]!db[QTY/ CTN],NOTA[[#This Row],[//DB]])))</f>
        <v>144 LSN</v>
      </c>
      <c r="AU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gelpenkoalagp168bbr144lsnuntana</v>
      </c>
      <c r="AV52" s="35">
        <f ca="1">IF(NOTA[[#This Row],[ID_H]]="","",MATCH(NOTA[[#This Row],[NB NOTA_C_QTY]],[3]!db[NB NOTA_C_QTY+F],0))</f>
        <v>3341</v>
      </c>
      <c r="AW52" s="43">
        <f ca="1">IF(NOTA[[#This Row],[NB NOTA_C_QTY]]="","",ROW()-2)</f>
        <v>50</v>
      </c>
    </row>
    <row r="53" spans="1:49" ht="20.100000000000001" customHeight="1">
      <c r="A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5">
        <f ca="1">IF(NOTA[[#This Row],[NAMA BARANG]]="","",INDEX(NOTA[ID],MATCH(,INDIRECT(ADDRESS(ROW(NOTA[ID]),COLUMN(NOTA[ID]))&amp;":"&amp;ADDRESS(ROW(),COLUMN(NOTA[ID]))),-1)))</f>
        <v>17</v>
      </c>
      <c r="C53" s="45"/>
      <c r="F53" s="46"/>
      <c r="G53" s="35"/>
      <c r="H53" s="36"/>
      <c r="I53" s="35"/>
      <c r="J53" s="50" t="s">
        <v>212</v>
      </c>
      <c r="K53" s="37"/>
      <c r="L53" s="35">
        <v>60</v>
      </c>
      <c r="M53" s="35" t="s">
        <v>50</v>
      </c>
      <c r="N53" s="38">
        <v>22500</v>
      </c>
      <c r="O53" s="39"/>
      <c r="P53" s="47" t="s">
        <v>203</v>
      </c>
      <c r="Q53" s="48"/>
      <c r="R53" s="41"/>
      <c r="T53" s="42"/>
      <c r="U53" s="44"/>
      <c r="V53" s="42">
        <f>IF(NOTA[[#This Row],[HARGA/ CTN]]="",NOTA[[#This Row],[JUMLAH_H]],NOTA[[#This Row],[HARGA/ CTN]]*IF(NOTA[[#This Row],[C]]="",0,NOTA[[#This Row],[C]]))</f>
        <v>1350000</v>
      </c>
      <c r="W53" s="42">
        <f>IF(NOTA[[#This Row],[JUMLAH]]="","",NOTA[[#This Row],[JUMLAH]]*NOTA[[#This Row],[Column6]])</f>
        <v>0</v>
      </c>
      <c r="X53" s="42">
        <f>IF(NOTA[[#This Row],[JUMLAH]]="","",(NOTA[[#This Row],[JUMLAH]]-NOTA[[#This Row],[DISC 1-]])*NOTA[[#This Row],[Column7]])</f>
        <v>0</v>
      </c>
      <c r="Y53" s="42">
        <f>IF(NOTA[[#This Row],[JUMLAH]]="","",(NOTA[[#This Row],[JUMLAH]]-NOTA[[#This Row],[DISC 1-]]-NOTA[[#This Row],[DISC 2-]])*NOTA[[#This Row],[Column8]])</f>
        <v>0</v>
      </c>
      <c r="Z53" s="42">
        <f>IF(NOTA[[#This Row],[JUMLAH]]="","",NOTA[[#This Row],[DISC 1-]]+NOTA[[#This Row],[DISC 2-]]+NOTA[[#This Row],[DISC 3-]])</f>
        <v>0</v>
      </c>
      <c r="AA53" s="42">
        <f>IF(NOTA[[#This Row],[JUMLAH]]="","",NOTA[[#This Row],[JUMLAH]]-NOTA[[#This Row],[DISC]])</f>
        <v>1350000</v>
      </c>
      <c r="AB53" s="42"/>
      <c r="AC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3" s="42">
        <f>IF(OR(NOTA[[#This Row],[QTY]]="",NOTA[[#This Row],[HARGA SATUAN]]="",),"",NOTA[[#This Row],[QTY]]*NOTA[[#This Row],[HARGA SATUAN]])</f>
        <v>1350000</v>
      </c>
      <c r="AG53" s="36">
        <f ca="1">IF(NOTA[[#This Row],[ID_H]]="","",INDEX(NOTA[TANGGAL],MATCH(,INDIRECT(ADDRESS(ROW(NOTA[TANGGAL]),COLUMN(NOTA[TANGGAL]))&amp;":"&amp;ADDRESS(ROW(),COLUMN(NOTA[TANGGAL]))),-1)))</f>
        <v>45481</v>
      </c>
      <c r="AH53" s="36">
        <f ca="1">IF(NOTA[[#This Row],[ID_H]]="","",INDEX(NOTA[TGL.NOTA],MATCH(,INDIRECT(ADDRESS(ROW(NOTA[TGL.NOTA]),COLUMN(NOTA[TGL.NOTA]))&amp;":"&amp;ADDRESS(ROW(),COLUMN(NOTA[TGL.NOTA]))),-1)))</f>
        <v>45472</v>
      </c>
      <c r="AI53" s="36" t="str">
        <f ca="1">IF(NOTA[[#This Row],[ID_H]]="","",INDEX(NOTA[NO.NOTA],MATCH(NOTA[[#This Row],[ID_H]],NOTA[ID_H],0)))</f>
        <v>SO2024070086563</v>
      </c>
      <c r="AJ53" s="38" t="str">
        <f ca="1">IF(NOTA[[#This Row],[NAMA BARANG]]="","",INDEX(NOTA[SUPPLIER],MATCH(,INDIRECT(ADDRESS(ROW(NOTA[ID]),COLUMN(NOTA[ID]))&amp;":"&amp;ADDRESS(ROW(),COLUMN(NOTA[ID]))),-1)))</f>
        <v>BINTANG SAUDARA</v>
      </c>
      <c r="AK53" s="38" t="str">
        <f ca="1">IF(NOTA[[#This Row],[ID_H]]="","",IF(NOTA[[#This Row],[FAKTUR]]="",INDIRECT(ADDRESS(ROW()-1,COLUMN())),NOTA[[#This Row],[FAKTUR]]))</f>
        <v>UNTANA</v>
      </c>
      <c r="AL53" s="35" t="str">
        <f ca="1">IF(NOTA[[#This Row],[ID]]="","",COUNTIF(NOTA[ID_H],NOTA[[#This Row],[ID_H]]))</f>
        <v/>
      </c>
      <c r="AM53" s="35">
        <f ca="1">IF(NOTA[[#This Row],[TGL.NOTA]]="",IF(NOTA[[#This Row],[SUPPLIER_H]]="","",AM52),MONTH(NOTA[[#This Row],[TGL.NOTA]]))</f>
        <v>6</v>
      </c>
      <c r="AN53" s="35" t="str">
        <f>LOWER(SUBSTITUTE(SUBSTITUTE(SUBSTITUTE(SUBSTITUTE(SUBSTITUTE(SUBSTITUTE(SUBSTITUTE(SUBSTITUTE(SUBSTITUTE(NOTA[[#This Row],[NAMA BARANG]]," ",),".",""),"-",""),"(",""),")",""),",",""),"/",""),"""",""),"+",""))</f>
        <v>gelpenkoalagp168chj</v>
      </c>
      <c r="AO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gelpenkoalagp168chj1350000</v>
      </c>
      <c r="AP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gelpenkoalagp168chj22500</v>
      </c>
      <c r="AQ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" s="35">
        <f>IF(NOTA[[#This Row],[CONCAT1]]="","",MATCH(NOTA[[#This Row],[CONCAT1]],[3]!db[NB NOTA_C],0))</f>
        <v>3342</v>
      </c>
      <c r="AS53" s="35" t="b">
        <f>IF(NOTA[[#This Row],[Column5]]="","",TRUE)</f>
        <v>1</v>
      </c>
      <c r="AT53" s="35" t="str">
        <f ca="1">IF(NOTA[[#This Row],[ID_H]]="","",IF(NOTA[[#This Row],[Column3]]=TRUE,NOTA[[#This Row],[Column5]],INDEX([3]!db[QTY/ CTN],NOTA[[#This Row],[//DB]])))</f>
        <v>144 LSN</v>
      </c>
      <c r="AU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gelpenkoalagp168chj144lsnuntana</v>
      </c>
      <c r="AV53" s="35">
        <f ca="1">IF(NOTA[[#This Row],[ID_H]]="","",MATCH(NOTA[[#This Row],[NB NOTA_C_QTY]],[3]!db[NB NOTA_C_QTY+F],0))</f>
        <v>3342</v>
      </c>
      <c r="AW53" s="43">
        <f ca="1">IF(NOTA[[#This Row],[NB NOTA_C_QTY]]="","",ROW()-2)</f>
        <v>51</v>
      </c>
    </row>
    <row r="54" spans="1:49" ht="20.100000000000001" customHeight="1">
      <c r="A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5">
        <f ca="1">IF(NOTA[[#This Row],[NAMA BARANG]]="","",INDEX(NOTA[ID],MATCH(,INDIRECT(ADDRESS(ROW(NOTA[ID]),COLUMN(NOTA[ID]))&amp;":"&amp;ADDRESS(ROW(),COLUMN(NOTA[ID]))),-1)))</f>
        <v>17</v>
      </c>
      <c r="C54" s="45"/>
      <c r="F54" s="46"/>
      <c r="G54" s="35"/>
      <c r="H54" s="36"/>
      <c r="I54" s="35"/>
      <c r="J54" s="50" t="s">
        <v>213</v>
      </c>
      <c r="K54" s="37"/>
      <c r="L54" s="35">
        <v>60</v>
      </c>
      <c r="M54" s="35" t="s">
        <v>50</v>
      </c>
      <c r="N54" s="38">
        <v>22500</v>
      </c>
      <c r="O54" s="39"/>
      <c r="P54" s="47" t="s">
        <v>203</v>
      </c>
      <c r="Q54" s="48"/>
      <c r="R54" s="41"/>
      <c r="T54" s="42"/>
      <c r="U54" s="44"/>
      <c r="V54" s="42">
        <f>IF(NOTA[[#This Row],[HARGA/ CTN]]="",NOTA[[#This Row],[JUMLAH_H]],NOTA[[#This Row],[HARGA/ CTN]]*IF(NOTA[[#This Row],[C]]="",0,NOTA[[#This Row],[C]]))</f>
        <v>1350000</v>
      </c>
      <c r="W54" s="42">
        <f>IF(NOTA[[#This Row],[JUMLAH]]="","",NOTA[[#This Row],[JUMLAH]]*NOTA[[#This Row],[Column6]])</f>
        <v>0</v>
      </c>
      <c r="X54" s="42">
        <f>IF(NOTA[[#This Row],[JUMLAH]]="","",(NOTA[[#This Row],[JUMLAH]]-NOTA[[#This Row],[DISC 1-]])*NOTA[[#This Row],[Column7]])</f>
        <v>0</v>
      </c>
      <c r="Y54" s="42">
        <f>IF(NOTA[[#This Row],[JUMLAH]]="","",(NOTA[[#This Row],[JUMLAH]]-NOTA[[#This Row],[DISC 1-]]-NOTA[[#This Row],[DISC 2-]])*NOTA[[#This Row],[Column8]])</f>
        <v>0</v>
      </c>
      <c r="Z54" s="42">
        <f>IF(NOTA[[#This Row],[JUMLAH]]="","",NOTA[[#This Row],[DISC 1-]]+NOTA[[#This Row],[DISC 2-]]+NOTA[[#This Row],[DISC 3-]])</f>
        <v>0</v>
      </c>
      <c r="AA54" s="42">
        <f>IF(NOTA[[#This Row],[JUMLAH]]="","",NOTA[[#This Row],[JUMLAH]]-NOTA[[#This Row],[DISC]])</f>
        <v>1350000</v>
      </c>
      <c r="AB54" s="42"/>
      <c r="AC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4" s="42">
        <f>IF(OR(NOTA[[#This Row],[QTY]]="",NOTA[[#This Row],[HARGA SATUAN]]="",),"",NOTA[[#This Row],[QTY]]*NOTA[[#This Row],[HARGA SATUAN]])</f>
        <v>1350000</v>
      </c>
      <c r="AG54" s="36">
        <f ca="1">IF(NOTA[[#This Row],[ID_H]]="","",INDEX(NOTA[TANGGAL],MATCH(,INDIRECT(ADDRESS(ROW(NOTA[TANGGAL]),COLUMN(NOTA[TANGGAL]))&amp;":"&amp;ADDRESS(ROW(),COLUMN(NOTA[TANGGAL]))),-1)))</f>
        <v>45481</v>
      </c>
      <c r="AH54" s="36">
        <f ca="1">IF(NOTA[[#This Row],[ID_H]]="","",INDEX(NOTA[TGL.NOTA],MATCH(,INDIRECT(ADDRESS(ROW(NOTA[TGL.NOTA]),COLUMN(NOTA[TGL.NOTA]))&amp;":"&amp;ADDRESS(ROW(),COLUMN(NOTA[TGL.NOTA]))),-1)))</f>
        <v>45472</v>
      </c>
      <c r="AI54" s="36" t="str">
        <f ca="1">IF(NOTA[[#This Row],[ID_H]]="","",INDEX(NOTA[NO.NOTA],MATCH(NOTA[[#This Row],[ID_H]],NOTA[ID_H],0)))</f>
        <v>SO2024070086563</v>
      </c>
      <c r="AJ54" s="38" t="str">
        <f ca="1">IF(NOTA[[#This Row],[NAMA BARANG]]="","",INDEX(NOTA[SUPPLIER],MATCH(,INDIRECT(ADDRESS(ROW(NOTA[ID]),COLUMN(NOTA[ID]))&amp;":"&amp;ADDRESS(ROW(),COLUMN(NOTA[ID]))),-1)))</f>
        <v>BINTANG SAUDARA</v>
      </c>
      <c r="AK54" s="38" t="str">
        <f ca="1">IF(NOTA[[#This Row],[ID_H]]="","",IF(NOTA[[#This Row],[FAKTUR]]="",INDIRECT(ADDRESS(ROW()-1,COLUMN())),NOTA[[#This Row],[FAKTUR]]))</f>
        <v>UNTANA</v>
      </c>
      <c r="AL54" s="35" t="str">
        <f ca="1">IF(NOTA[[#This Row],[ID]]="","",COUNTIF(NOTA[ID_H],NOTA[[#This Row],[ID_H]]))</f>
        <v/>
      </c>
      <c r="AM54" s="35">
        <f ca="1">IF(NOTA[[#This Row],[TGL.NOTA]]="",IF(NOTA[[#This Row],[SUPPLIER_H]]="","",AM53),MONTH(NOTA[[#This Row],[TGL.NOTA]]))</f>
        <v>6</v>
      </c>
      <c r="AN54" s="35" t="str">
        <f>LOWER(SUBSTITUTE(SUBSTITUTE(SUBSTITUTE(SUBSTITUTE(SUBSTITUTE(SUBSTITUTE(SUBSTITUTE(SUBSTITUTE(SUBSTITUTE(NOTA[[#This Row],[NAMA BARANG]]," ",),".",""),"-",""),"(",""),")",""),",",""),"/",""),"""",""),"+",""))</f>
        <v>gelpenkoalagp168dvl</v>
      </c>
      <c r="AO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gelpenkoalagp168dvl1350000</v>
      </c>
      <c r="AP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gelpenkoalagp168dvl22500</v>
      </c>
      <c r="AQ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" s="35">
        <f>IF(NOTA[[#This Row],[CONCAT1]]="","",MATCH(NOTA[[#This Row],[CONCAT1]],[3]!db[NB NOTA_C],0))</f>
        <v>3343</v>
      </c>
      <c r="AS54" s="35" t="b">
        <f>IF(NOTA[[#This Row],[Column5]]="","",TRUE)</f>
        <v>1</v>
      </c>
      <c r="AT54" s="35" t="str">
        <f ca="1">IF(NOTA[[#This Row],[ID_H]]="","",IF(NOTA[[#This Row],[Column3]]=TRUE,NOTA[[#This Row],[Column5]],INDEX([3]!db[QTY/ CTN],NOTA[[#This Row],[//DB]])))</f>
        <v>144 LSN</v>
      </c>
      <c r="AU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gelpenkoalagp168dvl144lsnuntana</v>
      </c>
      <c r="AV54" s="35">
        <f ca="1">IF(NOTA[[#This Row],[ID_H]]="","",MATCH(NOTA[[#This Row],[NB NOTA_C_QTY]],[3]!db[NB NOTA_C_QTY+F],0))</f>
        <v>3343</v>
      </c>
      <c r="AW54" s="43">
        <f ca="1">IF(NOTA[[#This Row],[NB NOTA_C_QTY]]="","",ROW()-2)</f>
        <v>52</v>
      </c>
    </row>
    <row r="55" spans="1:49" ht="20.100000000000001" customHeight="1">
      <c r="A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5">
        <f ca="1">IF(NOTA[[#This Row],[NAMA BARANG]]="","",INDEX(NOTA[ID],MATCH(,INDIRECT(ADDRESS(ROW(NOTA[ID]),COLUMN(NOTA[ID]))&amp;":"&amp;ADDRESS(ROW(),COLUMN(NOTA[ID]))),-1)))</f>
        <v>17</v>
      </c>
      <c r="C55" s="45"/>
      <c r="F55" s="46"/>
      <c r="G55" s="35"/>
      <c r="H55" s="36"/>
      <c r="I55" s="35"/>
      <c r="J55" s="50" t="s">
        <v>214</v>
      </c>
      <c r="K55" s="37"/>
      <c r="L55" s="35">
        <v>60</v>
      </c>
      <c r="M55" s="35" t="s">
        <v>50</v>
      </c>
      <c r="N55" s="38">
        <v>22500</v>
      </c>
      <c r="O55" s="39"/>
      <c r="P55" s="47" t="s">
        <v>203</v>
      </c>
      <c r="Q55" s="48"/>
      <c r="R55" s="41"/>
      <c r="T55" s="42"/>
      <c r="U55" s="44"/>
      <c r="V55" s="42">
        <f>IF(NOTA[[#This Row],[HARGA/ CTN]]="",NOTA[[#This Row],[JUMLAH_H]],NOTA[[#This Row],[HARGA/ CTN]]*IF(NOTA[[#This Row],[C]]="",0,NOTA[[#This Row],[C]]))</f>
        <v>1350000</v>
      </c>
      <c r="W55" s="42">
        <f>IF(NOTA[[#This Row],[JUMLAH]]="","",NOTA[[#This Row],[JUMLAH]]*NOTA[[#This Row],[Column6]])</f>
        <v>0</v>
      </c>
      <c r="X55" s="42">
        <f>IF(NOTA[[#This Row],[JUMLAH]]="","",(NOTA[[#This Row],[JUMLAH]]-NOTA[[#This Row],[DISC 1-]])*NOTA[[#This Row],[Column7]])</f>
        <v>0</v>
      </c>
      <c r="Y55" s="42">
        <f>IF(NOTA[[#This Row],[JUMLAH]]="","",(NOTA[[#This Row],[JUMLAH]]-NOTA[[#This Row],[DISC 1-]]-NOTA[[#This Row],[DISC 2-]])*NOTA[[#This Row],[Column8]])</f>
        <v>0</v>
      </c>
      <c r="Z55" s="42">
        <f>IF(NOTA[[#This Row],[JUMLAH]]="","",NOTA[[#This Row],[DISC 1-]]+NOTA[[#This Row],[DISC 2-]]+NOTA[[#This Row],[DISC 3-]])</f>
        <v>0</v>
      </c>
      <c r="AA55" s="42">
        <f>IF(NOTA[[#This Row],[JUMLAH]]="","",NOTA[[#This Row],[JUMLAH]]-NOTA[[#This Row],[DISC]])</f>
        <v>1350000</v>
      </c>
      <c r="AB55" s="42"/>
      <c r="AC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5" s="42">
        <f>IF(OR(NOTA[[#This Row],[QTY]]="",NOTA[[#This Row],[HARGA SATUAN]]="",),"",NOTA[[#This Row],[QTY]]*NOTA[[#This Row],[HARGA SATUAN]])</f>
        <v>1350000</v>
      </c>
      <c r="AG55" s="36">
        <f ca="1">IF(NOTA[[#This Row],[ID_H]]="","",INDEX(NOTA[TANGGAL],MATCH(,INDIRECT(ADDRESS(ROW(NOTA[TANGGAL]),COLUMN(NOTA[TANGGAL]))&amp;":"&amp;ADDRESS(ROW(),COLUMN(NOTA[TANGGAL]))),-1)))</f>
        <v>45481</v>
      </c>
      <c r="AH55" s="36">
        <f ca="1">IF(NOTA[[#This Row],[ID_H]]="","",INDEX(NOTA[TGL.NOTA],MATCH(,INDIRECT(ADDRESS(ROW(NOTA[TGL.NOTA]),COLUMN(NOTA[TGL.NOTA]))&amp;":"&amp;ADDRESS(ROW(),COLUMN(NOTA[TGL.NOTA]))),-1)))</f>
        <v>45472</v>
      </c>
      <c r="AI55" s="36" t="str">
        <f ca="1">IF(NOTA[[#This Row],[ID_H]]="","",INDEX(NOTA[NO.NOTA],MATCH(NOTA[[#This Row],[ID_H]],NOTA[ID_H],0)))</f>
        <v>SO2024070086563</v>
      </c>
      <c r="AJ55" s="38" t="str">
        <f ca="1">IF(NOTA[[#This Row],[NAMA BARANG]]="","",INDEX(NOTA[SUPPLIER],MATCH(,INDIRECT(ADDRESS(ROW(NOTA[ID]),COLUMN(NOTA[ID]))&amp;":"&amp;ADDRESS(ROW(),COLUMN(NOTA[ID]))),-1)))</f>
        <v>BINTANG SAUDARA</v>
      </c>
      <c r="AK55" s="38" t="str">
        <f ca="1">IF(NOTA[[#This Row],[ID_H]]="","",IF(NOTA[[#This Row],[FAKTUR]]="",INDIRECT(ADDRESS(ROW()-1,COLUMN())),NOTA[[#This Row],[FAKTUR]]))</f>
        <v>UNTANA</v>
      </c>
      <c r="AL55" s="35" t="str">
        <f ca="1">IF(NOTA[[#This Row],[ID]]="","",COUNTIF(NOTA[ID_H],NOTA[[#This Row],[ID_H]]))</f>
        <v/>
      </c>
      <c r="AM55" s="35">
        <f ca="1">IF(NOTA[[#This Row],[TGL.NOTA]]="",IF(NOTA[[#This Row],[SUPPLIER_H]]="","",AM54),MONTH(NOTA[[#This Row],[TGL.NOTA]]))</f>
        <v>6</v>
      </c>
      <c r="AN55" s="35" t="str">
        <f>LOWER(SUBSTITUTE(SUBSTITUTE(SUBSTITUTE(SUBSTITUTE(SUBSTITUTE(SUBSTITUTE(SUBSTITUTE(SUBSTITUTE(SUBSTITUTE(NOTA[[#This Row],[NAMA BARANG]]," ",),".",""),"-",""),"(",""),")",""),",",""),"/",""),"""",""),"+",""))</f>
        <v>gelpenkoalagp168eor</v>
      </c>
      <c r="AO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gelpenkoalagp168eor1350000</v>
      </c>
      <c r="AP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gelpenkoalagp168eor22500</v>
      </c>
      <c r="AQ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" s="35">
        <f>IF(NOTA[[#This Row],[CONCAT1]]="","",MATCH(NOTA[[#This Row],[CONCAT1]],[3]!db[NB NOTA_C],0))</f>
        <v>3344</v>
      </c>
      <c r="AS55" s="35" t="b">
        <f>IF(NOTA[[#This Row],[Column5]]="","",TRUE)</f>
        <v>1</v>
      </c>
      <c r="AT55" s="35" t="str">
        <f ca="1">IF(NOTA[[#This Row],[ID_H]]="","",IF(NOTA[[#This Row],[Column3]]=TRUE,NOTA[[#This Row],[Column5]],INDEX([3]!db[QTY/ CTN],NOTA[[#This Row],[//DB]])))</f>
        <v>144 LSN</v>
      </c>
      <c r="AU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gelpenkoalagp168eor144lsnuntana</v>
      </c>
      <c r="AV55" s="35">
        <f ca="1">IF(NOTA[[#This Row],[ID_H]]="","",MATCH(NOTA[[#This Row],[NB NOTA_C_QTY]],[3]!db[NB NOTA_C_QTY+F],0))</f>
        <v>3344</v>
      </c>
      <c r="AW55" s="43">
        <f ca="1">IF(NOTA[[#This Row],[NB NOTA_C_QTY]]="","",ROW()-2)</f>
        <v>53</v>
      </c>
    </row>
    <row r="56" spans="1:49" ht="20.100000000000001" customHeight="1">
      <c r="A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5">
        <f ca="1">IF(NOTA[[#This Row],[NAMA BARANG]]="","",INDEX(NOTA[ID],MATCH(,INDIRECT(ADDRESS(ROW(NOTA[ID]),COLUMN(NOTA[ID]))&amp;":"&amp;ADDRESS(ROW(),COLUMN(NOTA[ID]))),-1)))</f>
        <v>17</v>
      </c>
      <c r="C56" s="45"/>
      <c r="F56" s="46"/>
      <c r="G56" s="35"/>
      <c r="H56" s="36"/>
      <c r="I56" s="35"/>
      <c r="J56" s="50" t="s">
        <v>215</v>
      </c>
      <c r="K56" s="37"/>
      <c r="L56" s="35">
        <v>60</v>
      </c>
      <c r="M56" s="35" t="s">
        <v>50</v>
      </c>
      <c r="N56" s="38">
        <v>22500</v>
      </c>
      <c r="O56" s="39"/>
      <c r="P56" s="47" t="s">
        <v>203</v>
      </c>
      <c r="Q56" s="48"/>
      <c r="R56" s="41"/>
      <c r="T56" s="42"/>
      <c r="U56" s="44"/>
      <c r="V56" s="42">
        <f>IF(NOTA[[#This Row],[HARGA/ CTN]]="",NOTA[[#This Row],[JUMLAH_H]],NOTA[[#This Row],[HARGA/ CTN]]*IF(NOTA[[#This Row],[C]]="",0,NOTA[[#This Row],[C]]))</f>
        <v>1350000</v>
      </c>
      <c r="W56" s="42">
        <f>IF(NOTA[[#This Row],[JUMLAH]]="","",NOTA[[#This Row],[JUMLAH]]*NOTA[[#This Row],[Column6]])</f>
        <v>0</v>
      </c>
      <c r="X56" s="42">
        <f>IF(NOTA[[#This Row],[JUMLAH]]="","",(NOTA[[#This Row],[JUMLAH]]-NOTA[[#This Row],[DISC 1-]])*NOTA[[#This Row],[Column7]])</f>
        <v>0</v>
      </c>
      <c r="Y56" s="42">
        <f>IF(NOTA[[#This Row],[JUMLAH]]="","",(NOTA[[#This Row],[JUMLAH]]-NOTA[[#This Row],[DISC 1-]]-NOTA[[#This Row],[DISC 2-]])*NOTA[[#This Row],[Column8]])</f>
        <v>0</v>
      </c>
      <c r="Z56" s="42">
        <f>IF(NOTA[[#This Row],[JUMLAH]]="","",NOTA[[#This Row],[DISC 1-]]+NOTA[[#This Row],[DISC 2-]]+NOTA[[#This Row],[DISC 3-]])</f>
        <v>0</v>
      </c>
      <c r="AA56" s="42">
        <f>IF(NOTA[[#This Row],[JUMLAH]]="","",NOTA[[#This Row],[JUMLAH]]-NOTA[[#This Row],[DISC]])</f>
        <v>1350000</v>
      </c>
      <c r="AB56" s="42"/>
      <c r="AC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6" s="42">
        <f>IF(OR(NOTA[[#This Row],[QTY]]="",NOTA[[#This Row],[HARGA SATUAN]]="",),"",NOTA[[#This Row],[QTY]]*NOTA[[#This Row],[HARGA SATUAN]])</f>
        <v>1350000</v>
      </c>
      <c r="AG56" s="36">
        <f ca="1">IF(NOTA[[#This Row],[ID_H]]="","",INDEX(NOTA[TANGGAL],MATCH(,INDIRECT(ADDRESS(ROW(NOTA[TANGGAL]),COLUMN(NOTA[TANGGAL]))&amp;":"&amp;ADDRESS(ROW(),COLUMN(NOTA[TANGGAL]))),-1)))</f>
        <v>45481</v>
      </c>
      <c r="AH56" s="36">
        <f ca="1">IF(NOTA[[#This Row],[ID_H]]="","",INDEX(NOTA[TGL.NOTA],MATCH(,INDIRECT(ADDRESS(ROW(NOTA[TGL.NOTA]),COLUMN(NOTA[TGL.NOTA]))&amp;":"&amp;ADDRESS(ROW(),COLUMN(NOTA[TGL.NOTA]))),-1)))</f>
        <v>45472</v>
      </c>
      <c r="AI56" s="36" t="str">
        <f ca="1">IF(NOTA[[#This Row],[ID_H]]="","",INDEX(NOTA[NO.NOTA],MATCH(NOTA[[#This Row],[ID_H]],NOTA[ID_H],0)))</f>
        <v>SO2024070086563</v>
      </c>
      <c r="AJ56" s="38" t="str">
        <f ca="1">IF(NOTA[[#This Row],[NAMA BARANG]]="","",INDEX(NOTA[SUPPLIER],MATCH(,INDIRECT(ADDRESS(ROW(NOTA[ID]),COLUMN(NOTA[ID]))&amp;":"&amp;ADDRESS(ROW(),COLUMN(NOTA[ID]))),-1)))</f>
        <v>BINTANG SAUDARA</v>
      </c>
      <c r="AK56" s="38" t="str">
        <f ca="1">IF(NOTA[[#This Row],[ID_H]]="","",IF(NOTA[[#This Row],[FAKTUR]]="",INDIRECT(ADDRESS(ROW()-1,COLUMN())),NOTA[[#This Row],[FAKTUR]]))</f>
        <v>UNTANA</v>
      </c>
      <c r="AL56" s="35" t="str">
        <f ca="1">IF(NOTA[[#This Row],[ID]]="","",COUNTIF(NOTA[ID_H],NOTA[[#This Row],[ID_H]]))</f>
        <v/>
      </c>
      <c r="AM56" s="35">
        <f ca="1">IF(NOTA[[#This Row],[TGL.NOTA]]="",IF(NOTA[[#This Row],[SUPPLIER_H]]="","",AM55),MONTH(NOTA[[#This Row],[TGL.NOTA]]))</f>
        <v>6</v>
      </c>
      <c r="AN56" s="35" t="str">
        <f>LOWER(SUBSTITUTE(SUBSTITUTE(SUBSTITUTE(SUBSTITUTE(SUBSTITUTE(SUBSTITUTE(SUBSTITUTE(SUBSTITUTE(SUBSTITUTE(NOTA[[#This Row],[NAMA BARANG]]," ",),".",""),"-",""),"(",""),")",""),",",""),"/",""),"""",""),"+",""))</f>
        <v>gelpenkoalagp168fbrtua</v>
      </c>
      <c r="AO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gelpenkoalagp168fbrtua1350000</v>
      </c>
      <c r="AP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gelpenkoalagp168fbrtua22500</v>
      </c>
      <c r="AQ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" s="35">
        <f>IF(NOTA[[#This Row],[CONCAT1]]="","",MATCH(NOTA[[#This Row],[CONCAT1]],[3]!db[NB NOTA_C],0))</f>
        <v>3345</v>
      </c>
      <c r="AS56" s="35" t="b">
        <f>IF(NOTA[[#This Row],[Column5]]="","",TRUE)</f>
        <v>1</v>
      </c>
      <c r="AT56" s="35" t="str">
        <f ca="1">IF(NOTA[[#This Row],[ID_H]]="","",IF(NOTA[[#This Row],[Column3]]=TRUE,NOTA[[#This Row],[Column5]],INDEX([3]!db[QTY/ CTN],NOTA[[#This Row],[//DB]])))</f>
        <v>144 LSN</v>
      </c>
      <c r="AU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gelpenkoalagp168fbrtua144lsnuntana</v>
      </c>
      <c r="AV56" s="35">
        <f ca="1">IF(NOTA[[#This Row],[ID_H]]="","",MATCH(NOTA[[#This Row],[NB NOTA_C_QTY]],[3]!db[NB NOTA_C_QTY+F],0))</f>
        <v>3345</v>
      </c>
      <c r="AW56" s="43">
        <f ca="1">IF(NOTA[[#This Row],[NB NOTA_C_QTY]]="","",ROW()-2)</f>
        <v>54</v>
      </c>
    </row>
    <row r="57" spans="1:49" ht="20.100000000000001" customHeight="1">
      <c r="A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5">
        <f ca="1">IF(NOTA[[#This Row],[NAMA BARANG]]="","",INDEX(NOTA[ID],MATCH(,INDIRECT(ADDRESS(ROW(NOTA[ID]),COLUMN(NOTA[ID]))&amp;":"&amp;ADDRESS(ROW(),COLUMN(NOTA[ID]))),-1)))</f>
        <v>17</v>
      </c>
      <c r="C57" s="45"/>
      <c r="F57" s="46"/>
      <c r="G57" s="35"/>
      <c r="H57" s="36"/>
      <c r="I57" s="35"/>
      <c r="J57" s="50" t="s">
        <v>216</v>
      </c>
      <c r="K57" s="37"/>
      <c r="L57" s="35">
        <v>60</v>
      </c>
      <c r="M57" s="35" t="s">
        <v>50</v>
      </c>
      <c r="N57" s="38">
        <v>22500</v>
      </c>
      <c r="O57" s="39"/>
      <c r="P57" s="47" t="s">
        <v>203</v>
      </c>
      <c r="Q57" s="48"/>
      <c r="R57" s="41"/>
      <c r="T57" s="42"/>
      <c r="U57" s="44"/>
      <c r="V57" s="42">
        <f>IF(NOTA[[#This Row],[HARGA/ CTN]]="",NOTA[[#This Row],[JUMLAH_H]],NOTA[[#This Row],[HARGA/ CTN]]*IF(NOTA[[#This Row],[C]]="",0,NOTA[[#This Row],[C]]))</f>
        <v>1350000</v>
      </c>
      <c r="W57" s="42">
        <f>IF(NOTA[[#This Row],[JUMLAH]]="","",NOTA[[#This Row],[JUMLAH]]*NOTA[[#This Row],[Column6]])</f>
        <v>0</v>
      </c>
      <c r="X57" s="42">
        <f>IF(NOTA[[#This Row],[JUMLAH]]="","",(NOTA[[#This Row],[JUMLAH]]-NOTA[[#This Row],[DISC 1-]])*NOTA[[#This Row],[Column7]])</f>
        <v>0</v>
      </c>
      <c r="Y57" s="42">
        <f>IF(NOTA[[#This Row],[JUMLAH]]="","",(NOTA[[#This Row],[JUMLAH]]-NOTA[[#This Row],[DISC 1-]]-NOTA[[#This Row],[DISC 2-]])*NOTA[[#This Row],[Column8]])</f>
        <v>0</v>
      </c>
      <c r="Z57" s="42">
        <f>IF(NOTA[[#This Row],[JUMLAH]]="","",NOTA[[#This Row],[DISC 1-]]+NOTA[[#This Row],[DISC 2-]]+NOTA[[#This Row],[DISC 3-]])</f>
        <v>0</v>
      </c>
      <c r="AA57" s="42">
        <f>IF(NOTA[[#This Row],[JUMLAH]]="","",NOTA[[#This Row],[JUMLAH]]-NOTA[[#This Row],[DISC]])</f>
        <v>1350000</v>
      </c>
      <c r="AB57" s="42"/>
      <c r="AC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7" s="42">
        <f>IF(OR(NOTA[[#This Row],[QTY]]="",NOTA[[#This Row],[HARGA SATUAN]]="",),"",NOTA[[#This Row],[QTY]]*NOTA[[#This Row],[HARGA SATUAN]])</f>
        <v>1350000</v>
      </c>
      <c r="AG57" s="36">
        <f ca="1">IF(NOTA[[#This Row],[ID_H]]="","",INDEX(NOTA[TANGGAL],MATCH(,INDIRECT(ADDRESS(ROW(NOTA[TANGGAL]),COLUMN(NOTA[TANGGAL]))&amp;":"&amp;ADDRESS(ROW(),COLUMN(NOTA[TANGGAL]))),-1)))</f>
        <v>45481</v>
      </c>
      <c r="AH57" s="36">
        <f ca="1">IF(NOTA[[#This Row],[ID_H]]="","",INDEX(NOTA[TGL.NOTA],MATCH(,INDIRECT(ADDRESS(ROW(NOTA[TGL.NOTA]),COLUMN(NOTA[TGL.NOTA]))&amp;":"&amp;ADDRESS(ROW(),COLUMN(NOTA[TGL.NOTA]))),-1)))</f>
        <v>45472</v>
      </c>
      <c r="AI57" s="36" t="str">
        <f ca="1">IF(NOTA[[#This Row],[ID_H]]="","",INDEX(NOTA[NO.NOTA],MATCH(NOTA[[#This Row],[ID_H]],NOTA[ID_H],0)))</f>
        <v>SO2024070086563</v>
      </c>
      <c r="AJ57" s="38" t="str">
        <f ca="1">IF(NOTA[[#This Row],[NAMA BARANG]]="","",INDEX(NOTA[SUPPLIER],MATCH(,INDIRECT(ADDRESS(ROW(NOTA[ID]),COLUMN(NOTA[ID]))&amp;":"&amp;ADDRESS(ROW(),COLUMN(NOTA[ID]))),-1)))</f>
        <v>BINTANG SAUDARA</v>
      </c>
      <c r="AK57" s="38" t="str">
        <f ca="1">IF(NOTA[[#This Row],[ID_H]]="","",IF(NOTA[[#This Row],[FAKTUR]]="",INDIRECT(ADDRESS(ROW()-1,COLUMN())),NOTA[[#This Row],[FAKTUR]]))</f>
        <v>UNTANA</v>
      </c>
      <c r="AL57" s="35" t="str">
        <f ca="1">IF(NOTA[[#This Row],[ID]]="","",COUNTIF(NOTA[ID_H],NOTA[[#This Row],[ID_H]]))</f>
        <v/>
      </c>
      <c r="AM57" s="35">
        <f ca="1">IF(NOTA[[#This Row],[TGL.NOTA]]="",IF(NOTA[[#This Row],[SUPPLIER_H]]="","",AM56),MONTH(NOTA[[#This Row],[TGL.NOTA]]))</f>
        <v>6</v>
      </c>
      <c r="AN57" s="35" t="str">
        <f>LOWER(SUBSTITUTE(SUBSTITUTE(SUBSTITUTE(SUBSTITUTE(SUBSTITUTE(SUBSTITUTE(SUBSTITUTE(SUBSTITUTE(SUBSTITUTE(NOTA[[#This Row],[NAMA BARANG]]," ",),".",""),"-",""),"(",""),")",""),",",""),"/",""),"""",""),"+",""))</f>
        <v>gelpenkoalagp168gpk</v>
      </c>
      <c r="AO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gelpenkoalagp168gpk1350000</v>
      </c>
      <c r="AP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gelpenkoalagp168gpk22500</v>
      </c>
      <c r="AQ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" s="35">
        <f>IF(NOTA[[#This Row],[CONCAT1]]="","",MATCH(NOTA[[#This Row],[CONCAT1]],[3]!db[NB NOTA_C],0))</f>
        <v>3346</v>
      </c>
      <c r="AS57" s="35" t="b">
        <f>IF(NOTA[[#This Row],[Column5]]="","",TRUE)</f>
        <v>1</v>
      </c>
      <c r="AT57" s="35" t="str">
        <f ca="1">IF(NOTA[[#This Row],[ID_H]]="","",IF(NOTA[[#This Row],[Column3]]=TRUE,NOTA[[#This Row],[Column5]],INDEX([3]!db[QTY/ CTN],NOTA[[#This Row],[//DB]])))</f>
        <v>144 LSN</v>
      </c>
      <c r="AU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gelpenkoalagp168gpk144lsnuntana</v>
      </c>
      <c r="AV57" s="35">
        <f ca="1">IF(NOTA[[#This Row],[ID_H]]="","",MATCH(NOTA[[#This Row],[NB NOTA_C_QTY]],[3]!db[NB NOTA_C_QTY+F],0))</f>
        <v>3346</v>
      </c>
      <c r="AW57" s="43">
        <f ca="1">IF(NOTA[[#This Row],[NB NOTA_C_QTY]]="","",ROW()-2)</f>
        <v>55</v>
      </c>
    </row>
    <row r="58" spans="1:49" ht="20.100000000000001" customHeight="1">
      <c r="A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5">
        <f ca="1">IF(NOTA[[#This Row],[NAMA BARANG]]="","",INDEX(NOTA[ID],MATCH(,INDIRECT(ADDRESS(ROW(NOTA[ID]),COLUMN(NOTA[ID]))&amp;":"&amp;ADDRESS(ROW(),COLUMN(NOTA[ID]))),-1)))</f>
        <v>17</v>
      </c>
      <c r="C58" s="45"/>
      <c r="F58" s="46"/>
      <c r="G58" s="35"/>
      <c r="H58" s="36"/>
      <c r="I58" s="35"/>
      <c r="J58" s="50" t="s">
        <v>217</v>
      </c>
      <c r="K58" s="37"/>
      <c r="L58" s="35">
        <v>60</v>
      </c>
      <c r="M58" s="35" t="s">
        <v>50</v>
      </c>
      <c r="N58" s="38">
        <v>22500</v>
      </c>
      <c r="O58" s="39"/>
      <c r="P58" s="47" t="s">
        <v>203</v>
      </c>
      <c r="Q58" s="48"/>
      <c r="R58" s="41"/>
      <c r="T58" s="42"/>
      <c r="U58" s="44"/>
      <c r="V58" s="42">
        <f>IF(NOTA[[#This Row],[HARGA/ CTN]]="",NOTA[[#This Row],[JUMLAH_H]],NOTA[[#This Row],[HARGA/ CTN]]*IF(NOTA[[#This Row],[C]]="",0,NOTA[[#This Row],[C]]))</f>
        <v>1350000</v>
      </c>
      <c r="W58" s="42">
        <f>IF(NOTA[[#This Row],[JUMLAH]]="","",NOTA[[#This Row],[JUMLAH]]*NOTA[[#This Row],[Column6]])</f>
        <v>0</v>
      </c>
      <c r="X58" s="42">
        <f>IF(NOTA[[#This Row],[JUMLAH]]="","",(NOTA[[#This Row],[JUMLAH]]-NOTA[[#This Row],[DISC 1-]])*NOTA[[#This Row],[Column7]])</f>
        <v>0</v>
      </c>
      <c r="Y58" s="42">
        <f>IF(NOTA[[#This Row],[JUMLAH]]="","",(NOTA[[#This Row],[JUMLAH]]-NOTA[[#This Row],[DISC 1-]]-NOTA[[#This Row],[DISC 2-]])*NOTA[[#This Row],[Column8]])</f>
        <v>0</v>
      </c>
      <c r="Z58" s="42">
        <f>IF(NOTA[[#This Row],[JUMLAH]]="","",NOTA[[#This Row],[DISC 1-]]+NOTA[[#This Row],[DISC 2-]]+NOTA[[#This Row],[DISC 3-]])</f>
        <v>0</v>
      </c>
      <c r="AA58" s="42">
        <f>IF(NOTA[[#This Row],[JUMLAH]]="","",NOTA[[#This Row],[JUMLAH]]-NOTA[[#This Row],[DISC]])</f>
        <v>1350000</v>
      </c>
      <c r="AB58" s="42"/>
      <c r="AC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8" s="42">
        <f>IF(OR(NOTA[[#This Row],[QTY]]="",NOTA[[#This Row],[HARGA SATUAN]]="",),"",NOTA[[#This Row],[QTY]]*NOTA[[#This Row],[HARGA SATUAN]])</f>
        <v>1350000</v>
      </c>
      <c r="AG58" s="36">
        <f ca="1">IF(NOTA[[#This Row],[ID_H]]="","",INDEX(NOTA[TANGGAL],MATCH(,INDIRECT(ADDRESS(ROW(NOTA[TANGGAL]),COLUMN(NOTA[TANGGAL]))&amp;":"&amp;ADDRESS(ROW(),COLUMN(NOTA[TANGGAL]))),-1)))</f>
        <v>45481</v>
      </c>
      <c r="AH58" s="36">
        <f ca="1">IF(NOTA[[#This Row],[ID_H]]="","",INDEX(NOTA[TGL.NOTA],MATCH(,INDIRECT(ADDRESS(ROW(NOTA[TGL.NOTA]),COLUMN(NOTA[TGL.NOTA]))&amp;":"&amp;ADDRESS(ROW(),COLUMN(NOTA[TGL.NOTA]))),-1)))</f>
        <v>45472</v>
      </c>
      <c r="AI58" s="36" t="str">
        <f ca="1">IF(NOTA[[#This Row],[ID_H]]="","",INDEX(NOTA[NO.NOTA],MATCH(NOTA[[#This Row],[ID_H]],NOTA[ID_H],0)))</f>
        <v>SO2024070086563</v>
      </c>
      <c r="AJ58" s="38" t="str">
        <f ca="1">IF(NOTA[[#This Row],[NAMA BARANG]]="","",INDEX(NOTA[SUPPLIER],MATCH(,INDIRECT(ADDRESS(ROW(NOTA[ID]),COLUMN(NOTA[ID]))&amp;":"&amp;ADDRESS(ROW(),COLUMN(NOTA[ID]))),-1)))</f>
        <v>BINTANG SAUDARA</v>
      </c>
      <c r="AK58" s="38" t="str">
        <f ca="1">IF(NOTA[[#This Row],[ID_H]]="","",IF(NOTA[[#This Row],[FAKTUR]]="",INDIRECT(ADDRESS(ROW()-1,COLUMN())),NOTA[[#This Row],[FAKTUR]]))</f>
        <v>UNTANA</v>
      </c>
      <c r="AL58" s="35" t="str">
        <f ca="1">IF(NOTA[[#This Row],[ID]]="","",COUNTIF(NOTA[ID_H],NOTA[[#This Row],[ID_H]]))</f>
        <v/>
      </c>
      <c r="AM58" s="35">
        <f ca="1">IF(NOTA[[#This Row],[TGL.NOTA]]="",IF(NOTA[[#This Row],[SUPPLIER_H]]="","",AM57),MONTH(NOTA[[#This Row],[TGL.NOTA]]))</f>
        <v>6</v>
      </c>
      <c r="AN58" s="35" t="str">
        <f>LOWER(SUBSTITUTE(SUBSTITUTE(SUBSTITUTE(SUBSTITUTE(SUBSTITUTE(SUBSTITUTE(SUBSTITUTE(SUBSTITUTE(SUBSTITUTE(NOTA[[#This Row],[NAMA BARANG]]," ",),".",""),"-",""),"(",""),")",""),",",""),"/",""),"""",""),"+",""))</f>
        <v>gelpenkoalagp168hhjmuda</v>
      </c>
      <c r="AO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gelpenkoalagp168hhjmuda1350000</v>
      </c>
      <c r="AP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gelpenkoalagp168hhjmuda22500</v>
      </c>
      <c r="AQ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" s="35">
        <f>IF(NOTA[[#This Row],[CONCAT1]]="","",MATCH(NOTA[[#This Row],[CONCAT1]],[3]!db[NB NOTA_C],0))</f>
        <v>3347</v>
      </c>
      <c r="AS58" s="35" t="b">
        <f>IF(NOTA[[#This Row],[Column5]]="","",TRUE)</f>
        <v>1</v>
      </c>
      <c r="AT58" s="35" t="str">
        <f ca="1">IF(NOTA[[#This Row],[ID_H]]="","",IF(NOTA[[#This Row],[Column3]]=TRUE,NOTA[[#This Row],[Column5]],INDEX([3]!db[QTY/ CTN],NOTA[[#This Row],[//DB]])))</f>
        <v>144 LSN</v>
      </c>
      <c r="AU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gelpenkoalagp168hhjmuda144lsnuntana</v>
      </c>
      <c r="AV58" s="35">
        <f ca="1">IF(NOTA[[#This Row],[ID_H]]="","",MATCH(NOTA[[#This Row],[NB NOTA_C_QTY]],[3]!db[NB NOTA_C_QTY+F],0))</f>
        <v>3347</v>
      </c>
      <c r="AW58" s="43">
        <f ca="1">IF(NOTA[[#This Row],[NB NOTA_C_QTY]]="","",ROW()-2)</f>
        <v>56</v>
      </c>
    </row>
    <row r="59" spans="1:49" ht="20.100000000000001" customHeight="1">
      <c r="A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5">
        <f ca="1">IF(NOTA[[#This Row],[NAMA BARANG]]="","",INDEX(NOTA[ID],MATCH(,INDIRECT(ADDRESS(ROW(NOTA[ID]),COLUMN(NOTA[ID]))&amp;":"&amp;ADDRESS(ROW(),COLUMN(NOTA[ID]))),-1)))</f>
        <v>17</v>
      </c>
      <c r="C59" s="45"/>
      <c r="F59" s="46"/>
      <c r="G59" s="35"/>
      <c r="H59" s="36"/>
      <c r="I59" s="35"/>
      <c r="J59" s="50" t="s">
        <v>218</v>
      </c>
      <c r="K59" s="37"/>
      <c r="L59" s="35">
        <v>60</v>
      </c>
      <c r="M59" s="35" t="s">
        <v>50</v>
      </c>
      <c r="N59" s="38">
        <v>22500</v>
      </c>
      <c r="O59" s="39"/>
      <c r="P59" s="47" t="s">
        <v>203</v>
      </c>
      <c r="Q59" s="48"/>
      <c r="R59" s="41"/>
      <c r="T59" s="42"/>
      <c r="U59" s="44"/>
      <c r="V59" s="42">
        <f>IF(NOTA[[#This Row],[HARGA/ CTN]]="",NOTA[[#This Row],[JUMLAH_H]],NOTA[[#This Row],[HARGA/ CTN]]*IF(NOTA[[#This Row],[C]]="",0,NOTA[[#This Row],[C]]))</f>
        <v>1350000</v>
      </c>
      <c r="W59" s="42">
        <f>IF(NOTA[[#This Row],[JUMLAH]]="","",NOTA[[#This Row],[JUMLAH]]*NOTA[[#This Row],[Column6]])</f>
        <v>0</v>
      </c>
      <c r="X59" s="42">
        <f>IF(NOTA[[#This Row],[JUMLAH]]="","",(NOTA[[#This Row],[JUMLAH]]-NOTA[[#This Row],[DISC 1-]])*NOTA[[#This Row],[Column7]])</f>
        <v>0</v>
      </c>
      <c r="Y59" s="42">
        <f>IF(NOTA[[#This Row],[JUMLAH]]="","",(NOTA[[#This Row],[JUMLAH]]-NOTA[[#This Row],[DISC 1-]]-NOTA[[#This Row],[DISC 2-]])*NOTA[[#This Row],[Column8]])</f>
        <v>0</v>
      </c>
      <c r="Z59" s="42">
        <f>IF(NOTA[[#This Row],[JUMLAH]]="","",NOTA[[#This Row],[DISC 1-]]+NOTA[[#This Row],[DISC 2-]]+NOTA[[#This Row],[DISC 3-]])</f>
        <v>0</v>
      </c>
      <c r="AA59" s="42">
        <f>IF(NOTA[[#This Row],[JUMLAH]]="","",NOTA[[#This Row],[JUMLAH]]-NOTA[[#This Row],[DISC]])</f>
        <v>1350000</v>
      </c>
      <c r="AB59" s="42"/>
      <c r="AC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59" s="42">
        <f>IF(OR(NOTA[[#This Row],[QTY]]="",NOTA[[#This Row],[HARGA SATUAN]]="",),"",NOTA[[#This Row],[QTY]]*NOTA[[#This Row],[HARGA SATUAN]])</f>
        <v>1350000</v>
      </c>
      <c r="AG59" s="36">
        <f ca="1">IF(NOTA[[#This Row],[ID_H]]="","",INDEX(NOTA[TANGGAL],MATCH(,INDIRECT(ADDRESS(ROW(NOTA[TANGGAL]),COLUMN(NOTA[TANGGAL]))&amp;":"&amp;ADDRESS(ROW(),COLUMN(NOTA[TANGGAL]))),-1)))</f>
        <v>45481</v>
      </c>
      <c r="AH59" s="36">
        <f ca="1">IF(NOTA[[#This Row],[ID_H]]="","",INDEX(NOTA[TGL.NOTA],MATCH(,INDIRECT(ADDRESS(ROW(NOTA[TGL.NOTA]),COLUMN(NOTA[TGL.NOTA]))&amp;":"&amp;ADDRESS(ROW(),COLUMN(NOTA[TGL.NOTA]))),-1)))</f>
        <v>45472</v>
      </c>
      <c r="AI59" s="36" t="str">
        <f ca="1">IF(NOTA[[#This Row],[ID_H]]="","",INDEX(NOTA[NO.NOTA],MATCH(NOTA[[#This Row],[ID_H]],NOTA[ID_H],0)))</f>
        <v>SO2024070086563</v>
      </c>
      <c r="AJ59" s="38" t="str">
        <f ca="1">IF(NOTA[[#This Row],[NAMA BARANG]]="","",INDEX(NOTA[SUPPLIER],MATCH(,INDIRECT(ADDRESS(ROW(NOTA[ID]),COLUMN(NOTA[ID]))&amp;":"&amp;ADDRESS(ROW(),COLUMN(NOTA[ID]))),-1)))</f>
        <v>BINTANG SAUDARA</v>
      </c>
      <c r="AK59" s="38" t="str">
        <f ca="1">IF(NOTA[[#This Row],[ID_H]]="","",IF(NOTA[[#This Row],[FAKTUR]]="",INDIRECT(ADDRESS(ROW()-1,COLUMN())),NOTA[[#This Row],[FAKTUR]]))</f>
        <v>UNTANA</v>
      </c>
      <c r="AL59" s="35" t="str">
        <f ca="1">IF(NOTA[[#This Row],[ID]]="","",COUNTIF(NOTA[ID_H],NOTA[[#This Row],[ID_H]]))</f>
        <v/>
      </c>
      <c r="AM59" s="35">
        <f ca="1">IF(NOTA[[#This Row],[TGL.NOTA]]="",IF(NOTA[[#This Row],[SUPPLIER_H]]="","",AM58),MONTH(NOTA[[#This Row],[TGL.NOTA]]))</f>
        <v>6</v>
      </c>
      <c r="AN59" s="35" t="str">
        <f>LOWER(SUBSTITUTE(SUBSTITUTE(SUBSTITUTE(SUBSTITUTE(SUBSTITUTE(SUBSTITUTE(SUBSTITUTE(SUBSTITUTE(SUBSTITUTE(NOTA[[#This Row],[NAMA BARANG]]," ",),".",""),"-",""),"(",""),")",""),",",""),"/",""),"""",""),"+",""))</f>
        <v>gelpenkoalagp168icoklat</v>
      </c>
      <c r="AO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gelpenkoalagp168icoklat1350000</v>
      </c>
      <c r="AP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gelpenkoalagp168icoklat22500</v>
      </c>
      <c r="AQ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" s="35">
        <f>IF(NOTA[[#This Row],[CONCAT1]]="","",MATCH(NOTA[[#This Row],[CONCAT1]],[3]!db[NB NOTA_C],0))</f>
        <v>3348</v>
      </c>
      <c r="AS59" s="35" t="b">
        <f>IF(NOTA[[#This Row],[Column5]]="","",TRUE)</f>
        <v>1</v>
      </c>
      <c r="AT59" s="35" t="str">
        <f ca="1">IF(NOTA[[#This Row],[ID_H]]="","",IF(NOTA[[#This Row],[Column3]]=TRUE,NOTA[[#This Row],[Column5]],INDEX([3]!db[QTY/ CTN],NOTA[[#This Row],[//DB]])))</f>
        <v>144 LSN</v>
      </c>
      <c r="AU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gelpenkoalagp168icoklat144lsnuntana</v>
      </c>
      <c r="AV59" s="35">
        <f ca="1">IF(NOTA[[#This Row],[ID_H]]="","",MATCH(NOTA[[#This Row],[NB NOTA_C_QTY]],[3]!db[NB NOTA_C_QTY+F],0))</f>
        <v>3348</v>
      </c>
      <c r="AW59" s="43">
        <f ca="1">IF(NOTA[[#This Row],[NB NOTA_C_QTY]]="","",ROW()-2)</f>
        <v>57</v>
      </c>
    </row>
    <row r="60" spans="1:49" ht="20.100000000000001" customHeight="1">
      <c r="A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5">
        <f ca="1">IF(NOTA[[#This Row],[NAMA BARANG]]="","",INDEX(NOTA[ID],MATCH(,INDIRECT(ADDRESS(ROW(NOTA[ID]),COLUMN(NOTA[ID]))&amp;":"&amp;ADDRESS(ROW(),COLUMN(NOTA[ID]))),-1)))</f>
        <v>17</v>
      </c>
      <c r="C60" s="45"/>
      <c r="F60" s="46"/>
      <c r="G60" s="35"/>
      <c r="H60" s="36"/>
      <c r="I60" s="35"/>
      <c r="J60" s="50" t="s">
        <v>219</v>
      </c>
      <c r="K60" s="37"/>
      <c r="L60" s="35">
        <v>60</v>
      </c>
      <c r="M60" s="35" t="s">
        <v>50</v>
      </c>
      <c r="N60" s="38">
        <v>22500</v>
      </c>
      <c r="O60" s="39"/>
      <c r="P60" s="47" t="s">
        <v>203</v>
      </c>
      <c r="Q60" s="48"/>
      <c r="R60" s="41"/>
      <c r="T60" s="42"/>
      <c r="U60" s="44"/>
      <c r="V60" s="42">
        <f>IF(NOTA[[#This Row],[HARGA/ CTN]]="",NOTA[[#This Row],[JUMLAH_H]],NOTA[[#This Row],[HARGA/ CTN]]*IF(NOTA[[#This Row],[C]]="",0,NOTA[[#This Row],[C]]))</f>
        <v>1350000</v>
      </c>
      <c r="W60" s="42">
        <f>IF(NOTA[[#This Row],[JUMLAH]]="","",NOTA[[#This Row],[JUMLAH]]*NOTA[[#This Row],[Column6]])</f>
        <v>0</v>
      </c>
      <c r="X60" s="42">
        <f>IF(NOTA[[#This Row],[JUMLAH]]="","",(NOTA[[#This Row],[JUMLAH]]-NOTA[[#This Row],[DISC 1-]])*NOTA[[#This Row],[Column7]])</f>
        <v>0</v>
      </c>
      <c r="Y60" s="42">
        <f>IF(NOTA[[#This Row],[JUMLAH]]="","",(NOTA[[#This Row],[JUMLAH]]-NOTA[[#This Row],[DISC 1-]]-NOTA[[#This Row],[DISC 2-]])*NOTA[[#This Row],[Column8]])</f>
        <v>0</v>
      </c>
      <c r="Z60" s="42">
        <f>IF(NOTA[[#This Row],[JUMLAH]]="","",NOTA[[#This Row],[DISC 1-]]+NOTA[[#This Row],[DISC 2-]]+NOTA[[#This Row],[DISC 3-]])</f>
        <v>0</v>
      </c>
      <c r="AA60" s="42">
        <f>IF(NOTA[[#This Row],[JUMLAH]]="","",NOTA[[#This Row],[JUMLAH]]-NOTA[[#This Row],[DISC]])</f>
        <v>1350000</v>
      </c>
      <c r="AB60" s="42"/>
      <c r="AC6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13500000</v>
      </c>
      <c r="AE60" s="3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0" s="42">
        <f>IF(OR(NOTA[[#This Row],[QTY]]="",NOTA[[#This Row],[HARGA SATUAN]]="",),"",NOTA[[#This Row],[QTY]]*NOTA[[#This Row],[HARGA SATUAN]])</f>
        <v>1350000</v>
      </c>
      <c r="AG60" s="36">
        <f ca="1">IF(NOTA[[#This Row],[ID_H]]="","",INDEX(NOTA[TANGGAL],MATCH(,INDIRECT(ADDRESS(ROW(NOTA[TANGGAL]),COLUMN(NOTA[TANGGAL]))&amp;":"&amp;ADDRESS(ROW(),COLUMN(NOTA[TANGGAL]))),-1)))</f>
        <v>45481</v>
      </c>
      <c r="AH60" s="36">
        <f ca="1">IF(NOTA[[#This Row],[ID_H]]="","",INDEX(NOTA[TGL.NOTA],MATCH(,INDIRECT(ADDRESS(ROW(NOTA[TGL.NOTA]),COLUMN(NOTA[TGL.NOTA]))&amp;":"&amp;ADDRESS(ROW(),COLUMN(NOTA[TGL.NOTA]))),-1)))</f>
        <v>45472</v>
      </c>
      <c r="AI60" s="36" t="str">
        <f ca="1">IF(NOTA[[#This Row],[ID_H]]="","",INDEX(NOTA[NO.NOTA],MATCH(NOTA[[#This Row],[ID_H]],NOTA[ID_H],0)))</f>
        <v>SO2024070086563</v>
      </c>
      <c r="AJ60" s="38" t="str">
        <f ca="1">IF(NOTA[[#This Row],[NAMA BARANG]]="","",INDEX(NOTA[SUPPLIER],MATCH(,INDIRECT(ADDRESS(ROW(NOTA[ID]),COLUMN(NOTA[ID]))&amp;":"&amp;ADDRESS(ROW(),COLUMN(NOTA[ID]))),-1)))</f>
        <v>BINTANG SAUDARA</v>
      </c>
      <c r="AK60" s="38" t="str">
        <f ca="1">IF(NOTA[[#This Row],[ID_H]]="","",IF(NOTA[[#This Row],[FAKTUR]]="",INDIRECT(ADDRESS(ROW()-1,COLUMN())),NOTA[[#This Row],[FAKTUR]]))</f>
        <v>UNTANA</v>
      </c>
      <c r="AL60" s="35" t="str">
        <f ca="1">IF(NOTA[[#This Row],[ID]]="","",COUNTIF(NOTA[ID_H],NOTA[[#This Row],[ID_H]]))</f>
        <v/>
      </c>
      <c r="AM60" s="35">
        <f ca="1">IF(NOTA[[#This Row],[TGL.NOTA]]="",IF(NOTA[[#This Row],[SUPPLIER_H]]="","",AM59),MONTH(NOTA[[#This Row],[TGL.NOTA]]))</f>
        <v>6</v>
      </c>
      <c r="AN60" s="35" t="str">
        <f>LOWER(SUBSTITUTE(SUBSTITUTE(SUBSTITUTE(SUBSTITUTE(SUBSTITUTE(SUBSTITUTE(SUBSTITUTE(SUBSTITUTE(SUBSTITUTE(NOTA[[#This Row],[NAMA BARANG]]," ",),".",""),"-",""),"(",""),")",""),",",""),"/",""),"""",""),"+",""))</f>
        <v>gelpenkoalagp168jkng</v>
      </c>
      <c r="AO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gelpenkoalagp168jkng1350000</v>
      </c>
      <c r="AP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gelpenkoalagp168jkng22500</v>
      </c>
      <c r="AQ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" s="35">
        <f>IF(NOTA[[#This Row],[CONCAT1]]="","",MATCH(NOTA[[#This Row],[CONCAT1]],[3]!db[NB NOTA_C],0))</f>
        <v>3349</v>
      </c>
      <c r="AS60" s="35" t="b">
        <f>IF(NOTA[[#This Row],[Column5]]="","",TRUE)</f>
        <v>1</v>
      </c>
      <c r="AT60" s="35" t="str">
        <f ca="1">IF(NOTA[[#This Row],[ID_H]]="","",IF(NOTA[[#This Row],[Column3]]=TRUE,NOTA[[#This Row],[Column5]],INDEX([3]!db[QTY/ CTN],NOTA[[#This Row],[//DB]])))</f>
        <v>144 LSN</v>
      </c>
      <c r="AU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gelpenkoalagp168jkng144lsnuntana</v>
      </c>
      <c r="AV60" s="35">
        <f ca="1">IF(NOTA[[#This Row],[ID_H]]="","",MATCH(NOTA[[#This Row],[NB NOTA_C_QTY]],[3]!db[NB NOTA_C_QTY+F],0))</f>
        <v>3349</v>
      </c>
      <c r="AW60" s="43">
        <f ca="1">IF(NOTA[[#This Row],[NB NOTA_C_QTY]]="","",ROW()-2)</f>
        <v>58</v>
      </c>
    </row>
    <row r="61" spans="1:49" ht="20.100000000000001" customHeight="1">
      <c r="A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5" t="str">
        <f ca="1">IF(NOTA[[#This Row],[NAMA BARANG]]="","",INDEX(NOTA[ID],MATCH(,INDIRECT(ADDRESS(ROW(NOTA[ID]),COLUMN(NOTA[ID]))&amp;":"&amp;ADDRESS(ROW(),COLUMN(NOTA[ID]))),-1)))</f>
        <v/>
      </c>
      <c r="C61" s="45"/>
      <c r="F61" s="46"/>
      <c r="G61" s="35"/>
      <c r="H61" s="36"/>
      <c r="I61" s="35"/>
      <c r="K61" s="37"/>
      <c r="L61" s="35"/>
      <c r="N61" s="38"/>
      <c r="O61" s="39"/>
      <c r="P61" s="47"/>
      <c r="Q61" s="48"/>
      <c r="R61" s="41"/>
      <c r="T61" s="42"/>
      <c r="U61" s="44"/>
      <c r="V61" s="42" t="str">
        <f>IF(NOTA[[#This Row],[HARGA/ CTN]]="",NOTA[[#This Row],[JUMLAH_H]],NOTA[[#This Row],[HARGA/ CTN]]*IF(NOTA[[#This Row],[C]]="",0,NOTA[[#This Row],[C]]))</f>
        <v/>
      </c>
      <c r="W61" s="42" t="str">
        <f>IF(NOTA[[#This Row],[JUMLAH]]="","",NOTA[[#This Row],[JUMLAH]]*NOTA[[#This Row],[Column6]])</f>
        <v/>
      </c>
      <c r="X61" s="42" t="str">
        <f>IF(NOTA[[#This Row],[JUMLAH]]="","",(NOTA[[#This Row],[JUMLAH]]-NOTA[[#This Row],[DISC 1-]])*NOTA[[#This Row],[Column7]])</f>
        <v/>
      </c>
      <c r="Y61" s="42" t="str">
        <f>IF(NOTA[[#This Row],[JUMLAH]]="","",(NOTA[[#This Row],[JUMLAH]]-NOTA[[#This Row],[DISC 1-]]-NOTA[[#This Row],[DISC 2-]])*NOTA[[#This Row],[Column8]])</f>
        <v/>
      </c>
      <c r="Z61" s="42" t="str">
        <f>IF(NOTA[[#This Row],[JUMLAH]]="","",NOTA[[#This Row],[DISC 1-]]+NOTA[[#This Row],[DISC 2-]]+NOTA[[#This Row],[DISC 3-]])</f>
        <v/>
      </c>
      <c r="AA61" s="42" t="str">
        <f>IF(NOTA[[#This Row],[JUMLAH]]="","",NOTA[[#This Row],[JUMLAH]]-NOTA[[#This Row],[DISC]])</f>
        <v/>
      </c>
      <c r="AB61" s="42"/>
      <c r="AC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" s="42" t="str">
        <f>IF(OR(NOTA[[#This Row],[QTY]]="",NOTA[[#This Row],[HARGA SATUAN]]="",),"",NOTA[[#This Row],[QTY]]*NOTA[[#This Row],[HARGA SATUAN]])</f>
        <v/>
      </c>
      <c r="AG61" s="36" t="str">
        <f ca="1">IF(NOTA[[#This Row],[ID_H]]="","",INDEX(NOTA[TANGGAL],MATCH(,INDIRECT(ADDRESS(ROW(NOTA[TANGGAL]),COLUMN(NOTA[TANGGAL]))&amp;":"&amp;ADDRESS(ROW(),COLUMN(NOTA[TANGGAL]))),-1)))</f>
        <v/>
      </c>
      <c r="AH61" s="36" t="str">
        <f ca="1">IF(NOTA[[#This Row],[ID_H]]="","",INDEX(NOTA[TGL.NOTA],MATCH(,INDIRECT(ADDRESS(ROW(NOTA[TGL.NOTA]),COLUMN(NOTA[TGL.NOTA]))&amp;":"&amp;ADDRESS(ROW(),COLUMN(NOTA[TGL.NOTA]))),-1)))</f>
        <v/>
      </c>
      <c r="AI61" s="36" t="str">
        <f ca="1">IF(NOTA[[#This Row],[ID_H]]="","",INDEX(NOTA[NO.NOTA],MATCH(NOTA[[#This Row],[ID_H]],NOTA[ID_H],0)))</f>
        <v/>
      </c>
      <c r="AJ61" s="38" t="str">
        <f ca="1">IF(NOTA[[#This Row],[NAMA BARANG]]="","",INDEX(NOTA[SUPPLIER],MATCH(,INDIRECT(ADDRESS(ROW(NOTA[ID]),COLUMN(NOTA[ID]))&amp;":"&amp;ADDRESS(ROW(),COLUMN(NOTA[ID]))),-1)))</f>
        <v/>
      </c>
      <c r="AK61" s="38" t="str">
        <f ca="1">IF(NOTA[[#This Row],[ID_H]]="","",IF(NOTA[[#This Row],[FAKTUR]]="",INDIRECT(ADDRESS(ROW()-1,COLUMN())),NOTA[[#This Row],[FAKTUR]]))</f>
        <v/>
      </c>
      <c r="AL61" s="35" t="str">
        <f ca="1">IF(NOTA[[#This Row],[ID]]="","",COUNTIF(NOTA[ID_H],NOTA[[#This Row],[ID_H]]))</f>
        <v/>
      </c>
      <c r="AM61" s="35" t="str">
        <f ca="1">IF(NOTA[[#This Row],[TGL.NOTA]]="",IF(NOTA[[#This Row],[SUPPLIER_H]]="","",AM60),MONTH(NOTA[[#This Row],[TGL.NOTA]]))</f>
        <v/>
      </c>
      <c r="AN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" s="35" t="str">
        <f>IF(NOTA[[#This Row],[CONCAT1]]="","",MATCH(NOTA[[#This Row],[CONCAT1]],[3]!db[NB NOTA_C],0))</f>
        <v/>
      </c>
      <c r="AS61" s="35" t="str">
        <f>IF(NOTA[[#This Row],[Column5]]="","",TRUE)</f>
        <v/>
      </c>
      <c r="AT61" s="35" t="str">
        <f ca="1">IF(NOTA[[#This Row],[ID_H]]="","",IF(NOTA[[#This Row],[Column3]]=TRUE,NOTA[[#This Row],[Column5]],INDEX([3]!db[QTY/ CTN],NOTA[[#This Row],[//DB]])))</f>
        <v/>
      </c>
      <c r="AU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" s="35" t="str">
        <f ca="1">IF(NOTA[[#This Row],[ID_H]]="","",MATCH(NOTA[[#This Row],[NB NOTA_C_QTY]],[3]!db[NB NOTA_C_QTY+F],0))</f>
        <v/>
      </c>
      <c r="AW61" s="43" t="str">
        <f ca="1">IF(NOTA[[#This Row],[NB NOTA_C_QTY]]="","",ROW()-2)</f>
        <v/>
      </c>
    </row>
    <row r="62" spans="1:49" ht="20.100000000000001" customHeight="1">
      <c r="A62" s="38">
        <f ca="1">IF(INDIRECT(ADDRESS(ROW()-1,COLUMN(NOTA[[#Headers],[ID]])))="ID",1,IF(NOTA[[#This Row],[FAKTUR]]="","",COUNT(INDIRECT(ADDRESS(ROW(NOTA[ID]),COLUMN(NOTA[ID]))&amp;":"&amp;ADDRESS(ROW()-1,COLUMN(NOTA[ID]))))+1))</f>
        <v>18</v>
      </c>
      <c r="B62" s="35">
        <f ca="1">IF(NOTA[[#This Row],[NAMA BARANG]]="","",INDEX(NOTA[ID],MATCH(,INDIRECT(ADDRESS(ROW(NOTA[ID]),COLUMN(NOTA[ID]))&amp;":"&amp;ADDRESS(ROW(),COLUMN(NOTA[ID]))),-1)))</f>
        <v>18</v>
      </c>
      <c r="C62" s="45">
        <v>45483</v>
      </c>
      <c r="D62" s="35" t="s">
        <v>77</v>
      </c>
      <c r="E62" s="35" t="s">
        <v>49</v>
      </c>
      <c r="F62" s="46" t="s">
        <v>220</v>
      </c>
      <c r="G62" s="35"/>
      <c r="H62" s="36">
        <v>45483</v>
      </c>
      <c r="I62" s="35"/>
      <c r="J62" s="50" t="s">
        <v>221</v>
      </c>
      <c r="K62" s="37"/>
      <c r="L62" s="35">
        <v>16</v>
      </c>
      <c r="M62" s="35" t="s">
        <v>50</v>
      </c>
      <c r="N62" s="38">
        <v>180000</v>
      </c>
      <c r="O62" s="39"/>
      <c r="P62" s="47" t="s">
        <v>78</v>
      </c>
      <c r="Q62" s="48"/>
      <c r="R62" s="41"/>
      <c r="T62" s="42"/>
      <c r="U62" s="44"/>
      <c r="V62" s="42">
        <f>IF(NOTA[[#This Row],[HARGA/ CTN]]="",NOTA[[#This Row],[JUMLAH_H]],NOTA[[#This Row],[HARGA/ CTN]]*IF(NOTA[[#This Row],[C]]="",0,NOTA[[#This Row],[C]]))</f>
        <v>2880000</v>
      </c>
      <c r="W62" s="42">
        <f>IF(NOTA[[#This Row],[JUMLAH]]="","",NOTA[[#This Row],[JUMLAH]]*NOTA[[#This Row],[Column6]])</f>
        <v>0</v>
      </c>
      <c r="X62" s="42">
        <f>IF(NOTA[[#This Row],[JUMLAH]]="","",(NOTA[[#This Row],[JUMLAH]]-NOTA[[#This Row],[DISC 1-]])*NOTA[[#This Row],[Column7]])</f>
        <v>0</v>
      </c>
      <c r="Y62" s="42">
        <f>IF(NOTA[[#This Row],[JUMLAH]]="","",(NOTA[[#This Row],[JUMLAH]]-NOTA[[#This Row],[DISC 1-]]-NOTA[[#This Row],[DISC 2-]])*NOTA[[#This Row],[Column8]])</f>
        <v>0</v>
      </c>
      <c r="Z62" s="42">
        <f>IF(NOTA[[#This Row],[JUMLAH]]="","",NOTA[[#This Row],[DISC 1-]]+NOTA[[#This Row],[DISC 2-]]+NOTA[[#This Row],[DISC 3-]])</f>
        <v>0</v>
      </c>
      <c r="AA62" s="42">
        <f>IF(NOTA[[#This Row],[JUMLAH]]="","",NOTA[[#This Row],[JUMLAH]]-NOTA[[#This Row],[DISC]])</f>
        <v>2880000</v>
      </c>
      <c r="AB62" s="42"/>
      <c r="AC6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6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2880000</v>
      </c>
      <c r="AE62" s="3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62" s="42">
        <f>IF(OR(NOTA[[#This Row],[QTY]]="",NOTA[[#This Row],[HARGA SATUAN]]="",),"",NOTA[[#This Row],[QTY]]*NOTA[[#This Row],[HARGA SATUAN]])</f>
        <v>2880000</v>
      </c>
      <c r="AG62" s="36">
        <f ca="1">IF(NOTA[[#This Row],[ID_H]]="","",INDEX(NOTA[TANGGAL],MATCH(,INDIRECT(ADDRESS(ROW(NOTA[TANGGAL]),COLUMN(NOTA[TANGGAL]))&amp;":"&amp;ADDRESS(ROW(),COLUMN(NOTA[TANGGAL]))),-1)))</f>
        <v>45483</v>
      </c>
      <c r="AH62" s="36">
        <f ca="1">IF(NOTA[[#This Row],[ID_H]]="","",INDEX(NOTA[TGL.NOTA],MATCH(,INDIRECT(ADDRESS(ROW(NOTA[TGL.NOTA]),COLUMN(NOTA[TGL.NOTA]))&amp;":"&amp;ADDRESS(ROW(),COLUMN(NOTA[TGL.NOTA]))),-1)))</f>
        <v>45483</v>
      </c>
      <c r="AI62" s="36" t="str">
        <f ca="1">IF(NOTA[[#This Row],[ID_H]]="","",INDEX(NOTA[NO.NOTA],MATCH(NOTA[[#This Row],[ID_H]],NOTA[ID_H],0)))</f>
        <v>0717</v>
      </c>
      <c r="AJ62" s="38" t="str">
        <f ca="1">IF(NOTA[[#This Row],[NAMA BARANG]]="","",INDEX(NOTA[SUPPLIER],MATCH(,INDIRECT(ADDRESS(ROW(NOTA[ID]),COLUMN(NOTA[ID]))&amp;":"&amp;ADDRESS(ROW(),COLUMN(NOTA[ID]))),-1)))</f>
        <v>COMBI</v>
      </c>
      <c r="AK62" s="38" t="str">
        <f ca="1">IF(NOTA[[#This Row],[ID_H]]="","",IF(NOTA[[#This Row],[FAKTUR]]="",INDIRECT(ADDRESS(ROW()-1,COLUMN())),NOTA[[#This Row],[FAKTUR]]))</f>
        <v>UNTANA</v>
      </c>
      <c r="AL62" s="35">
        <f ca="1">IF(NOTA[[#This Row],[ID]]="","",COUNTIF(NOTA[ID_H],NOTA[[#This Row],[ID_H]]))</f>
        <v>1</v>
      </c>
      <c r="AM62" s="35">
        <f>IF(NOTA[[#This Row],[TGL.NOTA]]="",IF(NOTA[[#This Row],[SUPPLIER_H]]="","",AM61),MONTH(NOTA[[#This Row],[TGL.NOTA]]))</f>
        <v>7</v>
      </c>
      <c r="AN62" s="3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O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docritinfinity2880000</v>
      </c>
      <c r="AP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docritinfinity180000</v>
      </c>
      <c r="AQ62" s="35" t="str">
        <f>IF(NOTA[[#This Row],[SUPPLIER]]="","",NOTA[[#This Row],[SUPPLIER]]&amp;NOTA[[#This Row],[FAKTUR]]&amp;NOTA[[#This Row],[NO.NOTA]]&amp;NOTA[[#This Row],[NO.SJ]]&amp;NOTA[[#This Row],[TGL.NOTA]]&amp;NOTA[[#This Row],[CONCAT1]])</f>
        <v>COMBIUNTANA071745483docritinfinity</v>
      </c>
      <c r="AR62" s="35">
        <f>IF(NOTA[[#This Row],[CONCAT1]]="","",MATCH(NOTA[[#This Row],[CONCAT1]],[3]!db[NB NOTA_C],0))</f>
        <v>865</v>
      </c>
      <c r="AS62" s="35" t="b">
        <f>IF(NOTA[[#This Row],[Column5]]="","",TRUE)</f>
        <v>1</v>
      </c>
      <c r="AT62" s="35" t="str">
        <f ca="1">IF(NOTA[[#This Row],[ID_H]]="","",IF(NOTA[[#This Row],[Column3]]=TRUE,NOTA[[#This Row],[Column5]],INDEX([3]!db[QTY/ CTN],NOTA[[#This Row],[//DB]])))</f>
        <v>8 LSN</v>
      </c>
      <c r="AU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V62" s="35">
        <f ca="1">IF(NOTA[[#This Row],[ID_H]]="","",MATCH(NOTA[[#This Row],[NB NOTA_C_QTY]],[3]!db[NB NOTA_C_QTY+F],0))</f>
        <v>865</v>
      </c>
      <c r="AW62" s="43">
        <f ca="1">IF(NOTA[[#This Row],[NB NOTA_C_QTY]]="","",ROW()-2)</f>
        <v>60</v>
      </c>
    </row>
    <row r="63" spans="1:49" ht="20.100000000000001" customHeight="1">
      <c r="A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5" t="str">
        <f ca="1">IF(NOTA[[#This Row],[NAMA BARANG]]="","",INDEX(NOTA[ID],MATCH(,INDIRECT(ADDRESS(ROW(NOTA[ID]),COLUMN(NOTA[ID]))&amp;":"&amp;ADDRESS(ROW(),COLUMN(NOTA[ID]))),-1)))</f>
        <v/>
      </c>
      <c r="C63" s="45"/>
      <c r="F63" s="46"/>
      <c r="G63" s="35"/>
      <c r="H63" s="36"/>
      <c r="I63" s="35"/>
      <c r="J63" s="50"/>
      <c r="K63" s="37"/>
      <c r="L63" s="35"/>
      <c r="N63" s="38"/>
      <c r="O63" s="39"/>
      <c r="P63" s="47"/>
      <c r="Q63" s="48"/>
      <c r="R63" s="41"/>
      <c r="T63" s="42"/>
      <c r="U63" s="44"/>
      <c r="V63" s="42" t="str">
        <f>IF(NOTA[[#This Row],[HARGA/ CTN]]="",NOTA[[#This Row],[JUMLAH_H]],NOTA[[#This Row],[HARGA/ CTN]]*IF(NOTA[[#This Row],[C]]="",0,NOTA[[#This Row],[C]]))</f>
        <v/>
      </c>
      <c r="W63" s="42" t="str">
        <f>IF(NOTA[[#This Row],[JUMLAH]]="","",NOTA[[#This Row],[JUMLAH]]*NOTA[[#This Row],[Column6]])</f>
        <v/>
      </c>
      <c r="X63" s="42" t="str">
        <f>IF(NOTA[[#This Row],[JUMLAH]]="","",(NOTA[[#This Row],[JUMLAH]]-NOTA[[#This Row],[DISC 1-]])*NOTA[[#This Row],[Column7]])</f>
        <v/>
      </c>
      <c r="Y63" s="42" t="str">
        <f>IF(NOTA[[#This Row],[JUMLAH]]="","",(NOTA[[#This Row],[JUMLAH]]-NOTA[[#This Row],[DISC 1-]]-NOTA[[#This Row],[DISC 2-]])*NOTA[[#This Row],[Column8]])</f>
        <v/>
      </c>
      <c r="Z63" s="42" t="str">
        <f>IF(NOTA[[#This Row],[JUMLAH]]="","",NOTA[[#This Row],[DISC 1-]]+NOTA[[#This Row],[DISC 2-]]+NOTA[[#This Row],[DISC 3-]])</f>
        <v/>
      </c>
      <c r="AA63" s="42" t="str">
        <f>IF(NOTA[[#This Row],[JUMLAH]]="","",NOTA[[#This Row],[JUMLAH]]-NOTA[[#This Row],[DISC]])</f>
        <v/>
      </c>
      <c r="AB63" s="42"/>
      <c r="AC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" s="42" t="str">
        <f>IF(OR(NOTA[[#This Row],[QTY]]="",NOTA[[#This Row],[HARGA SATUAN]]="",),"",NOTA[[#This Row],[QTY]]*NOTA[[#This Row],[HARGA SATUAN]])</f>
        <v/>
      </c>
      <c r="AG63" s="36" t="str">
        <f ca="1">IF(NOTA[[#This Row],[ID_H]]="","",INDEX(NOTA[TANGGAL],MATCH(,INDIRECT(ADDRESS(ROW(NOTA[TANGGAL]),COLUMN(NOTA[TANGGAL]))&amp;":"&amp;ADDRESS(ROW(),COLUMN(NOTA[TANGGAL]))),-1)))</f>
        <v/>
      </c>
      <c r="AH63" s="36" t="str">
        <f ca="1">IF(NOTA[[#This Row],[ID_H]]="","",INDEX(NOTA[TGL.NOTA],MATCH(,INDIRECT(ADDRESS(ROW(NOTA[TGL.NOTA]),COLUMN(NOTA[TGL.NOTA]))&amp;":"&amp;ADDRESS(ROW(),COLUMN(NOTA[TGL.NOTA]))),-1)))</f>
        <v/>
      </c>
      <c r="AI63" s="36" t="str">
        <f ca="1">IF(NOTA[[#This Row],[ID_H]]="","",INDEX(NOTA[NO.NOTA],MATCH(NOTA[[#This Row],[ID_H]],NOTA[ID_H],0)))</f>
        <v/>
      </c>
      <c r="AJ63" s="38" t="str">
        <f ca="1">IF(NOTA[[#This Row],[NAMA BARANG]]="","",INDEX(NOTA[SUPPLIER],MATCH(,INDIRECT(ADDRESS(ROW(NOTA[ID]),COLUMN(NOTA[ID]))&amp;":"&amp;ADDRESS(ROW(),COLUMN(NOTA[ID]))),-1)))</f>
        <v/>
      </c>
      <c r="AK63" s="38" t="str">
        <f ca="1">IF(NOTA[[#This Row],[ID_H]]="","",IF(NOTA[[#This Row],[FAKTUR]]="",INDIRECT(ADDRESS(ROW()-1,COLUMN())),NOTA[[#This Row],[FAKTUR]]))</f>
        <v/>
      </c>
      <c r="AL63" s="35" t="str">
        <f ca="1">IF(NOTA[[#This Row],[ID]]="","",COUNTIF(NOTA[ID_H],NOTA[[#This Row],[ID_H]]))</f>
        <v/>
      </c>
      <c r="AM63" s="35" t="str">
        <f ca="1">IF(NOTA[[#This Row],[TGL.NOTA]]="",IF(NOTA[[#This Row],[SUPPLIER_H]]="","",AM62),MONTH(NOTA[[#This Row],[TGL.NOTA]]))</f>
        <v/>
      </c>
      <c r="AN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" s="35" t="str">
        <f>IF(NOTA[[#This Row],[CONCAT1]]="","",MATCH(NOTA[[#This Row],[CONCAT1]],[3]!db[NB NOTA_C],0))</f>
        <v/>
      </c>
      <c r="AS63" s="35" t="str">
        <f>IF(NOTA[[#This Row],[Column5]]="","",TRUE)</f>
        <v/>
      </c>
      <c r="AT63" s="35" t="str">
        <f ca="1">IF(NOTA[[#This Row],[ID_H]]="","",IF(NOTA[[#This Row],[Column3]]=TRUE,NOTA[[#This Row],[Column5]],INDEX([3]!db[QTY/ CTN],NOTA[[#This Row],[//DB]])))</f>
        <v/>
      </c>
      <c r="AU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" s="35" t="str">
        <f ca="1">IF(NOTA[[#This Row],[ID_H]]="","",MATCH(NOTA[[#This Row],[NB NOTA_C_QTY]],[3]!db[NB NOTA_C_QTY+F],0))</f>
        <v/>
      </c>
      <c r="AW63" s="43" t="str">
        <f ca="1">IF(NOTA[[#This Row],[NB NOTA_C_QTY]]="","",ROW()-2)</f>
        <v/>
      </c>
    </row>
    <row r="64" spans="1:49" ht="20.100000000000001" customHeight="1">
      <c r="A64" s="38">
        <f ca="1">IF(INDIRECT(ADDRESS(ROW()-1,COLUMN(NOTA[[#Headers],[ID]])))="ID",1,IF(NOTA[[#This Row],[FAKTUR]]="","",COUNT(INDIRECT(ADDRESS(ROW(NOTA[ID]),COLUMN(NOTA[ID]))&amp;":"&amp;ADDRESS(ROW()-1,COLUMN(NOTA[ID]))))+1))</f>
        <v>19</v>
      </c>
      <c r="B64" s="35">
        <f ca="1">IF(NOTA[[#This Row],[NAMA BARANG]]="","",INDEX(NOTA[ID],MATCH(,INDIRECT(ADDRESS(ROW(NOTA[ID]),COLUMN(NOTA[ID]))&amp;":"&amp;ADDRESS(ROW(),COLUMN(NOTA[ID]))),-1)))</f>
        <v>19</v>
      </c>
      <c r="C64" s="45">
        <v>45486</v>
      </c>
      <c r="D64" s="35" t="s">
        <v>222</v>
      </c>
      <c r="E64" s="35" t="s">
        <v>49</v>
      </c>
      <c r="F64" s="46" t="s">
        <v>223</v>
      </c>
      <c r="G64" s="35"/>
      <c r="H64" s="36">
        <v>45482</v>
      </c>
      <c r="I64" s="35"/>
      <c r="J64" s="51" t="s">
        <v>224</v>
      </c>
      <c r="K64" s="37">
        <v>10</v>
      </c>
      <c r="L64" s="35">
        <v>1000</v>
      </c>
      <c r="M64" s="35" t="s">
        <v>51</v>
      </c>
      <c r="N64" s="38">
        <v>11500</v>
      </c>
      <c r="O64" s="39"/>
      <c r="P64" s="47" t="s">
        <v>234</v>
      </c>
      <c r="Q64" s="48"/>
      <c r="R64" s="41"/>
      <c r="T64" s="42"/>
      <c r="U64" s="44"/>
      <c r="V64" s="42">
        <f>IF(NOTA[[#This Row],[HARGA/ CTN]]="",NOTA[[#This Row],[JUMLAH_H]],NOTA[[#This Row],[HARGA/ CTN]]*IF(NOTA[[#This Row],[C]]="",0,NOTA[[#This Row],[C]]))</f>
        <v>11500000</v>
      </c>
      <c r="W64" s="42">
        <f>IF(NOTA[[#This Row],[JUMLAH]]="","",NOTA[[#This Row],[JUMLAH]]*NOTA[[#This Row],[Column6]])</f>
        <v>0</v>
      </c>
      <c r="X64" s="42">
        <f>IF(NOTA[[#This Row],[JUMLAH]]="","",(NOTA[[#This Row],[JUMLAH]]-NOTA[[#This Row],[DISC 1-]])*NOTA[[#This Row],[Column7]])</f>
        <v>0</v>
      </c>
      <c r="Y64" s="42">
        <f>IF(NOTA[[#This Row],[JUMLAH]]="","",(NOTA[[#This Row],[JUMLAH]]-NOTA[[#This Row],[DISC 1-]]-NOTA[[#This Row],[DISC 2-]])*NOTA[[#This Row],[Column8]])</f>
        <v>0</v>
      </c>
      <c r="Z64" s="42">
        <f>IF(NOTA[[#This Row],[JUMLAH]]="","",NOTA[[#This Row],[DISC 1-]]+NOTA[[#This Row],[DISC 2-]]+NOTA[[#This Row],[DISC 3-]])</f>
        <v>0</v>
      </c>
      <c r="AA64" s="42">
        <f>IF(NOTA[[#This Row],[JUMLAH]]="","",NOTA[[#This Row],[JUMLAH]]-NOTA[[#This Row],[DISC]])</f>
        <v>11500000</v>
      </c>
      <c r="AB64" s="42"/>
      <c r="AC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" s="38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4" s="42">
        <f>IF(OR(NOTA[[#This Row],[QTY]]="",NOTA[[#This Row],[HARGA SATUAN]]="",),"",NOTA[[#This Row],[QTY]]*NOTA[[#This Row],[HARGA SATUAN]])</f>
        <v>11500000</v>
      </c>
      <c r="AG64" s="36">
        <f ca="1">IF(NOTA[[#This Row],[ID_H]]="","",INDEX(NOTA[TANGGAL],MATCH(,INDIRECT(ADDRESS(ROW(NOTA[TANGGAL]),COLUMN(NOTA[TANGGAL]))&amp;":"&amp;ADDRESS(ROW(),COLUMN(NOTA[TANGGAL]))),-1)))</f>
        <v>45486</v>
      </c>
      <c r="AH64" s="36">
        <f ca="1">IF(NOTA[[#This Row],[ID_H]]="","",INDEX(NOTA[TGL.NOTA],MATCH(,INDIRECT(ADDRESS(ROW(NOTA[TGL.NOTA]),COLUMN(NOTA[TGL.NOTA]))&amp;":"&amp;ADDRESS(ROW(),COLUMN(NOTA[TGL.NOTA]))),-1)))</f>
        <v>45482</v>
      </c>
      <c r="AI64" s="36" t="str">
        <f ca="1">IF(NOTA[[#This Row],[ID_H]]="","",INDEX(NOTA[NO.NOTA],MATCH(NOTA[[#This Row],[ID_H]],NOTA[ID_H],0)))</f>
        <v>JX7,24</v>
      </c>
      <c r="AJ64" s="38" t="str">
        <f ca="1">IF(NOTA[[#This Row],[NAMA BARANG]]="","",INDEX(NOTA[SUPPLIER],MATCH(,INDIRECT(ADDRESS(ROW(NOTA[ID]),COLUMN(NOTA[ID]))&amp;":"&amp;ADDRESS(ROW(),COLUMN(NOTA[ID]))),-1)))</f>
        <v>ETJ</v>
      </c>
      <c r="AK64" s="38" t="str">
        <f ca="1">IF(NOTA[[#This Row],[ID_H]]="","",IF(NOTA[[#This Row],[FAKTUR]]="",INDIRECT(ADDRESS(ROW()-1,COLUMN())),NOTA[[#This Row],[FAKTUR]]))</f>
        <v>UNTANA</v>
      </c>
      <c r="AL64" s="35">
        <f ca="1">IF(NOTA[[#This Row],[ID]]="","",COUNTIF(NOTA[ID_H],NOTA[[#This Row],[ID_H]]))</f>
        <v>10</v>
      </c>
      <c r="AM64" s="35">
        <f>IF(NOTA[[#This Row],[TGL.NOTA]]="",IF(NOTA[[#This Row],[SUPPLIER_H]]="","",AM63),MONTH(NOTA[[#This Row],[TGL.NOTA]]))</f>
        <v>7</v>
      </c>
      <c r="AN64" s="35" t="str">
        <f>LOWER(SUBSTITUTE(SUBSTITUTE(SUBSTITUTE(SUBSTITUTE(SUBSTITUTE(SUBSTITUTE(SUBSTITUTE(SUBSTITUTE(SUBSTITUTE(NOTA[[#This Row],[NAMA BARANG]]," ",),".",""),"-",""),"(",""),")",""),",",""),"/",""),"""",""),"+",""))</f>
        <v>enterdispbesi505</v>
      </c>
      <c r="AO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enterdispbesi5051150000</v>
      </c>
      <c r="AP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enterdispbesi5051150000</v>
      </c>
      <c r="AQ64" s="35" t="str">
        <f>IF(NOTA[[#This Row],[SUPPLIER]]="","",NOTA[[#This Row],[SUPPLIER]]&amp;NOTA[[#This Row],[FAKTUR]]&amp;NOTA[[#This Row],[NO.NOTA]]&amp;NOTA[[#This Row],[NO.SJ]]&amp;NOTA[[#This Row],[TGL.NOTA]]&amp;NOTA[[#This Row],[CONCAT1]])</f>
        <v>ETJUNTANAJX7,2445482enterdispbesi505</v>
      </c>
      <c r="AR64" s="35">
        <f>IF(NOTA[[#This Row],[CONCAT1]]="","",MATCH(NOTA[[#This Row],[CONCAT1]],[3]!db[NB NOTA_C],0))</f>
        <v>3447</v>
      </c>
      <c r="AS64" s="35" t="b">
        <f>IF(NOTA[[#This Row],[Column5]]="","",TRUE)</f>
        <v>1</v>
      </c>
      <c r="AT64" s="35" t="str">
        <f ca="1">IF(NOTA[[#This Row],[ID_H]]="","",IF(NOTA[[#This Row],[Column3]]=TRUE,NOTA[[#This Row],[Column5]],INDEX([3]!db[QTY/ CTN],NOTA[[#This Row],[//DB]])))</f>
        <v>100 PCS</v>
      </c>
      <c r="AU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enterdispbesi505100pcsuntana</v>
      </c>
      <c r="AV64" s="35">
        <f ca="1">IF(NOTA[[#This Row],[ID_H]]="","",MATCH(NOTA[[#This Row],[NB NOTA_C_QTY]],[3]!db[NB NOTA_C_QTY+F],0))</f>
        <v>3447</v>
      </c>
      <c r="AW64" s="43">
        <f ca="1">IF(NOTA[[#This Row],[NB NOTA_C_QTY]]="","",ROW()-2)</f>
        <v>62</v>
      </c>
    </row>
    <row r="65" spans="1:49" ht="20.100000000000001" customHeight="1">
      <c r="A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5">
        <f ca="1">IF(NOTA[[#This Row],[NAMA BARANG]]="","",INDEX(NOTA[ID],MATCH(,INDIRECT(ADDRESS(ROW(NOTA[ID]),COLUMN(NOTA[ID]))&amp;":"&amp;ADDRESS(ROW(),COLUMN(NOTA[ID]))),-1)))</f>
        <v>19</v>
      </c>
      <c r="C65" s="45"/>
      <c r="F65" s="46"/>
      <c r="G65" s="35"/>
      <c r="H65" s="36"/>
      <c r="I65" s="35"/>
      <c r="J65" s="50" t="s">
        <v>325</v>
      </c>
      <c r="K65" s="37">
        <v>4</v>
      </c>
      <c r="L65" s="35">
        <v>2000</v>
      </c>
      <c r="M65" s="35" t="s">
        <v>233</v>
      </c>
      <c r="N65" s="38">
        <v>5800</v>
      </c>
      <c r="O65" s="39"/>
      <c r="P65" s="47" t="s">
        <v>238</v>
      </c>
      <c r="Q65" s="48"/>
      <c r="R65" s="41"/>
      <c r="T65" s="42"/>
      <c r="U65" s="44"/>
      <c r="V65" s="42">
        <f>IF(NOTA[[#This Row],[HARGA/ CTN]]="",NOTA[[#This Row],[JUMLAH_H]],NOTA[[#This Row],[HARGA/ CTN]]*IF(NOTA[[#This Row],[C]]="",0,NOTA[[#This Row],[C]]))</f>
        <v>11600000</v>
      </c>
      <c r="W65" s="42">
        <f>IF(NOTA[[#This Row],[JUMLAH]]="","",NOTA[[#This Row],[JUMLAH]]*NOTA[[#This Row],[Column6]])</f>
        <v>0</v>
      </c>
      <c r="X65" s="42">
        <f>IF(NOTA[[#This Row],[JUMLAH]]="","",(NOTA[[#This Row],[JUMLAH]]-NOTA[[#This Row],[DISC 1-]])*NOTA[[#This Row],[Column7]])</f>
        <v>0</v>
      </c>
      <c r="Y65" s="42">
        <f>IF(NOTA[[#This Row],[JUMLAH]]="","",(NOTA[[#This Row],[JUMLAH]]-NOTA[[#This Row],[DISC 1-]]-NOTA[[#This Row],[DISC 2-]])*NOTA[[#This Row],[Column8]])</f>
        <v>0</v>
      </c>
      <c r="Z65" s="42">
        <f>IF(NOTA[[#This Row],[JUMLAH]]="","",NOTA[[#This Row],[DISC 1-]]+NOTA[[#This Row],[DISC 2-]]+NOTA[[#This Row],[DISC 3-]])</f>
        <v>0</v>
      </c>
      <c r="AA65" s="42">
        <f>IF(NOTA[[#This Row],[JUMLAH]]="","",NOTA[[#This Row],[JUMLAH]]-NOTA[[#This Row],[DISC]])</f>
        <v>11600000</v>
      </c>
      <c r="AB65" s="42"/>
      <c r="AC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" s="38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65" s="42">
        <f>IF(OR(NOTA[[#This Row],[QTY]]="",NOTA[[#This Row],[HARGA SATUAN]]="",),"",NOTA[[#This Row],[QTY]]*NOTA[[#This Row],[HARGA SATUAN]])</f>
        <v>11600000</v>
      </c>
      <c r="AG65" s="36">
        <f ca="1">IF(NOTA[[#This Row],[ID_H]]="","",INDEX(NOTA[TANGGAL],MATCH(,INDIRECT(ADDRESS(ROW(NOTA[TANGGAL]),COLUMN(NOTA[TANGGAL]))&amp;":"&amp;ADDRESS(ROW(),COLUMN(NOTA[TANGGAL]))),-1)))</f>
        <v>45486</v>
      </c>
      <c r="AH65" s="36">
        <f ca="1">IF(NOTA[[#This Row],[ID_H]]="","",INDEX(NOTA[TGL.NOTA],MATCH(,INDIRECT(ADDRESS(ROW(NOTA[TGL.NOTA]),COLUMN(NOTA[TGL.NOTA]))&amp;":"&amp;ADDRESS(ROW(),COLUMN(NOTA[TGL.NOTA]))),-1)))</f>
        <v>45482</v>
      </c>
      <c r="AI65" s="36" t="str">
        <f ca="1">IF(NOTA[[#This Row],[ID_H]]="","",INDEX(NOTA[NO.NOTA],MATCH(NOTA[[#This Row],[ID_H]],NOTA[ID_H],0)))</f>
        <v>JX7,24</v>
      </c>
      <c r="AJ65" s="38" t="str">
        <f ca="1">IF(NOTA[[#This Row],[NAMA BARANG]]="","",INDEX(NOTA[SUPPLIER],MATCH(,INDIRECT(ADDRESS(ROW(NOTA[ID]),COLUMN(NOTA[ID]))&amp;":"&amp;ADDRESS(ROW(),COLUMN(NOTA[ID]))),-1)))</f>
        <v>ETJ</v>
      </c>
      <c r="AK65" s="38" t="str">
        <f ca="1">IF(NOTA[[#This Row],[ID_H]]="","",IF(NOTA[[#This Row],[FAKTUR]]="",INDIRECT(ADDRESS(ROW()-1,COLUMN())),NOTA[[#This Row],[FAKTUR]]))</f>
        <v>UNTANA</v>
      </c>
      <c r="AL65" s="35" t="str">
        <f ca="1">IF(NOTA[[#This Row],[ID]]="","",COUNTIF(NOTA[ID_H],NOTA[[#This Row],[ID_H]]))</f>
        <v/>
      </c>
      <c r="AM65" s="35">
        <f ca="1">IF(NOTA[[#This Row],[TGL.NOTA]]="",IF(NOTA[[#This Row],[SUPPLIER_H]]="","",AM64),MONTH(NOTA[[#This Row],[TGL.NOTA]]))</f>
        <v>7</v>
      </c>
      <c r="AN65" s="35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O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dust3442900000</v>
      </c>
      <c r="AP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dust3442900000</v>
      </c>
      <c r="AQ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" s="35">
        <f>IF(NOTA[[#This Row],[CONCAT1]]="","",MATCH(NOTA[[#This Row],[CONCAT1]],[3]!db[NB NOTA_C],0))</f>
        <v>923</v>
      </c>
      <c r="AS65" s="35" t="b">
        <f>IF(NOTA[[#This Row],[Column5]]="","",TRUE)</f>
        <v>1</v>
      </c>
      <c r="AT65" s="35" t="str">
        <f ca="1">IF(NOTA[[#This Row],[ID_H]]="","",IF(NOTA[[#This Row],[Column3]]=TRUE,NOTA[[#This Row],[Column5]],INDEX([3]!db[QTY/ CTN],NOTA[[#This Row],[//DB]])))</f>
        <v>500 ROL</v>
      </c>
      <c r="AU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V65" s="35">
        <f ca="1">IF(NOTA[[#This Row],[ID_H]]="","",MATCH(NOTA[[#This Row],[NB NOTA_C_QTY]],[3]!db[NB NOTA_C_QTY+F],0))</f>
        <v>923</v>
      </c>
      <c r="AW65" s="43">
        <f ca="1">IF(NOTA[[#This Row],[NB NOTA_C_QTY]]="","",ROW()-2)</f>
        <v>63</v>
      </c>
    </row>
    <row r="66" spans="1:49" ht="20.100000000000001" customHeight="1">
      <c r="A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5">
        <f ca="1">IF(NOTA[[#This Row],[NAMA BARANG]]="","",INDEX(NOTA[ID],MATCH(,INDIRECT(ADDRESS(ROW(NOTA[ID]),COLUMN(NOTA[ID]))&amp;":"&amp;ADDRESS(ROW(),COLUMN(NOTA[ID]))),-1)))</f>
        <v>19</v>
      </c>
      <c r="C66" s="45"/>
      <c r="F66" s="46"/>
      <c r="G66" s="35"/>
      <c r="H66" s="36"/>
      <c r="I66" s="35"/>
      <c r="J66" s="50" t="s">
        <v>225</v>
      </c>
      <c r="K66" s="37">
        <v>15</v>
      </c>
      <c r="L66" s="35">
        <v>3000</v>
      </c>
      <c r="M66" s="35" t="s">
        <v>50</v>
      </c>
      <c r="N66" s="38">
        <v>8750</v>
      </c>
      <c r="O66" s="39"/>
      <c r="P66" s="47" t="s">
        <v>235</v>
      </c>
      <c r="Q66" s="48"/>
      <c r="R66" s="41"/>
      <c r="T66" s="42"/>
      <c r="U66" s="44"/>
      <c r="V66" s="42">
        <f>IF(NOTA[[#This Row],[HARGA/ CTN]]="",NOTA[[#This Row],[JUMLAH_H]],NOTA[[#This Row],[HARGA/ CTN]]*IF(NOTA[[#This Row],[C]]="",0,NOTA[[#This Row],[C]]))</f>
        <v>26250000</v>
      </c>
      <c r="W66" s="42">
        <f>IF(NOTA[[#This Row],[JUMLAH]]="","",NOTA[[#This Row],[JUMLAH]]*NOTA[[#This Row],[Column6]])</f>
        <v>0</v>
      </c>
      <c r="X66" s="42">
        <f>IF(NOTA[[#This Row],[JUMLAH]]="","",(NOTA[[#This Row],[JUMLAH]]-NOTA[[#This Row],[DISC 1-]])*NOTA[[#This Row],[Column7]])</f>
        <v>0</v>
      </c>
      <c r="Y66" s="42">
        <f>IF(NOTA[[#This Row],[JUMLAH]]="","",(NOTA[[#This Row],[JUMLAH]]-NOTA[[#This Row],[DISC 1-]]-NOTA[[#This Row],[DISC 2-]])*NOTA[[#This Row],[Column8]])</f>
        <v>0</v>
      </c>
      <c r="Z66" s="42">
        <f>IF(NOTA[[#This Row],[JUMLAH]]="","",NOTA[[#This Row],[DISC 1-]]+NOTA[[#This Row],[DISC 2-]]+NOTA[[#This Row],[DISC 3-]])</f>
        <v>0</v>
      </c>
      <c r="AA66" s="42">
        <f>IF(NOTA[[#This Row],[JUMLAH]]="","",NOTA[[#This Row],[JUMLAH]]-NOTA[[#This Row],[DISC]])</f>
        <v>26250000</v>
      </c>
      <c r="AB66" s="42"/>
      <c r="AC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" s="3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66" s="42">
        <f>IF(OR(NOTA[[#This Row],[QTY]]="",NOTA[[#This Row],[HARGA SATUAN]]="",),"",NOTA[[#This Row],[QTY]]*NOTA[[#This Row],[HARGA SATUAN]])</f>
        <v>26250000</v>
      </c>
      <c r="AG66" s="36">
        <f ca="1">IF(NOTA[[#This Row],[ID_H]]="","",INDEX(NOTA[TANGGAL],MATCH(,INDIRECT(ADDRESS(ROW(NOTA[TANGGAL]),COLUMN(NOTA[TANGGAL]))&amp;":"&amp;ADDRESS(ROW(),COLUMN(NOTA[TANGGAL]))),-1)))</f>
        <v>45486</v>
      </c>
      <c r="AH66" s="36">
        <f ca="1">IF(NOTA[[#This Row],[ID_H]]="","",INDEX(NOTA[TGL.NOTA],MATCH(,INDIRECT(ADDRESS(ROW(NOTA[TGL.NOTA]),COLUMN(NOTA[TGL.NOTA]))&amp;":"&amp;ADDRESS(ROW(),COLUMN(NOTA[TGL.NOTA]))),-1)))</f>
        <v>45482</v>
      </c>
      <c r="AI66" s="36" t="str">
        <f ca="1">IF(NOTA[[#This Row],[ID_H]]="","",INDEX(NOTA[NO.NOTA],MATCH(NOTA[[#This Row],[ID_H]],NOTA[ID_H],0)))</f>
        <v>JX7,24</v>
      </c>
      <c r="AJ66" s="38" t="str">
        <f ca="1">IF(NOTA[[#This Row],[NAMA BARANG]]="","",INDEX(NOTA[SUPPLIER],MATCH(,INDIRECT(ADDRESS(ROW(NOTA[ID]),COLUMN(NOTA[ID]))&amp;":"&amp;ADDRESS(ROW(),COLUMN(NOTA[ID]))),-1)))</f>
        <v>ETJ</v>
      </c>
      <c r="AK66" s="38" t="str">
        <f ca="1">IF(NOTA[[#This Row],[ID_H]]="","",IF(NOTA[[#This Row],[FAKTUR]]="",INDIRECT(ADDRESS(ROW()-1,COLUMN())),NOTA[[#This Row],[FAKTUR]]))</f>
        <v>UNTANA</v>
      </c>
      <c r="AL66" s="35" t="str">
        <f ca="1">IF(NOTA[[#This Row],[ID]]="","",COUNTIF(NOTA[ID_H],NOTA[[#This Row],[ID_H]]))</f>
        <v/>
      </c>
      <c r="AM66" s="35">
        <f ca="1">IF(NOTA[[#This Row],[TGL.NOTA]]="",IF(NOTA[[#This Row],[SUPPLIER_H]]="","",AM65),MONTH(NOTA[[#This Row],[TGL.NOTA]]))</f>
        <v>7</v>
      </c>
      <c r="AN66" s="3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O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enter30cm6751750000</v>
      </c>
      <c r="AP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enter30cm6751750000</v>
      </c>
      <c r="AQ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" s="35">
        <f>IF(NOTA[[#This Row],[CONCAT1]]="","",MATCH(NOTA[[#This Row],[CONCAT1]],[3]!db[NB NOTA_C],0))</f>
        <v>933</v>
      </c>
      <c r="AS66" s="35" t="b">
        <f>IF(NOTA[[#This Row],[Column5]]="","",TRUE)</f>
        <v>1</v>
      </c>
      <c r="AT66" s="35" t="str">
        <f ca="1">IF(NOTA[[#This Row],[ID_H]]="","",IF(NOTA[[#This Row],[Column3]]=TRUE,NOTA[[#This Row],[Column5]],INDEX([3]!db[QTY/ CTN],NOTA[[#This Row],[//DB]])))</f>
        <v>200 LSN</v>
      </c>
      <c r="AU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V66" s="35">
        <f ca="1">IF(NOTA[[#This Row],[ID_H]]="","",MATCH(NOTA[[#This Row],[NB NOTA_C_QTY]],[3]!db[NB NOTA_C_QTY+F],0))</f>
        <v>933</v>
      </c>
      <c r="AW66" s="43">
        <f ca="1">IF(NOTA[[#This Row],[NB NOTA_C_QTY]]="","",ROW()-2)</f>
        <v>64</v>
      </c>
    </row>
    <row r="67" spans="1:49" ht="20.100000000000001" customHeight="1">
      <c r="A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5">
        <f ca="1">IF(NOTA[[#This Row],[NAMA BARANG]]="","",INDEX(NOTA[ID],MATCH(,INDIRECT(ADDRESS(ROW(NOTA[ID]),COLUMN(NOTA[ID]))&amp;":"&amp;ADDRESS(ROW(),COLUMN(NOTA[ID]))),-1)))</f>
        <v>19</v>
      </c>
      <c r="C67" s="45"/>
      <c r="F67" s="46"/>
      <c r="G67" s="35"/>
      <c r="H67" s="36"/>
      <c r="I67" s="35"/>
      <c r="J67" s="50" t="s">
        <v>226</v>
      </c>
      <c r="K67" s="37">
        <v>5</v>
      </c>
      <c r="L67" s="35">
        <v>4000</v>
      </c>
      <c r="M67" s="35" t="s">
        <v>145</v>
      </c>
      <c r="N67" s="38">
        <v>2100</v>
      </c>
      <c r="O67" s="39"/>
      <c r="P67" s="47" t="s">
        <v>236</v>
      </c>
      <c r="Q67" s="48"/>
      <c r="R67" s="41"/>
      <c r="T67" s="42"/>
      <c r="U67" s="44"/>
      <c r="V67" s="42">
        <f>IF(NOTA[[#This Row],[HARGA/ CTN]]="",NOTA[[#This Row],[JUMLAH_H]],NOTA[[#This Row],[HARGA/ CTN]]*IF(NOTA[[#This Row],[C]]="",0,NOTA[[#This Row],[C]]))</f>
        <v>8400000</v>
      </c>
      <c r="W67" s="42">
        <f>IF(NOTA[[#This Row],[JUMLAH]]="","",NOTA[[#This Row],[JUMLAH]]*NOTA[[#This Row],[Column6]])</f>
        <v>0</v>
      </c>
      <c r="X67" s="42">
        <f>IF(NOTA[[#This Row],[JUMLAH]]="","",(NOTA[[#This Row],[JUMLAH]]-NOTA[[#This Row],[DISC 1-]])*NOTA[[#This Row],[Column7]])</f>
        <v>0</v>
      </c>
      <c r="Y67" s="42">
        <f>IF(NOTA[[#This Row],[JUMLAH]]="","",(NOTA[[#This Row],[JUMLAH]]-NOTA[[#This Row],[DISC 1-]]-NOTA[[#This Row],[DISC 2-]])*NOTA[[#This Row],[Column8]])</f>
        <v>0</v>
      </c>
      <c r="Z67" s="42">
        <f>IF(NOTA[[#This Row],[JUMLAH]]="","",NOTA[[#This Row],[DISC 1-]]+NOTA[[#This Row],[DISC 2-]]+NOTA[[#This Row],[DISC 3-]])</f>
        <v>0</v>
      </c>
      <c r="AA67" s="42">
        <f>IF(NOTA[[#This Row],[JUMLAH]]="","",NOTA[[#This Row],[JUMLAH]]-NOTA[[#This Row],[DISC]])</f>
        <v>8400000</v>
      </c>
      <c r="AB67" s="42"/>
      <c r="AC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" s="3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67" s="42">
        <f>IF(OR(NOTA[[#This Row],[QTY]]="",NOTA[[#This Row],[HARGA SATUAN]]="",),"",NOTA[[#This Row],[QTY]]*NOTA[[#This Row],[HARGA SATUAN]])</f>
        <v>8400000</v>
      </c>
      <c r="AG67" s="36">
        <f ca="1">IF(NOTA[[#This Row],[ID_H]]="","",INDEX(NOTA[TANGGAL],MATCH(,INDIRECT(ADDRESS(ROW(NOTA[TANGGAL]),COLUMN(NOTA[TANGGAL]))&amp;":"&amp;ADDRESS(ROW(),COLUMN(NOTA[TANGGAL]))),-1)))</f>
        <v>45486</v>
      </c>
      <c r="AH67" s="36">
        <f ca="1">IF(NOTA[[#This Row],[ID_H]]="","",INDEX(NOTA[TGL.NOTA],MATCH(,INDIRECT(ADDRESS(ROW(NOTA[TGL.NOTA]),COLUMN(NOTA[TGL.NOTA]))&amp;":"&amp;ADDRESS(ROW(),COLUMN(NOTA[TGL.NOTA]))),-1)))</f>
        <v>45482</v>
      </c>
      <c r="AI67" s="36" t="str">
        <f ca="1">IF(NOTA[[#This Row],[ID_H]]="","",INDEX(NOTA[NO.NOTA],MATCH(NOTA[[#This Row],[ID_H]],NOTA[ID_H],0)))</f>
        <v>JX7,24</v>
      </c>
      <c r="AJ67" s="38" t="str">
        <f ca="1">IF(NOTA[[#This Row],[NAMA BARANG]]="","",INDEX(NOTA[SUPPLIER],MATCH(,INDIRECT(ADDRESS(ROW(NOTA[ID]),COLUMN(NOTA[ID]))&amp;":"&amp;ADDRESS(ROW(),COLUMN(NOTA[ID]))),-1)))</f>
        <v>ETJ</v>
      </c>
      <c r="AK67" s="38" t="str">
        <f ca="1">IF(NOTA[[#This Row],[ID_H]]="","",IF(NOTA[[#This Row],[FAKTUR]]="",INDIRECT(ADDRESS(ROW()-1,COLUMN())),NOTA[[#This Row],[FAKTUR]]))</f>
        <v>UNTANA</v>
      </c>
      <c r="AL67" s="35" t="str">
        <f ca="1">IF(NOTA[[#This Row],[ID]]="","",COUNTIF(NOTA[ID_H],NOTA[[#This Row],[ID_H]]))</f>
        <v/>
      </c>
      <c r="AM67" s="35">
        <f ca="1">IF(NOTA[[#This Row],[TGL.NOTA]]="",IF(NOTA[[#This Row],[SUPPLIER_H]]="","",AM66),MONTH(NOTA[[#This Row],[TGL.NOTA]]))</f>
        <v>7</v>
      </c>
      <c r="AN67" s="35" t="str">
        <f>LOWER(SUBSTITUTE(SUBSTITUTE(SUBSTITUTE(SUBSTITUTE(SUBSTITUTE(SUBSTITUTE(SUBSTITUTE(SUBSTITUTE(SUBSTITUTE(NOTA[[#This Row],[NAMA BARANG]]," ",),".",""),"-",""),"(",""),")",""),",",""),"/",""),"""",""),"+",""))</f>
        <v>kojikolabel99</v>
      </c>
      <c r="AO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kojikolabel991680000</v>
      </c>
      <c r="AP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kojikolabel991680000</v>
      </c>
      <c r="AQ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" s="35">
        <f>IF(NOTA[[#This Row],[CONCAT1]]="","",MATCH(NOTA[[#This Row],[CONCAT1]],[3]!db[NB NOTA_C],0))</f>
        <v>1901</v>
      </c>
      <c r="AS67" s="35" t="b">
        <f>IF(NOTA[[#This Row],[Column5]]="","",TRUE)</f>
        <v>1</v>
      </c>
      <c r="AT67" s="35" t="str">
        <f ca="1">IF(NOTA[[#This Row],[ID_H]]="","",IF(NOTA[[#This Row],[Column3]]=TRUE,NOTA[[#This Row],[Column5]],INDEX([3]!db[QTY/ CTN],NOTA[[#This Row],[//DB]])))</f>
        <v>800 PAK</v>
      </c>
      <c r="AU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kojikolabel99800pakuntana</v>
      </c>
      <c r="AV67" s="35">
        <f ca="1">IF(NOTA[[#This Row],[ID_H]]="","",MATCH(NOTA[[#This Row],[NB NOTA_C_QTY]],[3]!db[NB NOTA_C_QTY+F],0))</f>
        <v>1901</v>
      </c>
      <c r="AW67" s="43">
        <f ca="1">IF(NOTA[[#This Row],[NB NOTA_C_QTY]]="","",ROW()-2)</f>
        <v>65</v>
      </c>
    </row>
    <row r="68" spans="1:49" ht="20.100000000000001" customHeight="1">
      <c r="A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5">
        <f ca="1">IF(NOTA[[#This Row],[NAMA BARANG]]="","",INDEX(NOTA[ID],MATCH(,INDIRECT(ADDRESS(ROW(NOTA[ID]),COLUMN(NOTA[ID]))&amp;":"&amp;ADDRESS(ROW(),COLUMN(NOTA[ID]))),-1)))</f>
        <v>19</v>
      </c>
      <c r="C68" s="45"/>
      <c r="F68" s="46"/>
      <c r="G68" s="35"/>
      <c r="H68" s="36"/>
      <c r="I68" s="35"/>
      <c r="J68" s="51" t="s">
        <v>228</v>
      </c>
      <c r="K68" s="37">
        <v>1</v>
      </c>
      <c r="L68" s="35">
        <v>200</v>
      </c>
      <c r="M68" s="35" t="s">
        <v>50</v>
      </c>
      <c r="N68" s="38">
        <v>12000</v>
      </c>
      <c r="O68" s="39"/>
      <c r="P68" s="47" t="s">
        <v>235</v>
      </c>
      <c r="Q68" s="48"/>
      <c r="R68" s="41"/>
      <c r="T68" s="42"/>
      <c r="U68" s="44"/>
      <c r="V68" s="42">
        <f>IF(NOTA[[#This Row],[HARGA/ CTN]]="",NOTA[[#This Row],[JUMLAH_H]],NOTA[[#This Row],[HARGA/ CTN]]*IF(NOTA[[#This Row],[C]]="",0,NOTA[[#This Row],[C]]))</f>
        <v>2400000</v>
      </c>
      <c r="W68" s="42">
        <f>IF(NOTA[[#This Row],[JUMLAH]]="","",NOTA[[#This Row],[JUMLAH]]*NOTA[[#This Row],[Column6]])</f>
        <v>0</v>
      </c>
      <c r="X68" s="42">
        <f>IF(NOTA[[#This Row],[JUMLAH]]="","",(NOTA[[#This Row],[JUMLAH]]-NOTA[[#This Row],[DISC 1-]])*NOTA[[#This Row],[Column7]])</f>
        <v>0</v>
      </c>
      <c r="Y68" s="42">
        <f>IF(NOTA[[#This Row],[JUMLAH]]="","",(NOTA[[#This Row],[JUMLAH]]-NOTA[[#This Row],[DISC 1-]]-NOTA[[#This Row],[DISC 2-]])*NOTA[[#This Row],[Column8]])</f>
        <v>0</v>
      </c>
      <c r="Z68" s="42">
        <f>IF(NOTA[[#This Row],[JUMLAH]]="","",NOTA[[#This Row],[DISC 1-]]+NOTA[[#This Row],[DISC 2-]]+NOTA[[#This Row],[DISC 3-]])</f>
        <v>0</v>
      </c>
      <c r="AA68" s="42">
        <f>IF(NOTA[[#This Row],[JUMLAH]]="","",NOTA[[#This Row],[JUMLAH]]-NOTA[[#This Row],[DISC]])</f>
        <v>2400000</v>
      </c>
      <c r="AB68" s="42"/>
      <c r="AC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8" s="42">
        <f>IF(OR(NOTA[[#This Row],[QTY]]="",NOTA[[#This Row],[HARGA SATUAN]]="",),"",NOTA[[#This Row],[QTY]]*NOTA[[#This Row],[HARGA SATUAN]])</f>
        <v>2400000</v>
      </c>
      <c r="AG68" s="36">
        <f ca="1">IF(NOTA[[#This Row],[ID_H]]="","",INDEX(NOTA[TANGGAL],MATCH(,INDIRECT(ADDRESS(ROW(NOTA[TANGGAL]),COLUMN(NOTA[TANGGAL]))&amp;":"&amp;ADDRESS(ROW(),COLUMN(NOTA[TANGGAL]))),-1)))</f>
        <v>45486</v>
      </c>
      <c r="AH68" s="36">
        <f ca="1">IF(NOTA[[#This Row],[ID_H]]="","",INDEX(NOTA[TGL.NOTA],MATCH(,INDIRECT(ADDRESS(ROW(NOTA[TGL.NOTA]),COLUMN(NOTA[TGL.NOTA]))&amp;":"&amp;ADDRESS(ROW(),COLUMN(NOTA[TGL.NOTA]))),-1)))</f>
        <v>45482</v>
      </c>
      <c r="AI68" s="36" t="str">
        <f ca="1">IF(NOTA[[#This Row],[ID_H]]="","",INDEX(NOTA[NO.NOTA],MATCH(NOTA[[#This Row],[ID_H]],NOTA[ID_H],0)))</f>
        <v>JX7,24</v>
      </c>
      <c r="AJ68" s="38" t="str">
        <f ca="1">IF(NOTA[[#This Row],[NAMA BARANG]]="","",INDEX(NOTA[SUPPLIER],MATCH(,INDIRECT(ADDRESS(ROW(NOTA[ID]),COLUMN(NOTA[ID]))&amp;":"&amp;ADDRESS(ROW(),COLUMN(NOTA[ID]))),-1)))</f>
        <v>ETJ</v>
      </c>
      <c r="AK68" s="38" t="str">
        <f ca="1">IF(NOTA[[#This Row],[ID_H]]="","",IF(NOTA[[#This Row],[FAKTUR]]="",INDIRECT(ADDRESS(ROW()-1,COLUMN())),NOTA[[#This Row],[FAKTUR]]))</f>
        <v>UNTANA</v>
      </c>
      <c r="AL68" s="35" t="str">
        <f ca="1">IF(NOTA[[#This Row],[ID]]="","",COUNTIF(NOTA[ID_H],NOTA[[#This Row],[ID_H]]))</f>
        <v/>
      </c>
      <c r="AM68" s="35">
        <f ca="1">IF(NOTA[[#This Row],[TGL.NOTA]]="",IF(NOTA[[#This Row],[SUPPLIER_H]]="","",AM67),MONTH(NOTA[[#This Row],[TGL.NOTA]]))</f>
        <v>7</v>
      </c>
      <c r="AN68" s="35" t="str">
        <f>LOWER(SUBSTITUTE(SUBSTITUTE(SUBSTITUTE(SUBSTITUTE(SUBSTITUTE(SUBSTITUTE(SUBSTITUTE(SUBSTITUTE(SUBSTITUTE(NOTA[[#This Row],[NAMA BARANG]]," ",),".",""),"-",""),"(",""),")",""),",",""),"/",""),"""",""),"+",""))</f>
        <v>enterbusurno110</v>
      </c>
      <c r="AO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enterbusurno1102400000</v>
      </c>
      <c r="AP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enterbusurno1102400000</v>
      </c>
      <c r="AQ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" s="35">
        <f>IF(NOTA[[#This Row],[CONCAT1]]="","",MATCH(NOTA[[#This Row],[CONCAT1]],[3]!db[NB NOTA_C],0))</f>
        <v>3461</v>
      </c>
      <c r="AS68" s="35" t="b">
        <f>IF(NOTA[[#This Row],[Column5]]="","",TRUE)</f>
        <v>1</v>
      </c>
      <c r="AT68" s="35" t="str">
        <f ca="1">IF(NOTA[[#This Row],[ID_H]]="","",IF(NOTA[[#This Row],[Column3]]=TRUE,NOTA[[#This Row],[Column5]],INDEX([3]!db[QTY/ CTN],NOTA[[#This Row],[//DB]])))</f>
        <v>200 LSN</v>
      </c>
      <c r="AU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enterbusurno110200lsnuntana</v>
      </c>
      <c r="AV68" s="35">
        <f ca="1">IF(NOTA[[#This Row],[ID_H]]="","",MATCH(NOTA[[#This Row],[NB NOTA_C_QTY]],[3]!db[NB NOTA_C_QTY+F],0))</f>
        <v>3461</v>
      </c>
      <c r="AW68" s="43">
        <f ca="1">IF(NOTA[[#This Row],[NB NOTA_C_QTY]]="","",ROW()-2)</f>
        <v>66</v>
      </c>
    </row>
    <row r="69" spans="1:49" ht="20.100000000000001" customHeight="1">
      <c r="A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5">
        <f ca="1">IF(NOTA[[#This Row],[NAMA BARANG]]="","",INDEX(NOTA[ID],MATCH(,INDIRECT(ADDRESS(ROW(NOTA[ID]),COLUMN(NOTA[ID]))&amp;":"&amp;ADDRESS(ROW(),COLUMN(NOTA[ID]))),-1)))</f>
        <v>19</v>
      </c>
      <c r="C69" s="45"/>
      <c r="F69" s="46"/>
      <c r="G69" s="35"/>
      <c r="H69" s="36"/>
      <c r="I69" s="35"/>
      <c r="J69" s="51" t="s">
        <v>227</v>
      </c>
      <c r="K69" s="37">
        <v>2</v>
      </c>
      <c r="L69" s="35">
        <v>400</v>
      </c>
      <c r="M69" s="35" t="s">
        <v>50</v>
      </c>
      <c r="N69" s="38">
        <v>15500</v>
      </c>
      <c r="O69" s="39"/>
      <c r="P69" s="47" t="s">
        <v>235</v>
      </c>
      <c r="Q69" s="48"/>
      <c r="R69" s="41"/>
      <c r="T69" s="42"/>
      <c r="U69" s="44"/>
      <c r="V69" s="42">
        <f>IF(NOTA[[#This Row],[HARGA/ CTN]]="",NOTA[[#This Row],[JUMLAH_H]],NOTA[[#This Row],[HARGA/ CTN]]*IF(NOTA[[#This Row],[C]]="",0,NOTA[[#This Row],[C]]))</f>
        <v>6200000</v>
      </c>
      <c r="W69" s="42">
        <f>IF(NOTA[[#This Row],[JUMLAH]]="","",NOTA[[#This Row],[JUMLAH]]*NOTA[[#This Row],[Column6]])</f>
        <v>0</v>
      </c>
      <c r="X69" s="42">
        <f>IF(NOTA[[#This Row],[JUMLAH]]="","",(NOTA[[#This Row],[JUMLAH]]-NOTA[[#This Row],[DISC 1-]])*NOTA[[#This Row],[Column7]])</f>
        <v>0</v>
      </c>
      <c r="Y69" s="42">
        <f>IF(NOTA[[#This Row],[JUMLAH]]="","",(NOTA[[#This Row],[JUMLAH]]-NOTA[[#This Row],[DISC 1-]]-NOTA[[#This Row],[DISC 2-]])*NOTA[[#This Row],[Column8]])</f>
        <v>0</v>
      </c>
      <c r="Z69" s="42">
        <f>IF(NOTA[[#This Row],[JUMLAH]]="","",NOTA[[#This Row],[DISC 1-]]+NOTA[[#This Row],[DISC 2-]]+NOTA[[#This Row],[DISC 3-]])</f>
        <v>0</v>
      </c>
      <c r="AA69" s="42">
        <f>IF(NOTA[[#This Row],[JUMLAH]]="","",NOTA[[#This Row],[JUMLAH]]-NOTA[[#This Row],[DISC]])</f>
        <v>6200000</v>
      </c>
      <c r="AB69" s="42"/>
      <c r="AC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" s="3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F69" s="42">
        <f>IF(OR(NOTA[[#This Row],[QTY]]="",NOTA[[#This Row],[HARGA SATUAN]]="",),"",NOTA[[#This Row],[QTY]]*NOTA[[#This Row],[HARGA SATUAN]])</f>
        <v>6200000</v>
      </c>
      <c r="AG69" s="36">
        <f ca="1">IF(NOTA[[#This Row],[ID_H]]="","",INDEX(NOTA[TANGGAL],MATCH(,INDIRECT(ADDRESS(ROW(NOTA[TANGGAL]),COLUMN(NOTA[TANGGAL]))&amp;":"&amp;ADDRESS(ROW(),COLUMN(NOTA[TANGGAL]))),-1)))</f>
        <v>45486</v>
      </c>
      <c r="AH69" s="36">
        <f ca="1">IF(NOTA[[#This Row],[ID_H]]="","",INDEX(NOTA[TGL.NOTA],MATCH(,INDIRECT(ADDRESS(ROW(NOTA[TGL.NOTA]),COLUMN(NOTA[TGL.NOTA]))&amp;":"&amp;ADDRESS(ROW(),COLUMN(NOTA[TGL.NOTA]))),-1)))</f>
        <v>45482</v>
      </c>
      <c r="AI69" s="36" t="str">
        <f ca="1">IF(NOTA[[#This Row],[ID_H]]="","",INDEX(NOTA[NO.NOTA],MATCH(NOTA[[#This Row],[ID_H]],NOTA[ID_H],0)))</f>
        <v>JX7,24</v>
      </c>
      <c r="AJ69" s="38" t="str">
        <f ca="1">IF(NOTA[[#This Row],[NAMA BARANG]]="","",INDEX(NOTA[SUPPLIER],MATCH(,INDIRECT(ADDRESS(ROW(NOTA[ID]),COLUMN(NOTA[ID]))&amp;":"&amp;ADDRESS(ROW(),COLUMN(NOTA[ID]))),-1)))</f>
        <v>ETJ</v>
      </c>
      <c r="AK69" s="38" t="str">
        <f ca="1">IF(NOTA[[#This Row],[ID_H]]="","",IF(NOTA[[#This Row],[FAKTUR]]="",INDIRECT(ADDRESS(ROW()-1,COLUMN())),NOTA[[#This Row],[FAKTUR]]))</f>
        <v>UNTANA</v>
      </c>
      <c r="AL69" s="35" t="str">
        <f ca="1">IF(NOTA[[#This Row],[ID]]="","",COUNTIF(NOTA[ID_H],NOTA[[#This Row],[ID_H]]))</f>
        <v/>
      </c>
      <c r="AM69" s="35">
        <f ca="1">IF(NOTA[[#This Row],[TGL.NOTA]]="",IF(NOTA[[#This Row],[SUPPLIER_H]]="","",AM68),MONTH(NOTA[[#This Row],[TGL.NOTA]]))</f>
        <v>7</v>
      </c>
      <c r="AN69" s="35" t="str">
        <f>LOWER(SUBSTITUTE(SUBSTITUTE(SUBSTITUTE(SUBSTITUTE(SUBSTITUTE(SUBSTITUTE(SUBSTITUTE(SUBSTITUTE(SUBSTITUTE(NOTA[[#This Row],[NAMA BARANG]]," ",),".",""),"-",""),"(",""),")",""),",",""),"/",""),"""",""),"+",""))</f>
        <v>enterbusurno120</v>
      </c>
      <c r="AO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enterbusurno1203100000</v>
      </c>
      <c r="AP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enterbusurno1203100000</v>
      </c>
      <c r="AQ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" s="35">
        <f>IF(NOTA[[#This Row],[CONCAT1]]="","",MATCH(NOTA[[#This Row],[CONCAT1]],[3]!db[NB NOTA_C],0))</f>
        <v>3442</v>
      </c>
      <c r="AS69" s="35" t="b">
        <f>IF(NOTA[[#This Row],[Column5]]="","",TRUE)</f>
        <v>1</v>
      </c>
      <c r="AT69" s="35" t="str">
        <f ca="1">IF(NOTA[[#This Row],[ID_H]]="","",IF(NOTA[[#This Row],[Column3]]=TRUE,NOTA[[#This Row],[Column5]],INDEX([3]!db[QTY/ CTN],NOTA[[#This Row],[//DB]])))</f>
        <v>200 LSN</v>
      </c>
      <c r="AU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enterbusurno120200lsnuntana</v>
      </c>
      <c r="AV69" s="35">
        <f ca="1">IF(NOTA[[#This Row],[ID_H]]="","",MATCH(NOTA[[#This Row],[NB NOTA_C_QTY]],[3]!db[NB NOTA_C_QTY+F],0))</f>
        <v>3442</v>
      </c>
      <c r="AW69" s="43">
        <f ca="1">IF(NOTA[[#This Row],[NB NOTA_C_QTY]]="","",ROW()-2)</f>
        <v>67</v>
      </c>
    </row>
    <row r="70" spans="1:49" ht="20.100000000000001" customHeight="1">
      <c r="A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5">
        <f ca="1">IF(NOTA[[#This Row],[NAMA BARANG]]="","",INDEX(NOTA[ID],MATCH(,INDIRECT(ADDRESS(ROW(NOTA[ID]),COLUMN(NOTA[ID]))&amp;":"&amp;ADDRESS(ROW(),COLUMN(NOTA[ID]))),-1)))</f>
        <v>19</v>
      </c>
      <c r="C70" s="45"/>
      <c r="F70" s="46"/>
      <c r="G70" s="35"/>
      <c r="H70" s="36"/>
      <c r="I70" s="35"/>
      <c r="J70" s="51" t="s">
        <v>229</v>
      </c>
      <c r="K70" s="37">
        <v>2</v>
      </c>
      <c r="L70" s="35">
        <v>50</v>
      </c>
      <c r="M70" s="35" t="s">
        <v>50</v>
      </c>
      <c r="N70" s="38">
        <v>55000</v>
      </c>
      <c r="O70" s="39"/>
      <c r="P70" s="47" t="s">
        <v>237</v>
      </c>
      <c r="Q70" s="48"/>
      <c r="R70" s="41"/>
      <c r="T70" s="42"/>
      <c r="U70" s="44"/>
      <c r="V70" s="42">
        <f>IF(NOTA[[#This Row],[HARGA/ CTN]]="",NOTA[[#This Row],[JUMLAH_H]],NOTA[[#This Row],[HARGA/ CTN]]*IF(NOTA[[#This Row],[C]]="",0,NOTA[[#This Row],[C]]))</f>
        <v>2750000</v>
      </c>
      <c r="W70" s="42">
        <f>IF(NOTA[[#This Row],[JUMLAH]]="","",NOTA[[#This Row],[JUMLAH]]*NOTA[[#This Row],[Column6]])</f>
        <v>0</v>
      </c>
      <c r="X70" s="42">
        <f>IF(NOTA[[#This Row],[JUMLAH]]="","",(NOTA[[#This Row],[JUMLAH]]-NOTA[[#This Row],[DISC 1-]])*NOTA[[#This Row],[Column7]])</f>
        <v>0</v>
      </c>
      <c r="Y70" s="42">
        <f>IF(NOTA[[#This Row],[JUMLAH]]="","",(NOTA[[#This Row],[JUMLAH]]-NOTA[[#This Row],[DISC 1-]]-NOTA[[#This Row],[DISC 2-]])*NOTA[[#This Row],[Column8]])</f>
        <v>0</v>
      </c>
      <c r="Z70" s="42">
        <f>IF(NOTA[[#This Row],[JUMLAH]]="","",NOTA[[#This Row],[DISC 1-]]+NOTA[[#This Row],[DISC 2-]]+NOTA[[#This Row],[DISC 3-]])</f>
        <v>0</v>
      </c>
      <c r="AA70" s="42">
        <f>IF(NOTA[[#This Row],[JUMLAH]]="","",NOTA[[#This Row],[JUMLAH]]-NOTA[[#This Row],[DISC]])</f>
        <v>2750000</v>
      </c>
      <c r="AB70" s="42"/>
      <c r="AC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" s="3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70" s="42">
        <f>IF(OR(NOTA[[#This Row],[QTY]]="",NOTA[[#This Row],[HARGA SATUAN]]="",),"",NOTA[[#This Row],[QTY]]*NOTA[[#This Row],[HARGA SATUAN]])</f>
        <v>2750000</v>
      </c>
      <c r="AG70" s="36">
        <f ca="1">IF(NOTA[[#This Row],[ID_H]]="","",INDEX(NOTA[TANGGAL],MATCH(,INDIRECT(ADDRESS(ROW(NOTA[TANGGAL]),COLUMN(NOTA[TANGGAL]))&amp;":"&amp;ADDRESS(ROW(),COLUMN(NOTA[TANGGAL]))),-1)))</f>
        <v>45486</v>
      </c>
      <c r="AH70" s="36">
        <f ca="1">IF(NOTA[[#This Row],[ID_H]]="","",INDEX(NOTA[TGL.NOTA],MATCH(,INDIRECT(ADDRESS(ROW(NOTA[TGL.NOTA]),COLUMN(NOTA[TGL.NOTA]))&amp;":"&amp;ADDRESS(ROW(),COLUMN(NOTA[TGL.NOTA]))),-1)))</f>
        <v>45482</v>
      </c>
      <c r="AI70" s="36" t="str">
        <f ca="1">IF(NOTA[[#This Row],[ID_H]]="","",INDEX(NOTA[NO.NOTA],MATCH(NOTA[[#This Row],[ID_H]],NOTA[ID_H],0)))</f>
        <v>JX7,24</v>
      </c>
      <c r="AJ70" s="38" t="str">
        <f ca="1">IF(NOTA[[#This Row],[NAMA BARANG]]="","",INDEX(NOTA[SUPPLIER],MATCH(,INDIRECT(ADDRESS(ROW(NOTA[ID]),COLUMN(NOTA[ID]))&amp;":"&amp;ADDRESS(ROW(),COLUMN(NOTA[ID]))),-1)))</f>
        <v>ETJ</v>
      </c>
      <c r="AK70" s="38" t="str">
        <f ca="1">IF(NOTA[[#This Row],[ID_H]]="","",IF(NOTA[[#This Row],[FAKTUR]]="",INDIRECT(ADDRESS(ROW()-1,COLUMN())),NOTA[[#This Row],[FAKTUR]]))</f>
        <v>UNTANA</v>
      </c>
      <c r="AL70" s="35" t="str">
        <f ca="1">IF(NOTA[[#This Row],[ID]]="","",COUNTIF(NOTA[ID_H],NOTA[[#This Row],[ID_H]]))</f>
        <v/>
      </c>
      <c r="AM70" s="35">
        <f ca="1">IF(NOTA[[#This Row],[TGL.NOTA]]="",IF(NOTA[[#This Row],[SUPPLIER_H]]="","",AM69),MONTH(NOTA[[#This Row],[TGL.NOTA]]))</f>
        <v>7</v>
      </c>
      <c r="AN70" s="35" t="str">
        <f>LOWER(SUBSTITUTE(SUBSTITUTE(SUBSTITUTE(SUBSTITUTE(SUBSTITUTE(SUBSTITUTE(SUBSTITUTE(SUBSTITUTE(SUBSTITUTE(NOTA[[#This Row],[NAMA BARANG]]," ",),".",""),"-",""),"(",""),")",""),",",""),"/",""),"""",""),"+",""))</f>
        <v>entergb40cmtbl</v>
      </c>
      <c r="AO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entergb40cmtbl1375000</v>
      </c>
      <c r="AP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entergb40cmtbl1375000</v>
      </c>
      <c r="AQ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" s="35">
        <f>IF(NOTA[[#This Row],[CONCAT1]]="","",MATCH(NOTA[[#This Row],[CONCAT1]],[3]!db[NB NOTA_C],0))</f>
        <v>3444</v>
      </c>
      <c r="AS70" s="35" t="b">
        <f>IF(NOTA[[#This Row],[Column5]]="","",TRUE)</f>
        <v>1</v>
      </c>
      <c r="AT70" s="35" t="str">
        <f ca="1">IF(NOTA[[#This Row],[ID_H]]="","",IF(NOTA[[#This Row],[Column3]]=TRUE,NOTA[[#This Row],[Column5]],INDEX([3]!db[QTY/ CTN],NOTA[[#This Row],[//DB]])))</f>
        <v>25 LSN</v>
      </c>
      <c r="AU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entergb40cmtbl25lsnuntana</v>
      </c>
      <c r="AV70" s="35">
        <f ca="1">IF(NOTA[[#This Row],[ID_H]]="","",MATCH(NOTA[[#This Row],[NB NOTA_C_QTY]],[3]!db[NB NOTA_C_QTY+F],0))</f>
        <v>3444</v>
      </c>
      <c r="AW70" s="43">
        <f ca="1">IF(NOTA[[#This Row],[NB NOTA_C_QTY]]="","",ROW()-2)</f>
        <v>68</v>
      </c>
    </row>
    <row r="71" spans="1:49" ht="20.100000000000001" customHeight="1">
      <c r="A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5">
        <f ca="1">IF(NOTA[[#This Row],[NAMA BARANG]]="","",INDEX(NOTA[ID],MATCH(,INDIRECT(ADDRESS(ROW(NOTA[ID]),COLUMN(NOTA[ID]))&amp;":"&amp;ADDRESS(ROW(),COLUMN(NOTA[ID]))),-1)))</f>
        <v>19</v>
      </c>
      <c r="C71" s="45"/>
      <c r="F71" s="46"/>
      <c r="G71" s="35"/>
      <c r="H71" s="36"/>
      <c r="I71" s="35"/>
      <c r="J71" s="51" t="s">
        <v>230</v>
      </c>
      <c r="K71" s="37">
        <v>2</v>
      </c>
      <c r="L71" s="35">
        <v>50</v>
      </c>
      <c r="M71" s="35" t="s">
        <v>50</v>
      </c>
      <c r="N71" s="38">
        <v>65000</v>
      </c>
      <c r="O71" s="39"/>
      <c r="P71" s="47" t="s">
        <v>237</v>
      </c>
      <c r="Q71" s="48"/>
      <c r="R71" s="41"/>
      <c r="T71" s="42"/>
      <c r="U71" s="44"/>
      <c r="V71" s="42">
        <f>IF(NOTA[[#This Row],[HARGA/ CTN]]="",NOTA[[#This Row],[JUMLAH_H]],NOTA[[#This Row],[HARGA/ CTN]]*IF(NOTA[[#This Row],[C]]="",0,NOTA[[#This Row],[C]]))</f>
        <v>3250000</v>
      </c>
      <c r="W71" s="42">
        <f>IF(NOTA[[#This Row],[JUMLAH]]="","",NOTA[[#This Row],[JUMLAH]]*NOTA[[#This Row],[Column6]])</f>
        <v>0</v>
      </c>
      <c r="X71" s="42">
        <f>IF(NOTA[[#This Row],[JUMLAH]]="","",(NOTA[[#This Row],[JUMLAH]]-NOTA[[#This Row],[DISC 1-]])*NOTA[[#This Row],[Column7]])</f>
        <v>0</v>
      </c>
      <c r="Y71" s="42">
        <f>IF(NOTA[[#This Row],[JUMLAH]]="","",(NOTA[[#This Row],[JUMLAH]]-NOTA[[#This Row],[DISC 1-]]-NOTA[[#This Row],[DISC 2-]])*NOTA[[#This Row],[Column8]])</f>
        <v>0</v>
      </c>
      <c r="Z71" s="42">
        <f>IF(NOTA[[#This Row],[JUMLAH]]="","",NOTA[[#This Row],[DISC 1-]]+NOTA[[#This Row],[DISC 2-]]+NOTA[[#This Row],[DISC 3-]])</f>
        <v>0</v>
      </c>
      <c r="AA71" s="42">
        <f>IF(NOTA[[#This Row],[JUMLAH]]="","",NOTA[[#This Row],[JUMLAH]]-NOTA[[#This Row],[DISC]])</f>
        <v>3250000</v>
      </c>
      <c r="AB71" s="42"/>
      <c r="AC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" s="38">
        <f>IF(NOTA[[#This Row],[NAMA BARANG]]="","",IF(NOTA[[#This Row],[JUMLAH_H]]="",NOTA[[#This Row],[HARGA/ CTN]],NOTA[[#This Row],[QTY]]*NOTA[[#This Row],[HARGA SATUAN]]/IF(ISNUMBER(NOTA[[#This Row],[C]]),NOTA[[#This Row],[C]],1)))</f>
        <v>1625000</v>
      </c>
      <c r="AF71" s="42">
        <f>IF(OR(NOTA[[#This Row],[QTY]]="",NOTA[[#This Row],[HARGA SATUAN]]="",),"",NOTA[[#This Row],[QTY]]*NOTA[[#This Row],[HARGA SATUAN]])</f>
        <v>3250000</v>
      </c>
      <c r="AG71" s="36">
        <f ca="1">IF(NOTA[[#This Row],[ID_H]]="","",INDEX(NOTA[TANGGAL],MATCH(,INDIRECT(ADDRESS(ROW(NOTA[TANGGAL]),COLUMN(NOTA[TANGGAL]))&amp;":"&amp;ADDRESS(ROW(),COLUMN(NOTA[TANGGAL]))),-1)))</f>
        <v>45486</v>
      </c>
      <c r="AH71" s="36">
        <f ca="1">IF(NOTA[[#This Row],[ID_H]]="","",INDEX(NOTA[TGL.NOTA],MATCH(,INDIRECT(ADDRESS(ROW(NOTA[TGL.NOTA]),COLUMN(NOTA[TGL.NOTA]))&amp;":"&amp;ADDRESS(ROW(),COLUMN(NOTA[TGL.NOTA]))),-1)))</f>
        <v>45482</v>
      </c>
      <c r="AI71" s="36" t="str">
        <f ca="1">IF(NOTA[[#This Row],[ID_H]]="","",INDEX(NOTA[NO.NOTA],MATCH(NOTA[[#This Row],[ID_H]],NOTA[ID_H],0)))</f>
        <v>JX7,24</v>
      </c>
      <c r="AJ71" s="38" t="str">
        <f ca="1">IF(NOTA[[#This Row],[NAMA BARANG]]="","",INDEX(NOTA[SUPPLIER],MATCH(,INDIRECT(ADDRESS(ROW(NOTA[ID]),COLUMN(NOTA[ID]))&amp;":"&amp;ADDRESS(ROW(),COLUMN(NOTA[ID]))),-1)))</f>
        <v>ETJ</v>
      </c>
      <c r="AK71" s="38" t="str">
        <f ca="1">IF(NOTA[[#This Row],[ID_H]]="","",IF(NOTA[[#This Row],[FAKTUR]]="",INDIRECT(ADDRESS(ROW()-1,COLUMN())),NOTA[[#This Row],[FAKTUR]]))</f>
        <v>UNTANA</v>
      </c>
      <c r="AL71" s="35" t="str">
        <f ca="1">IF(NOTA[[#This Row],[ID]]="","",COUNTIF(NOTA[ID_H],NOTA[[#This Row],[ID_H]]))</f>
        <v/>
      </c>
      <c r="AM71" s="35">
        <f ca="1">IF(NOTA[[#This Row],[TGL.NOTA]]="",IF(NOTA[[#This Row],[SUPPLIER_H]]="","",AM70),MONTH(NOTA[[#This Row],[TGL.NOTA]]))</f>
        <v>7</v>
      </c>
      <c r="AN71" s="35" t="str">
        <f>LOWER(SUBSTITUTE(SUBSTITUTE(SUBSTITUTE(SUBSTITUTE(SUBSTITUTE(SUBSTITUTE(SUBSTITUTE(SUBSTITUTE(SUBSTITUTE(NOTA[[#This Row],[NAMA BARANG]]," ",),".",""),"-",""),"(",""),")",""),",",""),"/",""),"""",""),"+",""))</f>
        <v>entergb50cmtbl</v>
      </c>
      <c r="AO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entergb50cmtbl1625000</v>
      </c>
      <c r="AP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entergb50cmtbl1625000</v>
      </c>
      <c r="AQ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" s="35">
        <f>IF(NOTA[[#This Row],[CONCAT1]]="","",MATCH(NOTA[[#This Row],[CONCAT1]],[3]!db[NB NOTA_C],0))</f>
        <v>3445</v>
      </c>
      <c r="AS71" s="35" t="b">
        <f>IF(NOTA[[#This Row],[Column5]]="","",TRUE)</f>
        <v>1</v>
      </c>
      <c r="AT71" s="35" t="str">
        <f ca="1">IF(NOTA[[#This Row],[ID_H]]="","",IF(NOTA[[#This Row],[Column3]]=TRUE,NOTA[[#This Row],[Column5]],INDEX([3]!db[QTY/ CTN],NOTA[[#This Row],[//DB]])))</f>
        <v>25 LSN</v>
      </c>
      <c r="AU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entergb50cmtbl25lsnuntana</v>
      </c>
      <c r="AV71" s="35">
        <f ca="1">IF(NOTA[[#This Row],[ID_H]]="","",MATCH(NOTA[[#This Row],[NB NOTA_C_QTY]],[3]!db[NB NOTA_C_QTY+F],0))</f>
        <v>3445</v>
      </c>
      <c r="AW71" s="43">
        <f ca="1">IF(NOTA[[#This Row],[NB NOTA_C_QTY]]="","",ROW()-2)</f>
        <v>69</v>
      </c>
    </row>
    <row r="72" spans="1:49" ht="20.100000000000001" customHeight="1">
      <c r="A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5">
        <f ca="1">IF(NOTA[[#This Row],[NAMA BARANG]]="","",INDEX(NOTA[ID],MATCH(,INDIRECT(ADDRESS(ROW(NOTA[ID]),COLUMN(NOTA[ID]))&amp;":"&amp;ADDRESS(ROW(),COLUMN(NOTA[ID]))),-1)))</f>
        <v>19</v>
      </c>
      <c r="C72" s="45"/>
      <c r="F72" s="46"/>
      <c r="G72" s="35"/>
      <c r="H72" s="36"/>
      <c r="I72" s="35"/>
      <c r="J72" s="51" t="s">
        <v>231</v>
      </c>
      <c r="K72" s="37">
        <v>2</v>
      </c>
      <c r="L72" s="35">
        <v>50</v>
      </c>
      <c r="M72" s="35" t="s">
        <v>50</v>
      </c>
      <c r="N72" s="38">
        <v>75000</v>
      </c>
      <c r="O72" s="39"/>
      <c r="P72" s="47" t="s">
        <v>237</v>
      </c>
      <c r="Q72" s="48"/>
      <c r="R72" s="41"/>
      <c r="T72" s="42"/>
      <c r="U72" s="44"/>
      <c r="V72" s="42">
        <f>IF(NOTA[[#This Row],[HARGA/ CTN]]="",NOTA[[#This Row],[JUMLAH_H]],NOTA[[#This Row],[HARGA/ CTN]]*IF(NOTA[[#This Row],[C]]="",0,NOTA[[#This Row],[C]]))</f>
        <v>3750000</v>
      </c>
      <c r="W72" s="42">
        <f>IF(NOTA[[#This Row],[JUMLAH]]="","",NOTA[[#This Row],[JUMLAH]]*NOTA[[#This Row],[Column6]])</f>
        <v>0</v>
      </c>
      <c r="X72" s="42">
        <f>IF(NOTA[[#This Row],[JUMLAH]]="","",(NOTA[[#This Row],[JUMLAH]]-NOTA[[#This Row],[DISC 1-]])*NOTA[[#This Row],[Column7]])</f>
        <v>0</v>
      </c>
      <c r="Y72" s="42">
        <f>IF(NOTA[[#This Row],[JUMLAH]]="","",(NOTA[[#This Row],[JUMLAH]]-NOTA[[#This Row],[DISC 1-]]-NOTA[[#This Row],[DISC 2-]])*NOTA[[#This Row],[Column8]])</f>
        <v>0</v>
      </c>
      <c r="Z72" s="42">
        <f>IF(NOTA[[#This Row],[JUMLAH]]="","",NOTA[[#This Row],[DISC 1-]]+NOTA[[#This Row],[DISC 2-]]+NOTA[[#This Row],[DISC 3-]])</f>
        <v>0</v>
      </c>
      <c r="AA72" s="42">
        <f>IF(NOTA[[#This Row],[JUMLAH]]="","",NOTA[[#This Row],[JUMLAH]]-NOTA[[#This Row],[DISC]])</f>
        <v>3750000</v>
      </c>
      <c r="AB72" s="42"/>
      <c r="AC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" s="38">
        <f>IF(NOTA[[#This Row],[NAMA BARANG]]="","",IF(NOTA[[#This Row],[JUMLAH_H]]="",NOTA[[#This Row],[HARGA/ CTN]],NOTA[[#This Row],[QTY]]*NOTA[[#This Row],[HARGA SATUAN]]/IF(ISNUMBER(NOTA[[#This Row],[C]]),NOTA[[#This Row],[C]],1)))</f>
        <v>1875000</v>
      </c>
      <c r="AF72" s="42">
        <f>IF(OR(NOTA[[#This Row],[QTY]]="",NOTA[[#This Row],[HARGA SATUAN]]="",),"",NOTA[[#This Row],[QTY]]*NOTA[[#This Row],[HARGA SATUAN]])</f>
        <v>3750000</v>
      </c>
      <c r="AG72" s="36">
        <f ca="1">IF(NOTA[[#This Row],[ID_H]]="","",INDEX(NOTA[TANGGAL],MATCH(,INDIRECT(ADDRESS(ROW(NOTA[TANGGAL]),COLUMN(NOTA[TANGGAL]))&amp;":"&amp;ADDRESS(ROW(),COLUMN(NOTA[TANGGAL]))),-1)))</f>
        <v>45486</v>
      </c>
      <c r="AH72" s="36">
        <f ca="1">IF(NOTA[[#This Row],[ID_H]]="","",INDEX(NOTA[TGL.NOTA],MATCH(,INDIRECT(ADDRESS(ROW(NOTA[TGL.NOTA]),COLUMN(NOTA[TGL.NOTA]))&amp;":"&amp;ADDRESS(ROW(),COLUMN(NOTA[TGL.NOTA]))),-1)))</f>
        <v>45482</v>
      </c>
      <c r="AI72" s="36" t="str">
        <f ca="1">IF(NOTA[[#This Row],[ID_H]]="","",INDEX(NOTA[NO.NOTA],MATCH(NOTA[[#This Row],[ID_H]],NOTA[ID_H],0)))</f>
        <v>JX7,24</v>
      </c>
      <c r="AJ72" s="38" t="str">
        <f ca="1">IF(NOTA[[#This Row],[NAMA BARANG]]="","",INDEX(NOTA[SUPPLIER],MATCH(,INDIRECT(ADDRESS(ROW(NOTA[ID]),COLUMN(NOTA[ID]))&amp;":"&amp;ADDRESS(ROW(),COLUMN(NOTA[ID]))),-1)))</f>
        <v>ETJ</v>
      </c>
      <c r="AK72" s="38" t="str">
        <f ca="1">IF(NOTA[[#This Row],[ID_H]]="","",IF(NOTA[[#This Row],[FAKTUR]]="",INDIRECT(ADDRESS(ROW()-1,COLUMN())),NOTA[[#This Row],[FAKTUR]]))</f>
        <v>UNTANA</v>
      </c>
      <c r="AL72" s="35" t="str">
        <f ca="1">IF(NOTA[[#This Row],[ID]]="","",COUNTIF(NOTA[ID_H],NOTA[[#This Row],[ID_H]]))</f>
        <v/>
      </c>
      <c r="AM72" s="35">
        <f ca="1">IF(NOTA[[#This Row],[TGL.NOTA]]="",IF(NOTA[[#This Row],[SUPPLIER_H]]="","",AM71),MONTH(NOTA[[#This Row],[TGL.NOTA]]))</f>
        <v>7</v>
      </c>
      <c r="AN72" s="35" t="str">
        <f>LOWER(SUBSTITUTE(SUBSTITUTE(SUBSTITUTE(SUBSTITUTE(SUBSTITUTE(SUBSTITUTE(SUBSTITUTE(SUBSTITUTE(SUBSTITUTE(NOTA[[#This Row],[NAMA BARANG]]," ",),".",""),"-",""),"(",""),")",""),",",""),"/",""),"""",""),"+",""))</f>
        <v>entergb60cmtbl</v>
      </c>
      <c r="AO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entergb60cmtbl1875000</v>
      </c>
      <c r="AP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entergb60cmtbl1875000</v>
      </c>
      <c r="AQ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" s="35">
        <f>IF(NOTA[[#This Row],[CONCAT1]]="","",MATCH(NOTA[[#This Row],[CONCAT1]],[3]!db[NB NOTA_C],0))</f>
        <v>3446</v>
      </c>
      <c r="AS72" s="35" t="b">
        <f>IF(NOTA[[#This Row],[Column5]]="","",TRUE)</f>
        <v>1</v>
      </c>
      <c r="AT72" s="35" t="str">
        <f ca="1">IF(NOTA[[#This Row],[ID_H]]="","",IF(NOTA[[#This Row],[Column3]]=TRUE,NOTA[[#This Row],[Column5]],INDEX([3]!db[QTY/ CTN],NOTA[[#This Row],[//DB]])))</f>
        <v>25 LSN</v>
      </c>
      <c r="AU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entergb60cmtbl25lsnuntana</v>
      </c>
      <c r="AV72" s="35">
        <f ca="1">IF(NOTA[[#This Row],[ID_H]]="","",MATCH(NOTA[[#This Row],[NB NOTA_C_QTY]],[3]!db[NB NOTA_C_QTY+F],0))</f>
        <v>3446</v>
      </c>
      <c r="AW72" s="43">
        <f ca="1">IF(NOTA[[#This Row],[NB NOTA_C_QTY]]="","",ROW()-2)</f>
        <v>70</v>
      </c>
    </row>
    <row r="73" spans="1:49" ht="20.100000000000001" customHeight="1">
      <c r="A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5">
        <f ca="1">IF(NOTA[[#This Row],[NAMA BARANG]]="","",INDEX(NOTA[ID],MATCH(,INDIRECT(ADDRESS(ROW(NOTA[ID]),COLUMN(NOTA[ID]))&amp;":"&amp;ADDRESS(ROW(),COLUMN(NOTA[ID]))),-1)))</f>
        <v>19</v>
      </c>
      <c r="C73" s="45"/>
      <c r="F73" s="46"/>
      <c r="G73" s="35"/>
      <c r="H73" s="36"/>
      <c r="I73" s="35"/>
      <c r="J73" s="35" t="s">
        <v>232</v>
      </c>
      <c r="K73" s="37">
        <v>2</v>
      </c>
      <c r="L73" s="35">
        <v>12000</v>
      </c>
      <c r="M73" s="35" t="s">
        <v>51</v>
      </c>
      <c r="N73" s="38">
        <v>325</v>
      </c>
      <c r="O73" s="39"/>
      <c r="P73" s="47" t="s">
        <v>239</v>
      </c>
      <c r="Q73" s="48"/>
      <c r="R73" s="41"/>
      <c r="T73" s="42"/>
      <c r="U73" s="44"/>
      <c r="V73" s="42">
        <f>IF(NOTA[[#This Row],[HARGA/ CTN]]="",NOTA[[#This Row],[JUMLAH_H]],NOTA[[#This Row],[HARGA/ CTN]]*IF(NOTA[[#This Row],[C]]="",0,NOTA[[#This Row],[C]]))</f>
        <v>3900000</v>
      </c>
      <c r="W73" s="42">
        <f>IF(NOTA[[#This Row],[JUMLAH]]="","",NOTA[[#This Row],[JUMLAH]]*NOTA[[#This Row],[Column6]])</f>
        <v>0</v>
      </c>
      <c r="X73" s="42">
        <f>IF(NOTA[[#This Row],[JUMLAH]]="","",(NOTA[[#This Row],[JUMLAH]]-NOTA[[#This Row],[DISC 1-]])*NOTA[[#This Row],[Column7]])</f>
        <v>0</v>
      </c>
      <c r="Y73" s="42">
        <f>IF(NOTA[[#This Row],[JUMLAH]]="","",(NOTA[[#This Row],[JUMLAH]]-NOTA[[#This Row],[DISC 1-]]-NOTA[[#This Row],[DISC 2-]])*NOTA[[#This Row],[Column8]])</f>
        <v>0</v>
      </c>
      <c r="Z73" s="42">
        <f>IF(NOTA[[#This Row],[JUMLAH]]="","",NOTA[[#This Row],[DISC 1-]]+NOTA[[#This Row],[DISC 2-]]+NOTA[[#This Row],[DISC 3-]])</f>
        <v>0</v>
      </c>
      <c r="AA73" s="42">
        <f>IF(NOTA[[#This Row],[JUMLAH]]="","",NOTA[[#This Row],[JUMLAH]]-NOTA[[#This Row],[DISC]])</f>
        <v>3900000</v>
      </c>
      <c r="AB73" s="42"/>
      <c r="AC7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80000000</v>
      </c>
      <c r="AE73" s="38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F73" s="42">
        <f>IF(OR(NOTA[[#This Row],[QTY]]="",NOTA[[#This Row],[HARGA SATUAN]]="",),"",NOTA[[#This Row],[QTY]]*NOTA[[#This Row],[HARGA SATUAN]])</f>
        <v>3900000</v>
      </c>
      <c r="AG73" s="36">
        <f ca="1">IF(NOTA[[#This Row],[ID_H]]="","",INDEX(NOTA[TANGGAL],MATCH(,INDIRECT(ADDRESS(ROW(NOTA[TANGGAL]),COLUMN(NOTA[TANGGAL]))&amp;":"&amp;ADDRESS(ROW(),COLUMN(NOTA[TANGGAL]))),-1)))</f>
        <v>45486</v>
      </c>
      <c r="AH73" s="36">
        <f ca="1">IF(NOTA[[#This Row],[ID_H]]="","",INDEX(NOTA[TGL.NOTA],MATCH(,INDIRECT(ADDRESS(ROW(NOTA[TGL.NOTA]),COLUMN(NOTA[TGL.NOTA]))&amp;":"&amp;ADDRESS(ROW(),COLUMN(NOTA[TGL.NOTA]))),-1)))</f>
        <v>45482</v>
      </c>
      <c r="AI73" s="36" t="str">
        <f ca="1">IF(NOTA[[#This Row],[ID_H]]="","",INDEX(NOTA[NO.NOTA],MATCH(NOTA[[#This Row],[ID_H]],NOTA[ID_H],0)))</f>
        <v>JX7,24</v>
      </c>
      <c r="AJ73" s="38" t="str">
        <f ca="1">IF(NOTA[[#This Row],[NAMA BARANG]]="","",INDEX(NOTA[SUPPLIER],MATCH(,INDIRECT(ADDRESS(ROW(NOTA[ID]),COLUMN(NOTA[ID]))&amp;":"&amp;ADDRESS(ROW(),COLUMN(NOTA[ID]))),-1)))</f>
        <v>ETJ</v>
      </c>
      <c r="AK73" s="38" t="str">
        <f ca="1">IF(NOTA[[#This Row],[ID_H]]="","",IF(NOTA[[#This Row],[FAKTUR]]="",INDIRECT(ADDRESS(ROW()-1,COLUMN())),NOTA[[#This Row],[FAKTUR]]))</f>
        <v>UNTANA</v>
      </c>
      <c r="AL73" s="35" t="str">
        <f ca="1">IF(NOTA[[#This Row],[ID]]="","",COUNTIF(NOTA[ID_H],NOTA[[#This Row],[ID_H]]))</f>
        <v/>
      </c>
      <c r="AM73" s="35">
        <f ca="1">IF(NOTA[[#This Row],[TGL.NOTA]]="",IF(NOTA[[#This Row],[SUPPLIER_H]]="","",AM72),MONTH(NOTA[[#This Row],[TGL.NOTA]]))</f>
        <v>7</v>
      </c>
      <c r="AN73" s="35" t="str">
        <f>LOWER(SUBSTITUTE(SUBSTITUTE(SUBSTITUTE(SUBSTITUTE(SUBSTITUTE(SUBSTITUTE(SUBSTITUTE(SUBSTITUTE(SUBSTITUTE(NOTA[[#This Row],[NAMA BARANG]]," ",),".",""),"-",""),"(",""),")",""),",",""),"/",""),"""",""),"+",""))</f>
        <v>kojikobktabungan</v>
      </c>
      <c r="AO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kojikobktabungan1950000</v>
      </c>
      <c r="AP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kojikobktabungan1950000</v>
      </c>
      <c r="AQ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" s="35">
        <f>IF(NOTA[[#This Row],[CONCAT1]]="","",MATCH(NOTA[[#This Row],[CONCAT1]],[3]!db[NB NOTA_C],0))</f>
        <v>3462</v>
      </c>
      <c r="AS73" s="35" t="b">
        <f>IF(NOTA[[#This Row],[Column5]]="","",TRUE)</f>
        <v>1</v>
      </c>
      <c r="AT73" s="35" t="str">
        <f ca="1">IF(NOTA[[#This Row],[ID_H]]="","",IF(NOTA[[#This Row],[Column3]]=TRUE,NOTA[[#This Row],[Column5]],INDEX([3]!db[QTY/ CTN],NOTA[[#This Row],[//DB]])))</f>
        <v>6000 PCS</v>
      </c>
      <c r="AU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kojikobktabungan6000pcsuntana</v>
      </c>
      <c r="AV73" s="35">
        <f ca="1">IF(NOTA[[#This Row],[ID_H]]="","",MATCH(NOTA[[#This Row],[NB NOTA_C_QTY]],[3]!db[NB NOTA_C_QTY+F],0))</f>
        <v>3462</v>
      </c>
      <c r="AW73" s="43">
        <f ca="1">IF(NOTA[[#This Row],[NB NOTA_C_QTY]]="","",ROW()-2)</f>
        <v>71</v>
      </c>
    </row>
    <row r="74" spans="1:49" ht="20.100000000000001" customHeight="1">
      <c r="A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5" t="str">
        <f ca="1">IF(NOTA[[#This Row],[NAMA BARANG]]="","",INDEX(NOTA[ID],MATCH(,INDIRECT(ADDRESS(ROW(NOTA[ID]),COLUMN(NOTA[ID]))&amp;":"&amp;ADDRESS(ROW(),COLUMN(NOTA[ID]))),-1)))</f>
        <v/>
      </c>
      <c r="C74" s="45"/>
      <c r="F74" s="46"/>
      <c r="G74" s="35"/>
      <c r="H74" s="36"/>
      <c r="I74" s="35"/>
      <c r="K74" s="37"/>
      <c r="L74" s="35"/>
      <c r="N74" s="38"/>
      <c r="O74" s="39"/>
      <c r="P74" s="47"/>
      <c r="Q74" s="48"/>
      <c r="R74" s="41"/>
      <c r="T74" s="42"/>
      <c r="U74" s="44"/>
      <c r="V74" s="42" t="str">
        <f>IF(NOTA[[#This Row],[HARGA/ CTN]]="",NOTA[[#This Row],[JUMLAH_H]],NOTA[[#This Row],[HARGA/ CTN]]*IF(NOTA[[#This Row],[C]]="",0,NOTA[[#This Row],[C]]))</f>
        <v/>
      </c>
      <c r="W74" s="42" t="str">
        <f>IF(NOTA[[#This Row],[JUMLAH]]="","",NOTA[[#This Row],[JUMLAH]]*NOTA[[#This Row],[Column6]])</f>
        <v/>
      </c>
      <c r="X74" s="42" t="str">
        <f>IF(NOTA[[#This Row],[JUMLAH]]="","",(NOTA[[#This Row],[JUMLAH]]-NOTA[[#This Row],[DISC 1-]])*NOTA[[#This Row],[Column7]])</f>
        <v/>
      </c>
      <c r="Y74" s="42" t="str">
        <f>IF(NOTA[[#This Row],[JUMLAH]]="","",(NOTA[[#This Row],[JUMLAH]]-NOTA[[#This Row],[DISC 1-]]-NOTA[[#This Row],[DISC 2-]])*NOTA[[#This Row],[Column8]])</f>
        <v/>
      </c>
      <c r="Z74" s="42" t="str">
        <f>IF(NOTA[[#This Row],[JUMLAH]]="","",NOTA[[#This Row],[DISC 1-]]+NOTA[[#This Row],[DISC 2-]]+NOTA[[#This Row],[DISC 3-]])</f>
        <v/>
      </c>
      <c r="AA74" s="42" t="str">
        <f>IF(NOTA[[#This Row],[JUMLAH]]="","",NOTA[[#This Row],[JUMLAH]]-NOTA[[#This Row],[DISC]])</f>
        <v/>
      </c>
      <c r="AB74" s="42"/>
      <c r="AC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" s="42" t="str">
        <f>IF(OR(NOTA[[#This Row],[QTY]]="",NOTA[[#This Row],[HARGA SATUAN]]="",),"",NOTA[[#This Row],[QTY]]*NOTA[[#This Row],[HARGA SATUAN]])</f>
        <v/>
      </c>
      <c r="AG74" s="36" t="str">
        <f ca="1">IF(NOTA[[#This Row],[ID_H]]="","",INDEX(NOTA[TANGGAL],MATCH(,INDIRECT(ADDRESS(ROW(NOTA[TANGGAL]),COLUMN(NOTA[TANGGAL]))&amp;":"&amp;ADDRESS(ROW(),COLUMN(NOTA[TANGGAL]))),-1)))</f>
        <v/>
      </c>
      <c r="AH74" s="36" t="str">
        <f ca="1">IF(NOTA[[#This Row],[ID_H]]="","",INDEX(NOTA[TGL.NOTA],MATCH(,INDIRECT(ADDRESS(ROW(NOTA[TGL.NOTA]),COLUMN(NOTA[TGL.NOTA]))&amp;":"&amp;ADDRESS(ROW(),COLUMN(NOTA[TGL.NOTA]))),-1)))</f>
        <v/>
      </c>
      <c r="AI74" s="36" t="str">
        <f ca="1">IF(NOTA[[#This Row],[ID_H]]="","",INDEX(NOTA[NO.NOTA],MATCH(NOTA[[#This Row],[ID_H]],NOTA[ID_H],0)))</f>
        <v/>
      </c>
      <c r="AJ74" s="38" t="str">
        <f ca="1">IF(NOTA[[#This Row],[NAMA BARANG]]="","",INDEX(NOTA[SUPPLIER],MATCH(,INDIRECT(ADDRESS(ROW(NOTA[ID]),COLUMN(NOTA[ID]))&amp;":"&amp;ADDRESS(ROW(),COLUMN(NOTA[ID]))),-1)))</f>
        <v/>
      </c>
      <c r="AK74" s="38" t="str">
        <f ca="1">IF(NOTA[[#This Row],[ID_H]]="","",IF(NOTA[[#This Row],[FAKTUR]]="",INDIRECT(ADDRESS(ROW()-1,COLUMN())),NOTA[[#This Row],[FAKTUR]]))</f>
        <v/>
      </c>
      <c r="AL74" s="35" t="str">
        <f ca="1">IF(NOTA[[#This Row],[ID]]="","",COUNTIF(NOTA[ID_H],NOTA[[#This Row],[ID_H]]))</f>
        <v/>
      </c>
      <c r="AM74" s="35" t="str">
        <f ca="1">IF(NOTA[[#This Row],[TGL.NOTA]]="",IF(NOTA[[#This Row],[SUPPLIER_H]]="","",#REF!),MONTH(NOTA[[#This Row],[TGL.NOTA]]))</f>
        <v/>
      </c>
      <c r="AN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" s="35" t="str">
        <f>IF(NOTA[[#This Row],[CONCAT1]]="","",MATCH(NOTA[[#This Row],[CONCAT1]],[3]!db[NB NOTA_C],0))</f>
        <v/>
      </c>
      <c r="AS74" s="35" t="str">
        <f>IF(NOTA[[#This Row],[Column5]]="","",TRUE)</f>
        <v/>
      </c>
      <c r="AT74" s="35" t="str">
        <f ca="1">IF(NOTA[[#This Row],[ID_H]]="","",IF(NOTA[[#This Row],[Column3]]=TRUE,NOTA[[#This Row],[Column5]],INDEX([3]!db[QTY/ CTN],NOTA[[#This Row],[//DB]])))</f>
        <v/>
      </c>
      <c r="AU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" s="35" t="str">
        <f ca="1">IF(NOTA[[#This Row],[ID_H]]="","",MATCH(NOTA[[#This Row],[NB NOTA_C_QTY]],[3]!db[NB NOTA_C_QTY+F],0))</f>
        <v/>
      </c>
      <c r="AW74" s="43" t="str">
        <f ca="1">IF(NOTA[[#This Row],[NB NOTA_C_QTY]]="","",ROW()-2)</f>
        <v/>
      </c>
    </row>
    <row r="75" spans="1:49" ht="20.100000000000001" customHeight="1">
      <c r="A75" s="38">
        <f ca="1">IF(INDIRECT(ADDRESS(ROW()-1,COLUMN(NOTA[[#Headers],[ID]])))="ID",1,IF(NOTA[[#This Row],[FAKTUR]]="","",COUNT(INDIRECT(ADDRESS(ROW(NOTA[ID]),COLUMN(NOTA[ID]))&amp;":"&amp;ADDRESS(ROW()-1,COLUMN(NOTA[ID]))))+1))</f>
        <v>20</v>
      </c>
      <c r="B75" s="35">
        <f ca="1">IF(NOTA[[#This Row],[NAMA BARANG]]="","",INDEX(NOTA[ID],MATCH(,INDIRECT(ADDRESS(ROW(NOTA[ID]),COLUMN(NOTA[ID]))&amp;":"&amp;ADDRESS(ROW(),COLUMN(NOTA[ID]))),-1)))</f>
        <v>20</v>
      </c>
      <c r="C75" s="45">
        <v>45482</v>
      </c>
      <c r="D75" s="35" t="s">
        <v>240</v>
      </c>
      <c r="E75" s="35" t="s">
        <v>49</v>
      </c>
      <c r="F75" s="46"/>
      <c r="G75" s="35"/>
      <c r="H75" s="36">
        <v>45481</v>
      </c>
      <c r="I75" s="35"/>
      <c r="J75" s="50" t="s">
        <v>241</v>
      </c>
      <c r="K75" s="37">
        <v>30</v>
      </c>
      <c r="L75" s="35">
        <f>235*30</f>
        <v>7050</v>
      </c>
      <c r="M75" s="35" t="s">
        <v>145</v>
      </c>
      <c r="N75" s="38">
        <v>5750</v>
      </c>
      <c r="O75" s="39"/>
      <c r="P75" s="47" t="s">
        <v>242</v>
      </c>
      <c r="Q75" s="48"/>
      <c r="R75" s="41"/>
      <c r="T75" s="42"/>
      <c r="U75" s="44"/>
      <c r="V75" s="42">
        <f>IF(NOTA[[#This Row],[HARGA/ CTN]]="",NOTA[[#This Row],[JUMLAH_H]],NOTA[[#This Row],[HARGA/ CTN]]*IF(NOTA[[#This Row],[C]]="",0,NOTA[[#This Row],[C]]))</f>
        <v>40537500</v>
      </c>
      <c r="W75" s="42">
        <f>IF(NOTA[[#This Row],[JUMLAH]]="","",NOTA[[#This Row],[JUMLAH]]*NOTA[[#This Row],[Column6]])</f>
        <v>0</v>
      </c>
      <c r="X75" s="42">
        <f>IF(NOTA[[#This Row],[JUMLAH]]="","",(NOTA[[#This Row],[JUMLAH]]-NOTA[[#This Row],[DISC 1-]])*NOTA[[#This Row],[Column7]])</f>
        <v>0</v>
      </c>
      <c r="Y75" s="42">
        <f>IF(NOTA[[#This Row],[JUMLAH]]="","",(NOTA[[#This Row],[JUMLAH]]-NOTA[[#This Row],[DISC 1-]]-NOTA[[#This Row],[DISC 2-]])*NOTA[[#This Row],[Column8]])</f>
        <v>0</v>
      </c>
      <c r="Z75" s="42">
        <f>IF(NOTA[[#This Row],[JUMLAH]]="","",NOTA[[#This Row],[DISC 1-]]+NOTA[[#This Row],[DISC 2-]]+NOTA[[#This Row],[DISC 3-]])</f>
        <v>0</v>
      </c>
      <c r="AA75" s="42">
        <f>IF(NOTA[[#This Row],[JUMLAH]]="","",NOTA[[#This Row],[JUMLAH]]-NOTA[[#This Row],[DISC]])</f>
        <v>40537500</v>
      </c>
      <c r="AB75" s="42"/>
      <c r="AC7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40537500</v>
      </c>
      <c r="AE75" s="3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F75" s="42">
        <f>IF(OR(NOTA[[#This Row],[QTY]]="",NOTA[[#This Row],[HARGA SATUAN]]="",),"",NOTA[[#This Row],[QTY]]*NOTA[[#This Row],[HARGA SATUAN]])</f>
        <v>40537500</v>
      </c>
      <c r="AG75" s="36">
        <f ca="1">IF(NOTA[[#This Row],[ID_H]]="","",INDEX(NOTA[TANGGAL],MATCH(,INDIRECT(ADDRESS(ROW(NOTA[TANGGAL]),COLUMN(NOTA[TANGGAL]))&amp;":"&amp;ADDRESS(ROW(),COLUMN(NOTA[TANGGAL]))),-1)))</f>
        <v>45482</v>
      </c>
      <c r="AH75" s="36">
        <f ca="1">IF(NOTA[[#This Row],[ID_H]]="","",INDEX(NOTA[TGL.NOTA],MATCH(,INDIRECT(ADDRESS(ROW(NOTA[TGL.NOTA]),COLUMN(NOTA[TGL.NOTA]))&amp;":"&amp;ADDRESS(ROW(),COLUMN(NOTA[TGL.NOTA]))),-1)))</f>
        <v>45481</v>
      </c>
      <c r="AI75" s="36">
        <f ca="1">IF(NOTA[[#This Row],[ID_H]]="","",INDEX(NOTA[NO.NOTA],MATCH(NOTA[[#This Row],[ID_H]],NOTA[ID_H],0)))</f>
        <v>0</v>
      </c>
      <c r="AJ75" s="38" t="str">
        <f ca="1">IF(NOTA[[#This Row],[NAMA BARANG]]="","",INDEX(NOTA[SUPPLIER],MATCH(,INDIRECT(ADDRESS(ROW(NOTA[ID]),COLUMN(NOTA[ID]))&amp;":"&amp;ADDRESS(ROW(),COLUMN(NOTA[ID]))),-1)))</f>
        <v>MIRACLE ABADI</v>
      </c>
      <c r="AK75" s="38" t="str">
        <f ca="1">IF(NOTA[[#This Row],[ID_H]]="","",IF(NOTA[[#This Row],[FAKTUR]]="",INDIRECT(ADDRESS(ROW()-1,COLUMN())),NOTA[[#This Row],[FAKTUR]]))</f>
        <v>UNTANA</v>
      </c>
      <c r="AL75" s="35">
        <f ca="1">IF(NOTA[[#This Row],[ID]]="","",COUNTIF(NOTA[ID_H],NOTA[[#This Row],[ID_H]]))</f>
        <v>1</v>
      </c>
      <c r="AM75" s="35">
        <f>IF(NOTA[[#This Row],[TGL.NOTA]]="",IF(NOTA[[#This Row],[SUPPLIER_H]]="","",AM74),MONTH(NOTA[[#This Row],[TGL.NOTA]]))</f>
        <v>7</v>
      </c>
      <c r="AN75" s="35" t="str">
        <f>LOWER(SUBSTITUTE(SUBSTITUTE(SUBSTITUTE(SUBSTITUTE(SUBSTITUTE(SUBSTITUTE(SUBSTITUTE(SUBSTITUTE(SUBSTITUTE(NOTA[[#This Row],[NAMA BARANG]]," ",),".",""),"-",""),"(",""),")",""),",",""),"/",""),"""",""),"+",""))</f>
        <v>kertascrepesmalljersy</v>
      </c>
      <c r="AO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kertascrepesmalljersy1351250</v>
      </c>
      <c r="AP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kertascrepesmalljersy1351250</v>
      </c>
      <c r="AQ75" s="35" t="str">
        <f>IF(NOTA[[#This Row],[SUPPLIER]]="","",NOTA[[#This Row],[SUPPLIER]]&amp;NOTA[[#This Row],[FAKTUR]]&amp;NOTA[[#This Row],[NO.NOTA]]&amp;NOTA[[#This Row],[NO.SJ]]&amp;NOTA[[#This Row],[TGL.NOTA]]&amp;NOTA[[#This Row],[CONCAT1]])</f>
        <v>MIRACLE ABADIUNTANA45481kertascrepesmalljersy</v>
      </c>
      <c r="AR75" s="35">
        <f>IF(NOTA[[#This Row],[CONCAT1]]="","",MATCH(NOTA[[#This Row],[CONCAT1]],[3]!db[NB NOTA_C],0))</f>
        <v>1882</v>
      </c>
      <c r="AS75" s="35" t="b">
        <f>IF(NOTA[[#This Row],[Column5]]="","",TRUE)</f>
        <v>1</v>
      </c>
      <c r="AT75" s="35" t="str">
        <f ca="1">IF(NOTA[[#This Row],[ID_H]]="","",IF(NOTA[[#This Row],[Column3]]=TRUE,NOTA[[#This Row],[Column5]],INDEX([3]!db[QTY/ CTN],NOTA[[#This Row],[//DB]])))</f>
        <v>235 PAK</v>
      </c>
      <c r="AU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kertascrepesmalljersy235pakuntana</v>
      </c>
      <c r="AV75" s="35">
        <f ca="1">IF(NOTA[[#This Row],[ID_H]]="","",MATCH(NOTA[[#This Row],[NB NOTA_C_QTY]],[3]!db[NB NOTA_C_QTY+F],0))</f>
        <v>1882</v>
      </c>
      <c r="AW75" s="43">
        <f ca="1">IF(NOTA[[#This Row],[NB NOTA_C_QTY]]="","",ROW()-2)</f>
        <v>73</v>
      </c>
    </row>
    <row r="76" spans="1:49" ht="20.100000000000001" customHeight="1">
      <c r="A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5" t="str">
        <f ca="1">IF(NOTA[[#This Row],[NAMA BARANG]]="","",INDEX(NOTA[ID],MATCH(,INDIRECT(ADDRESS(ROW(NOTA[ID]),COLUMN(NOTA[ID]))&amp;":"&amp;ADDRESS(ROW(),COLUMN(NOTA[ID]))),-1)))</f>
        <v/>
      </c>
      <c r="C76" s="45"/>
      <c r="F76" s="46"/>
      <c r="G76" s="35"/>
      <c r="H76" s="36"/>
      <c r="I76" s="35"/>
      <c r="K76" s="37"/>
      <c r="L76" s="35"/>
      <c r="N76" s="38"/>
      <c r="O76" s="39"/>
      <c r="P76" s="47"/>
      <c r="Q76" s="48"/>
      <c r="R76" s="41"/>
      <c r="T76" s="42"/>
      <c r="U76" s="44"/>
      <c r="V76" s="42" t="str">
        <f>IF(NOTA[[#This Row],[HARGA/ CTN]]="",NOTA[[#This Row],[JUMLAH_H]],NOTA[[#This Row],[HARGA/ CTN]]*IF(NOTA[[#This Row],[C]]="",0,NOTA[[#This Row],[C]]))</f>
        <v/>
      </c>
      <c r="W76" s="42" t="str">
        <f>IF(NOTA[[#This Row],[JUMLAH]]="","",NOTA[[#This Row],[JUMLAH]]*NOTA[[#This Row],[Column6]])</f>
        <v/>
      </c>
      <c r="X76" s="42" t="str">
        <f>IF(NOTA[[#This Row],[JUMLAH]]="","",(NOTA[[#This Row],[JUMLAH]]-NOTA[[#This Row],[DISC 1-]])*NOTA[[#This Row],[Column7]])</f>
        <v/>
      </c>
      <c r="Y76" s="42" t="str">
        <f>IF(NOTA[[#This Row],[JUMLAH]]="","",(NOTA[[#This Row],[JUMLAH]]-NOTA[[#This Row],[DISC 1-]]-NOTA[[#This Row],[DISC 2-]])*NOTA[[#This Row],[Column8]])</f>
        <v/>
      </c>
      <c r="Z76" s="42" t="str">
        <f>IF(NOTA[[#This Row],[JUMLAH]]="","",NOTA[[#This Row],[DISC 1-]]+NOTA[[#This Row],[DISC 2-]]+NOTA[[#This Row],[DISC 3-]])</f>
        <v/>
      </c>
      <c r="AA76" s="42" t="str">
        <f>IF(NOTA[[#This Row],[JUMLAH]]="","",NOTA[[#This Row],[JUMLAH]]-NOTA[[#This Row],[DISC]])</f>
        <v/>
      </c>
      <c r="AB76" s="42"/>
      <c r="AC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42" t="str">
        <f>IF(OR(NOTA[[#This Row],[QTY]]="",NOTA[[#This Row],[HARGA SATUAN]]="",),"",NOTA[[#This Row],[QTY]]*NOTA[[#This Row],[HARGA SATUAN]])</f>
        <v/>
      </c>
      <c r="AG76" s="36" t="str">
        <f ca="1">IF(NOTA[[#This Row],[ID_H]]="","",INDEX(NOTA[TANGGAL],MATCH(,INDIRECT(ADDRESS(ROW(NOTA[TANGGAL]),COLUMN(NOTA[TANGGAL]))&amp;":"&amp;ADDRESS(ROW(),COLUMN(NOTA[TANGGAL]))),-1)))</f>
        <v/>
      </c>
      <c r="AH76" s="36" t="str">
        <f ca="1">IF(NOTA[[#This Row],[ID_H]]="","",INDEX(NOTA[TGL.NOTA],MATCH(,INDIRECT(ADDRESS(ROW(NOTA[TGL.NOTA]),COLUMN(NOTA[TGL.NOTA]))&amp;":"&amp;ADDRESS(ROW(),COLUMN(NOTA[TGL.NOTA]))),-1)))</f>
        <v/>
      </c>
      <c r="AI76" s="36" t="str">
        <f ca="1">IF(NOTA[[#This Row],[ID_H]]="","",INDEX(NOTA[NO.NOTA],MATCH(NOTA[[#This Row],[ID_H]],NOTA[ID_H],0)))</f>
        <v/>
      </c>
      <c r="AJ76" s="38" t="str">
        <f ca="1">IF(NOTA[[#This Row],[NAMA BARANG]]="","",INDEX(NOTA[SUPPLIER],MATCH(,INDIRECT(ADDRESS(ROW(NOTA[ID]),COLUMN(NOTA[ID]))&amp;":"&amp;ADDRESS(ROW(),COLUMN(NOTA[ID]))),-1)))</f>
        <v/>
      </c>
      <c r="AK76" s="38" t="str">
        <f ca="1">IF(NOTA[[#This Row],[ID_H]]="","",IF(NOTA[[#This Row],[FAKTUR]]="",INDIRECT(ADDRESS(ROW()-1,COLUMN())),NOTA[[#This Row],[FAKTUR]]))</f>
        <v/>
      </c>
      <c r="AL76" s="35" t="str">
        <f ca="1">IF(NOTA[[#This Row],[ID]]="","",COUNTIF(NOTA[ID_H],NOTA[[#This Row],[ID_H]]))</f>
        <v/>
      </c>
      <c r="AM76" s="35" t="str">
        <f ca="1">IF(NOTA[[#This Row],[TGL.NOTA]]="",IF(NOTA[[#This Row],[SUPPLIER_H]]="","",AM75),MONTH(NOTA[[#This Row],[TGL.NOTA]]))</f>
        <v/>
      </c>
      <c r="AN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" s="35" t="str">
        <f>IF(NOTA[[#This Row],[CONCAT1]]="","",MATCH(NOTA[[#This Row],[CONCAT1]],[3]!db[NB NOTA_C],0))</f>
        <v/>
      </c>
      <c r="AS76" s="35" t="str">
        <f>IF(NOTA[[#This Row],[Column5]]="","",TRUE)</f>
        <v/>
      </c>
      <c r="AT76" s="35" t="str">
        <f ca="1">IF(NOTA[[#This Row],[ID_H]]="","",IF(NOTA[[#This Row],[Column3]]=TRUE,NOTA[[#This Row],[Column5]],INDEX([3]!db[QTY/ CTN],NOTA[[#This Row],[//DB]])))</f>
        <v/>
      </c>
      <c r="AU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" s="35" t="str">
        <f ca="1">IF(NOTA[[#This Row],[ID_H]]="","",MATCH(NOTA[[#This Row],[NB NOTA_C_QTY]],[3]!db[NB NOTA_C_QTY+F],0))</f>
        <v/>
      </c>
      <c r="AW76" s="43" t="str">
        <f ca="1">IF(NOTA[[#This Row],[NB NOTA_C_QTY]]="","",ROW()-2)</f>
        <v/>
      </c>
    </row>
    <row r="77" spans="1:49" ht="20.100000000000001" customHeight="1">
      <c r="A77" s="38">
        <f ca="1">IF(INDIRECT(ADDRESS(ROW()-1,COLUMN(NOTA[[#Headers],[ID]])))="ID",1,IF(NOTA[[#This Row],[FAKTUR]]="","",COUNT(INDIRECT(ADDRESS(ROW(NOTA[ID]),COLUMN(NOTA[ID]))&amp;":"&amp;ADDRESS(ROW()-1,COLUMN(NOTA[ID]))))+1))</f>
        <v>21</v>
      </c>
      <c r="B77" s="35">
        <f ca="1">IF(NOTA[[#This Row],[NAMA BARANG]]="","",INDEX(NOTA[ID],MATCH(,INDIRECT(ADDRESS(ROW(NOTA[ID]),COLUMN(NOTA[ID]))&amp;":"&amp;ADDRESS(ROW(),COLUMN(NOTA[ID]))),-1)))</f>
        <v>21</v>
      </c>
      <c r="C77" s="45">
        <v>45479</v>
      </c>
      <c r="D77" s="35" t="s">
        <v>243</v>
      </c>
      <c r="E77" s="35" t="s">
        <v>49</v>
      </c>
      <c r="F77" s="46" t="s">
        <v>244</v>
      </c>
      <c r="G77" s="35"/>
      <c r="H77" s="36">
        <v>45474</v>
      </c>
      <c r="I77" s="35"/>
      <c r="J77" s="50" t="s">
        <v>326</v>
      </c>
      <c r="K77" s="37">
        <v>5</v>
      </c>
      <c r="L77" s="35">
        <v>120</v>
      </c>
      <c r="M77" s="35" t="s">
        <v>50</v>
      </c>
      <c r="N77" s="38">
        <v>52500</v>
      </c>
      <c r="O77" s="39"/>
      <c r="P77" s="47" t="s">
        <v>119</v>
      </c>
      <c r="Q77" s="48"/>
      <c r="R77" s="41"/>
      <c r="T77" s="42"/>
      <c r="U77" s="44"/>
      <c r="V77" s="42">
        <f>IF(NOTA[[#This Row],[HARGA/ CTN]]="",NOTA[[#This Row],[JUMLAH_H]],NOTA[[#This Row],[HARGA/ CTN]]*IF(NOTA[[#This Row],[C]]="",0,NOTA[[#This Row],[C]]))</f>
        <v>6300000</v>
      </c>
      <c r="W77" s="42">
        <f>IF(NOTA[[#This Row],[JUMLAH]]="","",NOTA[[#This Row],[JUMLAH]]*NOTA[[#This Row],[Column6]])</f>
        <v>0</v>
      </c>
      <c r="X77" s="42">
        <f>IF(NOTA[[#This Row],[JUMLAH]]="","",(NOTA[[#This Row],[JUMLAH]]-NOTA[[#This Row],[DISC 1-]])*NOTA[[#This Row],[Column7]])</f>
        <v>0</v>
      </c>
      <c r="Y77" s="42">
        <f>IF(NOTA[[#This Row],[JUMLAH]]="","",(NOTA[[#This Row],[JUMLAH]]-NOTA[[#This Row],[DISC 1-]]-NOTA[[#This Row],[DISC 2-]])*NOTA[[#This Row],[Column8]])</f>
        <v>0</v>
      </c>
      <c r="Z77" s="42">
        <f>IF(NOTA[[#This Row],[JUMLAH]]="","",NOTA[[#This Row],[DISC 1-]]+NOTA[[#This Row],[DISC 2-]]+NOTA[[#This Row],[DISC 3-]])</f>
        <v>0</v>
      </c>
      <c r="AA77" s="42">
        <f>IF(NOTA[[#This Row],[JUMLAH]]="","",NOTA[[#This Row],[JUMLAH]]-NOTA[[#This Row],[DISC]])</f>
        <v>6300000</v>
      </c>
      <c r="AB77" s="42"/>
      <c r="AC7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7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6300000</v>
      </c>
      <c r="AE77" s="38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77" s="42">
        <f>IF(OR(NOTA[[#This Row],[QTY]]="",NOTA[[#This Row],[HARGA SATUAN]]="",),"",NOTA[[#This Row],[QTY]]*NOTA[[#This Row],[HARGA SATUAN]])</f>
        <v>6300000</v>
      </c>
      <c r="AG77" s="36">
        <f ca="1">IF(NOTA[[#This Row],[ID_H]]="","",INDEX(NOTA[TANGGAL],MATCH(,INDIRECT(ADDRESS(ROW(NOTA[TANGGAL]),COLUMN(NOTA[TANGGAL]))&amp;":"&amp;ADDRESS(ROW(),COLUMN(NOTA[TANGGAL]))),-1)))</f>
        <v>45479</v>
      </c>
      <c r="AH77" s="36">
        <f ca="1">IF(NOTA[[#This Row],[ID_H]]="","",INDEX(NOTA[TGL.NOTA],MATCH(,INDIRECT(ADDRESS(ROW(NOTA[TGL.NOTA]),COLUMN(NOTA[TGL.NOTA]))&amp;":"&amp;ADDRESS(ROW(),COLUMN(NOTA[TGL.NOTA]))),-1)))</f>
        <v>45474</v>
      </c>
      <c r="AI77" s="36" t="str">
        <f ca="1">IF(NOTA[[#This Row],[ID_H]]="","",INDEX(NOTA[NO.NOTA],MATCH(NOTA[[#This Row],[ID_H]],NOTA[ID_H],0)))</f>
        <v>W0001BB</v>
      </c>
      <c r="AJ77" s="38" t="str">
        <f ca="1">IF(NOTA[[#This Row],[NAMA BARANG]]="","",INDEX(NOTA[SUPPLIER],MATCH(,INDIRECT(ADDRESS(ROW(NOTA[ID]),COLUMN(NOTA[ID]))&amp;":"&amp;ADDRESS(ROW(),COLUMN(NOTA[ID]))),-1)))</f>
        <v>SBS</v>
      </c>
      <c r="AK77" s="38" t="str">
        <f ca="1">IF(NOTA[[#This Row],[ID_H]]="","",IF(NOTA[[#This Row],[FAKTUR]]="",INDIRECT(ADDRESS(ROW()-1,COLUMN())),NOTA[[#This Row],[FAKTUR]]))</f>
        <v>UNTANA</v>
      </c>
      <c r="AL77" s="35">
        <f ca="1">IF(NOTA[[#This Row],[ID]]="","",COUNTIF(NOTA[ID_H],NOTA[[#This Row],[ID_H]]))</f>
        <v>1</v>
      </c>
      <c r="AM77" s="35">
        <f>IF(NOTA[[#This Row],[TGL.NOTA]]="",IF(NOTA[[#This Row],[SUPPLIER_H]]="","",AM76),MONTH(NOTA[[#This Row],[TGL.NOTA]]))</f>
        <v>7</v>
      </c>
      <c r="AN77" s="35" t="str">
        <f>LOWER(SUBSTITUTE(SUBSTITUTE(SUBSTITUTE(SUBSTITUTE(SUBSTITUTE(SUBSTITUTE(SUBSTITUTE(SUBSTITUTE(SUBSTITUTE(NOTA[[#This Row],[NAMA BARANG]]," ",),".",""),"-",""),"(",""),")",""),",",""),"/",""),"""",""),"+",""))</f>
        <v>stamppadherok</v>
      </c>
      <c r="AO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stamppadherok1260000</v>
      </c>
      <c r="AP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stamppadherok1260000</v>
      </c>
      <c r="AQ77" s="35" t="str">
        <f>IF(NOTA[[#This Row],[SUPPLIER]]="","",NOTA[[#This Row],[SUPPLIER]]&amp;NOTA[[#This Row],[FAKTUR]]&amp;NOTA[[#This Row],[NO.NOTA]]&amp;NOTA[[#This Row],[NO.SJ]]&amp;NOTA[[#This Row],[TGL.NOTA]]&amp;NOTA[[#This Row],[CONCAT1]])</f>
        <v>SBSUNTANAW0001BB45474stamppadherok</v>
      </c>
      <c r="AR77" s="35">
        <f>IF(NOTA[[#This Row],[CONCAT1]]="","",MATCH(NOTA[[#This Row],[CONCAT1]],[3]!db[NB NOTA_C],0))</f>
        <v>2927</v>
      </c>
      <c r="AS77" s="35" t="b">
        <f>IF(NOTA[[#This Row],[Column5]]="","",TRUE)</f>
        <v>1</v>
      </c>
      <c r="AT77" s="35" t="str">
        <f ca="1">IF(NOTA[[#This Row],[ID_H]]="","",IF(NOTA[[#This Row],[Column3]]=TRUE,NOTA[[#This Row],[Column5]],INDEX([3]!db[QTY/ CTN],NOTA[[#This Row],[//DB]])))</f>
        <v>24 LSN</v>
      </c>
      <c r="AU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stamppadherok24lsnuntana</v>
      </c>
      <c r="AV77" s="35">
        <f ca="1">IF(NOTA[[#This Row],[ID_H]]="","",MATCH(NOTA[[#This Row],[NB NOTA_C_QTY]],[3]!db[NB NOTA_C_QTY+F],0))</f>
        <v>2927</v>
      </c>
      <c r="AW77" s="43">
        <f ca="1">IF(NOTA[[#This Row],[NB NOTA_C_QTY]]="","",ROW()-2)</f>
        <v>75</v>
      </c>
    </row>
    <row r="78" spans="1:49" ht="20.100000000000001" customHeight="1">
      <c r="A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5" t="str">
        <f ca="1">IF(NOTA[[#This Row],[NAMA BARANG]]="","",INDEX(NOTA[ID],MATCH(,INDIRECT(ADDRESS(ROW(NOTA[ID]),COLUMN(NOTA[ID]))&amp;":"&amp;ADDRESS(ROW(),COLUMN(NOTA[ID]))),-1)))</f>
        <v/>
      </c>
      <c r="C78" s="45"/>
      <c r="F78" s="46"/>
      <c r="G78" s="35"/>
      <c r="H78" s="36"/>
      <c r="I78" s="35"/>
      <c r="K78" s="37"/>
      <c r="L78" s="35"/>
      <c r="N78" s="38"/>
      <c r="O78" s="39"/>
      <c r="P78" s="47"/>
      <c r="Q78" s="48"/>
      <c r="R78" s="41"/>
      <c r="T78" s="42"/>
      <c r="U78" s="44"/>
      <c r="V78" s="42" t="str">
        <f>IF(NOTA[[#This Row],[HARGA/ CTN]]="",NOTA[[#This Row],[JUMLAH_H]],NOTA[[#This Row],[HARGA/ CTN]]*IF(NOTA[[#This Row],[C]]="",0,NOTA[[#This Row],[C]]))</f>
        <v/>
      </c>
      <c r="W78" s="42" t="str">
        <f>IF(NOTA[[#This Row],[JUMLAH]]="","",NOTA[[#This Row],[JUMLAH]]*NOTA[[#This Row],[Column6]])</f>
        <v/>
      </c>
      <c r="X78" s="42" t="str">
        <f>IF(NOTA[[#This Row],[JUMLAH]]="","",(NOTA[[#This Row],[JUMLAH]]-NOTA[[#This Row],[DISC 1-]])*NOTA[[#This Row],[Column7]])</f>
        <v/>
      </c>
      <c r="Y78" s="42" t="str">
        <f>IF(NOTA[[#This Row],[JUMLAH]]="","",(NOTA[[#This Row],[JUMLAH]]-NOTA[[#This Row],[DISC 1-]]-NOTA[[#This Row],[DISC 2-]])*NOTA[[#This Row],[Column8]])</f>
        <v/>
      </c>
      <c r="Z78" s="42" t="str">
        <f>IF(NOTA[[#This Row],[JUMLAH]]="","",NOTA[[#This Row],[DISC 1-]]+NOTA[[#This Row],[DISC 2-]]+NOTA[[#This Row],[DISC 3-]])</f>
        <v/>
      </c>
      <c r="AA78" s="42" t="str">
        <f>IF(NOTA[[#This Row],[JUMLAH]]="","",NOTA[[#This Row],[JUMLAH]]-NOTA[[#This Row],[DISC]])</f>
        <v/>
      </c>
      <c r="AB78" s="42"/>
      <c r="AC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42" t="str">
        <f>IF(OR(NOTA[[#This Row],[QTY]]="",NOTA[[#This Row],[HARGA SATUAN]]="",),"",NOTA[[#This Row],[QTY]]*NOTA[[#This Row],[HARGA SATUAN]])</f>
        <v/>
      </c>
      <c r="AG78" s="36" t="str">
        <f ca="1">IF(NOTA[[#This Row],[ID_H]]="","",INDEX(NOTA[TANGGAL],MATCH(,INDIRECT(ADDRESS(ROW(NOTA[TANGGAL]),COLUMN(NOTA[TANGGAL]))&amp;":"&amp;ADDRESS(ROW(),COLUMN(NOTA[TANGGAL]))),-1)))</f>
        <v/>
      </c>
      <c r="AH78" s="36" t="str">
        <f ca="1">IF(NOTA[[#This Row],[ID_H]]="","",INDEX(NOTA[TGL.NOTA],MATCH(,INDIRECT(ADDRESS(ROW(NOTA[TGL.NOTA]),COLUMN(NOTA[TGL.NOTA]))&amp;":"&amp;ADDRESS(ROW(),COLUMN(NOTA[TGL.NOTA]))),-1)))</f>
        <v/>
      </c>
      <c r="AI78" s="36" t="str">
        <f ca="1">IF(NOTA[[#This Row],[ID_H]]="","",INDEX(NOTA[NO.NOTA],MATCH(NOTA[[#This Row],[ID_H]],NOTA[ID_H],0)))</f>
        <v/>
      </c>
      <c r="AJ78" s="38" t="str">
        <f ca="1">IF(NOTA[[#This Row],[NAMA BARANG]]="","",INDEX(NOTA[SUPPLIER],MATCH(,INDIRECT(ADDRESS(ROW(NOTA[ID]),COLUMN(NOTA[ID]))&amp;":"&amp;ADDRESS(ROW(),COLUMN(NOTA[ID]))),-1)))</f>
        <v/>
      </c>
      <c r="AK78" s="38" t="str">
        <f ca="1">IF(NOTA[[#This Row],[ID_H]]="","",IF(NOTA[[#This Row],[FAKTUR]]="",INDIRECT(ADDRESS(ROW()-1,COLUMN())),NOTA[[#This Row],[FAKTUR]]))</f>
        <v/>
      </c>
      <c r="AL78" s="35" t="str">
        <f ca="1">IF(NOTA[[#This Row],[ID]]="","",COUNTIF(NOTA[ID_H],NOTA[[#This Row],[ID_H]]))</f>
        <v/>
      </c>
      <c r="AM78" s="35" t="str">
        <f ca="1">IF(NOTA[[#This Row],[TGL.NOTA]]="",IF(NOTA[[#This Row],[SUPPLIER_H]]="","",AM77),MONTH(NOTA[[#This Row],[TGL.NOTA]]))</f>
        <v/>
      </c>
      <c r="AN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" s="35" t="str">
        <f>IF(NOTA[[#This Row],[CONCAT1]]="","",MATCH(NOTA[[#This Row],[CONCAT1]],[3]!db[NB NOTA_C],0))</f>
        <v/>
      </c>
      <c r="AS78" s="35" t="str">
        <f>IF(NOTA[[#This Row],[Column5]]="","",TRUE)</f>
        <v/>
      </c>
      <c r="AT78" s="35" t="str">
        <f ca="1">IF(NOTA[[#This Row],[ID_H]]="","",IF(NOTA[[#This Row],[Column3]]=TRUE,NOTA[[#This Row],[Column5]],INDEX([3]!db[QTY/ CTN],NOTA[[#This Row],[//DB]])))</f>
        <v/>
      </c>
      <c r="AU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" s="35" t="str">
        <f ca="1">IF(NOTA[[#This Row],[ID_H]]="","",MATCH(NOTA[[#This Row],[NB NOTA_C_QTY]],[3]!db[NB NOTA_C_QTY+F],0))</f>
        <v/>
      </c>
      <c r="AW78" s="43" t="str">
        <f ca="1">IF(NOTA[[#This Row],[NB NOTA_C_QTY]]="","",ROW()-2)</f>
        <v/>
      </c>
    </row>
    <row r="79" spans="1:49" ht="20.100000000000001" customHeight="1">
      <c r="A79" s="38">
        <f ca="1">IF(INDIRECT(ADDRESS(ROW()-1,COLUMN(NOTA[[#Headers],[ID]])))="ID",1,IF(NOTA[[#This Row],[FAKTUR]]="","",COUNT(INDIRECT(ADDRESS(ROW(NOTA[ID]),COLUMN(NOTA[ID]))&amp;":"&amp;ADDRESS(ROW()-1,COLUMN(NOTA[ID]))))+1))</f>
        <v>22</v>
      </c>
      <c r="B79" s="35">
        <f ca="1">IF(NOTA[[#This Row],[NAMA BARANG]]="","",INDEX(NOTA[ID],MATCH(,INDIRECT(ADDRESS(ROW(NOTA[ID]),COLUMN(NOTA[ID]))&amp;":"&amp;ADDRESS(ROW(),COLUMN(NOTA[ID]))),-1)))</f>
        <v>22</v>
      </c>
      <c r="C79" s="45">
        <v>45481</v>
      </c>
      <c r="D79" s="35" t="s">
        <v>245</v>
      </c>
      <c r="E79" s="35" t="s">
        <v>49</v>
      </c>
      <c r="F79" s="46" t="s">
        <v>246</v>
      </c>
      <c r="G79" s="35"/>
      <c r="H79" s="36">
        <v>45475</v>
      </c>
      <c r="I79" s="35"/>
      <c r="J79" s="35" t="s">
        <v>247</v>
      </c>
      <c r="K79" s="37">
        <v>5</v>
      </c>
      <c r="L79" s="35">
        <v>500</v>
      </c>
      <c r="M79" s="35" t="s">
        <v>50</v>
      </c>
      <c r="N79" s="38">
        <v>26780</v>
      </c>
      <c r="O79" s="39"/>
      <c r="P79" s="47" t="s">
        <v>248</v>
      </c>
      <c r="Q79" s="48">
        <v>0.2</v>
      </c>
      <c r="R79" s="41">
        <v>0.04</v>
      </c>
      <c r="T79" s="42"/>
      <c r="U79" s="44"/>
      <c r="V79" s="42">
        <f>IF(NOTA[[#This Row],[HARGA/ CTN]]="",NOTA[[#This Row],[JUMLAH_H]],NOTA[[#This Row],[HARGA/ CTN]]*IF(NOTA[[#This Row],[C]]="",0,NOTA[[#This Row],[C]]))</f>
        <v>13390000</v>
      </c>
      <c r="W79" s="42">
        <f>IF(NOTA[[#This Row],[JUMLAH]]="","",NOTA[[#This Row],[JUMLAH]]*NOTA[[#This Row],[Column6]])</f>
        <v>2678000</v>
      </c>
      <c r="X79" s="42">
        <f>IF(NOTA[[#This Row],[JUMLAH]]="","",(NOTA[[#This Row],[JUMLAH]]-NOTA[[#This Row],[DISC 1-]])*NOTA[[#This Row],[Column7]])</f>
        <v>428480</v>
      </c>
      <c r="Y79" s="42">
        <f>IF(NOTA[[#This Row],[JUMLAH]]="","",(NOTA[[#This Row],[JUMLAH]]-NOTA[[#This Row],[DISC 1-]]-NOTA[[#This Row],[DISC 2-]])*NOTA[[#This Row],[Column8]])</f>
        <v>0</v>
      </c>
      <c r="Z79" s="42">
        <f>IF(NOTA[[#This Row],[JUMLAH]]="","",NOTA[[#This Row],[DISC 1-]]+NOTA[[#This Row],[DISC 2-]]+NOTA[[#This Row],[DISC 3-]])</f>
        <v>3106480</v>
      </c>
      <c r="AA79" s="42">
        <f>IF(NOTA[[#This Row],[JUMLAH]]="","",NOTA[[#This Row],[JUMLAH]]-NOTA[[#This Row],[DISC]])</f>
        <v>10283520</v>
      </c>
      <c r="AB79" s="42"/>
      <c r="AC7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3106480</v>
      </c>
      <c r="AD7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10283520</v>
      </c>
      <c r="AE79" s="38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79" s="42">
        <f>IF(OR(NOTA[[#This Row],[QTY]]="",NOTA[[#This Row],[HARGA SATUAN]]="",),"",NOTA[[#This Row],[QTY]]*NOTA[[#This Row],[HARGA SATUAN]])</f>
        <v>13390000</v>
      </c>
      <c r="AG79" s="36">
        <f ca="1">IF(NOTA[[#This Row],[ID_H]]="","",INDEX(NOTA[TANGGAL],MATCH(,INDIRECT(ADDRESS(ROW(NOTA[TANGGAL]),COLUMN(NOTA[TANGGAL]))&amp;":"&amp;ADDRESS(ROW(),COLUMN(NOTA[TANGGAL]))),-1)))</f>
        <v>45481</v>
      </c>
      <c r="AH79" s="36">
        <f ca="1">IF(NOTA[[#This Row],[ID_H]]="","",INDEX(NOTA[TGL.NOTA],MATCH(,INDIRECT(ADDRESS(ROW(NOTA[TGL.NOTA]),COLUMN(NOTA[TGL.NOTA]))&amp;":"&amp;ADDRESS(ROW(),COLUMN(NOTA[TGL.NOTA]))),-1)))</f>
        <v>45475</v>
      </c>
      <c r="AI79" s="36" t="str">
        <f ca="1">IF(NOTA[[#This Row],[ID_H]]="","",INDEX(NOTA[NO.NOTA],MATCH(NOTA[[#This Row],[ID_H]],NOTA[ID_H],0)))</f>
        <v>0033/HW/VII/24</v>
      </c>
      <c r="AJ79" s="38" t="str">
        <f ca="1">IF(NOTA[[#This Row],[NAMA BARANG]]="","",INDEX(NOTA[SUPPLIER],MATCH(,INDIRECT(ADDRESS(ROW(NOTA[ID]),COLUMN(NOTA[ID]))&amp;":"&amp;ADDRESS(ROW(),COLUMN(NOTA[ID]))),-1)))</f>
        <v>PPW</v>
      </c>
      <c r="AK79" s="38" t="str">
        <f ca="1">IF(NOTA[[#This Row],[ID_H]]="","",IF(NOTA[[#This Row],[FAKTUR]]="",INDIRECT(ADDRESS(ROW()-1,COLUMN())),NOTA[[#This Row],[FAKTUR]]))</f>
        <v>UNTANA</v>
      </c>
      <c r="AL79" s="35">
        <f ca="1">IF(NOTA[[#This Row],[ID]]="","",COUNTIF(NOTA[ID_H],NOTA[[#This Row],[ID_H]]))</f>
        <v>1</v>
      </c>
      <c r="AM79" s="35">
        <f>IF(NOTA[[#This Row],[TGL.NOTA]]="",IF(NOTA[[#This Row],[SUPPLIER_H]]="","",AM76),MONTH(NOTA[[#This Row],[TGL.NOTA]]))</f>
        <v>7</v>
      </c>
      <c r="AN79" s="3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79" s="35" t="str">
        <f>IF(NOTA[[#This Row],[SUPPLIER]]="","",NOTA[[#This Row],[SUPPLIER]]&amp;NOTA[[#This Row],[FAKTUR]]&amp;NOTA[[#This Row],[NO.NOTA]]&amp;NOTA[[#This Row],[NO.SJ]]&amp;NOTA[[#This Row],[TGL.NOTA]]&amp;NOTA[[#This Row],[CONCAT1]])</f>
        <v>PPWUNTANA0033/HW/VII/2445475bt30cm</v>
      </c>
      <c r="AR79" s="35">
        <f>IF(NOTA[[#This Row],[CONCAT1]]="","",MATCH(NOTA[[#This Row],[CONCAT1]],[3]!db[NB NOTA_C],0))</f>
        <v>515</v>
      </c>
      <c r="AS79" s="35" t="b">
        <f>IF(NOTA[[#This Row],[Column5]]="","",TRUE)</f>
        <v>1</v>
      </c>
      <c r="AT79" s="35" t="str">
        <f ca="1">IF(NOTA[[#This Row],[ID_H]]="","",IF(NOTA[[#This Row],[Column3]]=TRUE,NOTA[[#This Row],[Column5]],INDEX([3]!db[QTY/ CTN],NOTA[[#This Row],[//DB]])))</f>
        <v>100 LSN</v>
      </c>
      <c r="AU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79" s="35">
        <f ca="1">IF(NOTA[[#This Row],[ID_H]]="","",MATCH(NOTA[[#This Row],[NB NOTA_C_QTY]],[3]!db[NB NOTA_C_QTY+F],0))</f>
        <v>515</v>
      </c>
      <c r="AW79" s="43">
        <f ca="1">IF(NOTA[[#This Row],[NB NOTA_C_QTY]]="","",ROW()-2)</f>
        <v>77</v>
      </c>
    </row>
    <row r="80" spans="1:49" ht="20.100000000000001" customHeight="1">
      <c r="A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5" t="str">
        <f ca="1">IF(NOTA[[#This Row],[NAMA BARANG]]="","",INDEX(NOTA[ID],MATCH(,INDIRECT(ADDRESS(ROW(NOTA[ID]),COLUMN(NOTA[ID]))&amp;":"&amp;ADDRESS(ROW(),COLUMN(NOTA[ID]))),-1)))</f>
        <v/>
      </c>
      <c r="C80" s="45"/>
      <c r="F80" s="46"/>
      <c r="G80" s="35"/>
      <c r="H80" s="36"/>
      <c r="I80" s="35"/>
      <c r="K80" s="37"/>
      <c r="L80" s="35"/>
      <c r="N80" s="38"/>
      <c r="O80" s="39"/>
      <c r="P80" s="47"/>
      <c r="Q80" s="48"/>
      <c r="R80" s="41"/>
      <c r="T80" s="42"/>
      <c r="U80" s="44"/>
      <c r="V80" s="42" t="str">
        <f>IF(NOTA[[#This Row],[HARGA/ CTN]]="",NOTA[[#This Row],[JUMLAH_H]],NOTA[[#This Row],[HARGA/ CTN]]*IF(NOTA[[#This Row],[C]]="",0,NOTA[[#This Row],[C]]))</f>
        <v/>
      </c>
      <c r="W80" s="42" t="str">
        <f>IF(NOTA[[#This Row],[JUMLAH]]="","",NOTA[[#This Row],[JUMLAH]]*NOTA[[#This Row],[Column6]])</f>
        <v/>
      </c>
      <c r="X80" s="42" t="str">
        <f>IF(NOTA[[#This Row],[JUMLAH]]="","",(NOTA[[#This Row],[JUMLAH]]-NOTA[[#This Row],[DISC 1-]])*NOTA[[#This Row],[Column7]])</f>
        <v/>
      </c>
      <c r="Y80" s="42" t="str">
        <f>IF(NOTA[[#This Row],[JUMLAH]]="","",(NOTA[[#This Row],[JUMLAH]]-NOTA[[#This Row],[DISC 1-]]-NOTA[[#This Row],[DISC 2-]])*NOTA[[#This Row],[Column8]])</f>
        <v/>
      </c>
      <c r="Z80" s="42" t="str">
        <f>IF(NOTA[[#This Row],[JUMLAH]]="","",NOTA[[#This Row],[DISC 1-]]+NOTA[[#This Row],[DISC 2-]]+NOTA[[#This Row],[DISC 3-]])</f>
        <v/>
      </c>
      <c r="AA80" s="42" t="str">
        <f>IF(NOTA[[#This Row],[JUMLAH]]="","",NOTA[[#This Row],[JUMLAH]]-NOTA[[#This Row],[DISC]])</f>
        <v/>
      </c>
      <c r="AB80" s="42"/>
      <c r="AC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" s="42" t="str">
        <f>IF(OR(NOTA[[#This Row],[QTY]]="",NOTA[[#This Row],[HARGA SATUAN]]="",),"",NOTA[[#This Row],[QTY]]*NOTA[[#This Row],[HARGA SATUAN]])</f>
        <v/>
      </c>
      <c r="AG80" s="36" t="str">
        <f ca="1">IF(NOTA[[#This Row],[ID_H]]="","",INDEX(NOTA[TANGGAL],MATCH(,INDIRECT(ADDRESS(ROW(NOTA[TANGGAL]),COLUMN(NOTA[TANGGAL]))&amp;":"&amp;ADDRESS(ROW(),COLUMN(NOTA[TANGGAL]))),-1)))</f>
        <v/>
      </c>
      <c r="AH80" s="36" t="str">
        <f ca="1">IF(NOTA[[#This Row],[ID_H]]="","",INDEX(NOTA[TGL.NOTA],MATCH(,INDIRECT(ADDRESS(ROW(NOTA[TGL.NOTA]),COLUMN(NOTA[TGL.NOTA]))&amp;":"&amp;ADDRESS(ROW(),COLUMN(NOTA[TGL.NOTA]))),-1)))</f>
        <v/>
      </c>
      <c r="AI80" s="36" t="str">
        <f ca="1">IF(NOTA[[#This Row],[ID_H]]="","",INDEX(NOTA[NO.NOTA],MATCH(NOTA[[#This Row],[ID_H]],NOTA[ID_H],0)))</f>
        <v/>
      </c>
      <c r="AJ80" s="38" t="str">
        <f ca="1">IF(NOTA[[#This Row],[NAMA BARANG]]="","",INDEX(NOTA[SUPPLIER],MATCH(,INDIRECT(ADDRESS(ROW(NOTA[ID]),COLUMN(NOTA[ID]))&amp;":"&amp;ADDRESS(ROW(),COLUMN(NOTA[ID]))),-1)))</f>
        <v/>
      </c>
      <c r="AK80" s="38" t="str">
        <f ca="1">IF(NOTA[[#This Row],[ID_H]]="","",IF(NOTA[[#This Row],[FAKTUR]]="",INDIRECT(ADDRESS(ROW()-1,COLUMN())),NOTA[[#This Row],[FAKTUR]]))</f>
        <v/>
      </c>
      <c r="AL80" s="35" t="str">
        <f ca="1">IF(NOTA[[#This Row],[ID]]="","",COUNTIF(NOTA[ID_H],NOTA[[#This Row],[ID_H]]))</f>
        <v/>
      </c>
      <c r="AM80" s="35" t="str">
        <f ca="1">IF(NOTA[[#This Row],[TGL.NOTA]]="",IF(NOTA[[#This Row],[SUPPLIER_H]]="","",AM70),MONTH(NOTA[[#This Row],[TGL.NOTA]]))</f>
        <v/>
      </c>
      <c r="AN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" s="35" t="str">
        <f>IF(NOTA[[#This Row],[CONCAT1]]="","",MATCH(NOTA[[#This Row],[CONCAT1]],[3]!db[NB NOTA_C],0))</f>
        <v/>
      </c>
      <c r="AS80" s="35" t="str">
        <f>IF(NOTA[[#This Row],[Column5]]="","",TRUE)</f>
        <v/>
      </c>
      <c r="AT80" s="35" t="str">
        <f ca="1">IF(NOTA[[#This Row],[ID_H]]="","",IF(NOTA[[#This Row],[Column3]]=TRUE,NOTA[[#This Row],[Column5]],INDEX([3]!db[QTY/ CTN],NOTA[[#This Row],[//DB]])))</f>
        <v/>
      </c>
      <c r="AU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" s="35" t="str">
        <f ca="1">IF(NOTA[[#This Row],[ID_H]]="","",MATCH(NOTA[[#This Row],[NB NOTA_C_QTY]],[3]!db[NB NOTA_C_QTY+F],0))</f>
        <v/>
      </c>
      <c r="AW80" s="43" t="str">
        <f ca="1">IF(NOTA[[#This Row],[NB NOTA_C_QTY]]="","",ROW()-2)</f>
        <v/>
      </c>
    </row>
    <row r="81" spans="1:49" ht="20.100000000000001" customHeight="1">
      <c r="A81" s="38">
        <f ca="1">IF(INDIRECT(ADDRESS(ROW()-1,COLUMN(NOTA[[#Headers],[ID]])))="ID",1,IF(NOTA[[#This Row],[FAKTUR]]="","",COUNT(INDIRECT(ADDRESS(ROW(NOTA[ID]),COLUMN(NOTA[ID]))&amp;":"&amp;ADDRESS(ROW()-1,COLUMN(NOTA[ID]))))+1))</f>
        <v>23</v>
      </c>
      <c r="B81" s="35">
        <f ca="1">IF(NOTA[[#This Row],[NAMA BARANG]]="","",INDEX(NOTA[ID],MATCH(,INDIRECT(ADDRESS(ROW(NOTA[ID]),COLUMN(NOTA[ID]))&amp;":"&amp;ADDRESS(ROW(),COLUMN(NOTA[ID]))),-1)))</f>
        <v>23</v>
      </c>
      <c r="C81" s="45">
        <v>45481</v>
      </c>
      <c r="D81" s="35" t="s">
        <v>249</v>
      </c>
      <c r="E81" s="35" t="s">
        <v>49</v>
      </c>
      <c r="F81" s="46" t="s">
        <v>250</v>
      </c>
      <c r="G81" s="35"/>
      <c r="H81" s="36">
        <v>45474</v>
      </c>
      <c r="I81" s="35"/>
      <c r="J81" s="35" t="s">
        <v>251</v>
      </c>
      <c r="K81" s="37">
        <v>11</v>
      </c>
      <c r="L81" s="35">
        <v>220</v>
      </c>
      <c r="M81" s="35" t="s">
        <v>50</v>
      </c>
      <c r="N81" s="38">
        <v>61500</v>
      </c>
      <c r="O81" s="39"/>
      <c r="P81" s="47" t="s">
        <v>254</v>
      </c>
      <c r="Q81" s="48"/>
      <c r="R81" s="41"/>
      <c r="T81" s="42"/>
      <c r="U81" s="44"/>
      <c r="V81" s="42">
        <f>IF(NOTA[[#This Row],[HARGA/ CTN]]="",NOTA[[#This Row],[JUMLAH_H]],NOTA[[#This Row],[HARGA/ CTN]]*IF(NOTA[[#This Row],[C]]="",0,NOTA[[#This Row],[C]]))</f>
        <v>13530000</v>
      </c>
      <c r="W81" s="42">
        <f>IF(NOTA[[#This Row],[JUMLAH]]="","",NOTA[[#This Row],[JUMLAH]]*NOTA[[#This Row],[Column6]])</f>
        <v>0</v>
      </c>
      <c r="X81" s="42">
        <f>IF(NOTA[[#This Row],[JUMLAH]]="","",(NOTA[[#This Row],[JUMLAH]]-NOTA[[#This Row],[DISC 1-]])*NOTA[[#This Row],[Column7]])</f>
        <v>0</v>
      </c>
      <c r="Y81" s="42">
        <f>IF(NOTA[[#This Row],[JUMLAH]]="","",(NOTA[[#This Row],[JUMLAH]]-NOTA[[#This Row],[DISC 1-]]-NOTA[[#This Row],[DISC 2-]])*NOTA[[#This Row],[Column8]])</f>
        <v>0</v>
      </c>
      <c r="Z81" s="42">
        <f>IF(NOTA[[#This Row],[JUMLAH]]="","",NOTA[[#This Row],[DISC 1-]]+NOTA[[#This Row],[DISC 2-]]+NOTA[[#This Row],[DISC 3-]])</f>
        <v>0</v>
      </c>
      <c r="AA81" s="42">
        <f>IF(NOTA[[#This Row],[JUMLAH]]="","",NOTA[[#This Row],[JUMLAH]]-NOTA[[#This Row],[DISC]])</f>
        <v>13530000</v>
      </c>
      <c r="AB81" s="42"/>
      <c r="AC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" s="38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F81" s="42">
        <f>IF(OR(NOTA[[#This Row],[QTY]]="",NOTA[[#This Row],[HARGA SATUAN]]="",),"",NOTA[[#This Row],[QTY]]*NOTA[[#This Row],[HARGA SATUAN]])</f>
        <v>13530000</v>
      </c>
      <c r="AG81" s="36">
        <f ca="1">IF(NOTA[[#This Row],[ID_H]]="","",INDEX(NOTA[TANGGAL],MATCH(,INDIRECT(ADDRESS(ROW(NOTA[TANGGAL]),COLUMN(NOTA[TANGGAL]))&amp;":"&amp;ADDRESS(ROW(),COLUMN(NOTA[TANGGAL]))),-1)))</f>
        <v>45481</v>
      </c>
      <c r="AH81" s="36">
        <f ca="1">IF(NOTA[[#This Row],[ID_H]]="","",INDEX(NOTA[TGL.NOTA],MATCH(,INDIRECT(ADDRESS(ROW(NOTA[TGL.NOTA]),COLUMN(NOTA[TGL.NOTA]))&amp;":"&amp;ADDRESS(ROW(),COLUMN(NOTA[TGL.NOTA]))),-1)))</f>
        <v>45474</v>
      </c>
      <c r="AI81" s="36" t="str">
        <f ca="1">IF(NOTA[[#This Row],[ID_H]]="","",INDEX(NOTA[NO.NOTA],MATCH(NOTA[[#This Row],[ID_H]],NOTA[ID_H],0)))</f>
        <v>24/VII/024</v>
      </c>
      <c r="AJ81" s="38" t="str">
        <f ca="1">IF(NOTA[[#This Row],[NAMA BARANG]]="","",INDEX(NOTA[SUPPLIER],MATCH(,INDIRECT(ADDRESS(ROW(NOTA[ID]),COLUMN(NOTA[ID]))&amp;":"&amp;ADDRESS(ROW(),COLUMN(NOTA[ID]))),-1)))</f>
        <v>MSI</v>
      </c>
      <c r="AK81" s="38" t="str">
        <f ca="1">IF(NOTA[[#This Row],[ID_H]]="","",IF(NOTA[[#This Row],[FAKTUR]]="",INDIRECT(ADDRESS(ROW()-1,COLUMN())),NOTA[[#This Row],[FAKTUR]]))</f>
        <v>UNTANA</v>
      </c>
      <c r="AL81" s="35">
        <f ca="1">IF(NOTA[[#This Row],[ID]]="","",COUNTIF(NOTA[ID_H],NOTA[[#This Row],[ID_H]]))</f>
        <v>3</v>
      </c>
      <c r="AM81" s="35">
        <f>IF(NOTA[[#This Row],[TGL.NOTA]]="",IF(NOTA[[#This Row],[SUPPLIER_H]]="","",AM80),MONTH(NOTA[[#This Row],[TGL.NOTA]]))</f>
        <v>7</v>
      </c>
      <c r="AN81" s="35" t="str">
        <f>LOWER(SUBSTITUTE(SUBSTITUTE(SUBSTITUTE(SUBSTITUTE(SUBSTITUTE(SUBSTITUTE(SUBSTITUTE(SUBSTITUTE(SUBSTITUTE(NOTA[[#This Row],[NAMA BARANG]]," ",),".",""),"-",""),"(",""),")",""),",",""),"/",""),"""",""),"+",""))</f>
        <v>stamppadherono2e1460big</v>
      </c>
      <c r="AO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stamppadherono2e1460big1230000</v>
      </c>
      <c r="AP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stamppadherono2e1460big1230000</v>
      </c>
      <c r="AQ81" s="35" t="str">
        <f>IF(NOTA[[#This Row],[SUPPLIER]]="","",NOTA[[#This Row],[SUPPLIER]]&amp;NOTA[[#This Row],[FAKTUR]]&amp;NOTA[[#This Row],[NO.NOTA]]&amp;NOTA[[#This Row],[NO.SJ]]&amp;NOTA[[#This Row],[TGL.NOTA]]&amp;NOTA[[#This Row],[CONCAT1]])</f>
        <v>MSIUNTANA24/VII/02445474stamppadherono2e1460big</v>
      </c>
      <c r="AR81" s="35">
        <f>IF(NOTA[[#This Row],[CONCAT1]]="","",MATCH(NOTA[[#This Row],[CONCAT1]],[3]!db[NB NOTA_C],0))</f>
        <v>2929</v>
      </c>
      <c r="AS81" s="35" t="b">
        <f>IF(NOTA[[#This Row],[Column5]]="","",TRUE)</f>
        <v>1</v>
      </c>
      <c r="AT81" s="35" t="str">
        <f ca="1">IF(NOTA[[#This Row],[ID_H]]="","",IF(NOTA[[#This Row],[Column3]]=TRUE,NOTA[[#This Row],[Column5]],INDEX([3]!db[QTY/ CTN],NOTA[[#This Row],[//DB]])))</f>
        <v>20 LSN</v>
      </c>
      <c r="AU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stamppadherono2e1460big20lsnuntana</v>
      </c>
      <c r="AV81" s="35">
        <f ca="1">IF(NOTA[[#This Row],[ID_H]]="","",MATCH(NOTA[[#This Row],[NB NOTA_C_QTY]],[3]!db[NB NOTA_C_QTY+F],0))</f>
        <v>2929</v>
      </c>
      <c r="AW81" s="43">
        <f ca="1">IF(NOTA[[#This Row],[NB NOTA_C_QTY]]="","",ROW()-2)</f>
        <v>79</v>
      </c>
    </row>
    <row r="82" spans="1:49" ht="20.100000000000001" customHeight="1">
      <c r="A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5">
        <f ca="1">IF(NOTA[[#This Row],[NAMA BARANG]]="","",INDEX(NOTA[ID],MATCH(,INDIRECT(ADDRESS(ROW(NOTA[ID]),COLUMN(NOTA[ID]))&amp;":"&amp;ADDRESS(ROW(),COLUMN(NOTA[ID]))),-1)))</f>
        <v>23</v>
      </c>
      <c r="C82" s="45"/>
      <c r="F82" s="46"/>
      <c r="G82" s="35"/>
      <c r="H82" s="36"/>
      <c r="I82" s="35"/>
      <c r="J82" s="35" t="s">
        <v>252</v>
      </c>
      <c r="K82" s="37">
        <v>3</v>
      </c>
      <c r="L82" s="35">
        <v>72</v>
      </c>
      <c r="M82" s="35" t="s">
        <v>50</v>
      </c>
      <c r="N82" s="38">
        <v>50000</v>
      </c>
      <c r="O82" s="39"/>
      <c r="P82" s="47" t="s">
        <v>119</v>
      </c>
      <c r="Q82" s="48"/>
      <c r="R82" s="41"/>
      <c r="T82" s="42"/>
      <c r="U82" s="44"/>
      <c r="V82" s="42">
        <f>IF(NOTA[[#This Row],[HARGA/ CTN]]="",NOTA[[#This Row],[JUMLAH_H]],NOTA[[#This Row],[HARGA/ CTN]]*IF(NOTA[[#This Row],[C]]="",0,NOTA[[#This Row],[C]]))</f>
        <v>3600000</v>
      </c>
      <c r="W82" s="42">
        <f>IF(NOTA[[#This Row],[JUMLAH]]="","",NOTA[[#This Row],[JUMLAH]]*NOTA[[#This Row],[Column6]])</f>
        <v>0</v>
      </c>
      <c r="X82" s="42">
        <f>IF(NOTA[[#This Row],[JUMLAH]]="","",(NOTA[[#This Row],[JUMLAH]]-NOTA[[#This Row],[DISC 1-]])*NOTA[[#This Row],[Column7]])</f>
        <v>0</v>
      </c>
      <c r="Y82" s="42">
        <f>IF(NOTA[[#This Row],[JUMLAH]]="","",(NOTA[[#This Row],[JUMLAH]]-NOTA[[#This Row],[DISC 1-]]-NOTA[[#This Row],[DISC 2-]])*NOTA[[#This Row],[Column8]])</f>
        <v>0</v>
      </c>
      <c r="Z82" s="42">
        <f>IF(NOTA[[#This Row],[JUMLAH]]="","",NOTA[[#This Row],[DISC 1-]]+NOTA[[#This Row],[DISC 2-]]+NOTA[[#This Row],[DISC 3-]])</f>
        <v>0</v>
      </c>
      <c r="AA82" s="42">
        <f>IF(NOTA[[#This Row],[JUMLAH]]="","",NOTA[[#This Row],[JUMLAH]]-NOTA[[#This Row],[DISC]])</f>
        <v>3600000</v>
      </c>
      <c r="AB82" s="42"/>
      <c r="AC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" s="38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82" s="42">
        <f>IF(OR(NOTA[[#This Row],[QTY]]="",NOTA[[#This Row],[HARGA SATUAN]]="",),"",NOTA[[#This Row],[QTY]]*NOTA[[#This Row],[HARGA SATUAN]])</f>
        <v>3600000</v>
      </c>
      <c r="AG82" s="36">
        <f ca="1">IF(NOTA[[#This Row],[ID_H]]="","",INDEX(NOTA[TANGGAL],MATCH(,INDIRECT(ADDRESS(ROW(NOTA[TANGGAL]),COLUMN(NOTA[TANGGAL]))&amp;":"&amp;ADDRESS(ROW(),COLUMN(NOTA[TANGGAL]))),-1)))</f>
        <v>45481</v>
      </c>
      <c r="AH82" s="36">
        <f ca="1">IF(NOTA[[#This Row],[ID_H]]="","",INDEX(NOTA[TGL.NOTA],MATCH(,INDIRECT(ADDRESS(ROW(NOTA[TGL.NOTA]),COLUMN(NOTA[TGL.NOTA]))&amp;":"&amp;ADDRESS(ROW(),COLUMN(NOTA[TGL.NOTA]))),-1)))</f>
        <v>45474</v>
      </c>
      <c r="AI82" s="36" t="str">
        <f ca="1">IF(NOTA[[#This Row],[ID_H]]="","",INDEX(NOTA[NO.NOTA],MATCH(NOTA[[#This Row],[ID_H]],NOTA[ID_H],0)))</f>
        <v>24/VII/024</v>
      </c>
      <c r="AJ82" s="38" t="str">
        <f ca="1">IF(NOTA[[#This Row],[NAMA BARANG]]="","",INDEX(NOTA[SUPPLIER],MATCH(,INDIRECT(ADDRESS(ROW(NOTA[ID]),COLUMN(NOTA[ID]))&amp;":"&amp;ADDRESS(ROW(),COLUMN(NOTA[ID]))),-1)))</f>
        <v>MSI</v>
      </c>
      <c r="AK82" s="38" t="str">
        <f ca="1">IF(NOTA[[#This Row],[ID_H]]="","",IF(NOTA[[#This Row],[FAKTUR]]="",INDIRECT(ADDRESS(ROW()-1,COLUMN())),NOTA[[#This Row],[FAKTUR]]))</f>
        <v>UNTANA</v>
      </c>
      <c r="AL82" s="35" t="str">
        <f ca="1">IF(NOTA[[#This Row],[ID]]="","",COUNTIF(NOTA[ID_H],NOTA[[#This Row],[ID_H]]))</f>
        <v/>
      </c>
      <c r="AM82" s="35">
        <f ca="1">IF(NOTA[[#This Row],[TGL.NOTA]]="",IF(NOTA[[#This Row],[SUPPLIER_H]]="","",AM81),MONTH(NOTA[[#This Row],[TGL.NOTA]]))</f>
        <v>7</v>
      </c>
      <c r="AN82" s="35" t="str">
        <f>LOWER(SUBSTITUTE(SUBSTITUTE(SUBSTITUTE(SUBSTITUTE(SUBSTITUTE(SUBSTITUTE(SUBSTITUTE(SUBSTITUTE(SUBSTITUTE(NOTA[[#This Row],[NAMA BARANG]]," ",),".",""),"-",""),"(",""),")",""),",",""),"/",""),"""",""),"+",""))</f>
        <v>stamppadherono3e2460small</v>
      </c>
      <c r="AO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stamppadherono3e2460small1200000</v>
      </c>
      <c r="AP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stamppadherono3e2460small1200000</v>
      </c>
      <c r="AQ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" s="35">
        <f>IF(NOTA[[#This Row],[CONCAT1]]="","",MATCH(NOTA[[#This Row],[CONCAT1]],[3]!db[NB NOTA_C],0))</f>
        <v>2930</v>
      </c>
      <c r="AS82" s="35" t="b">
        <f>IF(NOTA[[#This Row],[Column5]]="","",TRUE)</f>
        <v>1</v>
      </c>
      <c r="AT82" s="35" t="str">
        <f ca="1">IF(NOTA[[#This Row],[ID_H]]="","",IF(NOTA[[#This Row],[Column3]]=TRUE,NOTA[[#This Row],[Column5]],INDEX([3]!db[QTY/ CTN],NOTA[[#This Row],[//DB]])))</f>
        <v>24 LSN</v>
      </c>
      <c r="AU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stamppadherono3e2460small24lsnuntana</v>
      </c>
      <c r="AV82" s="35">
        <f ca="1">IF(NOTA[[#This Row],[ID_H]]="","",MATCH(NOTA[[#This Row],[NB NOTA_C_QTY]],[3]!db[NB NOTA_C_QTY+F],0))</f>
        <v>2930</v>
      </c>
      <c r="AW82" s="43">
        <f ca="1">IF(NOTA[[#This Row],[NB NOTA_C_QTY]]="","",ROW()-2)</f>
        <v>80</v>
      </c>
    </row>
    <row r="83" spans="1:49" ht="20.100000000000001" customHeight="1">
      <c r="A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5">
        <f ca="1">IF(NOTA[[#This Row],[NAMA BARANG]]="","",INDEX(NOTA[ID],MATCH(,INDIRECT(ADDRESS(ROW(NOTA[ID]),COLUMN(NOTA[ID]))&amp;":"&amp;ADDRESS(ROW(),COLUMN(NOTA[ID]))),-1)))</f>
        <v>23</v>
      </c>
      <c r="C83" s="45"/>
      <c r="F83" s="46"/>
      <c r="G83" s="35"/>
      <c r="H83" s="36"/>
      <c r="I83" s="35"/>
      <c r="J83" s="49" t="s">
        <v>253</v>
      </c>
      <c r="K83" s="37">
        <v>3</v>
      </c>
      <c r="L83" s="35">
        <v>300</v>
      </c>
      <c r="M83" s="35" t="s">
        <v>51</v>
      </c>
      <c r="N83" s="38">
        <v>12500</v>
      </c>
      <c r="O83" s="39"/>
      <c r="P83" s="47" t="s">
        <v>234</v>
      </c>
      <c r="Q83" s="48"/>
      <c r="R83" s="41"/>
      <c r="T83" s="42"/>
      <c r="U83" s="44"/>
      <c r="V83" s="42">
        <f>IF(NOTA[[#This Row],[HARGA/ CTN]]="",NOTA[[#This Row],[JUMLAH_H]],NOTA[[#This Row],[HARGA/ CTN]]*IF(NOTA[[#This Row],[C]]="",0,NOTA[[#This Row],[C]]))</f>
        <v>3750000</v>
      </c>
      <c r="W83" s="42">
        <f>IF(NOTA[[#This Row],[JUMLAH]]="","",NOTA[[#This Row],[JUMLAH]]*NOTA[[#This Row],[Column6]])</f>
        <v>0</v>
      </c>
      <c r="X83" s="42">
        <f>IF(NOTA[[#This Row],[JUMLAH]]="","",(NOTA[[#This Row],[JUMLAH]]-NOTA[[#This Row],[DISC 1-]])*NOTA[[#This Row],[Column7]])</f>
        <v>0</v>
      </c>
      <c r="Y83" s="42">
        <f>IF(NOTA[[#This Row],[JUMLAH]]="","",(NOTA[[#This Row],[JUMLAH]]-NOTA[[#This Row],[DISC 1-]]-NOTA[[#This Row],[DISC 2-]])*NOTA[[#This Row],[Column8]])</f>
        <v>0</v>
      </c>
      <c r="Z83" s="42">
        <f>IF(NOTA[[#This Row],[JUMLAH]]="","",NOTA[[#This Row],[DISC 1-]]+NOTA[[#This Row],[DISC 2-]]+NOTA[[#This Row],[DISC 3-]])</f>
        <v>0</v>
      </c>
      <c r="AA83" s="42">
        <f>IF(NOTA[[#This Row],[JUMLAH]]="","",NOTA[[#This Row],[JUMLAH]]-NOTA[[#This Row],[DISC]])</f>
        <v>3750000</v>
      </c>
      <c r="AB83" s="42"/>
      <c r="AC8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20880000</v>
      </c>
      <c r="AE83" s="3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83" s="42">
        <f>IF(OR(NOTA[[#This Row],[QTY]]="",NOTA[[#This Row],[HARGA SATUAN]]="",),"",NOTA[[#This Row],[QTY]]*NOTA[[#This Row],[HARGA SATUAN]])</f>
        <v>3750000</v>
      </c>
      <c r="AG83" s="36">
        <f ca="1">IF(NOTA[[#This Row],[ID_H]]="","",INDEX(NOTA[TANGGAL],MATCH(,INDIRECT(ADDRESS(ROW(NOTA[TANGGAL]),COLUMN(NOTA[TANGGAL]))&amp;":"&amp;ADDRESS(ROW(),COLUMN(NOTA[TANGGAL]))),-1)))</f>
        <v>45481</v>
      </c>
      <c r="AH83" s="36">
        <f ca="1">IF(NOTA[[#This Row],[ID_H]]="","",INDEX(NOTA[TGL.NOTA],MATCH(,INDIRECT(ADDRESS(ROW(NOTA[TGL.NOTA]),COLUMN(NOTA[TGL.NOTA]))&amp;":"&amp;ADDRESS(ROW(),COLUMN(NOTA[TGL.NOTA]))),-1)))</f>
        <v>45474</v>
      </c>
      <c r="AI83" s="36" t="str">
        <f ca="1">IF(NOTA[[#This Row],[ID_H]]="","",INDEX(NOTA[NO.NOTA],MATCH(NOTA[[#This Row],[ID_H]],NOTA[ID_H],0)))</f>
        <v>24/VII/024</v>
      </c>
      <c r="AJ83" s="38" t="str">
        <f ca="1">IF(NOTA[[#This Row],[NAMA BARANG]]="","",INDEX(NOTA[SUPPLIER],MATCH(,INDIRECT(ADDRESS(ROW(NOTA[ID]),COLUMN(NOTA[ID]))&amp;":"&amp;ADDRESS(ROW(),COLUMN(NOTA[ID]))),-1)))</f>
        <v>MSI</v>
      </c>
      <c r="AK83" s="38" t="str">
        <f ca="1">IF(NOTA[[#This Row],[ID_H]]="","",IF(NOTA[[#This Row],[FAKTUR]]="",INDIRECT(ADDRESS(ROW()-1,COLUMN())),NOTA[[#This Row],[FAKTUR]]))</f>
        <v>UNTANA</v>
      </c>
      <c r="AL83" s="35" t="str">
        <f ca="1">IF(NOTA[[#This Row],[ID]]="","",COUNTIF(NOTA[ID_H],NOTA[[#This Row],[ID_H]]))</f>
        <v/>
      </c>
      <c r="AM83" s="35">
        <f ca="1">IF(NOTA[[#This Row],[TGL.NOTA]]="",IF(NOTA[[#This Row],[SUPPLIER_H]]="","",AM82),MONTH(NOTA[[#This Row],[TGL.NOTA]]))</f>
        <v>7</v>
      </c>
      <c r="AN83" s="35" t="str">
        <f>LOWER(SUBSTITUTE(SUBSTITUTE(SUBSTITUTE(SUBSTITUTE(SUBSTITUTE(SUBSTITUTE(SUBSTITUTE(SUBSTITUTE(SUBSTITUTE(NOTA[[#This Row],[NAMA BARANG]]," ",),".",""),"-",""),"(",""),")",""),",",""),"/",""),"""",""),"+",""))</f>
        <v>postercolorspaint</v>
      </c>
      <c r="AO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postercolorspaint1250000</v>
      </c>
      <c r="AP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postercolorspaint1250000</v>
      </c>
      <c r="AQ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" s="35">
        <f>IF(NOTA[[#This Row],[CONCAT1]]="","",MATCH(NOTA[[#This Row],[CONCAT1]],[3]!db[NB NOTA_C],0))</f>
        <v>3377</v>
      </c>
      <c r="AS83" s="35" t="b">
        <f>IF(NOTA[[#This Row],[Column5]]="","",TRUE)</f>
        <v>1</v>
      </c>
      <c r="AT83" s="35" t="str">
        <f ca="1">IF(NOTA[[#This Row],[ID_H]]="","",IF(NOTA[[#This Row],[Column3]]=TRUE,NOTA[[#This Row],[Column5]],INDEX([3]!db[QTY/ CTN],NOTA[[#This Row],[//DB]])))</f>
        <v>100 PCS</v>
      </c>
      <c r="AU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postercolorspaint100pcsuntana</v>
      </c>
      <c r="AV83" s="35">
        <f ca="1">IF(NOTA[[#This Row],[ID_H]]="","",MATCH(NOTA[[#This Row],[NB NOTA_C_QTY]],[3]!db[NB NOTA_C_QTY+F],0))</f>
        <v>3377</v>
      </c>
      <c r="AW83" s="43">
        <f ca="1">IF(NOTA[[#This Row],[NB NOTA_C_QTY]]="","",ROW()-2)</f>
        <v>81</v>
      </c>
    </row>
    <row r="84" spans="1:49" ht="20.100000000000001" customHeight="1">
      <c r="A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5" t="str">
        <f ca="1">IF(NOTA[[#This Row],[NAMA BARANG]]="","",INDEX(NOTA[ID],MATCH(,INDIRECT(ADDRESS(ROW(NOTA[ID]),COLUMN(NOTA[ID]))&amp;":"&amp;ADDRESS(ROW(),COLUMN(NOTA[ID]))),-1)))</f>
        <v/>
      </c>
      <c r="C84" s="45"/>
      <c r="F84" s="46"/>
      <c r="G84" s="35"/>
      <c r="H84" s="36"/>
      <c r="I84" s="35"/>
      <c r="J84" s="49"/>
      <c r="K84" s="37"/>
      <c r="L84" s="35"/>
      <c r="N84" s="38"/>
      <c r="O84" s="39"/>
      <c r="P84" s="47"/>
      <c r="Q84" s="48"/>
      <c r="R84" s="41"/>
      <c r="T84" s="42"/>
      <c r="U84" s="44"/>
      <c r="V84" s="42" t="str">
        <f>IF(NOTA[[#This Row],[HARGA/ CTN]]="",NOTA[[#This Row],[JUMLAH_H]],NOTA[[#This Row],[HARGA/ CTN]]*IF(NOTA[[#This Row],[C]]="",0,NOTA[[#This Row],[C]]))</f>
        <v/>
      </c>
      <c r="W84" s="42" t="str">
        <f>IF(NOTA[[#This Row],[JUMLAH]]="","",NOTA[[#This Row],[JUMLAH]]*NOTA[[#This Row],[Column6]])</f>
        <v/>
      </c>
      <c r="X84" s="42" t="str">
        <f>IF(NOTA[[#This Row],[JUMLAH]]="","",(NOTA[[#This Row],[JUMLAH]]-NOTA[[#This Row],[DISC 1-]])*NOTA[[#This Row],[Column7]])</f>
        <v/>
      </c>
      <c r="Y84" s="42" t="str">
        <f>IF(NOTA[[#This Row],[JUMLAH]]="","",(NOTA[[#This Row],[JUMLAH]]-NOTA[[#This Row],[DISC 1-]]-NOTA[[#This Row],[DISC 2-]])*NOTA[[#This Row],[Column8]])</f>
        <v/>
      </c>
      <c r="Z84" s="42" t="str">
        <f>IF(NOTA[[#This Row],[JUMLAH]]="","",NOTA[[#This Row],[DISC 1-]]+NOTA[[#This Row],[DISC 2-]]+NOTA[[#This Row],[DISC 3-]])</f>
        <v/>
      </c>
      <c r="AA84" s="42" t="str">
        <f>IF(NOTA[[#This Row],[JUMLAH]]="","",NOTA[[#This Row],[JUMLAH]]-NOTA[[#This Row],[DISC]])</f>
        <v/>
      </c>
      <c r="AB84" s="42"/>
      <c r="AC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42" t="str">
        <f>IF(OR(NOTA[[#This Row],[QTY]]="",NOTA[[#This Row],[HARGA SATUAN]]="",),"",NOTA[[#This Row],[QTY]]*NOTA[[#This Row],[HARGA SATUAN]])</f>
        <v/>
      </c>
      <c r="AG84" s="36" t="str">
        <f ca="1">IF(NOTA[[#This Row],[ID_H]]="","",INDEX(NOTA[TANGGAL],MATCH(,INDIRECT(ADDRESS(ROW(NOTA[TANGGAL]),COLUMN(NOTA[TANGGAL]))&amp;":"&amp;ADDRESS(ROW(),COLUMN(NOTA[TANGGAL]))),-1)))</f>
        <v/>
      </c>
      <c r="AH84" s="36" t="str">
        <f ca="1">IF(NOTA[[#This Row],[ID_H]]="","",INDEX(NOTA[TGL.NOTA],MATCH(,INDIRECT(ADDRESS(ROW(NOTA[TGL.NOTA]),COLUMN(NOTA[TGL.NOTA]))&amp;":"&amp;ADDRESS(ROW(),COLUMN(NOTA[TGL.NOTA]))),-1)))</f>
        <v/>
      </c>
      <c r="AI84" s="36" t="str">
        <f ca="1">IF(NOTA[[#This Row],[ID_H]]="","",INDEX(NOTA[NO.NOTA],MATCH(NOTA[[#This Row],[ID_H]],NOTA[ID_H],0)))</f>
        <v/>
      </c>
      <c r="AJ84" s="38" t="str">
        <f ca="1">IF(NOTA[[#This Row],[NAMA BARANG]]="","",INDEX(NOTA[SUPPLIER],MATCH(,INDIRECT(ADDRESS(ROW(NOTA[ID]),COLUMN(NOTA[ID]))&amp;":"&amp;ADDRESS(ROW(),COLUMN(NOTA[ID]))),-1)))</f>
        <v/>
      </c>
      <c r="AK84" s="38" t="str">
        <f ca="1">IF(NOTA[[#This Row],[ID_H]]="","",IF(NOTA[[#This Row],[FAKTUR]]="",INDIRECT(ADDRESS(ROW()-1,COLUMN())),NOTA[[#This Row],[FAKTUR]]))</f>
        <v/>
      </c>
      <c r="AL84" s="35" t="str">
        <f ca="1">IF(NOTA[[#This Row],[ID]]="","",COUNTIF(NOTA[ID_H],NOTA[[#This Row],[ID_H]]))</f>
        <v/>
      </c>
      <c r="AM84" s="35" t="str">
        <f ca="1">IF(NOTA[[#This Row],[TGL.NOTA]]="",IF(NOTA[[#This Row],[SUPPLIER_H]]="","",AM83),MONTH(NOTA[[#This Row],[TGL.NOTA]]))</f>
        <v/>
      </c>
      <c r="AN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" s="35" t="str">
        <f>IF(NOTA[[#This Row],[CONCAT1]]="","",MATCH(NOTA[[#This Row],[CONCAT1]],[3]!db[NB NOTA_C],0))</f>
        <v/>
      </c>
      <c r="AS84" s="35" t="str">
        <f>IF(NOTA[[#This Row],[Column5]]="","",TRUE)</f>
        <v/>
      </c>
      <c r="AT84" s="35" t="str">
        <f ca="1">IF(NOTA[[#This Row],[ID_H]]="","",IF(NOTA[[#This Row],[Column3]]=TRUE,NOTA[[#This Row],[Column5]],INDEX([3]!db[QTY/ CTN],NOTA[[#This Row],[//DB]])))</f>
        <v/>
      </c>
      <c r="AU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" s="35" t="str">
        <f ca="1">IF(NOTA[[#This Row],[ID_H]]="","",MATCH(NOTA[[#This Row],[NB NOTA_C_QTY]],[3]!db[NB NOTA_C_QTY+F],0))</f>
        <v/>
      </c>
      <c r="AW84" s="43" t="str">
        <f ca="1">IF(NOTA[[#This Row],[NB NOTA_C_QTY]]="","",ROW()-2)</f>
        <v/>
      </c>
    </row>
    <row r="85" spans="1:49" ht="20.100000000000001" customHeight="1">
      <c r="A85" s="38">
        <f ca="1">IF(INDIRECT(ADDRESS(ROW()-1,COLUMN(NOTA[[#Headers],[ID]])))="ID",1,IF(NOTA[[#This Row],[FAKTUR]]="","",COUNT(INDIRECT(ADDRESS(ROW(NOTA[ID]),COLUMN(NOTA[ID]))&amp;":"&amp;ADDRESS(ROW()-1,COLUMN(NOTA[ID]))))+1))</f>
        <v>24</v>
      </c>
      <c r="B85" s="35">
        <f ca="1">IF(NOTA[[#This Row],[NAMA BARANG]]="","",INDEX(NOTA[ID],MATCH(,INDIRECT(ADDRESS(ROW(NOTA[ID]),COLUMN(NOTA[ID]))&amp;":"&amp;ADDRESS(ROW(),COLUMN(NOTA[ID]))),-1)))</f>
        <v>24</v>
      </c>
      <c r="C85" s="45">
        <v>45481</v>
      </c>
      <c r="D85" s="35" t="s">
        <v>249</v>
      </c>
      <c r="E85" s="35" t="s">
        <v>49</v>
      </c>
      <c r="F85" s="46" t="s">
        <v>255</v>
      </c>
      <c r="G85" s="35"/>
      <c r="H85" s="36">
        <v>45476</v>
      </c>
      <c r="I85" s="35"/>
      <c r="J85" s="50" t="s">
        <v>256</v>
      </c>
      <c r="K85" s="37">
        <v>30</v>
      </c>
      <c r="L85" s="35">
        <v>5760</v>
      </c>
      <c r="M85" s="35" t="s">
        <v>50</v>
      </c>
      <c r="N85" s="38">
        <v>10000</v>
      </c>
      <c r="O85" s="39"/>
      <c r="P85" s="47" t="s">
        <v>257</v>
      </c>
      <c r="Q85" s="48"/>
      <c r="R85" s="41"/>
      <c r="T85" s="42"/>
      <c r="U85" s="44"/>
      <c r="V85" s="42">
        <f>IF(NOTA[[#This Row],[HARGA/ CTN]]="",NOTA[[#This Row],[JUMLAH_H]],NOTA[[#This Row],[HARGA/ CTN]]*IF(NOTA[[#This Row],[C]]="",0,NOTA[[#This Row],[C]]))</f>
        <v>57600000</v>
      </c>
      <c r="W85" s="42">
        <f>IF(NOTA[[#This Row],[JUMLAH]]="","",NOTA[[#This Row],[JUMLAH]]*NOTA[[#This Row],[Column6]])</f>
        <v>0</v>
      </c>
      <c r="X85" s="42">
        <f>IF(NOTA[[#This Row],[JUMLAH]]="","",(NOTA[[#This Row],[JUMLAH]]-NOTA[[#This Row],[DISC 1-]])*NOTA[[#This Row],[Column7]])</f>
        <v>0</v>
      </c>
      <c r="Y85" s="42">
        <f>IF(NOTA[[#This Row],[JUMLAH]]="","",(NOTA[[#This Row],[JUMLAH]]-NOTA[[#This Row],[DISC 1-]]-NOTA[[#This Row],[DISC 2-]])*NOTA[[#This Row],[Column8]])</f>
        <v>0</v>
      </c>
      <c r="Z85" s="42">
        <f>IF(NOTA[[#This Row],[JUMLAH]]="","",NOTA[[#This Row],[DISC 1-]]+NOTA[[#This Row],[DISC 2-]]+NOTA[[#This Row],[DISC 3-]])</f>
        <v>0</v>
      </c>
      <c r="AA85" s="42">
        <f>IF(NOTA[[#This Row],[JUMLAH]]="","",NOTA[[#This Row],[JUMLAH]]-NOTA[[#This Row],[DISC]])</f>
        <v>57600000</v>
      </c>
      <c r="AB85" s="42"/>
      <c r="AC8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57600000</v>
      </c>
      <c r="AE85" s="3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85" s="42">
        <f>IF(OR(NOTA[[#This Row],[QTY]]="",NOTA[[#This Row],[HARGA SATUAN]]="",),"",NOTA[[#This Row],[QTY]]*NOTA[[#This Row],[HARGA SATUAN]])</f>
        <v>57600000</v>
      </c>
      <c r="AG85" s="36">
        <f ca="1">IF(NOTA[[#This Row],[ID_H]]="","",INDEX(NOTA[TANGGAL],MATCH(,INDIRECT(ADDRESS(ROW(NOTA[TANGGAL]),COLUMN(NOTA[TANGGAL]))&amp;":"&amp;ADDRESS(ROW(),COLUMN(NOTA[TANGGAL]))),-1)))</f>
        <v>45481</v>
      </c>
      <c r="AH85" s="36">
        <f ca="1">IF(NOTA[[#This Row],[ID_H]]="","",INDEX(NOTA[TGL.NOTA],MATCH(,INDIRECT(ADDRESS(ROW(NOTA[TGL.NOTA]),COLUMN(NOTA[TGL.NOTA]))&amp;":"&amp;ADDRESS(ROW(),COLUMN(NOTA[TGL.NOTA]))),-1)))</f>
        <v>45476</v>
      </c>
      <c r="AI85" s="36" t="str">
        <f ca="1">IF(NOTA[[#This Row],[ID_H]]="","",INDEX(NOTA[NO.NOTA],MATCH(NOTA[[#This Row],[ID_H]],NOTA[ID_H],0)))</f>
        <v>24/VII/058</v>
      </c>
      <c r="AJ85" s="38" t="str">
        <f ca="1">IF(NOTA[[#This Row],[NAMA BARANG]]="","",INDEX(NOTA[SUPPLIER],MATCH(,INDIRECT(ADDRESS(ROW(NOTA[ID]),COLUMN(NOTA[ID]))&amp;":"&amp;ADDRESS(ROW(),COLUMN(NOTA[ID]))),-1)))</f>
        <v>MSI</v>
      </c>
      <c r="AK85" s="38" t="str">
        <f ca="1">IF(NOTA[[#This Row],[ID_H]]="","",IF(NOTA[[#This Row],[FAKTUR]]="",INDIRECT(ADDRESS(ROW()-1,COLUMN())),NOTA[[#This Row],[FAKTUR]]))</f>
        <v>UNTANA</v>
      </c>
      <c r="AL85" s="35">
        <f ca="1">IF(NOTA[[#This Row],[ID]]="","",COUNTIF(NOTA[ID_H],NOTA[[#This Row],[ID_H]]))</f>
        <v>1</v>
      </c>
      <c r="AM85" s="35">
        <f>IF(NOTA[[#This Row],[TGL.NOTA]]="",IF(NOTA[[#This Row],[SUPPLIER_H]]="","",AM84),MONTH(NOTA[[#This Row],[TGL.NOTA]]))</f>
        <v>7</v>
      </c>
      <c r="AN85" s="35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O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gelpenzuizhuahy1020hitam1920000</v>
      </c>
      <c r="AP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gelpenzuizhuahy1020hitam1920000</v>
      </c>
      <c r="AQ85" s="35" t="str">
        <f>IF(NOTA[[#This Row],[SUPPLIER]]="","",NOTA[[#This Row],[SUPPLIER]]&amp;NOTA[[#This Row],[FAKTUR]]&amp;NOTA[[#This Row],[NO.NOTA]]&amp;NOTA[[#This Row],[NO.SJ]]&amp;NOTA[[#This Row],[TGL.NOTA]]&amp;NOTA[[#This Row],[CONCAT1]])</f>
        <v>MSIUNTANA24/VII/05845476gelpenzuizhuahy1020hitam</v>
      </c>
      <c r="AR85" s="35">
        <f>IF(NOTA[[#This Row],[CONCAT1]]="","",MATCH(NOTA[[#This Row],[CONCAT1]],[3]!db[NB NOTA_C],0))</f>
        <v>1138</v>
      </c>
      <c r="AS85" s="35" t="b">
        <f>IF(NOTA[[#This Row],[Column5]]="","",TRUE)</f>
        <v>1</v>
      </c>
      <c r="AT85" s="35" t="str">
        <f ca="1">IF(NOTA[[#This Row],[ID_H]]="","",IF(NOTA[[#This Row],[Column3]]=TRUE,NOTA[[#This Row],[Column5]],INDEX([3]!db[QTY/ CTN],NOTA[[#This Row],[//DB]])))</f>
        <v>192 LSN</v>
      </c>
      <c r="AU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V85" s="35">
        <f ca="1">IF(NOTA[[#This Row],[ID_H]]="","",MATCH(NOTA[[#This Row],[NB NOTA_C_QTY]],[3]!db[NB NOTA_C_QTY+F],0))</f>
        <v>1138</v>
      </c>
      <c r="AW85" s="43">
        <f ca="1">IF(NOTA[[#This Row],[NB NOTA_C_QTY]]="","",ROW()-2)</f>
        <v>83</v>
      </c>
    </row>
    <row r="86" spans="1:49" ht="20.100000000000001" customHeight="1">
      <c r="A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5" t="str">
        <f ca="1">IF(NOTA[[#This Row],[NAMA BARANG]]="","",INDEX(NOTA[ID],MATCH(,INDIRECT(ADDRESS(ROW(NOTA[ID]),COLUMN(NOTA[ID]))&amp;":"&amp;ADDRESS(ROW(),COLUMN(NOTA[ID]))),-1)))</f>
        <v/>
      </c>
      <c r="C86" s="45"/>
      <c r="F86" s="46"/>
      <c r="G86" s="35"/>
      <c r="H86" s="36"/>
      <c r="I86" s="35"/>
      <c r="K86" s="37"/>
      <c r="L86" s="35"/>
      <c r="N86" s="38"/>
      <c r="O86" s="39"/>
      <c r="P86" s="47"/>
      <c r="Q86" s="48"/>
      <c r="R86" s="41"/>
      <c r="T86" s="42"/>
      <c r="U86" s="44"/>
      <c r="V86" s="42" t="str">
        <f>IF(NOTA[[#This Row],[HARGA/ CTN]]="",NOTA[[#This Row],[JUMLAH_H]],NOTA[[#This Row],[HARGA/ CTN]]*IF(NOTA[[#This Row],[C]]="",0,NOTA[[#This Row],[C]]))</f>
        <v/>
      </c>
      <c r="W86" s="42" t="str">
        <f>IF(NOTA[[#This Row],[JUMLAH]]="","",NOTA[[#This Row],[JUMLAH]]*NOTA[[#This Row],[Column6]])</f>
        <v/>
      </c>
      <c r="X86" s="42" t="str">
        <f>IF(NOTA[[#This Row],[JUMLAH]]="","",(NOTA[[#This Row],[JUMLAH]]-NOTA[[#This Row],[DISC 1-]])*NOTA[[#This Row],[Column7]])</f>
        <v/>
      </c>
      <c r="Y86" s="42" t="str">
        <f>IF(NOTA[[#This Row],[JUMLAH]]="","",(NOTA[[#This Row],[JUMLAH]]-NOTA[[#This Row],[DISC 1-]]-NOTA[[#This Row],[DISC 2-]])*NOTA[[#This Row],[Column8]])</f>
        <v/>
      </c>
      <c r="Z86" s="42" t="str">
        <f>IF(NOTA[[#This Row],[JUMLAH]]="","",NOTA[[#This Row],[DISC 1-]]+NOTA[[#This Row],[DISC 2-]]+NOTA[[#This Row],[DISC 3-]])</f>
        <v/>
      </c>
      <c r="AA86" s="42" t="str">
        <f>IF(NOTA[[#This Row],[JUMLAH]]="","",NOTA[[#This Row],[JUMLAH]]-NOTA[[#This Row],[DISC]])</f>
        <v/>
      </c>
      <c r="AB86" s="42"/>
      <c r="AC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" s="42" t="str">
        <f>IF(OR(NOTA[[#This Row],[QTY]]="",NOTA[[#This Row],[HARGA SATUAN]]="",),"",NOTA[[#This Row],[QTY]]*NOTA[[#This Row],[HARGA SATUAN]])</f>
        <v/>
      </c>
      <c r="AG86" s="36" t="str">
        <f ca="1">IF(NOTA[[#This Row],[ID_H]]="","",INDEX(NOTA[TANGGAL],MATCH(,INDIRECT(ADDRESS(ROW(NOTA[TANGGAL]),COLUMN(NOTA[TANGGAL]))&amp;":"&amp;ADDRESS(ROW(),COLUMN(NOTA[TANGGAL]))),-1)))</f>
        <v/>
      </c>
      <c r="AH86" s="36" t="str">
        <f ca="1">IF(NOTA[[#This Row],[ID_H]]="","",INDEX(NOTA[TGL.NOTA],MATCH(,INDIRECT(ADDRESS(ROW(NOTA[TGL.NOTA]),COLUMN(NOTA[TGL.NOTA]))&amp;":"&amp;ADDRESS(ROW(),COLUMN(NOTA[TGL.NOTA]))),-1)))</f>
        <v/>
      </c>
      <c r="AI86" s="36" t="str">
        <f ca="1">IF(NOTA[[#This Row],[ID_H]]="","",INDEX(NOTA[NO.NOTA],MATCH(NOTA[[#This Row],[ID_H]],NOTA[ID_H],0)))</f>
        <v/>
      </c>
      <c r="AJ86" s="38" t="str">
        <f ca="1">IF(NOTA[[#This Row],[NAMA BARANG]]="","",INDEX(NOTA[SUPPLIER],MATCH(,INDIRECT(ADDRESS(ROW(NOTA[ID]),COLUMN(NOTA[ID]))&amp;":"&amp;ADDRESS(ROW(),COLUMN(NOTA[ID]))),-1)))</f>
        <v/>
      </c>
      <c r="AK86" s="38" t="str">
        <f ca="1">IF(NOTA[[#This Row],[ID_H]]="","",IF(NOTA[[#This Row],[FAKTUR]]="",INDIRECT(ADDRESS(ROW()-1,COLUMN())),NOTA[[#This Row],[FAKTUR]]))</f>
        <v/>
      </c>
      <c r="AL86" s="35" t="str">
        <f ca="1">IF(NOTA[[#This Row],[ID]]="","",COUNTIF(NOTA[ID_H],NOTA[[#This Row],[ID_H]]))</f>
        <v/>
      </c>
      <c r="AM86" s="35" t="str">
        <f ca="1">IF(NOTA[[#This Row],[TGL.NOTA]]="",IF(NOTA[[#This Row],[SUPPLIER_H]]="","",AM85),MONTH(NOTA[[#This Row],[TGL.NOTA]]))</f>
        <v/>
      </c>
      <c r="AN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" s="35" t="str">
        <f>IF(NOTA[[#This Row],[CONCAT1]]="","",MATCH(NOTA[[#This Row],[CONCAT1]],[3]!db[NB NOTA_C],0))</f>
        <v/>
      </c>
      <c r="AS86" s="35" t="str">
        <f>IF(NOTA[[#This Row],[Column5]]="","",TRUE)</f>
        <v/>
      </c>
      <c r="AT86" s="35" t="str">
        <f ca="1">IF(NOTA[[#This Row],[ID_H]]="","",IF(NOTA[[#This Row],[Column3]]=TRUE,NOTA[[#This Row],[Column5]],INDEX([3]!db[QTY/ CTN],NOTA[[#This Row],[//DB]])))</f>
        <v/>
      </c>
      <c r="AU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" s="35" t="str">
        <f ca="1">IF(NOTA[[#This Row],[ID_H]]="","",MATCH(NOTA[[#This Row],[NB NOTA_C_QTY]],[3]!db[NB NOTA_C_QTY+F],0))</f>
        <v/>
      </c>
      <c r="AW86" s="43" t="str">
        <f ca="1">IF(NOTA[[#This Row],[NB NOTA_C_QTY]]="","",ROW()-2)</f>
        <v/>
      </c>
    </row>
    <row r="87" spans="1:49" ht="20.100000000000001" customHeight="1">
      <c r="A87" s="38">
        <f ca="1">IF(INDIRECT(ADDRESS(ROW()-1,COLUMN(NOTA[[#Headers],[ID]])))="ID",1,IF(NOTA[[#This Row],[FAKTUR]]="","",COUNT(INDIRECT(ADDRESS(ROW(NOTA[ID]),COLUMN(NOTA[ID]))&amp;":"&amp;ADDRESS(ROW()-1,COLUMN(NOTA[ID]))))+1))</f>
        <v>25</v>
      </c>
      <c r="B87" s="35">
        <f ca="1">IF(NOTA[[#This Row],[NAMA BARANG]]="","",INDEX(NOTA[ID],MATCH(,INDIRECT(ADDRESS(ROW(NOTA[ID]),COLUMN(NOTA[ID]))&amp;":"&amp;ADDRESS(ROW(),COLUMN(NOTA[ID]))),-1)))</f>
        <v>25</v>
      </c>
      <c r="C87" s="45">
        <v>45483</v>
      </c>
      <c r="D87" s="35" t="s">
        <v>80</v>
      </c>
      <c r="E87" s="35" t="s">
        <v>49</v>
      </c>
      <c r="F87" s="46" t="s">
        <v>258</v>
      </c>
      <c r="G87" s="35"/>
      <c r="H87" s="36">
        <v>45483</v>
      </c>
      <c r="I87" s="35"/>
      <c r="J87" s="50" t="s">
        <v>259</v>
      </c>
      <c r="K87" s="37"/>
      <c r="L87" s="35">
        <v>2</v>
      </c>
      <c r="M87" s="35" t="s">
        <v>50</v>
      </c>
      <c r="N87" s="38">
        <v>39000</v>
      </c>
      <c r="O87" s="39"/>
      <c r="P87" s="47"/>
      <c r="Q87" s="48"/>
      <c r="R87" s="41"/>
      <c r="T87" s="42"/>
      <c r="U87" s="44"/>
      <c r="V87" s="42">
        <f>IF(NOTA[[#This Row],[HARGA/ CTN]]="",NOTA[[#This Row],[JUMLAH_H]],NOTA[[#This Row],[HARGA/ CTN]]*IF(NOTA[[#This Row],[C]]="",0,NOTA[[#This Row],[C]]))</f>
        <v>78000</v>
      </c>
      <c r="W87" s="42">
        <f>IF(NOTA[[#This Row],[JUMLAH]]="","",NOTA[[#This Row],[JUMLAH]]*NOTA[[#This Row],[Column6]])</f>
        <v>0</v>
      </c>
      <c r="X87" s="42">
        <f>IF(NOTA[[#This Row],[JUMLAH]]="","",(NOTA[[#This Row],[JUMLAH]]-NOTA[[#This Row],[DISC 1-]])*NOTA[[#This Row],[Column7]])</f>
        <v>0</v>
      </c>
      <c r="Y87" s="42">
        <f>IF(NOTA[[#This Row],[JUMLAH]]="","",(NOTA[[#This Row],[JUMLAH]]-NOTA[[#This Row],[DISC 1-]]-NOTA[[#This Row],[DISC 2-]])*NOTA[[#This Row],[Column8]])</f>
        <v>0</v>
      </c>
      <c r="Z87" s="42">
        <f>IF(NOTA[[#This Row],[JUMLAH]]="","",NOTA[[#This Row],[DISC 1-]]+NOTA[[#This Row],[DISC 2-]]+NOTA[[#This Row],[DISC 3-]])</f>
        <v>0</v>
      </c>
      <c r="AA87" s="42">
        <f>IF(NOTA[[#This Row],[JUMLAH]]="","",NOTA[[#This Row],[JUMLAH]]-NOTA[[#This Row],[DISC]])</f>
        <v>78000</v>
      </c>
      <c r="AB87" s="42"/>
      <c r="AC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" s="38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87" s="42">
        <f>IF(OR(NOTA[[#This Row],[QTY]]="",NOTA[[#This Row],[HARGA SATUAN]]="",),"",NOTA[[#This Row],[QTY]]*NOTA[[#This Row],[HARGA SATUAN]])</f>
        <v>78000</v>
      </c>
      <c r="AG87" s="36">
        <f ca="1">IF(NOTA[[#This Row],[ID_H]]="","",INDEX(NOTA[TANGGAL],MATCH(,INDIRECT(ADDRESS(ROW(NOTA[TANGGAL]),COLUMN(NOTA[TANGGAL]))&amp;":"&amp;ADDRESS(ROW(),COLUMN(NOTA[TANGGAL]))),-1)))</f>
        <v>45483</v>
      </c>
      <c r="AH87" s="36">
        <f ca="1">IF(NOTA[[#This Row],[ID_H]]="","",INDEX(NOTA[TGL.NOTA],MATCH(,INDIRECT(ADDRESS(ROW(NOTA[TGL.NOTA]),COLUMN(NOTA[TGL.NOTA]))&amp;":"&amp;ADDRESS(ROW(),COLUMN(NOTA[TGL.NOTA]))),-1)))</f>
        <v>45483</v>
      </c>
      <c r="AI87" s="36" t="str">
        <f ca="1">IF(NOTA[[#This Row],[ID_H]]="","",INDEX(NOTA[NO.NOTA],MATCH(NOTA[[#This Row],[ID_H]],NOTA[ID_H],0)))</f>
        <v>HN072024137</v>
      </c>
      <c r="AJ87" s="38" t="str">
        <f ca="1">IF(NOTA[[#This Row],[NAMA BARANG]]="","",INDEX(NOTA[SUPPLIER],MATCH(,INDIRECT(ADDRESS(ROW(NOTA[ID]),COLUMN(NOTA[ID]))&amp;":"&amp;ADDRESS(ROW(),COLUMN(NOTA[ID]))),-1)))</f>
        <v>HANSA</v>
      </c>
      <c r="AK87" s="38" t="str">
        <f ca="1">IF(NOTA[[#This Row],[ID_H]]="","",IF(NOTA[[#This Row],[FAKTUR]]="",INDIRECT(ADDRESS(ROW()-1,COLUMN())),NOTA[[#This Row],[FAKTUR]]))</f>
        <v>UNTANA</v>
      </c>
      <c r="AL87" s="35">
        <f ca="1">IF(NOTA[[#This Row],[ID]]="","",COUNTIF(NOTA[ID_H],NOTA[[#This Row],[ID_H]]))</f>
        <v>3</v>
      </c>
      <c r="AM87" s="35">
        <f>IF(NOTA[[#This Row],[TGL.NOTA]]="",IF(NOTA[[#This Row],[SUPPLIER_H]]="","",AM86),MONTH(NOTA[[#This Row],[TGL.NOTA]]))</f>
        <v>7</v>
      </c>
      <c r="AN87" s="35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O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lilinshintoeng12btg78000</v>
      </c>
      <c r="AP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lilinshintoeng12btg39000</v>
      </c>
      <c r="AQ87" s="35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HANSAUNTANAHN07202413745483lilinshintoeng12btg</v>
      </c>
      <c r="AR87" s="35">
        <f>IF(NOTA[[#This Row],[CONCAT1]]="","",MATCH(NOTA[[#This Row],[CONCAT1]],[3]!db[NB NOTA_C],0))</f>
        <v>1987</v>
      </c>
      <c r="AS87" s="35" t="str">
        <f>IF(NOTA[[#This Row],[Column5]]="","",TRUE)</f>
        <v/>
      </c>
      <c r="AT87" s="35" t="str">
        <f ca="1">IF(NOTA[[#This Row],[ID_H]]="","",IF(NOTA[[#This Row],[Column3]]=TRUE,NOTA[[#This Row],[Column5]],INDEX([3]!db[QTY/ CTN],NOTA[[#This Row],[//DB]])))</f>
        <v>50 LSN</v>
      </c>
      <c r="AU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V87" s="35">
        <f ca="1">IF(NOTA[[#This Row],[ID_H]]="","",MATCH(NOTA[[#This Row],[NB NOTA_C_QTY]],[3]!db[NB NOTA_C_QTY+F],0))</f>
        <v>1987</v>
      </c>
      <c r="AW87" s="43">
        <f ca="1">IF(NOTA[[#This Row],[NB NOTA_C_QTY]]="","",ROW()-2)</f>
        <v>85</v>
      </c>
    </row>
    <row r="88" spans="1:49" ht="20.100000000000001" customHeight="1">
      <c r="A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5">
        <f ca="1">IF(NOTA[[#This Row],[NAMA BARANG]]="","",INDEX(NOTA[ID],MATCH(,INDIRECT(ADDRESS(ROW(NOTA[ID]),COLUMN(NOTA[ID]))&amp;":"&amp;ADDRESS(ROW(),COLUMN(NOTA[ID]))),-1)))</f>
        <v>25</v>
      </c>
      <c r="C88" s="45"/>
      <c r="F88" s="46"/>
      <c r="G88" s="35"/>
      <c r="H88" s="36"/>
      <c r="I88" s="35"/>
      <c r="J88" s="50" t="s">
        <v>260</v>
      </c>
      <c r="K88" s="37"/>
      <c r="L88" s="37">
        <v>2</v>
      </c>
      <c r="M88" s="35" t="s">
        <v>50</v>
      </c>
      <c r="N88" s="38">
        <v>41000</v>
      </c>
      <c r="O88" s="39"/>
      <c r="P88" s="47"/>
      <c r="Q88" s="48"/>
      <c r="R88" s="41"/>
      <c r="T88" s="42"/>
      <c r="U88" s="44"/>
      <c r="V88" s="42">
        <f>IF(NOTA[[#This Row],[HARGA/ CTN]]="",NOTA[[#This Row],[JUMLAH_H]],NOTA[[#This Row],[HARGA/ CTN]]*IF(NOTA[[#This Row],[C]]="",0,NOTA[[#This Row],[C]]))</f>
        <v>82000</v>
      </c>
      <c r="W88" s="42">
        <f>IF(NOTA[[#This Row],[JUMLAH]]="","",NOTA[[#This Row],[JUMLAH]]*NOTA[[#This Row],[Column6]])</f>
        <v>0</v>
      </c>
      <c r="X88" s="42">
        <f>IF(NOTA[[#This Row],[JUMLAH]]="","",(NOTA[[#This Row],[JUMLAH]]-NOTA[[#This Row],[DISC 1-]])*NOTA[[#This Row],[Column7]])</f>
        <v>0</v>
      </c>
      <c r="Y88" s="42">
        <f>IF(NOTA[[#This Row],[JUMLAH]]="","",(NOTA[[#This Row],[JUMLAH]]-NOTA[[#This Row],[DISC 1-]]-NOTA[[#This Row],[DISC 2-]])*NOTA[[#This Row],[Column8]])</f>
        <v>0</v>
      </c>
      <c r="Z88" s="42">
        <f>IF(NOTA[[#This Row],[JUMLAH]]="","",NOTA[[#This Row],[DISC 1-]]+NOTA[[#This Row],[DISC 2-]]+NOTA[[#This Row],[DISC 3-]])</f>
        <v>0</v>
      </c>
      <c r="AA88" s="42">
        <f>IF(NOTA[[#This Row],[JUMLAH]]="","",NOTA[[#This Row],[JUMLAH]]-NOTA[[#This Row],[DISC]])</f>
        <v>82000</v>
      </c>
      <c r="AB88" s="42"/>
      <c r="AC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" s="38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F88" s="42">
        <f>IF(OR(NOTA[[#This Row],[QTY]]="",NOTA[[#This Row],[HARGA SATUAN]]="",),"",NOTA[[#This Row],[QTY]]*NOTA[[#This Row],[HARGA SATUAN]])</f>
        <v>82000</v>
      </c>
      <c r="AG88" s="36">
        <f ca="1">IF(NOTA[[#This Row],[ID_H]]="","",INDEX(NOTA[TANGGAL],MATCH(,INDIRECT(ADDRESS(ROW(NOTA[TANGGAL]),COLUMN(NOTA[TANGGAL]))&amp;":"&amp;ADDRESS(ROW(),COLUMN(NOTA[TANGGAL]))),-1)))</f>
        <v>45483</v>
      </c>
      <c r="AH88" s="36">
        <f ca="1">IF(NOTA[[#This Row],[ID_H]]="","",INDEX(NOTA[TGL.NOTA],MATCH(,INDIRECT(ADDRESS(ROW(NOTA[TGL.NOTA]),COLUMN(NOTA[TGL.NOTA]))&amp;":"&amp;ADDRESS(ROW(),COLUMN(NOTA[TGL.NOTA]))),-1)))</f>
        <v>45483</v>
      </c>
      <c r="AI88" s="36" t="str">
        <f ca="1">IF(NOTA[[#This Row],[ID_H]]="","",INDEX(NOTA[NO.NOTA],MATCH(NOTA[[#This Row],[ID_H]],NOTA[ID_H],0)))</f>
        <v>HN072024137</v>
      </c>
      <c r="AJ88" s="38" t="str">
        <f ca="1">IF(NOTA[[#This Row],[NAMA BARANG]]="","",INDEX(NOTA[SUPPLIER],MATCH(,INDIRECT(ADDRESS(ROW(NOTA[ID]),COLUMN(NOTA[ID]))&amp;":"&amp;ADDRESS(ROW(),COLUMN(NOTA[ID]))),-1)))</f>
        <v>HANSA</v>
      </c>
      <c r="AK88" s="38" t="str">
        <f ca="1">IF(NOTA[[#This Row],[ID_H]]="","",IF(NOTA[[#This Row],[FAKTUR]]="",INDIRECT(ADDRESS(ROW()-1,COLUMN())),NOTA[[#This Row],[FAKTUR]]))</f>
        <v>UNTANA</v>
      </c>
      <c r="AL88" s="35" t="str">
        <f ca="1">IF(NOTA[[#This Row],[ID]]="","",COUNTIF(NOTA[ID_H],NOTA[[#This Row],[ID_H]]))</f>
        <v/>
      </c>
      <c r="AM88" s="35">
        <f ca="1">IF(NOTA[[#This Row],[TGL.NOTA]]="",IF(NOTA[[#This Row],[SUPPLIER_H]]="","",AM87),MONTH(NOTA[[#This Row],[TGL.NOTA]]))</f>
        <v>7</v>
      </c>
      <c r="AN88" s="35" t="str">
        <f>LOWER(SUBSTITUTE(SUBSTITUTE(SUBSTITUTE(SUBSTITUTE(SUBSTITUTE(SUBSTITUTE(SUBSTITUTE(SUBSTITUTE(SUBSTITUTE(NOTA[[#This Row],[NAMA BARANG]]," ",),".",""),"-",""),"(",""),")",""),",",""),"/",""),"""",""),"+",""))</f>
        <v>lilinshintoeng24btg</v>
      </c>
      <c r="AO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lilinshintoeng24btg82000</v>
      </c>
      <c r="AP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lilinshintoeng24btg41000</v>
      </c>
      <c r="AQ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" s="35">
        <f>IF(NOTA[[#This Row],[CONCAT1]]="","",MATCH(NOTA[[#This Row],[CONCAT1]],[3]!db[NB NOTA_C],0))</f>
        <v>1988</v>
      </c>
      <c r="AS88" s="35" t="str">
        <f>IF(NOTA[[#This Row],[Column5]]="","",TRUE)</f>
        <v/>
      </c>
      <c r="AT88" s="35" t="str">
        <f ca="1">IF(NOTA[[#This Row],[ID_H]]="","",IF(NOTA[[#This Row],[Column3]]=TRUE,NOTA[[#This Row],[Column5]],INDEX([3]!db[QTY/ CTN],NOTA[[#This Row],[//DB]])))</f>
        <v>40 LSN</v>
      </c>
      <c r="AU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V88" s="35">
        <f ca="1">IF(NOTA[[#This Row],[ID_H]]="","",MATCH(NOTA[[#This Row],[NB NOTA_C_QTY]],[3]!db[NB NOTA_C_QTY+F],0))</f>
        <v>1988</v>
      </c>
      <c r="AW88" s="43">
        <f ca="1">IF(NOTA[[#This Row],[NB NOTA_C_QTY]]="","",ROW()-2)</f>
        <v>86</v>
      </c>
    </row>
    <row r="89" spans="1:49" ht="20.100000000000001" customHeight="1">
      <c r="A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5">
        <f ca="1">IF(NOTA[[#This Row],[NAMA BARANG]]="","",INDEX(NOTA[ID],MATCH(,INDIRECT(ADDRESS(ROW(NOTA[ID]),COLUMN(NOTA[ID]))&amp;":"&amp;ADDRESS(ROW(),COLUMN(NOTA[ID]))),-1)))</f>
        <v>25</v>
      </c>
      <c r="C89" s="45"/>
      <c r="F89" s="46"/>
      <c r="G89" s="35"/>
      <c r="H89" s="36"/>
      <c r="I89" s="35"/>
      <c r="J89" s="50" t="s">
        <v>261</v>
      </c>
      <c r="K89" s="37"/>
      <c r="L89" s="37">
        <v>6</v>
      </c>
      <c r="M89" s="35" t="s">
        <v>50</v>
      </c>
      <c r="N89" s="38">
        <v>13000</v>
      </c>
      <c r="O89" s="39"/>
      <c r="P89" s="47"/>
      <c r="Q89" s="48"/>
      <c r="R89" s="41"/>
      <c r="T89" s="42"/>
      <c r="U89" s="44" t="s">
        <v>262</v>
      </c>
      <c r="V89" s="42">
        <f>IF(NOTA[[#This Row],[HARGA/ CTN]]="",NOTA[[#This Row],[JUMLAH_H]],NOTA[[#This Row],[HARGA/ CTN]]*IF(NOTA[[#This Row],[C]]="",0,NOTA[[#This Row],[C]]))</f>
        <v>78000</v>
      </c>
      <c r="W89" s="42">
        <f>IF(NOTA[[#This Row],[JUMLAH]]="","",NOTA[[#This Row],[JUMLAH]]*NOTA[[#This Row],[Column6]])</f>
        <v>0</v>
      </c>
      <c r="X89" s="42">
        <f>IF(NOTA[[#This Row],[JUMLAH]]="","",(NOTA[[#This Row],[JUMLAH]]-NOTA[[#This Row],[DISC 1-]])*NOTA[[#This Row],[Column7]])</f>
        <v>0</v>
      </c>
      <c r="Y89" s="42">
        <f>IF(NOTA[[#This Row],[JUMLAH]]="","",(NOTA[[#This Row],[JUMLAH]]-NOTA[[#This Row],[DISC 1-]]-NOTA[[#This Row],[DISC 2-]])*NOTA[[#This Row],[Column8]])</f>
        <v>0</v>
      </c>
      <c r="Z89" s="42">
        <f>IF(NOTA[[#This Row],[JUMLAH]]="","",NOTA[[#This Row],[DISC 1-]]+NOTA[[#This Row],[DISC 2-]]+NOTA[[#This Row],[DISC 3-]])</f>
        <v>0</v>
      </c>
      <c r="AA89" s="42">
        <f>IF(NOTA[[#This Row],[JUMLAH]]="","",NOTA[[#This Row],[JUMLAH]]-NOTA[[#This Row],[DISC]])</f>
        <v>78000</v>
      </c>
      <c r="AB89" s="42"/>
      <c r="AC8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8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238000</v>
      </c>
      <c r="AE89" s="38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89" s="42">
        <f>IF(OR(NOTA[[#This Row],[QTY]]="",NOTA[[#This Row],[HARGA SATUAN]]="",),"",NOTA[[#This Row],[QTY]]*NOTA[[#This Row],[HARGA SATUAN]])</f>
        <v>78000</v>
      </c>
      <c r="AG89" s="36">
        <f ca="1">IF(NOTA[[#This Row],[ID_H]]="","",INDEX(NOTA[TANGGAL],MATCH(,INDIRECT(ADDRESS(ROW(NOTA[TANGGAL]),COLUMN(NOTA[TANGGAL]))&amp;":"&amp;ADDRESS(ROW(),COLUMN(NOTA[TANGGAL]))),-1)))</f>
        <v>45483</v>
      </c>
      <c r="AH89" s="36">
        <f ca="1">IF(NOTA[[#This Row],[ID_H]]="","",INDEX(NOTA[TGL.NOTA],MATCH(,INDIRECT(ADDRESS(ROW(NOTA[TGL.NOTA]),COLUMN(NOTA[TGL.NOTA]))&amp;":"&amp;ADDRESS(ROW(),COLUMN(NOTA[TGL.NOTA]))),-1)))</f>
        <v>45483</v>
      </c>
      <c r="AI89" s="36" t="str">
        <f ca="1">IF(NOTA[[#This Row],[ID_H]]="","",INDEX(NOTA[NO.NOTA],MATCH(NOTA[[#This Row],[ID_H]],NOTA[ID_H],0)))</f>
        <v>HN072024137</v>
      </c>
      <c r="AJ89" s="38" t="str">
        <f ca="1">IF(NOTA[[#This Row],[NAMA BARANG]]="","",INDEX(NOTA[SUPPLIER],MATCH(,INDIRECT(ADDRESS(ROW(NOTA[ID]),COLUMN(NOTA[ID]))&amp;":"&amp;ADDRESS(ROW(),COLUMN(NOTA[ID]))),-1)))</f>
        <v>HANSA</v>
      </c>
      <c r="AK89" s="38" t="str">
        <f ca="1">IF(NOTA[[#This Row],[ID_H]]="","",IF(NOTA[[#This Row],[FAKTUR]]="",INDIRECT(ADDRESS(ROW()-1,COLUMN())),NOTA[[#This Row],[FAKTUR]]))</f>
        <v>UNTANA</v>
      </c>
      <c r="AL89" s="35" t="str">
        <f ca="1">IF(NOTA[[#This Row],[ID]]="","",COUNTIF(NOTA[ID_H],NOTA[[#This Row],[ID_H]]))</f>
        <v/>
      </c>
      <c r="AM89" s="35">
        <f ca="1">IF(NOTA[[#This Row],[TGL.NOTA]]="",IF(NOTA[[#This Row],[SUPPLIER_H]]="","",AM88),MONTH(NOTA[[#This Row],[TGL.NOTA]]))</f>
        <v>7</v>
      </c>
      <c r="AN89" s="35" t="str">
        <f>LOWER(SUBSTITUTE(SUBSTITUTE(SUBSTITUTE(SUBSTITUTE(SUBSTITUTE(SUBSTITUTE(SUBSTITUTE(SUBSTITUTE(SUBSTITUTE(NOTA[[#This Row],[NAMA BARANG]]," ",),".",""),"-",""),"(",""),")",""),",",""),"/",""),"""",""),"+",""))</f>
        <v>lilinangkashintoeng</v>
      </c>
      <c r="AO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lilinangkashintoeng78000</v>
      </c>
      <c r="AP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lilinangkashintoeng13000</v>
      </c>
      <c r="AQ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" s="35">
        <f>IF(NOTA[[#This Row],[CONCAT1]]="","",MATCH(NOTA[[#This Row],[CONCAT1]],[3]!db[NB NOTA_C],0))</f>
        <v>1963</v>
      </c>
      <c r="AS89" s="35" t="str">
        <f>IF(NOTA[[#This Row],[Column5]]="","",TRUE)</f>
        <v/>
      </c>
      <c r="AT89" s="35" t="str">
        <f ca="1">IF(NOTA[[#This Row],[ID_H]]="","",IF(NOTA[[#This Row],[Column3]]=TRUE,NOTA[[#This Row],[Column5]],INDEX([3]!db[QTY/ CTN],NOTA[[#This Row],[//DB]])))</f>
        <v>100 LSN</v>
      </c>
      <c r="AU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V89" s="35">
        <f ca="1">IF(NOTA[[#This Row],[ID_H]]="","",MATCH(NOTA[[#This Row],[NB NOTA_C_QTY]],[3]!db[NB NOTA_C_QTY+F],0))</f>
        <v>1963</v>
      </c>
      <c r="AW89" s="43">
        <f ca="1">IF(NOTA[[#This Row],[NB NOTA_C_QTY]]="","",ROW()-2)</f>
        <v>87</v>
      </c>
    </row>
    <row r="90" spans="1:49" ht="20.100000000000001" customHeight="1">
      <c r="A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5" t="str">
        <f ca="1">IF(NOTA[[#This Row],[NAMA BARANG]]="","",INDEX(NOTA[ID],MATCH(,INDIRECT(ADDRESS(ROW(NOTA[ID]),COLUMN(NOTA[ID]))&amp;":"&amp;ADDRESS(ROW(),COLUMN(NOTA[ID]))),-1)))</f>
        <v/>
      </c>
      <c r="C90" s="45"/>
      <c r="F90" s="46"/>
      <c r="G90" s="35"/>
      <c r="H90" s="36"/>
      <c r="I90" s="35"/>
      <c r="K90" s="37"/>
      <c r="L90" s="35"/>
      <c r="N90" s="38"/>
      <c r="O90" s="39"/>
      <c r="P90" s="47"/>
      <c r="Q90" s="48"/>
      <c r="R90" s="41"/>
      <c r="T90" s="42"/>
      <c r="U90" s="44"/>
      <c r="V90" s="42" t="str">
        <f>IF(NOTA[[#This Row],[HARGA/ CTN]]="",NOTA[[#This Row],[JUMLAH_H]],NOTA[[#This Row],[HARGA/ CTN]]*IF(NOTA[[#This Row],[C]]="",0,NOTA[[#This Row],[C]]))</f>
        <v/>
      </c>
      <c r="W90" s="42" t="str">
        <f>IF(NOTA[[#This Row],[JUMLAH]]="","",NOTA[[#This Row],[JUMLAH]]*NOTA[[#This Row],[Column6]])</f>
        <v/>
      </c>
      <c r="X90" s="42" t="str">
        <f>IF(NOTA[[#This Row],[JUMLAH]]="","",(NOTA[[#This Row],[JUMLAH]]-NOTA[[#This Row],[DISC 1-]])*NOTA[[#This Row],[Column7]])</f>
        <v/>
      </c>
      <c r="Y90" s="42" t="str">
        <f>IF(NOTA[[#This Row],[JUMLAH]]="","",(NOTA[[#This Row],[JUMLAH]]-NOTA[[#This Row],[DISC 1-]]-NOTA[[#This Row],[DISC 2-]])*NOTA[[#This Row],[Column8]])</f>
        <v/>
      </c>
      <c r="Z90" s="42" t="str">
        <f>IF(NOTA[[#This Row],[JUMLAH]]="","",NOTA[[#This Row],[DISC 1-]]+NOTA[[#This Row],[DISC 2-]]+NOTA[[#This Row],[DISC 3-]])</f>
        <v/>
      </c>
      <c r="AA90" s="42" t="str">
        <f>IF(NOTA[[#This Row],[JUMLAH]]="","",NOTA[[#This Row],[JUMLAH]]-NOTA[[#This Row],[DISC]])</f>
        <v/>
      </c>
      <c r="AB90" s="42"/>
      <c r="AC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" s="42" t="str">
        <f>IF(OR(NOTA[[#This Row],[QTY]]="",NOTA[[#This Row],[HARGA SATUAN]]="",),"",NOTA[[#This Row],[QTY]]*NOTA[[#This Row],[HARGA SATUAN]])</f>
        <v/>
      </c>
      <c r="AG90" s="36" t="str">
        <f ca="1">IF(NOTA[[#This Row],[ID_H]]="","",INDEX(NOTA[TANGGAL],MATCH(,INDIRECT(ADDRESS(ROW(NOTA[TANGGAL]),COLUMN(NOTA[TANGGAL]))&amp;":"&amp;ADDRESS(ROW(),COLUMN(NOTA[TANGGAL]))),-1)))</f>
        <v/>
      </c>
      <c r="AH90" s="36" t="str">
        <f ca="1">IF(NOTA[[#This Row],[ID_H]]="","",INDEX(NOTA[TGL.NOTA],MATCH(,INDIRECT(ADDRESS(ROW(NOTA[TGL.NOTA]),COLUMN(NOTA[TGL.NOTA]))&amp;":"&amp;ADDRESS(ROW(),COLUMN(NOTA[TGL.NOTA]))),-1)))</f>
        <v/>
      </c>
      <c r="AI90" s="36" t="str">
        <f ca="1">IF(NOTA[[#This Row],[ID_H]]="","",INDEX(NOTA[NO.NOTA],MATCH(NOTA[[#This Row],[ID_H]],NOTA[ID_H],0)))</f>
        <v/>
      </c>
      <c r="AJ90" s="38" t="str">
        <f ca="1">IF(NOTA[[#This Row],[NAMA BARANG]]="","",INDEX(NOTA[SUPPLIER],MATCH(,INDIRECT(ADDRESS(ROW(NOTA[ID]),COLUMN(NOTA[ID]))&amp;":"&amp;ADDRESS(ROW(),COLUMN(NOTA[ID]))),-1)))</f>
        <v/>
      </c>
      <c r="AK90" s="38" t="str">
        <f ca="1">IF(NOTA[[#This Row],[ID_H]]="","",IF(NOTA[[#This Row],[FAKTUR]]="",INDIRECT(ADDRESS(ROW()-1,COLUMN())),NOTA[[#This Row],[FAKTUR]]))</f>
        <v/>
      </c>
      <c r="AL90" s="35" t="str">
        <f ca="1">IF(NOTA[[#This Row],[ID]]="","",COUNTIF(NOTA[ID_H],NOTA[[#This Row],[ID_H]]))</f>
        <v/>
      </c>
      <c r="AM90" s="35" t="str">
        <f ca="1">IF(NOTA[[#This Row],[TGL.NOTA]]="",IF(NOTA[[#This Row],[SUPPLIER_H]]="","",AM89),MONTH(NOTA[[#This Row],[TGL.NOTA]]))</f>
        <v/>
      </c>
      <c r="AN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" s="35" t="str">
        <f>IF(NOTA[[#This Row],[CONCAT1]]="","",MATCH(NOTA[[#This Row],[CONCAT1]],[3]!db[NB NOTA_C],0))</f>
        <v/>
      </c>
      <c r="AS90" s="35" t="str">
        <f>IF(NOTA[[#This Row],[Column5]]="","",TRUE)</f>
        <v/>
      </c>
      <c r="AT90" s="35" t="str">
        <f ca="1">IF(NOTA[[#This Row],[ID_H]]="","",IF(NOTA[[#This Row],[Column3]]=TRUE,NOTA[[#This Row],[Column5]],INDEX([3]!db[QTY/ CTN],NOTA[[#This Row],[//DB]])))</f>
        <v/>
      </c>
      <c r="AU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" s="35" t="str">
        <f ca="1">IF(NOTA[[#This Row],[ID_H]]="","",MATCH(NOTA[[#This Row],[NB NOTA_C_QTY]],[3]!db[NB NOTA_C_QTY+F],0))</f>
        <v/>
      </c>
      <c r="AW90" s="43" t="str">
        <f ca="1">IF(NOTA[[#This Row],[NB NOTA_C_QTY]]="","",ROW()-2)</f>
        <v/>
      </c>
    </row>
    <row r="91" spans="1:49" ht="20.100000000000001" customHeight="1">
      <c r="A91" s="38">
        <f ca="1">IF(INDIRECT(ADDRESS(ROW()-1,COLUMN(NOTA[[#Headers],[ID]])))="ID",1,IF(NOTA[[#This Row],[FAKTUR]]="","",COUNT(INDIRECT(ADDRESS(ROW(NOTA[ID]),COLUMN(NOTA[ID]))&amp;":"&amp;ADDRESS(ROW()-1,COLUMN(NOTA[ID]))))+1))</f>
        <v>26</v>
      </c>
      <c r="B91" s="35">
        <f ca="1">IF(NOTA[[#This Row],[NAMA BARANG]]="","",INDEX(NOTA[ID],MATCH(,INDIRECT(ADDRESS(ROW(NOTA[ID]),COLUMN(NOTA[ID]))&amp;":"&amp;ADDRESS(ROW(),COLUMN(NOTA[ID]))),-1)))</f>
        <v>26</v>
      </c>
      <c r="C91" s="45">
        <v>45484</v>
      </c>
      <c r="D91" s="35" t="s">
        <v>263</v>
      </c>
      <c r="E91" s="35" t="s">
        <v>49</v>
      </c>
      <c r="F91" s="46"/>
      <c r="G91" s="35"/>
      <c r="H91" s="36">
        <v>45478</v>
      </c>
      <c r="I91" s="35"/>
      <c r="J91" s="35" t="s">
        <v>327</v>
      </c>
      <c r="K91" s="37">
        <v>2</v>
      </c>
      <c r="L91" s="35">
        <v>1000</v>
      </c>
      <c r="M91" s="35" t="s">
        <v>145</v>
      </c>
      <c r="N91" s="38">
        <v>4900</v>
      </c>
      <c r="O91" s="39"/>
      <c r="P91" s="47" t="s">
        <v>264</v>
      </c>
      <c r="Q91" s="48"/>
      <c r="R91" s="41"/>
      <c r="T91" s="42"/>
      <c r="U91" s="44"/>
      <c r="V91" s="42">
        <f>IF(NOTA[[#This Row],[HARGA/ CTN]]="",NOTA[[#This Row],[JUMLAH_H]],NOTA[[#This Row],[HARGA/ CTN]]*IF(NOTA[[#This Row],[C]]="",0,NOTA[[#This Row],[C]]))</f>
        <v>4900000</v>
      </c>
      <c r="W91" s="42">
        <f>IF(NOTA[[#This Row],[JUMLAH]]="","",NOTA[[#This Row],[JUMLAH]]*NOTA[[#This Row],[Column6]])</f>
        <v>0</v>
      </c>
      <c r="X91" s="42">
        <f>IF(NOTA[[#This Row],[JUMLAH]]="","",(NOTA[[#This Row],[JUMLAH]]-NOTA[[#This Row],[DISC 1-]])*NOTA[[#This Row],[Column7]])</f>
        <v>0</v>
      </c>
      <c r="Y91" s="42">
        <f>IF(NOTA[[#This Row],[JUMLAH]]="","",(NOTA[[#This Row],[JUMLAH]]-NOTA[[#This Row],[DISC 1-]]-NOTA[[#This Row],[DISC 2-]])*NOTA[[#This Row],[Column8]])</f>
        <v>0</v>
      </c>
      <c r="Z91" s="42">
        <f>IF(NOTA[[#This Row],[JUMLAH]]="","",NOTA[[#This Row],[DISC 1-]]+NOTA[[#This Row],[DISC 2-]]+NOTA[[#This Row],[DISC 3-]])</f>
        <v>0</v>
      </c>
      <c r="AA91" s="42">
        <f>IF(NOTA[[#This Row],[JUMLAH]]="","",NOTA[[#This Row],[JUMLAH]]-NOTA[[#This Row],[DISC]])</f>
        <v>4900000</v>
      </c>
      <c r="AB91" s="42"/>
      <c r="AC9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9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4900000</v>
      </c>
      <c r="AE91" s="38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91" s="42">
        <f>IF(OR(NOTA[[#This Row],[QTY]]="",NOTA[[#This Row],[HARGA SATUAN]]="",),"",NOTA[[#This Row],[QTY]]*NOTA[[#This Row],[HARGA SATUAN]])</f>
        <v>4900000</v>
      </c>
      <c r="AG91" s="36">
        <f ca="1">IF(NOTA[[#This Row],[ID_H]]="","",INDEX(NOTA[TANGGAL],MATCH(,INDIRECT(ADDRESS(ROW(NOTA[TANGGAL]),COLUMN(NOTA[TANGGAL]))&amp;":"&amp;ADDRESS(ROW(),COLUMN(NOTA[TANGGAL]))),-1)))</f>
        <v>45484</v>
      </c>
      <c r="AH91" s="36">
        <f ca="1">IF(NOTA[[#This Row],[ID_H]]="","",INDEX(NOTA[TGL.NOTA],MATCH(,INDIRECT(ADDRESS(ROW(NOTA[TGL.NOTA]),COLUMN(NOTA[TGL.NOTA]))&amp;":"&amp;ADDRESS(ROW(),COLUMN(NOTA[TGL.NOTA]))),-1)))</f>
        <v>45478</v>
      </c>
      <c r="AI91" s="36">
        <f ca="1">IF(NOTA[[#This Row],[ID_H]]="","",INDEX(NOTA[NO.NOTA],MATCH(NOTA[[#This Row],[ID_H]],NOTA[ID_H],0)))</f>
        <v>0</v>
      </c>
      <c r="AJ91" s="38" t="str">
        <f ca="1">IF(NOTA[[#This Row],[NAMA BARANG]]="","",INDEX(NOTA[SUPPLIER],MATCH(,INDIRECT(ADDRESS(ROW(NOTA[ID]),COLUMN(NOTA[ID]))&amp;":"&amp;ADDRESS(ROW(),COLUMN(NOTA[ID]))),-1)))</f>
        <v>JEFFRY</v>
      </c>
      <c r="AK91" s="38" t="str">
        <f ca="1">IF(NOTA[[#This Row],[ID_H]]="","",IF(NOTA[[#This Row],[FAKTUR]]="",INDIRECT(ADDRESS(ROW()-1,COLUMN())),NOTA[[#This Row],[FAKTUR]]))</f>
        <v>UNTANA</v>
      </c>
      <c r="AL91" s="35">
        <f ca="1">IF(NOTA[[#This Row],[ID]]="","",COUNTIF(NOTA[ID_H],NOTA[[#This Row],[ID_H]]))</f>
        <v>1</v>
      </c>
      <c r="AM91" s="35">
        <f>IF(NOTA[[#This Row],[TGL.NOTA]]="",IF(NOTA[[#This Row],[SUPPLIER_H]]="","",AM90),MONTH(NOTA[[#This Row],[TGL.NOTA]]))</f>
        <v>7</v>
      </c>
      <c r="AN91" s="35" t="str">
        <f>LOWER(SUBSTITUTE(SUBSTITUTE(SUBSTITUTE(SUBSTITUTE(SUBSTITUTE(SUBSTITUTE(SUBSTITUTE(SUBSTITUTE(SUBSTITUTE(NOTA[[#This Row],[NAMA BARANG]]," ",),".",""),"-",""),"(",""),")",""),",",""),"/",""),"""",""),"+",""))</f>
        <v>karetpentilminiswankecil</v>
      </c>
      <c r="AO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karetpentilminiswankecil2450000</v>
      </c>
      <c r="AP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karetpentilminiswankecil2450000</v>
      </c>
      <c r="AQ91" s="35" t="str">
        <f>IF(NOTA[[#This Row],[SUPPLIER]]="","",NOTA[[#This Row],[SUPPLIER]]&amp;NOTA[[#This Row],[FAKTUR]]&amp;NOTA[[#This Row],[NO.NOTA]]&amp;NOTA[[#This Row],[NO.SJ]]&amp;NOTA[[#This Row],[TGL.NOTA]]&amp;NOTA[[#This Row],[CONCAT1]])</f>
        <v>JEFFRYUNTANA45478karetpentilminiswankecil</v>
      </c>
      <c r="AR91" s="35">
        <f>IF(NOTA[[#This Row],[CONCAT1]]="","",MATCH(NOTA[[#This Row],[CONCAT1]],[3]!db[NB NOTA_C],0))</f>
        <v>3453</v>
      </c>
      <c r="AS91" s="35" t="b">
        <f>IF(NOTA[[#This Row],[Column5]]="","",TRUE)</f>
        <v>1</v>
      </c>
      <c r="AT91" s="35" t="str">
        <f ca="1">IF(NOTA[[#This Row],[ID_H]]="","",IF(NOTA[[#This Row],[Column3]]=TRUE,NOTA[[#This Row],[Column5]],INDEX([3]!db[QTY/ CTN],NOTA[[#This Row],[//DB]])))</f>
        <v>500 PAK</v>
      </c>
      <c r="AU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karetpentilminiswankecil500pakuntana</v>
      </c>
      <c r="AV91" s="35">
        <f ca="1">IF(NOTA[[#This Row],[ID_H]]="","",MATCH(NOTA[[#This Row],[NB NOTA_C_QTY]],[3]!db[NB NOTA_C_QTY+F],0))</f>
        <v>3453</v>
      </c>
      <c r="AW91" s="43">
        <f ca="1">IF(NOTA[[#This Row],[NB NOTA_C_QTY]]="","",ROW()-2)</f>
        <v>89</v>
      </c>
    </row>
    <row r="92" spans="1:49" ht="20.100000000000001" customHeight="1">
      <c r="A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5" t="str">
        <f ca="1">IF(NOTA[[#This Row],[NAMA BARANG]]="","",INDEX(NOTA[ID],MATCH(,INDIRECT(ADDRESS(ROW(NOTA[ID]),COLUMN(NOTA[ID]))&amp;":"&amp;ADDRESS(ROW(),COLUMN(NOTA[ID]))),-1)))</f>
        <v/>
      </c>
      <c r="C92" s="45"/>
      <c r="F92" s="46"/>
      <c r="G92" s="35"/>
      <c r="H92" s="36"/>
      <c r="I92" s="35"/>
      <c r="J92" s="49"/>
      <c r="K92" s="37"/>
      <c r="L92" s="35"/>
      <c r="N92" s="38"/>
      <c r="O92" s="39"/>
      <c r="P92" s="47"/>
      <c r="Q92" s="48"/>
      <c r="R92" s="41"/>
      <c r="T92" s="42"/>
      <c r="U92" s="44"/>
      <c r="V92" s="42" t="str">
        <f>IF(NOTA[[#This Row],[HARGA/ CTN]]="",NOTA[[#This Row],[JUMLAH_H]],NOTA[[#This Row],[HARGA/ CTN]]*IF(NOTA[[#This Row],[C]]="",0,NOTA[[#This Row],[C]]))</f>
        <v/>
      </c>
      <c r="W92" s="42" t="str">
        <f>IF(NOTA[[#This Row],[JUMLAH]]="","",NOTA[[#This Row],[JUMLAH]]*NOTA[[#This Row],[Column6]])</f>
        <v/>
      </c>
      <c r="X92" s="42" t="str">
        <f>IF(NOTA[[#This Row],[JUMLAH]]="","",(NOTA[[#This Row],[JUMLAH]]-NOTA[[#This Row],[DISC 1-]])*NOTA[[#This Row],[Column7]])</f>
        <v/>
      </c>
      <c r="Y92" s="42" t="str">
        <f>IF(NOTA[[#This Row],[JUMLAH]]="","",(NOTA[[#This Row],[JUMLAH]]-NOTA[[#This Row],[DISC 1-]]-NOTA[[#This Row],[DISC 2-]])*NOTA[[#This Row],[Column8]])</f>
        <v/>
      </c>
      <c r="Z92" s="42" t="str">
        <f>IF(NOTA[[#This Row],[JUMLAH]]="","",NOTA[[#This Row],[DISC 1-]]+NOTA[[#This Row],[DISC 2-]]+NOTA[[#This Row],[DISC 3-]])</f>
        <v/>
      </c>
      <c r="AA92" s="42" t="str">
        <f>IF(NOTA[[#This Row],[JUMLAH]]="","",NOTA[[#This Row],[JUMLAH]]-NOTA[[#This Row],[DISC]])</f>
        <v/>
      </c>
      <c r="AB92" s="42"/>
      <c r="AC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" s="42" t="str">
        <f>IF(OR(NOTA[[#This Row],[QTY]]="",NOTA[[#This Row],[HARGA SATUAN]]="",),"",NOTA[[#This Row],[QTY]]*NOTA[[#This Row],[HARGA SATUAN]])</f>
        <v/>
      </c>
      <c r="AG92" s="36" t="str">
        <f ca="1">IF(NOTA[[#This Row],[ID_H]]="","",INDEX(NOTA[TANGGAL],MATCH(,INDIRECT(ADDRESS(ROW(NOTA[TANGGAL]),COLUMN(NOTA[TANGGAL]))&amp;":"&amp;ADDRESS(ROW(),COLUMN(NOTA[TANGGAL]))),-1)))</f>
        <v/>
      </c>
      <c r="AH92" s="36" t="str">
        <f ca="1">IF(NOTA[[#This Row],[ID_H]]="","",INDEX(NOTA[TGL.NOTA],MATCH(,INDIRECT(ADDRESS(ROW(NOTA[TGL.NOTA]),COLUMN(NOTA[TGL.NOTA]))&amp;":"&amp;ADDRESS(ROW(),COLUMN(NOTA[TGL.NOTA]))),-1)))</f>
        <v/>
      </c>
      <c r="AI92" s="36" t="str">
        <f ca="1">IF(NOTA[[#This Row],[ID_H]]="","",INDEX(NOTA[NO.NOTA],MATCH(NOTA[[#This Row],[ID_H]],NOTA[ID_H],0)))</f>
        <v/>
      </c>
      <c r="AJ92" s="38" t="str">
        <f ca="1">IF(NOTA[[#This Row],[NAMA BARANG]]="","",INDEX(NOTA[SUPPLIER],MATCH(,INDIRECT(ADDRESS(ROW(NOTA[ID]),COLUMN(NOTA[ID]))&amp;":"&amp;ADDRESS(ROW(),COLUMN(NOTA[ID]))),-1)))</f>
        <v/>
      </c>
      <c r="AK92" s="38" t="str">
        <f ca="1">IF(NOTA[[#This Row],[ID_H]]="","",IF(NOTA[[#This Row],[FAKTUR]]="",INDIRECT(ADDRESS(ROW()-1,COLUMN())),NOTA[[#This Row],[FAKTUR]]))</f>
        <v/>
      </c>
      <c r="AL92" s="35" t="str">
        <f ca="1">IF(NOTA[[#This Row],[ID]]="","",COUNTIF(NOTA[ID_H],NOTA[[#This Row],[ID_H]]))</f>
        <v/>
      </c>
      <c r="AM92" s="35" t="str">
        <f ca="1">IF(NOTA[[#This Row],[TGL.NOTA]]="",IF(NOTA[[#This Row],[SUPPLIER_H]]="","",#REF!),MONTH(NOTA[[#This Row],[TGL.NOTA]]))</f>
        <v/>
      </c>
      <c r="AN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" s="35" t="str">
        <f>IF(NOTA[[#This Row],[CONCAT1]]="","",MATCH(NOTA[[#This Row],[CONCAT1]],[3]!db[NB NOTA_C],0))</f>
        <v/>
      </c>
      <c r="AS92" s="35" t="str">
        <f>IF(NOTA[[#This Row],[Column5]]="","",TRUE)</f>
        <v/>
      </c>
      <c r="AT92" s="35" t="str">
        <f ca="1">IF(NOTA[[#This Row],[ID_H]]="","",IF(NOTA[[#This Row],[Column3]]=TRUE,NOTA[[#This Row],[Column5]],INDEX([3]!db[QTY/ CTN],NOTA[[#This Row],[//DB]])))</f>
        <v/>
      </c>
      <c r="AU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" s="35" t="str">
        <f ca="1">IF(NOTA[[#This Row],[ID_H]]="","",MATCH(NOTA[[#This Row],[NB NOTA_C_QTY]],[3]!db[NB NOTA_C_QTY+F],0))</f>
        <v/>
      </c>
      <c r="AW92" s="43" t="str">
        <f ca="1">IF(NOTA[[#This Row],[NB NOTA_C_QTY]]="","",ROW()-2)</f>
        <v/>
      </c>
    </row>
    <row r="93" spans="1:49" ht="20.100000000000001" customHeight="1">
      <c r="A93" s="38">
        <f ca="1">IF(INDIRECT(ADDRESS(ROW()-1,COLUMN(NOTA[[#Headers],[ID]])))="ID",1,IF(NOTA[[#This Row],[FAKTUR]]="","",COUNT(INDIRECT(ADDRESS(ROW(NOTA[ID]),COLUMN(NOTA[ID]))&amp;":"&amp;ADDRESS(ROW()-1,COLUMN(NOTA[ID]))))+1))</f>
        <v>27</v>
      </c>
      <c r="B93" s="35">
        <f ca="1">IF(NOTA[[#This Row],[NAMA BARANG]]="","",INDEX(NOTA[ID],MATCH(,INDIRECT(ADDRESS(ROW(NOTA[ID]),COLUMN(NOTA[ID]))&amp;":"&amp;ADDRESS(ROW(),COLUMN(NOTA[ID]))),-1)))</f>
        <v>27</v>
      </c>
      <c r="C93" s="45">
        <v>45481</v>
      </c>
      <c r="D93" s="35" t="s">
        <v>265</v>
      </c>
      <c r="E93" s="35" t="s">
        <v>49</v>
      </c>
      <c r="F93" s="46" t="s">
        <v>266</v>
      </c>
      <c r="G93" s="35"/>
      <c r="H93" s="36">
        <v>45477</v>
      </c>
      <c r="I93" s="35"/>
      <c r="J93" s="49" t="s">
        <v>267</v>
      </c>
      <c r="K93" s="37">
        <v>2</v>
      </c>
      <c r="L93" s="35">
        <v>192</v>
      </c>
      <c r="M93" s="35" t="s">
        <v>50</v>
      </c>
      <c r="N93" s="38">
        <v>63000</v>
      </c>
      <c r="O93" s="39"/>
      <c r="P93" s="47" t="s">
        <v>76</v>
      </c>
      <c r="Q93" s="48">
        <v>0.1</v>
      </c>
      <c r="R93" s="41"/>
      <c r="T93" s="42"/>
      <c r="U93" s="44"/>
      <c r="V93" s="42">
        <f>IF(NOTA[[#This Row],[HARGA/ CTN]]="",NOTA[[#This Row],[JUMLAH_H]],NOTA[[#This Row],[HARGA/ CTN]]*IF(NOTA[[#This Row],[C]]="",0,NOTA[[#This Row],[C]]))</f>
        <v>12096000</v>
      </c>
      <c r="W93" s="42">
        <f>IF(NOTA[[#This Row],[JUMLAH]]="","",NOTA[[#This Row],[JUMLAH]]*NOTA[[#This Row],[Column6]])</f>
        <v>1209600</v>
      </c>
      <c r="X93" s="42">
        <f>IF(NOTA[[#This Row],[JUMLAH]]="","",(NOTA[[#This Row],[JUMLAH]]-NOTA[[#This Row],[DISC 1-]])*NOTA[[#This Row],[Column7]])</f>
        <v>0</v>
      </c>
      <c r="Y93" s="42">
        <f>IF(NOTA[[#This Row],[JUMLAH]]="","",(NOTA[[#This Row],[JUMLAH]]-NOTA[[#This Row],[DISC 1-]]-NOTA[[#This Row],[DISC 2-]])*NOTA[[#This Row],[Column8]])</f>
        <v>0</v>
      </c>
      <c r="Z93" s="42">
        <f>IF(NOTA[[#This Row],[JUMLAH]]="","",NOTA[[#This Row],[DISC 1-]]+NOTA[[#This Row],[DISC 2-]]+NOTA[[#This Row],[DISC 3-]])</f>
        <v>1209600</v>
      </c>
      <c r="AA93" s="42">
        <f>IF(NOTA[[#This Row],[JUMLAH]]="","",NOTA[[#This Row],[JUMLAH]]-NOTA[[#This Row],[DISC]])</f>
        <v>10886400</v>
      </c>
      <c r="AB93" s="42"/>
      <c r="AC9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1209600</v>
      </c>
      <c r="AD9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10886400</v>
      </c>
      <c r="AE93" s="38">
        <f>IF(NOTA[[#This Row],[NAMA BARANG]]="","",IF(NOTA[[#This Row],[JUMLAH_H]]="",NOTA[[#This Row],[HARGA/ CTN]],NOTA[[#This Row],[QTY]]*NOTA[[#This Row],[HARGA SATUAN]]/IF(ISNUMBER(NOTA[[#This Row],[C]]),NOTA[[#This Row],[C]],1)))</f>
        <v>6048000</v>
      </c>
      <c r="AF93" s="42">
        <f>IF(OR(NOTA[[#This Row],[QTY]]="",NOTA[[#This Row],[HARGA SATUAN]]="",),"",NOTA[[#This Row],[QTY]]*NOTA[[#This Row],[HARGA SATUAN]])</f>
        <v>12096000</v>
      </c>
      <c r="AG93" s="36">
        <f ca="1">IF(NOTA[[#This Row],[ID_H]]="","",INDEX(NOTA[TANGGAL],MATCH(,INDIRECT(ADDRESS(ROW(NOTA[TANGGAL]),COLUMN(NOTA[TANGGAL]))&amp;":"&amp;ADDRESS(ROW(),COLUMN(NOTA[TANGGAL]))),-1)))</f>
        <v>45481</v>
      </c>
      <c r="AH93" s="36">
        <f ca="1">IF(NOTA[[#This Row],[ID_H]]="","",INDEX(NOTA[TGL.NOTA],MATCH(,INDIRECT(ADDRESS(ROW(NOTA[TGL.NOTA]),COLUMN(NOTA[TGL.NOTA]))&amp;":"&amp;ADDRESS(ROW(),COLUMN(NOTA[TGL.NOTA]))),-1)))</f>
        <v>45477</v>
      </c>
      <c r="AI93" s="36" t="str">
        <f ca="1">IF(NOTA[[#This Row],[ID_H]]="","",INDEX(NOTA[NO.NOTA],MATCH(NOTA[[#This Row],[ID_H]],NOTA[ID_H],0)))</f>
        <v>J2407002</v>
      </c>
      <c r="AJ93" s="38" t="str">
        <f ca="1">IF(NOTA[[#This Row],[NAMA BARANG]]="","",INDEX(NOTA[SUPPLIER],MATCH(,INDIRECT(ADDRESS(ROW(NOTA[ID]),COLUMN(NOTA[ID]))&amp;":"&amp;ADDRESS(ROW(),COLUMN(NOTA[ID]))),-1)))</f>
        <v>EMICO</v>
      </c>
      <c r="AK93" s="38" t="str">
        <f ca="1">IF(NOTA[[#This Row],[ID_H]]="","",IF(NOTA[[#This Row],[FAKTUR]]="",INDIRECT(ADDRESS(ROW()-1,COLUMN())),NOTA[[#This Row],[FAKTUR]]))</f>
        <v>UNTANA</v>
      </c>
      <c r="AL93" s="35">
        <f ca="1">IF(NOTA[[#This Row],[ID]]="","",COUNTIF(NOTA[ID_H],NOTA[[#This Row],[ID_H]]))</f>
        <v>1</v>
      </c>
      <c r="AM93" s="35">
        <f>IF(NOTA[[#This Row],[TGL.NOTA]]="",IF(NOTA[[#This Row],[SUPPLIER_H]]="","",AM92),MONTH(NOTA[[#This Row],[TGL.NOTA]]))</f>
        <v>7</v>
      </c>
      <c r="AN93" s="35" t="str">
        <f>LOWER(SUBSTITUTE(SUBSTITUTE(SUBSTITUTE(SUBSTITUTE(SUBSTITUTE(SUBSTITUTE(SUBSTITUTE(SUBSTITUTE(SUBSTITUTE(NOTA[[#This Row],[NAMA BARANG]]," ",),".",""),"-",""),"(",""),")",""),",",""),"/",""),"""",""),"+",""))</f>
        <v>finetechgelpen03black</v>
      </c>
      <c r="AO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finetechgelpen03black60480000,1</v>
      </c>
      <c r="AP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finetechgelpen03black60480000,1</v>
      </c>
      <c r="AQ93" s="35" t="str">
        <f>IF(NOTA[[#This Row],[SUPPLIER]]="","",NOTA[[#This Row],[SUPPLIER]]&amp;NOTA[[#This Row],[FAKTUR]]&amp;NOTA[[#This Row],[NO.NOTA]]&amp;NOTA[[#This Row],[NO.SJ]]&amp;NOTA[[#This Row],[TGL.NOTA]]&amp;NOTA[[#This Row],[CONCAT1]])</f>
        <v>EMICOUNTANAJ240700245477finetechgelpen03black</v>
      </c>
      <c r="AR93" s="35">
        <f>IF(NOTA[[#This Row],[CONCAT1]]="","",MATCH(NOTA[[#This Row],[CONCAT1]],[3]!db[NB NOTA_C],0))</f>
        <v>994</v>
      </c>
      <c r="AS93" s="35" t="b">
        <f>IF(NOTA[[#This Row],[Column5]]="","",TRUE)</f>
        <v>1</v>
      </c>
      <c r="AT93" s="35" t="str">
        <f ca="1">IF(NOTA[[#This Row],[ID_H]]="","",IF(NOTA[[#This Row],[Column3]]=TRUE,NOTA[[#This Row],[Column5]],INDEX([3]!db[QTY/ CTN],NOTA[[#This Row],[//DB]])))</f>
        <v>96 LSN</v>
      </c>
      <c r="AU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finetechgelpen03black96lsnuntana</v>
      </c>
      <c r="AV93" s="35">
        <f ca="1">IF(NOTA[[#This Row],[ID_H]]="","",MATCH(NOTA[[#This Row],[NB NOTA_C_QTY]],[3]!db[NB NOTA_C_QTY+F],0))</f>
        <v>994</v>
      </c>
      <c r="AW93" s="43">
        <f ca="1">IF(NOTA[[#This Row],[NB NOTA_C_QTY]]="","",ROW()-2)</f>
        <v>91</v>
      </c>
    </row>
    <row r="94" spans="1:49" ht="20.100000000000001" customHeight="1">
      <c r="A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5" t="str">
        <f ca="1">IF(NOTA[[#This Row],[NAMA BARANG]]="","",INDEX(NOTA[ID],MATCH(,INDIRECT(ADDRESS(ROW(NOTA[ID]),COLUMN(NOTA[ID]))&amp;":"&amp;ADDRESS(ROW(),COLUMN(NOTA[ID]))),-1)))</f>
        <v/>
      </c>
      <c r="C94" s="45"/>
      <c r="F94" s="46"/>
      <c r="G94" s="35"/>
      <c r="H94" s="36"/>
      <c r="I94" s="35"/>
      <c r="J94" s="49"/>
      <c r="K94" s="37"/>
      <c r="L94" s="35"/>
      <c r="N94" s="38"/>
      <c r="O94" s="39"/>
      <c r="P94" s="47"/>
      <c r="Q94" s="48"/>
      <c r="R94" s="41"/>
      <c r="T94" s="42"/>
      <c r="U94" s="44"/>
      <c r="V94" s="42" t="str">
        <f>IF(NOTA[[#This Row],[HARGA/ CTN]]="",NOTA[[#This Row],[JUMLAH_H]],NOTA[[#This Row],[HARGA/ CTN]]*IF(NOTA[[#This Row],[C]]="",0,NOTA[[#This Row],[C]]))</f>
        <v/>
      </c>
      <c r="W94" s="42" t="str">
        <f>IF(NOTA[[#This Row],[JUMLAH]]="","",NOTA[[#This Row],[JUMLAH]]*NOTA[[#This Row],[Column6]])</f>
        <v/>
      </c>
      <c r="X94" s="42" t="str">
        <f>IF(NOTA[[#This Row],[JUMLAH]]="","",(NOTA[[#This Row],[JUMLAH]]-NOTA[[#This Row],[DISC 1-]])*NOTA[[#This Row],[Column7]])</f>
        <v/>
      </c>
      <c r="Y94" s="42" t="str">
        <f>IF(NOTA[[#This Row],[JUMLAH]]="","",(NOTA[[#This Row],[JUMLAH]]-NOTA[[#This Row],[DISC 1-]]-NOTA[[#This Row],[DISC 2-]])*NOTA[[#This Row],[Column8]])</f>
        <v/>
      </c>
      <c r="Z94" s="42" t="str">
        <f>IF(NOTA[[#This Row],[JUMLAH]]="","",NOTA[[#This Row],[DISC 1-]]+NOTA[[#This Row],[DISC 2-]]+NOTA[[#This Row],[DISC 3-]])</f>
        <v/>
      </c>
      <c r="AA94" s="42" t="str">
        <f>IF(NOTA[[#This Row],[JUMLAH]]="","",NOTA[[#This Row],[JUMLAH]]-NOTA[[#This Row],[DISC]])</f>
        <v/>
      </c>
      <c r="AB94" s="42"/>
      <c r="AC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42" t="str">
        <f>IF(OR(NOTA[[#This Row],[QTY]]="",NOTA[[#This Row],[HARGA SATUAN]]="",),"",NOTA[[#This Row],[QTY]]*NOTA[[#This Row],[HARGA SATUAN]])</f>
        <v/>
      </c>
      <c r="AG94" s="36" t="str">
        <f ca="1">IF(NOTA[[#This Row],[ID_H]]="","",INDEX(NOTA[TANGGAL],MATCH(,INDIRECT(ADDRESS(ROW(NOTA[TANGGAL]),COLUMN(NOTA[TANGGAL]))&amp;":"&amp;ADDRESS(ROW(),COLUMN(NOTA[TANGGAL]))),-1)))</f>
        <v/>
      </c>
      <c r="AH94" s="36" t="str">
        <f ca="1">IF(NOTA[[#This Row],[ID_H]]="","",INDEX(NOTA[TGL.NOTA],MATCH(,INDIRECT(ADDRESS(ROW(NOTA[TGL.NOTA]),COLUMN(NOTA[TGL.NOTA]))&amp;":"&amp;ADDRESS(ROW(),COLUMN(NOTA[TGL.NOTA]))),-1)))</f>
        <v/>
      </c>
      <c r="AI94" s="36" t="str">
        <f ca="1">IF(NOTA[[#This Row],[ID_H]]="","",INDEX(NOTA[NO.NOTA],MATCH(NOTA[[#This Row],[ID_H]],NOTA[ID_H],0)))</f>
        <v/>
      </c>
      <c r="AJ94" s="38" t="str">
        <f ca="1">IF(NOTA[[#This Row],[NAMA BARANG]]="","",INDEX(NOTA[SUPPLIER],MATCH(,INDIRECT(ADDRESS(ROW(NOTA[ID]),COLUMN(NOTA[ID]))&amp;":"&amp;ADDRESS(ROW(),COLUMN(NOTA[ID]))),-1)))</f>
        <v/>
      </c>
      <c r="AK94" s="38" t="str">
        <f ca="1">IF(NOTA[[#This Row],[ID_H]]="","",IF(NOTA[[#This Row],[FAKTUR]]="",INDIRECT(ADDRESS(ROW()-1,COLUMN())),NOTA[[#This Row],[FAKTUR]]))</f>
        <v/>
      </c>
      <c r="AL94" s="35" t="str">
        <f ca="1">IF(NOTA[[#This Row],[ID]]="","",COUNTIF(NOTA[ID_H],NOTA[[#This Row],[ID_H]]))</f>
        <v/>
      </c>
      <c r="AM94" s="35" t="str">
        <f ca="1">IF(NOTA[[#This Row],[TGL.NOTA]]="",IF(NOTA[[#This Row],[SUPPLIER_H]]="","",AM93),MONTH(NOTA[[#This Row],[TGL.NOTA]]))</f>
        <v/>
      </c>
      <c r="AN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" s="35" t="str">
        <f>IF(NOTA[[#This Row],[CONCAT1]]="","",MATCH(NOTA[[#This Row],[CONCAT1]],[3]!db[NB NOTA_C],0))</f>
        <v/>
      </c>
      <c r="AS94" s="35" t="str">
        <f>IF(NOTA[[#This Row],[Column5]]="","",TRUE)</f>
        <v/>
      </c>
      <c r="AT94" s="35" t="str">
        <f ca="1">IF(NOTA[[#This Row],[ID_H]]="","",IF(NOTA[[#This Row],[Column3]]=TRUE,NOTA[[#This Row],[Column5]],INDEX([3]!db[QTY/ CTN],NOTA[[#This Row],[//DB]])))</f>
        <v/>
      </c>
      <c r="AU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" s="35" t="str">
        <f ca="1">IF(NOTA[[#This Row],[ID_H]]="","",MATCH(NOTA[[#This Row],[NB NOTA_C_QTY]],[3]!db[NB NOTA_C_QTY+F],0))</f>
        <v/>
      </c>
      <c r="AW94" s="43" t="str">
        <f ca="1">IF(NOTA[[#This Row],[NB NOTA_C_QTY]]="","",ROW()-2)</f>
        <v/>
      </c>
    </row>
    <row r="95" spans="1:49" ht="20.100000000000001" customHeight="1">
      <c r="A95" s="38">
        <f ca="1">IF(INDIRECT(ADDRESS(ROW()-1,COLUMN(NOTA[[#Headers],[ID]])))="ID",1,IF(NOTA[[#This Row],[FAKTUR]]="","",COUNT(INDIRECT(ADDRESS(ROW(NOTA[ID]),COLUMN(NOTA[ID]))&amp;":"&amp;ADDRESS(ROW()-1,COLUMN(NOTA[ID]))))+1))</f>
        <v>28</v>
      </c>
      <c r="B95" s="35">
        <f ca="1">IF(NOTA[[#This Row],[NAMA BARANG]]="","",INDEX(NOTA[ID],MATCH(,INDIRECT(ADDRESS(ROW(NOTA[ID]),COLUMN(NOTA[ID]))&amp;":"&amp;ADDRESS(ROW(),COLUMN(NOTA[ID]))),-1)))</f>
        <v>28</v>
      </c>
      <c r="C95" s="45">
        <v>45485</v>
      </c>
      <c r="D95" s="35" t="s">
        <v>268</v>
      </c>
      <c r="E95" s="35" t="s">
        <v>49</v>
      </c>
      <c r="F95" s="46"/>
      <c r="G95" s="35"/>
      <c r="H95" s="36">
        <v>45483</v>
      </c>
      <c r="I95" s="35"/>
      <c r="J95" s="50" t="s">
        <v>269</v>
      </c>
      <c r="K95" s="37">
        <v>3</v>
      </c>
      <c r="L95" s="35">
        <v>180</v>
      </c>
      <c r="M95" s="35" t="s">
        <v>50</v>
      </c>
      <c r="N95" s="38">
        <v>54000</v>
      </c>
      <c r="O95" s="39"/>
      <c r="P95" s="47" t="s">
        <v>70</v>
      </c>
      <c r="Q95" s="48">
        <v>0.1</v>
      </c>
      <c r="R95" s="41">
        <v>0.1</v>
      </c>
      <c r="S95" s="41">
        <v>0.1</v>
      </c>
      <c r="T95" s="42"/>
      <c r="U95" s="44"/>
      <c r="V95" s="42">
        <f>IF(NOTA[[#This Row],[HARGA/ CTN]]="",NOTA[[#This Row],[JUMLAH_H]],NOTA[[#This Row],[HARGA/ CTN]]*IF(NOTA[[#This Row],[C]]="",0,NOTA[[#This Row],[C]]))</f>
        <v>9720000</v>
      </c>
      <c r="W95" s="42">
        <f>IF(NOTA[[#This Row],[JUMLAH]]="","",NOTA[[#This Row],[JUMLAH]]*NOTA[[#This Row],[Column6]])</f>
        <v>972000</v>
      </c>
      <c r="X95" s="42">
        <f>IF(NOTA[[#This Row],[JUMLAH]]="","",(NOTA[[#This Row],[JUMLAH]]-NOTA[[#This Row],[DISC 1-]])*NOTA[[#This Row],[Column7]])</f>
        <v>874800</v>
      </c>
      <c r="Y95" s="42">
        <f>IF(NOTA[[#This Row],[JUMLAH]]="","",(NOTA[[#This Row],[JUMLAH]]-NOTA[[#This Row],[DISC 1-]]-NOTA[[#This Row],[DISC 2-]])*NOTA[[#This Row],[Column8]])</f>
        <v>787320</v>
      </c>
      <c r="Z95" s="42">
        <f>IF(NOTA[[#This Row],[JUMLAH]]="","",NOTA[[#This Row],[DISC 1-]]+NOTA[[#This Row],[DISC 2-]]+NOTA[[#This Row],[DISC 3-]])</f>
        <v>2634120</v>
      </c>
      <c r="AA95" s="42">
        <f>IF(NOTA[[#This Row],[JUMLAH]]="","",NOTA[[#This Row],[JUMLAH]]-NOTA[[#This Row],[DISC]])</f>
        <v>7085880</v>
      </c>
      <c r="AB95" s="42"/>
      <c r="AC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95" s="42">
        <f>IF(OR(NOTA[[#This Row],[QTY]]="",NOTA[[#This Row],[HARGA SATUAN]]="",),"",NOTA[[#This Row],[QTY]]*NOTA[[#This Row],[HARGA SATUAN]])</f>
        <v>9720000</v>
      </c>
      <c r="AG95" s="36">
        <f ca="1">IF(NOTA[[#This Row],[ID_H]]="","",INDEX(NOTA[TANGGAL],MATCH(,INDIRECT(ADDRESS(ROW(NOTA[TANGGAL]),COLUMN(NOTA[TANGGAL]))&amp;":"&amp;ADDRESS(ROW(),COLUMN(NOTA[TANGGAL]))),-1)))</f>
        <v>45485</v>
      </c>
      <c r="AH95" s="36">
        <f ca="1">IF(NOTA[[#This Row],[ID_H]]="","",INDEX(NOTA[TGL.NOTA],MATCH(,INDIRECT(ADDRESS(ROW(NOTA[TGL.NOTA]),COLUMN(NOTA[TGL.NOTA]))&amp;":"&amp;ADDRESS(ROW(),COLUMN(NOTA[TGL.NOTA]))),-1)))</f>
        <v>45483</v>
      </c>
      <c r="AI95" s="36">
        <f ca="1">IF(NOTA[[#This Row],[ID_H]]="","",INDEX(NOTA[NO.NOTA],MATCH(NOTA[[#This Row],[ID_H]],NOTA[ID_H],0)))</f>
        <v>0</v>
      </c>
      <c r="AJ95" s="38" t="str">
        <f ca="1">IF(NOTA[[#This Row],[NAMA BARANG]]="","",INDEX(NOTA[SUPPLIER],MATCH(,INDIRECT(ADDRESS(ROW(NOTA[ID]),COLUMN(NOTA[ID]))&amp;":"&amp;ADDRESS(ROW(),COLUMN(NOTA[ID]))),-1)))</f>
        <v>D-R ORIGINAL</v>
      </c>
      <c r="AK95" s="38" t="str">
        <f ca="1">IF(NOTA[[#This Row],[ID_H]]="","",IF(NOTA[[#This Row],[FAKTUR]]="",INDIRECT(ADDRESS(ROW()-1,COLUMN())),NOTA[[#This Row],[FAKTUR]]))</f>
        <v>UNTANA</v>
      </c>
      <c r="AL95" s="35">
        <f ca="1">IF(NOTA[[#This Row],[ID]]="","",COUNTIF(NOTA[ID_H],NOTA[[#This Row],[ID_H]]))</f>
        <v>3</v>
      </c>
      <c r="AM95" s="35">
        <f>IF(NOTA[[#This Row],[TGL.NOTA]]="",IF(NOTA[[#This Row],[SUPPLIER_H]]="","",AM94),MONTH(NOTA[[#This Row],[TGL.NOTA]]))</f>
        <v>7</v>
      </c>
      <c r="AN95" s="35" t="str">
        <f>LOWER(SUBSTITUTE(SUBSTITUTE(SUBSTITUTE(SUBSTITUTE(SUBSTITUTE(SUBSTITUTE(SUBSTITUTE(SUBSTITUTE(SUBSTITUTE(NOTA[[#This Row],[NAMA BARANG]]," ",),".",""),"-",""),"(",""),")",""),",",""),"/",""),"""",""),"+",""))</f>
        <v>guntingdr5ideal</v>
      </c>
      <c r="AO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guntingdr5ideal32400000,10,1</v>
      </c>
      <c r="AP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guntingdr5ideal32400000,10,1</v>
      </c>
      <c r="AQ95" s="35" t="str">
        <f>IF(NOTA[[#This Row],[SUPPLIER]]="","",NOTA[[#This Row],[SUPPLIER]]&amp;NOTA[[#This Row],[FAKTUR]]&amp;NOTA[[#This Row],[NO.NOTA]]&amp;NOTA[[#This Row],[NO.SJ]]&amp;NOTA[[#This Row],[TGL.NOTA]]&amp;NOTA[[#This Row],[CONCAT1]])</f>
        <v>D-R ORIGINALUNTANA45483guntingdr5ideal</v>
      </c>
      <c r="AR95" s="35">
        <f>IF(NOTA[[#This Row],[CONCAT1]]="","",MATCH(NOTA[[#This Row],[CONCAT1]],[3]!db[NB NOTA_C],0))</f>
        <v>1416</v>
      </c>
      <c r="AS95" s="35" t="b">
        <f>IF(NOTA[[#This Row],[Column5]]="","",TRUE)</f>
        <v>1</v>
      </c>
      <c r="AT95" s="35" t="str">
        <f ca="1">IF(NOTA[[#This Row],[ID_H]]="","",IF(NOTA[[#This Row],[Column3]]=TRUE,NOTA[[#This Row],[Column5]],INDEX([3]!db[QTY/ CTN],NOTA[[#This Row],[//DB]])))</f>
        <v>60 LSN</v>
      </c>
      <c r="AU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guntingdr5ideal60lsnuntana</v>
      </c>
      <c r="AV95" s="35">
        <f ca="1">IF(NOTA[[#This Row],[ID_H]]="","",MATCH(NOTA[[#This Row],[NB NOTA_C_QTY]],[3]!db[NB NOTA_C_QTY+F],0))</f>
        <v>1416</v>
      </c>
      <c r="AW95" s="43">
        <f ca="1">IF(NOTA[[#This Row],[NB NOTA_C_QTY]]="","",ROW()-2)</f>
        <v>93</v>
      </c>
    </row>
    <row r="96" spans="1:49" ht="20.100000000000001" customHeight="1">
      <c r="A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5">
        <f ca="1">IF(NOTA[[#This Row],[NAMA BARANG]]="","",INDEX(NOTA[ID],MATCH(,INDIRECT(ADDRESS(ROW(NOTA[ID]),COLUMN(NOTA[ID]))&amp;":"&amp;ADDRESS(ROW(),COLUMN(NOTA[ID]))),-1)))</f>
        <v>28</v>
      </c>
      <c r="C96" s="45"/>
      <c r="F96" s="46"/>
      <c r="G96" s="35"/>
      <c r="H96" s="36"/>
      <c r="I96" s="35"/>
      <c r="J96" s="50" t="s">
        <v>270</v>
      </c>
      <c r="K96" s="37">
        <v>2</v>
      </c>
      <c r="L96" s="35">
        <v>120</v>
      </c>
      <c r="M96" s="35" t="s">
        <v>50</v>
      </c>
      <c r="N96" s="38">
        <v>73000</v>
      </c>
      <c r="O96" s="39"/>
      <c r="P96" s="47" t="s">
        <v>70</v>
      </c>
      <c r="Q96" s="48">
        <v>0.1</v>
      </c>
      <c r="R96" s="41">
        <v>0.1</v>
      </c>
      <c r="S96" s="41">
        <v>0.1</v>
      </c>
      <c r="T96" s="42"/>
      <c r="U96" s="44"/>
      <c r="V96" s="42">
        <f>IF(NOTA[[#This Row],[HARGA/ CTN]]="",NOTA[[#This Row],[JUMLAH_H]],NOTA[[#This Row],[HARGA/ CTN]]*IF(NOTA[[#This Row],[C]]="",0,NOTA[[#This Row],[C]]))</f>
        <v>8760000</v>
      </c>
      <c r="W96" s="42">
        <f>IF(NOTA[[#This Row],[JUMLAH]]="","",NOTA[[#This Row],[JUMLAH]]*NOTA[[#This Row],[Column6]])</f>
        <v>876000</v>
      </c>
      <c r="X96" s="42">
        <f>IF(NOTA[[#This Row],[JUMLAH]]="","",(NOTA[[#This Row],[JUMLAH]]-NOTA[[#This Row],[DISC 1-]])*NOTA[[#This Row],[Column7]])</f>
        <v>788400</v>
      </c>
      <c r="Y96" s="42">
        <f>IF(NOTA[[#This Row],[JUMLAH]]="","",(NOTA[[#This Row],[JUMLAH]]-NOTA[[#This Row],[DISC 1-]]-NOTA[[#This Row],[DISC 2-]])*NOTA[[#This Row],[Column8]])</f>
        <v>709560</v>
      </c>
      <c r="Z96" s="42">
        <f>IF(NOTA[[#This Row],[JUMLAH]]="","",NOTA[[#This Row],[DISC 1-]]+NOTA[[#This Row],[DISC 2-]]+NOTA[[#This Row],[DISC 3-]])</f>
        <v>2373960</v>
      </c>
      <c r="AA96" s="42">
        <f>IF(NOTA[[#This Row],[JUMLAH]]="","",NOTA[[#This Row],[JUMLAH]]-NOTA[[#This Row],[DISC]])</f>
        <v>6386040</v>
      </c>
      <c r="AB96" s="42"/>
      <c r="AC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" s="38">
        <f>IF(NOTA[[#This Row],[NAMA BARANG]]="","",IF(NOTA[[#This Row],[JUMLAH_H]]="",NOTA[[#This Row],[HARGA/ CTN]],NOTA[[#This Row],[QTY]]*NOTA[[#This Row],[HARGA SATUAN]]/IF(ISNUMBER(NOTA[[#This Row],[C]]),NOTA[[#This Row],[C]],1)))</f>
        <v>4380000</v>
      </c>
      <c r="AF96" s="42">
        <f>IF(OR(NOTA[[#This Row],[QTY]]="",NOTA[[#This Row],[HARGA SATUAN]]="",),"",NOTA[[#This Row],[QTY]]*NOTA[[#This Row],[HARGA SATUAN]])</f>
        <v>8760000</v>
      </c>
      <c r="AG96" s="36">
        <f ca="1">IF(NOTA[[#This Row],[ID_H]]="","",INDEX(NOTA[TANGGAL],MATCH(,INDIRECT(ADDRESS(ROW(NOTA[TANGGAL]),COLUMN(NOTA[TANGGAL]))&amp;":"&amp;ADDRESS(ROW(),COLUMN(NOTA[TANGGAL]))),-1)))</f>
        <v>45485</v>
      </c>
      <c r="AH96" s="36">
        <f ca="1">IF(NOTA[[#This Row],[ID_H]]="","",INDEX(NOTA[TGL.NOTA],MATCH(,INDIRECT(ADDRESS(ROW(NOTA[TGL.NOTA]),COLUMN(NOTA[TGL.NOTA]))&amp;":"&amp;ADDRESS(ROW(),COLUMN(NOTA[TGL.NOTA]))),-1)))</f>
        <v>45483</v>
      </c>
      <c r="AI96" s="36">
        <f ca="1">IF(NOTA[[#This Row],[ID_H]]="","",INDEX(NOTA[NO.NOTA],MATCH(NOTA[[#This Row],[ID_H]],NOTA[ID_H],0)))</f>
        <v>0</v>
      </c>
      <c r="AJ96" s="38" t="str">
        <f ca="1">IF(NOTA[[#This Row],[NAMA BARANG]]="","",INDEX(NOTA[SUPPLIER],MATCH(,INDIRECT(ADDRESS(ROW(NOTA[ID]),COLUMN(NOTA[ID]))&amp;":"&amp;ADDRESS(ROW(),COLUMN(NOTA[ID]))),-1)))</f>
        <v>D-R ORIGINAL</v>
      </c>
      <c r="AK96" s="38" t="str">
        <f ca="1">IF(NOTA[[#This Row],[ID_H]]="","",IF(NOTA[[#This Row],[FAKTUR]]="",INDIRECT(ADDRESS(ROW()-1,COLUMN())),NOTA[[#This Row],[FAKTUR]]))</f>
        <v>UNTANA</v>
      </c>
      <c r="AL96" s="35" t="str">
        <f ca="1">IF(NOTA[[#This Row],[ID]]="","",COUNTIF(NOTA[ID_H],NOTA[[#This Row],[ID_H]]))</f>
        <v/>
      </c>
      <c r="AM96" s="35">
        <f ca="1">IF(NOTA[[#This Row],[TGL.NOTA]]="",IF(NOTA[[#This Row],[SUPPLIER_H]]="","",AM95),MONTH(NOTA[[#This Row],[TGL.NOTA]]))</f>
        <v>7</v>
      </c>
      <c r="AN96" s="35" t="str">
        <f>LOWER(SUBSTITUTE(SUBSTITUTE(SUBSTITUTE(SUBSTITUTE(SUBSTITUTE(SUBSTITUTE(SUBSTITUTE(SUBSTITUTE(SUBSTITUTE(NOTA[[#This Row],[NAMA BARANG]]," ",),".",""),"-",""),"(",""),")",""),",",""),"/",""),"""",""),"+",""))</f>
        <v>guntingdr2ideal</v>
      </c>
      <c r="AO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guntingdr2ideal43800000,10,1</v>
      </c>
      <c r="AP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guntingdr2ideal43800000,10,1</v>
      </c>
      <c r="AQ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" s="35">
        <f>IF(NOTA[[#This Row],[CONCAT1]]="","",MATCH(NOTA[[#This Row],[CONCAT1]],[3]!db[NB NOTA_C],0))</f>
        <v>3454</v>
      </c>
      <c r="AS96" s="35" t="b">
        <f>IF(NOTA[[#This Row],[Column5]]="","",TRUE)</f>
        <v>1</v>
      </c>
      <c r="AT96" s="35" t="str">
        <f ca="1">IF(NOTA[[#This Row],[ID_H]]="","",IF(NOTA[[#This Row],[Column3]]=TRUE,NOTA[[#This Row],[Column5]],INDEX([3]!db[QTY/ CTN],NOTA[[#This Row],[//DB]])))</f>
        <v>60 LSN</v>
      </c>
      <c r="AU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guntingdr2ideal60lsnuntana</v>
      </c>
      <c r="AV96" s="35">
        <f ca="1">IF(NOTA[[#This Row],[ID_H]]="","",MATCH(NOTA[[#This Row],[NB NOTA_C_QTY]],[3]!db[NB NOTA_C_QTY+F],0))</f>
        <v>3454</v>
      </c>
      <c r="AW96" s="43">
        <f ca="1">IF(NOTA[[#This Row],[NB NOTA_C_QTY]]="","",ROW()-2)</f>
        <v>94</v>
      </c>
    </row>
    <row r="97" spans="1:49" ht="20.100000000000001" customHeight="1">
      <c r="A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5">
        <f ca="1">IF(NOTA[[#This Row],[NAMA BARANG]]="","",INDEX(NOTA[ID],MATCH(,INDIRECT(ADDRESS(ROW(NOTA[ID]),COLUMN(NOTA[ID]))&amp;":"&amp;ADDRESS(ROW(),COLUMN(NOTA[ID]))),-1)))</f>
        <v>28</v>
      </c>
      <c r="C97" s="45"/>
      <c r="F97" s="46"/>
      <c r="G97" s="35"/>
      <c r="H97" s="36"/>
      <c r="I97" s="35"/>
      <c r="J97" s="50" t="s">
        <v>269</v>
      </c>
      <c r="K97" s="37">
        <v>1</v>
      </c>
      <c r="L97" s="35">
        <v>60</v>
      </c>
      <c r="M97" s="35" t="s">
        <v>50</v>
      </c>
      <c r="N97" s="38">
        <v>54000</v>
      </c>
      <c r="O97" s="39"/>
      <c r="P97" s="47" t="s">
        <v>70</v>
      </c>
      <c r="Q97" s="48">
        <v>1</v>
      </c>
      <c r="R97" s="41"/>
      <c r="T97" s="42"/>
      <c r="U97" s="44" t="s">
        <v>71</v>
      </c>
      <c r="V97" s="42">
        <f>IF(NOTA[[#This Row],[HARGA/ CTN]]="",NOTA[[#This Row],[JUMLAH_H]],NOTA[[#This Row],[HARGA/ CTN]]*IF(NOTA[[#This Row],[C]]="",0,NOTA[[#This Row],[C]]))</f>
        <v>3240000</v>
      </c>
      <c r="W97" s="42">
        <f>IF(NOTA[[#This Row],[JUMLAH]]="","",NOTA[[#This Row],[JUMLAH]]*NOTA[[#This Row],[Column6]])</f>
        <v>3240000</v>
      </c>
      <c r="X97" s="42">
        <f>IF(NOTA[[#This Row],[JUMLAH]]="","",(NOTA[[#This Row],[JUMLAH]]-NOTA[[#This Row],[DISC 1-]])*NOTA[[#This Row],[Column7]])</f>
        <v>0</v>
      </c>
      <c r="Y97" s="42">
        <f>IF(NOTA[[#This Row],[JUMLAH]]="","",(NOTA[[#This Row],[JUMLAH]]-NOTA[[#This Row],[DISC 1-]]-NOTA[[#This Row],[DISC 2-]])*NOTA[[#This Row],[Column8]])</f>
        <v>0</v>
      </c>
      <c r="Z97" s="42">
        <f>IF(NOTA[[#This Row],[JUMLAH]]="","",NOTA[[#This Row],[DISC 1-]]+NOTA[[#This Row],[DISC 2-]]+NOTA[[#This Row],[DISC 3-]])</f>
        <v>3240000</v>
      </c>
      <c r="AA97" s="42">
        <f>IF(NOTA[[#This Row],[JUMLAH]]="","",NOTA[[#This Row],[JUMLAH]]-NOTA[[#This Row],[DISC]])</f>
        <v>0</v>
      </c>
      <c r="AB97" s="42"/>
      <c r="AC9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8248080</v>
      </c>
      <c r="AD9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13471920</v>
      </c>
      <c r="AE97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97" s="42">
        <f>IF(OR(NOTA[[#This Row],[QTY]]="",NOTA[[#This Row],[HARGA SATUAN]]="",),"",NOTA[[#This Row],[QTY]]*NOTA[[#This Row],[HARGA SATUAN]])</f>
        <v>3240000</v>
      </c>
      <c r="AG97" s="36">
        <f ca="1">IF(NOTA[[#This Row],[ID_H]]="","",INDEX(NOTA[TANGGAL],MATCH(,INDIRECT(ADDRESS(ROW(NOTA[TANGGAL]),COLUMN(NOTA[TANGGAL]))&amp;":"&amp;ADDRESS(ROW(),COLUMN(NOTA[TANGGAL]))),-1)))</f>
        <v>45485</v>
      </c>
      <c r="AH97" s="36">
        <f ca="1">IF(NOTA[[#This Row],[ID_H]]="","",INDEX(NOTA[TGL.NOTA],MATCH(,INDIRECT(ADDRESS(ROW(NOTA[TGL.NOTA]),COLUMN(NOTA[TGL.NOTA]))&amp;":"&amp;ADDRESS(ROW(),COLUMN(NOTA[TGL.NOTA]))),-1)))</f>
        <v>45483</v>
      </c>
      <c r="AI97" s="36">
        <f ca="1">IF(NOTA[[#This Row],[ID_H]]="","",INDEX(NOTA[NO.NOTA],MATCH(NOTA[[#This Row],[ID_H]],NOTA[ID_H],0)))</f>
        <v>0</v>
      </c>
      <c r="AJ97" s="38" t="str">
        <f ca="1">IF(NOTA[[#This Row],[NAMA BARANG]]="","",INDEX(NOTA[SUPPLIER],MATCH(,INDIRECT(ADDRESS(ROW(NOTA[ID]),COLUMN(NOTA[ID]))&amp;":"&amp;ADDRESS(ROW(),COLUMN(NOTA[ID]))),-1)))</f>
        <v>D-R ORIGINAL</v>
      </c>
      <c r="AK97" s="38" t="str">
        <f ca="1">IF(NOTA[[#This Row],[ID_H]]="","",IF(NOTA[[#This Row],[FAKTUR]]="",INDIRECT(ADDRESS(ROW()-1,COLUMN())),NOTA[[#This Row],[FAKTUR]]))</f>
        <v>UNTANA</v>
      </c>
      <c r="AL97" s="35" t="str">
        <f ca="1">IF(NOTA[[#This Row],[ID]]="","",COUNTIF(NOTA[ID_H],NOTA[[#This Row],[ID_H]]))</f>
        <v/>
      </c>
      <c r="AM97" s="35">
        <f ca="1">IF(NOTA[[#This Row],[TGL.NOTA]]="",IF(NOTA[[#This Row],[SUPPLIER_H]]="","",AM96),MONTH(NOTA[[#This Row],[TGL.NOTA]]))</f>
        <v>7</v>
      </c>
      <c r="AN97" s="35" t="str">
        <f>LOWER(SUBSTITUTE(SUBSTITUTE(SUBSTITUTE(SUBSTITUTE(SUBSTITUTE(SUBSTITUTE(SUBSTITUTE(SUBSTITUTE(SUBSTITUTE(NOTA[[#This Row],[NAMA BARANG]]," ",),".",""),"-",""),"(",""),")",""),",",""),"/",""),"""",""),"+",""))</f>
        <v>guntingdr5ideal</v>
      </c>
      <c r="AO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guntingdr5ideal32400001</v>
      </c>
      <c r="AP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guntingdr5ideal32400001</v>
      </c>
      <c r="AQ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" s="35">
        <f>IF(NOTA[[#This Row],[CONCAT1]]="","",MATCH(NOTA[[#This Row],[CONCAT1]],[3]!db[NB NOTA_C],0))</f>
        <v>1416</v>
      </c>
      <c r="AS97" s="35" t="b">
        <f>IF(NOTA[[#This Row],[Column5]]="","",TRUE)</f>
        <v>1</v>
      </c>
      <c r="AT97" s="35" t="str">
        <f ca="1">IF(NOTA[[#This Row],[ID_H]]="","",IF(NOTA[[#This Row],[Column3]]=TRUE,NOTA[[#This Row],[Column5]],INDEX([3]!db[QTY/ CTN],NOTA[[#This Row],[//DB]])))</f>
        <v>60 LSN</v>
      </c>
      <c r="AU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guntingdr5ideal60lsnuntana</v>
      </c>
      <c r="AV97" s="35">
        <f ca="1">IF(NOTA[[#This Row],[ID_H]]="","",MATCH(NOTA[[#This Row],[NB NOTA_C_QTY]],[3]!db[NB NOTA_C_QTY+F],0))</f>
        <v>1416</v>
      </c>
      <c r="AW97" s="43">
        <f ca="1">IF(NOTA[[#This Row],[NB NOTA_C_QTY]]="","",ROW()-2)</f>
        <v>95</v>
      </c>
    </row>
    <row r="98" spans="1:49" ht="20.100000000000001" customHeight="1">
      <c r="A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5" t="str">
        <f ca="1">IF(NOTA[[#This Row],[NAMA BARANG]]="","",INDEX(NOTA[ID],MATCH(,INDIRECT(ADDRESS(ROW(NOTA[ID]),COLUMN(NOTA[ID]))&amp;":"&amp;ADDRESS(ROW(),COLUMN(NOTA[ID]))),-1)))</f>
        <v/>
      </c>
      <c r="C98" s="45"/>
      <c r="F98" s="46"/>
      <c r="G98" s="35"/>
      <c r="H98" s="36"/>
      <c r="I98" s="35"/>
      <c r="J98" s="49"/>
      <c r="K98" s="37"/>
      <c r="L98" s="35"/>
      <c r="N98" s="38"/>
      <c r="O98" s="39"/>
      <c r="P98" s="47"/>
      <c r="Q98" s="48"/>
      <c r="R98" s="41"/>
      <c r="T98" s="42"/>
      <c r="U98" s="44"/>
      <c r="V98" s="42" t="str">
        <f>IF(NOTA[[#This Row],[HARGA/ CTN]]="",NOTA[[#This Row],[JUMLAH_H]],NOTA[[#This Row],[HARGA/ CTN]]*IF(NOTA[[#This Row],[C]]="",0,NOTA[[#This Row],[C]]))</f>
        <v/>
      </c>
      <c r="W98" s="42" t="str">
        <f>IF(NOTA[[#This Row],[JUMLAH]]="","",NOTA[[#This Row],[JUMLAH]]*NOTA[[#This Row],[Column6]])</f>
        <v/>
      </c>
      <c r="X98" s="42" t="str">
        <f>IF(NOTA[[#This Row],[JUMLAH]]="","",(NOTA[[#This Row],[JUMLAH]]-NOTA[[#This Row],[DISC 1-]])*NOTA[[#This Row],[Column7]])</f>
        <v/>
      </c>
      <c r="Y98" s="42" t="str">
        <f>IF(NOTA[[#This Row],[JUMLAH]]="","",(NOTA[[#This Row],[JUMLAH]]-NOTA[[#This Row],[DISC 1-]]-NOTA[[#This Row],[DISC 2-]])*NOTA[[#This Row],[Column8]])</f>
        <v/>
      </c>
      <c r="Z98" s="42" t="str">
        <f>IF(NOTA[[#This Row],[JUMLAH]]="","",NOTA[[#This Row],[DISC 1-]]+NOTA[[#This Row],[DISC 2-]]+NOTA[[#This Row],[DISC 3-]])</f>
        <v/>
      </c>
      <c r="AA98" s="42" t="str">
        <f>IF(NOTA[[#This Row],[JUMLAH]]="","",NOTA[[#This Row],[JUMLAH]]-NOTA[[#This Row],[DISC]])</f>
        <v/>
      </c>
      <c r="AB98" s="42"/>
      <c r="AC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" s="42" t="str">
        <f>IF(OR(NOTA[[#This Row],[QTY]]="",NOTA[[#This Row],[HARGA SATUAN]]="",),"",NOTA[[#This Row],[QTY]]*NOTA[[#This Row],[HARGA SATUAN]])</f>
        <v/>
      </c>
      <c r="AG98" s="36" t="str">
        <f ca="1">IF(NOTA[[#This Row],[ID_H]]="","",INDEX(NOTA[TANGGAL],MATCH(,INDIRECT(ADDRESS(ROW(NOTA[TANGGAL]),COLUMN(NOTA[TANGGAL]))&amp;":"&amp;ADDRESS(ROW(),COLUMN(NOTA[TANGGAL]))),-1)))</f>
        <v/>
      </c>
      <c r="AH98" s="36" t="str">
        <f ca="1">IF(NOTA[[#This Row],[ID_H]]="","",INDEX(NOTA[TGL.NOTA],MATCH(,INDIRECT(ADDRESS(ROW(NOTA[TGL.NOTA]),COLUMN(NOTA[TGL.NOTA]))&amp;":"&amp;ADDRESS(ROW(),COLUMN(NOTA[TGL.NOTA]))),-1)))</f>
        <v/>
      </c>
      <c r="AI98" s="36" t="str">
        <f ca="1">IF(NOTA[[#This Row],[ID_H]]="","",INDEX(NOTA[NO.NOTA],MATCH(NOTA[[#This Row],[ID_H]],NOTA[ID_H],0)))</f>
        <v/>
      </c>
      <c r="AJ98" s="38" t="str">
        <f ca="1">IF(NOTA[[#This Row],[NAMA BARANG]]="","",INDEX(NOTA[SUPPLIER],MATCH(,INDIRECT(ADDRESS(ROW(NOTA[ID]),COLUMN(NOTA[ID]))&amp;":"&amp;ADDRESS(ROW(),COLUMN(NOTA[ID]))),-1)))</f>
        <v/>
      </c>
      <c r="AK98" s="38" t="str">
        <f ca="1">IF(NOTA[[#This Row],[ID_H]]="","",IF(NOTA[[#This Row],[FAKTUR]]="",INDIRECT(ADDRESS(ROW()-1,COLUMN())),NOTA[[#This Row],[FAKTUR]]))</f>
        <v/>
      </c>
      <c r="AL98" s="35" t="str">
        <f ca="1">IF(NOTA[[#This Row],[ID]]="","",COUNTIF(NOTA[ID_H],NOTA[[#This Row],[ID_H]]))</f>
        <v/>
      </c>
      <c r="AM98" s="35" t="str">
        <f ca="1">IF(NOTA[[#This Row],[TGL.NOTA]]="",IF(NOTA[[#This Row],[SUPPLIER_H]]="","",AM97),MONTH(NOTA[[#This Row],[TGL.NOTA]]))</f>
        <v/>
      </c>
      <c r="AN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" s="35" t="str">
        <f>IF(NOTA[[#This Row],[CONCAT1]]="","",MATCH(NOTA[[#This Row],[CONCAT1]],[3]!db[NB NOTA_C],0))</f>
        <v/>
      </c>
      <c r="AS98" s="35" t="str">
        <f>IF(NOTA[[#This Row],[Column5]]="","",TRUE)</f>
        <v/>
      </c>
      <c r="AT98" s="35" t="str">
        <f ca="1">IF(NOTA[[#This Row],[ID_H]]="","",IF(NOTA[[#This Row],[Column3]]=TRUE,NOTA[[#This Row],[Column5]],INDEX([3]!db[QTY/ CTN],NOTA[[#This Row],[//DB]])))</f>
        <v/>
      </c>
      <c r="AU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" s="35" t="str">
        <f ca="1">IF(NOTA[[#This Row],[ID_H]]="","",MATCH(NOTA[[#This Row],[NB NOTA_C_QTY]],[3]!db[NB NOTA_C_QTY+F],0))</f>
        <v/>
      </c>
      <c r="AW98" s="43" t="str">
        <f ca="1">IF(NOTA[[#This Row],[NB NOTA_C_QTY]]="","",ROW()-2)</f>
        <v/>
      </c>
    </row>
    <row r="99" spans="1:49" ht="20.100000000000001" customHeight="1">
      <c r="A99" s="38">
        <f ca="1">IF(INDIRECT(ADDRESS(ROW()-1,COLUMN(NOTA[[#Headers],[ID]])))="ID",1,IF(NOTA[[#This Row],[FAKTUR]]="","",COUNT(INDIRECT(ADDRESS(ROW(NOTA[ID]),COLUMN(NOTA[ID]))&amp;":"&amp;ADDRESS(ROW()-1,COLUMN(NOTA[ID]))))+1))</f>
        <v>29</v>
      </c>
      <c r="B99" s="35">
        <f ca="1">IF(NOTA[[#This Row],[NAMA BARANG]]="","",INDEX(NOTA[ID],MATCH(,INDIRECT(ADDRESS(ROW(NOTA[ID]),COLUMN(NOTA[ID]))&amp;":"&amp;ADDRESS(ROW(),COLUMN(NOTA[ID]))),-1)))</f>
        <v>29</v>
      </c>
      <c r="C99" s="45"/>
      <c r="D99" s="35" t="s">
        <v>268</v>
      </c>
      <c r="E99" s="35" t="s">
        <v>49</v>
      </c>
      <c r="F99" s="46"/>
      <c r="G99" s="35"/>
      <c r="H99" s="36">
        <v>45483</v>
      </c>
      <c r="I99" s="35"/>
      <c r="J99" s="50" t="s">
        <v>271</v>
      </c>
      <c r="K99" s="37">
        <v>12</v>
      </c>
      <c r="L99" s="35">
        <f>60*12</f>
        <v>720</v>
      </c>
      <c r="M99" s="35" t="s">
        <v>50</v>
      </c>
      <c r="N99" s="38">
        <v>31000</v>
      </c>
      <c r="O99" s="39"/>
      <c r="P99" s="47" t="s">
        <v>70</v>
      </c>
      <c r="Q99" s="48">
        <v>0.1</v>
      </c>
      <c r="R99" s="41">
        <v>0.1</v>
      </c>
      <c r="S99" s="41">
        <v>0.1</v>
      </c>
      <c r="T99" s="42"/>
      <c r="U99" s="44"/>
      <c r="V99" s="42">
        <f>IF(NOTA[[#This Row],[HARGA/ CTN]]="",NOTA[[#This Row],[JUMLAH_H]],NOTA[[#This Row],[HARGA/ CTN]]*IF(NOTA[[#This Row],[C]]="",0,NOTA[[#This Row],[C]]))</f>
        <v>22320000</v>
      </c>
      <c r="W99" s="42">
        <f>IF(NOTA[[#This Row],[JUMLAH]]="","",NOTA[[#This Row],[JUMLAH]]*NOTA[[#This Row],[Column6]])</f>
        <v>2232000</v>
      </c>
      <c r="X99" s="42">
        <f>IF(NOTA[[#This Row],[JUMLAH]]="","",(NOTA[[#This Row],[JUMLAH]]-NOTA[[#This Row],[DISC 1-]])*NOTA[[#This Row],[Column7]])</f>
        <v>2008800</v>
      </c>
      <c r="Y99" s="42">
        <f>IF(NOTA[[#This Row],[JUMLAH]]="","",(NOTA[[#This Row],[JUMLAH]]-NOTA[[#This Row],[DISC 1-]]-NOTA[[#This Row],[DISC 2-]])*NOTA[[#This Row],[Column8]])</f>
        <v>1807920</v>
      </c>
      <c r="Z99" s="42">
        <f>IF(NOTA[[#This Row],[JUMLAH]]="","",NOTA[[#This Row],[DISC 1-]]+NOTA[[#This Row],[DISC 2-]]+NOTA[[#This Row],[DISC 3-]])</f>
        <v>6048720</v>
      </c>
      <c r="AA99" s="42">
        <f>IF(NOTA[[#This Row],[JUMLAH]]="","",NOTA[[#This Row],[JUMLAH]]-NOTA[[#This Row],[DISC]])</f>
        <v>16271280</v>
      </c>
      <c r="AB99" s="42"/>
      <c r="AC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" s="3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99" s="42">
        <f>IF(OR(NOTA[[#This Row],[QTY]]="",NOTA[[#This Row],[HARGA SATUAN]]="",),"",NOTA[[#This Row],[QTY]]*NOTA[[#This Row],[HARGA SATUAN]])</f>
        <v>22320000</v>
      </c>
      <c r="AG99" s="36">
        <f ca="1">IF(NOTA[[#This Row],[ID_H]]="","",INDEX(NOTA[TANGGAL],MATCH(,INDIRECT(ADDRESS(ROW(NOTA[TANGGAL]),COLUMN(NOTA[TANGGAL]))&amp;":"&amp;ADDRESS(ROW(),COLUMN(NOTA[TANGGAL]))),-1)))</f>
        <v>45485</v>
      </c>
      <c r="AH99" s="36">
        <f ca="1">IF(NOTA[[#This Row],[ID_H]]="","",INDEX(NOTA[TGL.NOTA],MATCH(,INDIRECT(ADDRESS(ROW(NOTA[TGL.NOTA]),COLUMN(NOTA[TGL.NOTA]))&amp;":"&amp;ADDRESS(ROW(),COLUMN(NOTA[TGL.NOTA]))),-1)))</f>
        <v>45483</v>
      </c>
      <c r="AI99" s="36">
        <f ca="1">IF(NOTA[[#This Row],[ID_H]]="","",INDEX(NOTA[NO.NOTA],MATCH(NOTA[[#This Row],[ID_H]],NOTA[ID_H],0)))</f>
        <v>0</v>
      </c>
      <c r="AJ99" s="38" t="str">
        <f ca="1">IF(NOTA[[#This Row],[NAMA BARANG]]="","",INDEX(NOTA[SUPPLIER],MATCH(,INDIRECT(ADDRESS(ROW(NOTA[ID]),COLUMN(NOTA[ID]))&amp;":"&amp;ADDRESS(ROW(),COLUMN(NOTA[ID]))),-1)))</f>
        <v>D-R ORIGINAL</v>
      </c>
      <c r="AK99" s="38" t="str">
        <f ca="1">IF(NOTA[[#This Row],[ID_H]]="","",IF(NOTA[[#This Row],[FAKTUR]]="",INDIRECT(ADDRESS(ROW()-1,COLUMN())),NOTA[[#This Row],[FAKTUR]]))</f>
        <v>UNTANA</v>
      </c>
      <c r="AL99" s="35">
        <f ca="1">IF(NOTA[[#This Row],[ID]]="","",COUNTIF(NOTA[ID_H],NOTA[[#This Row],[ID_H]]))</f>
        <v>2</v>
      </c>
      <c r="AM99" s="35">
        <f>IF(NOTA[[#This Row],[TGL.NOTA]]="",IF(NOTA[[#This Row],[SUPPLIER_H]]="","",AM98),MONTH(NOTA[[#This Row],[TGL.NOTA]]))</f>
        <v>7</v>
      </c>
      <c r="AN99" s="35" t="str">
        <f>LOWER(SUBSTITUTE(SUBSTITUTE(SUBSTITUTE(SUBSTITUTE(SUBSTITUTE(SUBSTITUTE(SUBSTITUTE(SUBSTITUTE(SUBSTITUTE(NOTA[[#This Row],[NAMA BARANG]]," ",),".",""),"-",""),"(",""),")",""),",",""),"/",""),"""",""),"+",""))</f>
        <v>cutterbesar88taco</v>
      </c>
      <c r="AO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cutterbesar88taco18600000,10,1</v>
      </c>
      <c r="AP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cutterbesar88taco18600000,10,1</v>
      </c>
      <c r="AQ99" s="35" t="str">
        <f>IF(NOTA[[#This Row],[SUPPLIER]]="","",NOTA[[#This Row],[SUPPLIER]]&amp;NOTA[[#This Row],[FAKTUR]]&amp;NOTA[[#This Row],[NO.NOTA]]&amp;NOTA[[#This Row],[NO.SJ]]&amp;NOTA[[#This Row],[TGL.NOTA]]&amp;NOTA[[#This Row],[CONCAT1]])</f>
        <v>D-R ORIGINALUNTANA45483cutterbesar88taco</v>
      </c>
      <c r="AR99" s="35">
        <f>IF(NOTA[[#This Row],[CONCAT1]]="","",MATCH(NOTA[[#This Row],[CONCAT1]],[3]!db[NB NOTA_C],0))</f>
        <v>791</v>
      </c>
      <c r="AS99" s="35" t="b">
        <f>IF(NOTA[[#This Row],[Column5]]="","",TRUE)</f>
        <v>1</v>
      </c>
      <c r="AT99" s="35" t="str">
        <f ca="1">IF(NOTA[[#This Row],[ID_H]]="","",IF(NOTA[[#This Row],[Column3]]=TRUE,NOTA[[#This Row],[Column5]],INDEX([3]!db[QTY/ CTN],NOTA[[#This Row],[//DB]])))</f>
        <v>60 LSN</v>
      </c>
      <c r="AU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cutterbesar88taco60lsnuntana</v>
      </c>
      <c r="AV99" s="35">
        <f ca="1">IF(NOTA[[#This Row],[ID_H]]="","",MATCH(NOTA[[#This Row],[NB NOTA_C_QTY]],[3]!db[NB NOTA_C_QTY+F],0))</f>
        <v>791</v>
      </c>
      <c r="AW99" s="43">
        <f ca="1">IF(NOTA[[#This Row],[NB NOTA_C_QTY]]="","",ROW()-2)</f>
        <v>97</v>
      </c>
    </row>
    <row r="100" spans="1:49" ht="20.100000000000001" customHeight="1">
      <c r="A1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5">
        <f ca="1">IF(NOTA[[#This Row],[NAMA BARANG]]="","",INDEX(NOTA[ID],MATCH(,INDIRECT(ADDRESS(ROW(NOTA[ID]),COLUMN(NOTA[ID]))&amp;":"&amp;ADDRESS(ROW(),COLUMN(NOTA[ID]))),-1)))</f>
        <v>29</v>
      </c>
      <c r="C100" s="45"/>
      <c r="F100" s="46"/>
      <c r="G100" s="35"/>
      <c r="H100" s="36"/>
      <c r="I100" s="35"/>
      <c r="J100" s="50" t="s">
        <v>271</v>
      </c>
      <c r="K100" s="37">
        <v>1</v>
      </c>
      <c r="L100" s="35">
        <v>60</v>
      </c>
      <c r="M100" s="35" t="s">
        <v>50</v>
      </c>
      <c r="N100" s="38">
        <v>31000</v>
      </c>
      <c r="O100" s="39"/>
      <c r="P100" s="47" t="s">
        <v>70</v>
      </c>
      <c r="Q100" s="48">
        <v>1</v>
      </c>
      <c r="R100" s="41"/>
      <c r="T100" s="42"/>
      <c r="U100" s="44" t="s">
        <v>71</v>
      </c>
      <c r="V100" s="42">
        <f>IF(NOTA[[#This Row],[HARGA/ CTN]]="",NOTA[[#This Row],[JUMLAH_H]],NOTA[[#This Row],[HARGA/ CTN]]*IF(NOTA[[#This Row],[C]]="",0,NOTA[[#This Row],[C]]))</f>
        <v>1860000</v>
      </c>
      <c r="W100" s="42">
        <f>IF(NOTA[[#This Row],[JUMLAH]]="","",NOTA[[#This Row],[JUMLAH]]*NOTA[[#This Row],[Column6]])</f>
        <v>1860000</v>
      </c>
      <c r="X100" s="42">
        <f>IF(NOTA[[#This Row],[JUMLAH]]="","",(NOTA[[#This Row],[JUMLAH]]-NOTA[[#This Row],[DISC 1-]])*NOTA[[#This Row],[Column7]])</f>
        <v>0</v>
      </c>
      <c r="Y100" s="42">
        <f>IF(NOTA[[#This Row],[JUMLAH]]="","",(NOTA[[#This Row],[JUMLAH]]-NOTA[[#This Row],[DISC 1-]]-NOTA[[#This Row],[DISC 2-]])*NOTA[[#This Row],[Column8]])</f>
        <v>0</v>
      </c>
      <c r="Z100" s="42">
        <f>IF(NOTA[[#This Row],[JUMLAH]]="","",NOTA[[#This Row],[DISC 1-]]+NOTA[[#This Row],[DISC 2-]]+NOTA[[#This Row],[DISC 3-]])</f>
        <v>1860000</v>
      </c>
      <c r="AA100" s="42">
        <f>IF(NOTA[[#This Row],[JUMLAH]]="","",NOTA[[#This Row],[JUMLAH]]-NOTA[[#This Row],[DISC]])</f>
        <v>0</v>
      </c>
      <c r="AB100" s="42"/>
      <c r="AC10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7908720</v>
      </c>
      <c r="AD10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16271280</v>
      </c>
      <c r="AE100" s="3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100" s="42">
        <f>IF(OR(NOTA[[#This Row],[QTY]]="",NOTA[[#This Row],[HARGA SATUAN]]="",),"",NOTA[[#This Row],[QTY]]*NOTA[[#This Row],[HARGA SATUAN]])</f>
        <v>1860000</v>
      </c>
      <c r="AG100" s="36">
        <f ca="1">IF(NOTA[[#This Row],[ID_H]]="","",INDEX(NOTA[TANGGAL],MATCH(,INDIRECT(ADDRESS(ROW(NOTA[TANGGAL]),COLUMN(NOTA[TANGGAL]))&amp;":"&amp;ADDRESS(ROW(),COLUMN(NOTA[TANGGAL]))),-1)))</f>
        <v>45485</v>
      </c>
      <c r="AH100" s="36">
        <f ca="1">IF(NOTA[[#This Row],[ID_H]]="","",INDEX(NOTA[TGL.NOTA],MATCH(,INDIRECT(ADDRESS(ROW(NOTA[TGL.NOTA]),COLUMN(NOTA[TGL.NOTA]))&amp;":"&amp;ADDRESS(ROW(),COLUMN(NOTA[TGL.NOTA]))),-1)))</f>
        <v>45483</v>
      </c>
      <c r="AI100" s="36">
        <f ca="1">IF(NOTA[[#This Row],[ID_H]]="","",INDEX(NOTA[NO.NOTA],MATCH(NOTA[[#This Row],[ID_H]],NOTA[ID_H],0)))</f>
        <v>0</v>
      </c>
      <c r="AJ100" s="38" t="str">
        <f ca="1">IF(NOTA[[#This Row],[NAMA BARANG]]="","",INDEX(NOTA[SUPPLIER],MATCH(,INDIRECT(ADDRESS(ROW(NOTA[ID]),COLUMN(NOTA[ID]))&amp;":"&amp;ADDRESS(ROW(),COLUMN(NOTA[ID]))),-1)))</f>
        <v>D-R ORIGINAL</v>
      </c>
      <c r="AK100" s="38" t="str">
        <f ca="1">IF(NOTA[[#This Row],[ID_H]]="","",IF(NOTA[[#This Row],[FAKTUR]]="",INDIRECT(ADDRESS(ROW()-1,COLUMN())),NOTA[[#This Row],[FAKTUR]]))</f>
        <v>UNTANA</v>
      </c>
      <c r="AL100" s="35" t="str">
        <f ca="1">IF(NOTA[[#This Row],[ID]]="","",COUNTIF(NOTA[ID_H],NOTA[[#This Row],[ID_H]]))</f>
        <v/>
      </c>
      <c r="AM100" s="35">
        <f ca="1">IF(NOTA[[#This Row],[TGL.NOTA]]="",IF(NOTA[[#This Row],[SUPPLIER_H]]="","",AM99),MONTH(NOTA[[#This Row],[TGL.NOTA]]))</f>
        <v>7</v>
      </c>
      <c r="AN100" s="35" t="str">
        <f>LOWER(SUBSTITUTE(SUBSTITUTE(SUBSTITUTE(SUBSTITUTE(SUBSTITUTE(SUBSTITUTE(SUBSTITUTE(SUBSTITUTE(SUBSTITUTE(NOTA[[#This Row],[NAMA BARANG]]," ",),".",""),"-",""),"(",""),")",""),",",""),"/",""),"""",""),"+",""))</f>
        <v>cutterbesar88taco</v>
      </c>
      <c r="AO1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cutterbesar88taco18600001</v>
      </c>
      <c r="AP1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cutterbesar88taco18600001</v>
      </c>
      <c r="AQ1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" s="35">
        <f>IF(NOTA[[#This Row],[CONCAT1]]="","",MATCH(NOTA[[#This Row],[CONCAT1]],[3]!db[NB NOTA_C],0))</f>
        <v>791</v>
      </c>
      <c r="AS100" s="35" t="b">
        <f>IF(NOTA[[#This Row],[Column5]]="","",TRUE)</f>
        <v>1</v>
      </c>
      <c r="AT100" s="35" t="str">
        <f ca="1">IF(NOTA[[#This Row],[ID_H]]="","",IF(NOTA[[#This Row],[Column3]]=TRUE,NOTA[[#This Row],[Column5]],INDEX([3]!db[QTY/ CTN],NOTA[[#This Row],[//DB]])))</f>
        <v>60 LSN</v>
      </c>
      <c r="AU1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cutterbesar88taco60lsnuntana</v>
      </c>
      <c r="AV100" s="35">
        <f ca="1">IF(NOTA[[#This Row],[ID_H]]="","",MATCH(NOTA[[#This Row],[NB NOTA_C_QTY]],[3]!db[NB NOTA_C_QTY+F],0))</f>
        <v>791</v>
      </c>
      <c r="AW100" s="43">
        <f ca="1">IF(NOTA[[#This Row],[NB NOTA_C_QTY]]="","",ROW()-2)</f>
        <v>98</v>
      </c>
    </row>
    <row r="101" spans="1:49" ht="20.100000000000001" customHeight="1">
      <c r="A1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5" t="str">
        <f ca="1">IF(NOTA[[#This Row],[NAMA BARANG]]="","",INDEX(NOTA[ID],MATCH(,INDIRECT(ADDRESS(ROW(NOTA[ID]),COLUMN(NOTA[ID]))&amp;":"&amp;ADDRESS(ROW(),COLUMN(NOTA[ID]))),-1)))</f>
        <v/>
      </c>
      <c r="C101" s="45"/>
      <c r="F101" s="46"/>
      <c r="G101" s="35"/>
      <c r="H101" s="36"/>
      <c r="I101" s="35"/>
      <c r="J101" s="50"/>
      <c r="K101" s="37"/>
      <c r="L101" s="35"/>
      <c r="N101" s="38"/>
      <c r="O101" s="39"/>
      <c r="P101" s="47"/>
      <c r="Q101" s="48"/>
      <c r="R101" s="41"/>
      <c r="T101" s="42"/>
      <c r="U101" s="44"/>
      <c r="V101" s="42" t="str">
        <f>IF(NOTA[[#This Row],[HARGA/ CTN]]="",NOTA[[#This Row],[JUMLAH_H]],NOTA[[#This Row],[HARGA/ CTN]]*IF(NOTA[[#This Row],[C]]="",0,NOTA[[#This Row],[C]]))</f>
        <v/>
      </c>
      <c r="W101" s="42" t="str">
        <f>IF(NOTA[[#This Row],[JUMLAH]]="","",NOTA[[#This Row],[JUMLAH]]*NOTA[[#This Row],[Column6]])</f>
        <v/>
      </c>
      <c r="X101" s="42" t="str">
        <f>IF(NOTA[[#This Row],[JUMLAH]]="","",(NOTA[[#This Row],[JUMLAH]]-NOTA[[#This Row],[DISC 1-]])*NOTA[[#This Row],[Column7]])</f>
        <v/>
      </c>
      <c r="Y101" s="42" t="str">
        <f>IF(NOTA[[#This Row],[JUMLAH]]="","",(NOTA[[#This Row],[JUMLAH]]-NOTA[[#This Row],[DISC 1-]]-NOTA[[#This Row],[DISC 2-]])*NOTA[[#This Row],[Column8]])</f>
        <v/>
      </c>
      <c r="Z101" s="42" t="str">
        <f>IF(NOTA[[#This Row],[JUMLAH]]="","",NOTA[[#This Row],[DISC 1-]]+NOTA[[#This Row],[DISC 2-]]+NOTA[[#This Row],[DISC 3-]])</f>
        <v/>
      </c>
      <c r="AA101" s="42" t="str">
        <f>IF(NOTA[[#This Row],[JUMLAH]]="","",NOTA[[#This Row],[JUMLAH]]-NOTA[[#This Row],[DISC]])</f>
        <v/>
      </c>
      <c r="AB101" s="42"/>
      <c r="AC1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42" t="str">
        <f>IF(OR(NOTA[[#This Row],[QTY]]="",NOTA[[#This Row],[HARGA SATUAN]]="",),"",NOTA[[#This Row],[QTY]]*NOTA[[#This Row],[HARGA SATUAN]])</f>
        <v/>
      </c>
      <c r="AG101" s="36" t="str">
        <f ca="1">IF(NOTA[[#This Row],[ID_H]]="","",INDEX(NOTA[TANGGAL],MATCH(,INDIRECT(ADDRESS(ROW(NOTA[TANGGAL]),COLUMN(NOTA[TANGGAL]))&amp;":"&amp;ADDRESS(ROW(),COLUMN(NOTA[TANGGAL]))),-1)))</f>
        <v/>
      </c>
      <c r="AH101" s="36" t="str">
        <f ca="1">IF(NOTA[[#This Row],[ID_H]]="","",INDEX(NOTA[TGL.NOTA],MATCH(,INDIRECT(ADDRESS(ROW(NOTA[TGL.NOTA]),COLUMN(NOTA[TGL.NOTA]))&amp;":"&amp;ADDRESS(ROW(),COLUMN(NOTA[TGL.NOTA]))),-1)))</f>
        <v/>
      </c>
      <c r="AI101" s="36" t="str">
        <f ca="1">IF(NOTA[[#This Row],[ID_H]]="","",INDEX(NOTA[NO.NOTA],MATCH(NOTA[[#This Row],[ID_H]],NOTA[ID_H],0)))</f>
        <v/>
      </c>
      <c r="AJ101" s="38" t="str">
        <f ca="1">IF(NOTA[[#This Row],[NAMA BARANG]]="","",INDEX(NOTA[SUPPLIER],MATCH(,INDIRECT(ADDRESS(ROW(NOTA[ID]),COLUMN(NOTA[ID]))&amp;":"&amp;ADDRESS(ROW(),COLUMN(NOTA[ID]))),-1)))</f>
        <v/>
      </c>
      <c r="AK101" s="38" t="str">
        <f ca="1">IF(NOTA[[#This Row],[ID_H]]="","",IF(NOTA[[#This Row],[FAKTUR]]="",INDIRECT(ADDRESS(ROW()-1,COLUMN())),NOTA[[#This Row],[FAKTUR]]))</f>
        <v/>
      </c>
      <c r="AL101" s="35" t="str">
        <f ca="1">IF(NOTA[[#This Row],[ID]]="","",COUNTIF(NOTA[ID_H],NOTA[[#This Row],[ID_H]]))</f>
        <v/>
      </c>
      <c r="AM101" s="35" t="str">
        <f ca="1">IF(NOTA[[#This Row],[TGL.NOTA]]="",IF(NOTA[[#This Row],[SUPPLIER_H]]="","",AM100),MONTH(NOTA[[#This Row],[TGL.NOTA]]))</f>
        <v/>
      </c>
      <c r="AN1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" s="35" t="str">
        <f>IF(NOTA[[#This Row],[CONCAT1]]="","",MATCH(NOTA[[#This Row],[CONCAT1]],[3]!db[NB NOTA_C],0))</f>
        <v/>
      </c>
      <c r="AS101" s="35" t="str">
        <f>IF(NOTA[[#This Row],[Column5]]="","",TRUE)</f>
        <v/>
      </c>
      <c r="AT101" s="35" t="str">
        <f ca="1">IF(NOTA[[#This Row],[ID_H]]="","",IF(NOTA[[#This Row],[Column3]]=TRUE,NOTA[[#This Row],[Column5]],INDEX([3]!db[QTY/ CTN],NOTA[[#This Row],[//DB]])))</f>
        <v/>
      </c>
      <c r="AU1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" s="35" t="str">
        <f ca="1">IF(NOTA[[#This Row],[ID_H]]="","",MATCH(NOTA[[#This Row],[NB NOTA_C_QTY]],[3]!db[NB NOTA_C_QTY+F],0))</f>
        <v/>
      </c>
      <c r="AW101" s="43" t="str">
        <f ca="1">IF(NOTA[[#This Row],[NB NOTA_C_QTY]]="","",ROW()-2)</f>
        <v/>
      </c>
    </row>
    <row r="102" spans="1:49" ht="20.100000000000001" customHeight="1">
      <c r="A102" s="38">
        <f ca="1">IF(INDIRECT(ADDRESS(ROW()-1,COLUMN(NOTA[[#Headers],[ID]])))="ID",1,IF(NOTA[[#This Row],[FAKTUR]]="","",COUNT(INDIRECT(ADDRESS(ROW(NOTA[ID]),COLUMN(NOTA[ID]))&amp;":"&amp;ADDRESS(ROW()-1,COLUMN(NOTA[ID]))))+1))</f>
        <v>30</v>
      </c>
      <c r="B102" s="35">
        <f ca="1">IF(NOTA[[#This Row],[NAMA BARANG]]="","",INDEX(NOTA[ID],MATCH(,INDIRECT(ADDRESS(ROW(NOTA[ID]),COLUMN(NOTA[ID]))&amp;":"&amp;ADDRESS(ROW(),COLUMN(NOTA[ID]))),-1)))</f>
        <v>30</v>
      </c>
      <c r="C102" s="45">
        <v>45483</v>
      </c>
      <c r="D102" s="35" t="s">
        <v>74</v>
      </c>
      <c r="E102" s="35" t="s">
        <v>49</v>
      </c>
      <c r="F102" s="46" t="s">
        <v>272</v>
      </c>
      <c r="G102" s="35"/>
      <c r="H102" s="36">
        <v>45478</v>
      </c>
      <c r="I102" s="35"/>
      <c r="J102" s="50" t="s">
        <v>273</v>
      </c>
      <c r="K102" s="37">
        <v>2</v>
      </c>
      <c r="L102" s="35">
        <v>192</v>
      </c>
      <c r="M102" s="35" t="s">
        <v>50</v>
      </c>
      <c r="N102" s="38">
        <v>26500</v>
      </c>
      <c r="O102" s="39"/>
      <c r="P102" s="47" t="s">
        <v>76</v>
      </c>
      <c r="Q102" s="48">
        <v>0.03</v>
      </c>
      <c r="R102" s="41"/>
      <c r="T102" s="42"/>
      <c r="U102" s="44"/>
      <c r="V102" s="42">
        <f>IF(NOTA[[#This Row],[HARGA/ CTN]]="",NOTA[[#This Row],[JUMLAH_H]],NOTA[[#This Row],[HARGA/ CTN]]*IF(NOTA[[#This Row],[C]]="",0,NOTA[[#This Row],[C]]))</f>
        <v>5088000</v>
      </c>
      <c r="W102" s="42">
        <f>IF(NOTA[[#This Row],[JUMLAH]]="","",NOTA[[#This Row],[JUMLAH]]*NOTA[[#This Row],[Column6]])</f>
        <v>152640</v>
      </c>
      <c r="X102" s="42">
        <f>IF(NOTA[[#This Row],[JUMLAH]]="","",(NOTA[[#This Row],[JUMLAH]]-NOTA[[#This Row],[DISC 1-]])*NOTA[[#This Row],[Column7]])</f>
        <v>0</v>
      </c>
      <c r="Y102" s="42">
        <f>IF(NOTA[[#This Row],[JUMLAH]]="","",(NOTA[[#This Row],[JUMLAH]]-NOTA[[#This Row],[DISC 1-]]-NOTA[[#This Row],[DISC 2-]])*NOTA[[#This Row],[Column8]])</f>
        <v>0</v>
      </c>
      <c r="Z102" s="42">
        <f>IF(NOTA[[#This Row],[JUMLAH]]="","",NOTA[[#This Row],[DISC 1-]]+NOTA[[#This Row],[DISC 2-]]+NOTA[[#This Row],[DISC 3-]])</f>
        <v>152640</v>
      </c>
      <c r="AA102" s="42">
        <f>IF(NOTA[[#This Row],[JUMLAH]]="","",NOTA[[#This Row],[JUMLAH]]-NOTA[[#This Row],[DISC]])</f>
        <v>4935360</v>
      </c>
      <c r="AB102" s="42"/>
      <c r="AC10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152640</v>
      </c>
      <c r="AD10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4935360</v>
      </c>
      <c r="AE102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02" s="42">
        <f>IF(OR(NOTA[[#This Row],[QTY]]="",NOTA[[#This Row],[HARGA SATUAN]]="",),"",NOTA[[#This Row],[QTY]]*NOTA[[#This Row],[HARGA SATUAN]])</f>
        <v>5088000</v>
      </c>
      <c r="AG102" s="36">
        <f ca="1">IF(NOTA[[#This Row],[ID_H]]="","",INDEX(NOTA[TANGGAL],MATCH(,INDIRECT(ADDRESS(ROW(NOTA[TANGGAL]),COLUMN(NOTA[TANGGAL]))&amp;":"&amp;ADDRESS(ROW(),COLUMN(NOTA[TANGGAL]))),-1)))</f>
        <v>45483</v>
      </c>
      <c r="AH102" s="36">
        <f ca="1">IF(NOTA[[#This Row],[ID_H]]="","",INDEX(NOTA[TGL.NOTA],MATCH(,INDIRECT(ADDRESS(ROW(NOTA[TGL.NOTA]),COLUMN(NOTA[TGL.NOTA]))&amp;":"&amp;ADDRESS(ROW(),COLUMN(NOTA[TGL.NOTA]))),-1)))</f>
        <v>45478</v>
      </c>
      <c r="AI102" s="36" t="str">
        <f ca="1">IF(NOTA[[#This Row],[ID_H]]="","",INDEX(NOTA[NO.NOTA],MATCH(NOTA[[#This Row],[ID_H]],NOTA[ID_H],0)))</f>
        <v>HM/132/07-24H</v>
      </c>
      <c r="AJ102" s="38" t="str">
        <f ca="1">IF(NOTA[[#This Row],[NAMA BARANG]]="","",INDEX(NOTA[SUPPLIER],MATCH(,INDIRECT(ADDRESS(ROW(NOTA[ID]),COLUMN(NOTA[ID]))&amp;":"&amp;ADDRESS(ROW(),COLUMN(NOTA[ID]))),-1)))</f>
        <v>DUTA BUANA</v>
      </c>
      <c r="AK102" s="38" t="str">
        <f ca="1">IF(NOTA[[#This Row],[ID_H]]="","",IF(NOTA[[#This Row],[FAKTUR]]="",INDIRECT(ADDRESS(ROW()-1,COLUMN())),NOTA[[#This Row],[FAKTUR]]))</f>
        <v>UNTANA</v>
      </c>
      <c r="AL102" s="35">
        <f ca="1">IF(NOTA[[#This Row],[ID]]="","",COUNTIF(NOTA[ID_H],NOTA[[#This Row],[ID_H]]))</f>
        <v>1</v>
      </c>
      <c r="AM102" s="35">
        <f>IF(NOTA[[#This Row],[TGL.NOTA]]="",IF(NOTA[[#This Row],[SUPPLIER_H]]="","",AM101),MONTH(NOTA[[#This Row],[TGL.NOTA]]))</f>
        <v>7</v>
      </c>
      <c r="AN102" s="35" t="str">
        <f>LOWER(SUBSTITUTE(SUBSTITUTE(SUBSTITUTE(SUBSTITUTE(SUBSTITUTE(SUBSTITUTE(SUBSTITUTE(SUBSTITUTE(SUBSTITUTE(NOTA[[#This Row],[NAMA BARANG]]," ",),".",""),"-",""),"(",""),")",""),",",""),"/",""),"""",""),"+",""))</f>
        <v>ballpengeltf1191bodywr03mmhightech</v>
      </c>
      <c r="AO1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ballpengeltf1191bodywr03mmhightech25440000,03</v>
      </c>
      <c r="AP1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ballpengeltf1191bodywr03mmhightech25440000,03</v>
      </c>
      <c r="AQ102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BUANAUNTANAHM/132/07-24H45478ballpengeltf1191bodywr03mmhightech</v>
      </c>
      <c r="AR102" s="35">
        <f>IF(NOTA[[#This Row],[CONCAT1]]="","",MATCH(NOTA[[#This Row],[CONCAT1]],[3]!db[NB NOTA_C],0))</f>
        <v>152</v>
      </c>
      <c r="AS102" s="35" t="b">
        <f>IF(NOTA[[#This Row],[Column5]]="","",TRUE)</f>
        <v>1</v>
      </c>
      <c r="AT102" s="35" t="str">
        <f ca="1">IF(NOTA[[#This Row],[ID_H]]="","",IF(NOTA[[#This Row],[Column3]]=TRUE,NOTA[[#This Row],[Column5]],INDEX([3]!db[QTY/ CTN],NOTA[[#This Row],[//DB]])))</f>
        <v>96 LSN</v>
      </c>
      <c r="AU1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V102" s="35">
        <f ca="1">IF(NOTA[[#This Row],[ID_H]]="","",MATCH(NOTA[[#This Row],[NB NOTA_C_QTY]],[3]!db[NB NOTA_C_QTY+F],0))</f>
        <v>153</v>
      </c>
      <c r="AW102" s="43">
        <f ca="1">IF(NOTA[[#This Row],[NB NOTA_C_QTY]]="","",ROW()-2)</f>
        <v>100</v>
      </c>
    </row>
    <row r="103" spans="1:49" ht="20.100000000000001" customHeight="1">
      <c r="A1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5" t="str">
        <f ca="1">IF(NOTA[[#This Row],[NAMA BARANG]]="","",INDEX(NOTA[ID],MATCH(,INDIRECT(ADDRESS(ROW(NOTA[ID]),COLUMN(NOTA[ID]))&amp;":"&amp;ADDRESS(ROW(),COLUMN(NOTA[ID]))),-1)))</f>
        <v/>
      </c>
      <c r="C103" s="45"/>
      <c r="F103" s="46"/>
      <c r="G103" s="35"/>
      <c r="H103" s="36"/>
      <c r="I103" s="35"/>
      <c r="K103" s="37"/>
      <c r="L103" s="35"/>
      <c r="N103" s="38"/>
      <c r="O103" s="39"/>
      <c r="P103" s="47"/>
      <c r="Q103" s="48"/>
      <c r="R103" s="41"/>
      <c r="T103" s="42"/>
      <c r="U103" s="44"/>
      <c r="V103" s="42" t="str">
        <f>IF(NOTA[[#This Row],[HARGA/ CTN]]="",NOTA[[#This Row],[JUMLAH_H]],NOTA[[#This Row],[HARGA/ CTN]]*IF(NOTA[[#This Row],[C]]="",0,NOTA[[#This Row],[C]]))</f>
        <v/>
      </c>
      <c r="W103" s="42" t="str">
        <f>IF(NOTA[[#This Row],[JUMLAH]]="","",NOTA[[#This Row],[JUMLAH]]*NOTA[[#This Row],[Column6]])</f>
        <v/>
      </c>
      <c r="X103" s="42" t="str">
        <f>IF(NOTA[[#This Row],[JUMLAH]]="","",(NOTA[[#This Row],[JUMLAH]]-NOTA[[#This Row],[DISC 1-]])*NOTA[[#This Row],[Column7]])</f>
        <v/>
      </c>
      <c r="Y103" s="42" t="str">
        <f>IF(NOTA[[#This Row],[JUMLAH]]="","",(NOTA[[#This Row],[JUMLAH]]-NOTA[[#This Row],[DISC 1-]]-NOTA[[#This Row],[DISC 2-]])*NOTA[[#This Row],[Column8]])</f>
        <v/>
      </c>
      <c r="Z103" s="42" t="str">
        <f>IF(NOTA[[#This Row],[JUMLAH]]="","",NOTA[[#This Row],[DISC 1-]]+NOTA[[#This Row],[DISC 2-]]+NOTA[[#This Row],[DISC 3-]])</f>
        <v/>
      </c>
      <c r="AA103" s="42" t="str">
        <f>IF(NOTA[[#This Row],[JUMLAH]]="","",NOTA[[#This Row],[JUMLAH]]-NOTA[[#This Row],[DISC]])</f>
        <v/>
      </c>
      <c r="AB103" s="42"/>
      <c r="AC1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42" t="str">
        <f>IF(OR(NOTA[[#This Row],[QTY]]="",NOTA[[#This Row],[HARGA SATUAN]]="",),"",NOTA[[#This Row],[QTY]]*NOTA[[#This Row],[HARGA SATUAN]])</f>
        <v/>
      </c>
      <c r="AG103" s="36" t="str">
        <f ca="1">IF(NOTA[[#This Row],[ID_H]]="","",INDEX(NOTA[TANGGAL],MATCH(,INDIRECT(ADDRESS(ROW(NOTA[TANGGAL]),COLUMN(NOTA[TANGGAL]))&amp;":"&amp;ADDRESS(ROW(),COLUMN(NOTA[TANGGAL]))),-1)))</f>
        <v/>
      </c>
      <c r="AH103" s="36" t="str">
        <f ca="1">IF(NOTA[[#This Row],[ID_H]]="","",INDEX(NOTA[TGL.NOTA],MATCH(,INDIRECT(ADDRESS(ROW(NOTA[TGL.NOTA]),COLUMN(NOTA[TGL.NOTA]))&amp;":"&amp;ADDRESS(ROW(),COLUMN(NOTA[TGL.NOTA]))),-1)))</f>
        <v/>
      </c>
      <c r="AI103" s="36" t="str">
        <f ca="1">IF(NOTA[[#This Row],[ID_H]]="","",INDEX(NOTA[NO.NOTA],MATCH(NOTA[[#This Row],[ID_H]],NOTA[ID_H],0)))</f>
        <v/>
      </c>
      <c r="AJ103" s="38" t="str">
        <f ca="1">IF(NOTA[[#This Row],[NAMA BARANG]]="","",INDEX(NOTA[SUPPLIER],MATCH(,INDIRECT(ADDRESS(ROW(NOTA[ID]),COLUMN(NOTA[ID]))&amp;":"&amp;ADDRESS(ROW(),COLUMN(NOTA[ID]))),-1)))</f>
        <v/>
      </c>
      <c r="AK103" s="38" t="str">
        <f ca="1">IF(NOTA[[#This Row],[ID_H]]="","",IF(NOTA[[#This Row],[FAKTUR]]="",INDIRECT(ADDRESS(ROW()-1,COLUMN())),NOTA[[#This Row],[FAKTUR]]))</f>
        <v/>
      </c>
      <c r="AL103" s="35" t="str">
        <f ca="1">IF(NOTA[[#This Row],[ID]]="","",COUNTIF(NOTA[ID_H],NOTA[[#This Row],[ID_H]]))</f>
        <v/>
      </c>
      <c r="AM103" s="35" t="str">
        <f ca="1">IF(NOTA[[#This Row],[TGL.NOTA]]="",IF(NOTA[[#This Row],[SUPPLIER_H]]="","",AM102),MONTH(NOTA[[#This Row],[TGL.NOTA]]))</f>
        <v/>
      </c>
      <c r="AN1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3" s="35" t="str">
        <f>IF(NOTA[[#This Row],[CONCAT1]]="","",MATCH(NOTA[[#This Row],[CONCAT1]],[3]!db[NB NOTA_C],0))</f>
        <v/>
      </c>
      <c r="AS103" s="35" t="str">
        <f>IF(NOTA[[#This Row],[Column5]]="","",TRUE)</f>
        <v/>
      </c>
      <c r="AT103" s="35" t="str">
        <f ca="1">IF(NOTA[[#This Row],[ID_H]]="","",IF(NOTA[[#This Row],[Column3]]=TRUE,NOTA[[#This Row],[Column5]],INDEX([3]!db[QTY/ CTN],NOTA[[#This Row],[//DB]])))</f>
        <v/>
      </c>
      <c r="AU1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3" s="35" t="str">
        <f ca="1">IF(NOTA[[#This Row],[ID_H]]="","",MATCH(NOTA[[#This Row],[NB NOTA_C_QTY]],[3]!db[NB NOTA_C_QTY+F],0))</f>
        <v/>
      </c>
      <c r="AW103" s="43" t="str">
        <f ca="1">IF(NOTA[[#This Row],[NB NOTA_C_QTY]]="","",ROW()-2)</f>
        <v/>
      </c>
    </row>
    <row r="104" spans="1:49" ht="20.100000000000001" customHeight="1">
      <c r="A104" s="38">
        <f ca="1">IF(INDIRECT(ADDRESS(ROW()-1,COLUMN(NOTA[[#Headers],[ID]])))="ID",1,IF(NOTA[[#This Row],[FAKTUR]]="","",COUNT(INDIRECT(ADDRESS(ROW(NOTA[ID]),COLUMN(NOTA[ID]))&amp;":"&amp;ADDRESS(ROW()-1,COLUMN(NOTA[ID]))))+1))</f>
        <v>31</v>
      </c>
      <c r="B104" s="35">
        <f ca="1">IF(NOTA[[#This Row],[NAMA BARANG]]="","",INDEX(NOTA[ID],MATCH(,INDIRECT(ADDRESS(ROW(NOTA[ID]),COLUMN(NOTA[ID]))&amp;":"&amp;ADDRESS(ROW(),COLUMN(NOTA[ID]))),-1)))</f>
        <v>31</v>
      </c>
      <c r="C104" s="45"/>
      <c r="D104" s="35" t="s">
        <v>74</v>
      </c>
      <c r="E104" s="35" t="s">
        <v>49</v>
      </c>
      <c r="F104" s="46" t="s">
        <v>274</v>
      </c>
      <c r="G104" s="35"/>
      <c r="H104" s="36">
        <v>45478</v>
      </c>
      <c r="I104" s="35"/>
      <c r="J104" s="50" t="s">
        <v>75</v>
      </c>
      <c r="K104" s="37">
        <v>5</v>
      </c>
      <c r="L104" s="35">
        <v>480</v>
      </c>
      <c r="M104" s="35" t="s">
        <v>50</v>
      </c>
      <c r="N104" s="38">
        <v>26500</v>
      </c>
      <c r="O104" s="39"/>
      <c r="P104" s="47" t="s">
        <v>76</v>
      </c>
      <c r="Q104" s="48">
        <v>0.03</v>
      </c>
      <c r="R104" s="41"/>
      <c r="T104" s="42"/>
      <c r="U104" s="44"/>
      <c r="V104" s="42">
        <f>IF(NOTA[[#This Row],[HARGA/ CTN]]="",NOTA[[#This Row],[JUMLAH_H]],NOTA[[#This Row],[HARGA/ CTN]]*IF(NOTA[[#This Row],[C]]="",0,NOTA[[#This Row],[C]]))</f>
        <v>12720000</v>
      </c>
      <c r="W104" s="42">
        <f>IF(NOTA[[#This Row],[JUMLAH]]="","",NOTA[[#This Row],[JUMLAH]]*NOTA[[#This Row],[Column6]])</f>
        <v>381600</v>
      </c>
      <c r="X104" s="42">
        <f>IF(NOTA[[#This Row],[JUMLAH]]="","",(NOTA[[#This Row],[JUMLAH]]-NOTA[[#This Row],[DISC 1-]])*NOTA[[#This Row],[Column7]])</f>
        <v>0</v>
      </c>
      <c r="Y104" s="42">
        <f>IF(NOTA[[#This Row],[JUMLAH]]="","",(NOTA[[#This Row],[JUMLAH]]-NOTA[[#This Row],[DISC 1-]]-NOTA[[#This Row],[DISC 2-]])*NOTA[[#This Row],[Column8]])</f>
        <v>0</v>
      </c>
      <c r="Z104" s="42">
        <f>IF(NOTA[[#This Row],[JUMLAH]]="","",NOTA[[#This Row],[DISC 1-]]+NOTA[[#This Row],[DISC 2-]]+NOTA[[#This Row],[DISC 3-]])</f>
        <v>381600</v>
      </c>
      <c r="AA104" s="42">
        <f>IF(NOTA[[#This Row],[JUMLAH]]="","",NOTA[[#This Row],[JUMLAH]]-NOTA[[#This Row],[DISC]])</f>
        <v>12338400</v>
      </c>
      <c r="AB104" s="42"/>
      <c r="AC10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381600</v>
      </c>
      <c r="AD10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12338400</v>
      </c>
      <c r="AE104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04" s="42">
        <f>IF(OR(NOTA[[#This Row],[QTY]]="",NOTA[[#This Row],[HARGA SATUAN]]="",),"",NOTA[[#This Row],[QTY]]*NOTA[[#This Row],[HARGA SATUAN]])</f>
        <v>12720000</v>
      </c>
      <c r="AG104" s="36">
        <f ca="1">IF(NOTA[[#This Row],[ID_H]]="","",INDEX(NOTA[TANGGAL],MATCH(,INDIRECT(ADDRESS(ROW(NOTA[TANGGAL]),COLUMN(NOTA[TANGGAL]))&amp;":"&amp;ADDRESS(ROW(),COLUMN(NOTA[TANGGAL]))),-1)))</f>
        <v>45483</v>
      </c>
      <c r="AH104" s="36">
        <f ca="1">IF(NOTA[[#This Row],[ID_H]]="","",INDEX(NOTA[TGL.NOTA],MATCH(,INDIRECT(ADDRESS(ROW(NOTA[TGL.NOTA]),COLUMN(NOTA[TGL.NOTA]))&amp;":"&amp;ADDRESS(ROW(),COLUMN(NOTA[TGL.NOTA]))),-1)))</f>
        <v>45478</v>
      </c>
      <c r="AI104" s="36" t="str">
        <f ca="1">IF(NOTA[[#This Row],[ID_H]]="","",INDEX(NOTA[NO.NOTA],MATCH(NOTA[[#This Row],[ID_H]],NOTA[ID_H],0)))</f>
        <v>HM/131/07-24H</v>
      </c>
      <c r="AJ104" s="38" t="str">
        <f ca="1">IF(NOTA[[#This Row],[NAMA BARANG]]="","",INDEX(NOTA[SUPPLIER],MATCH(,INDIRECT(ADDRESS(ROW(NOTA[ID]),COLUMN(NOTA[ID]))&amp;":"&amp;ADDRESS(ROW(),COLUMN(NOTA[ID]))),-1)))</f>
        <v>DUTA BUANA</v>
      </c>
      <c r="AK104" s="38" t="str">
        <f ca="1">IF(NOTA[[#This Row],[ID_H]]="","",IF(NOTA[[#This Row],[FAKTUR]]="",INDIRECT(ADDRESS(ROW()-1,COLUMN())),NOTA[[#This Row],[FAKTUR]]))</f>
        <v>UNTANA</v>
      </c>
      <c r="AL104" s="35">
        <f ca="1">IF(NOTA[[#This Row],[ID]]="","",COUNTIF(NOTA[ID_H],NOTA[[#This Row],[ID_H]]))</f>
        <v>1</v>
      </c>
      <c r="AM104" s="35">
        <f>IF(NOTA[[#This Row],[TGL.NOTA]]="",IF(NOTA[[#This Row],[SUPPLIER_H]]="","",AM103),MONTH(NOTA[[#This Row],[TGL.NOTA]]))</f>
        <v>7</v>
      </c>
      <c r="AN104" s="3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1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1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104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BUANAUNTANAHM/131/07-24H45478ballpengeltf1190htm03mmhightech</v>
      </c>
      <c r="AR104" s="35">
        <f>IF(NOTA[[#This Row],[CONCAT1]]="","",MATCH(NOTA[[#This Row],[CONCAT1]],[3]!db[NB NOTA_C],0))</f>
        <v>150</v>
      </c>
      <c r="AS104" s="35" t="b">
        <f>IF(NOTA[[#This Row],[Column5]]="","",TRUE)</f>
        <v>1</v>
      </c>
      <c r="AT104" s="35" t="str">
        <f ca="1">IF(NOTA[[#This Row],[ID_H]]="","",IF(NOTA[[#This Row],[Column3]]=TRUE,NOTA[[#This Row],[Column5]],INDEX([3]!db[QTY/ CTN],NOTA[[#This Row],[//DB]])))</f>
        <v>96 LSN</v>
      </c>
      <c r="AU1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104" s="35">
        <f ca="1">IF(NOTA[[#This Row],[ID_H]]="","",MATCH(NOTA[[#This Row],[NB NOTA_C_QTY]],[3]!db[NB NOTA_C_QTY+F],0))</f>
        <v>151</v>
      </c>
      <c r="AW104" s="43">
        <f ca="1">IF(NOTA[[#This Row],[NB NOTA_C_QTY]]="","",ROW()-2)</f>
        <v>102</v>
      </c>
    </row>
    <row r="105" spans="1:49" ht="20.100000000000001" customHeight="1">
      <c r="A1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5" t="str">
        <f ca="1">IF(NOTA[[#This Row],[NAMA BARANG]]="","",INDEX(NOTA[ID],MATCH(,INDIRECT(ADDRESS(ROW(NOTA[ID]),COLUMN(NOTA[ID]))&amp;":"&amp;ADDRESS(ROW(),COLUMN(NOTA[ID]))),-1)))</f>
        <v/>
      </c>
      <c r="C105" s="45"/>
      <c r="F105" s="46"/>
      <c r="G105" s="35"/>
      <c r="H105" s="36"/>
      <c r="I105" s="35"/>
      <c r="K105" s="37"/>
      <c r="L105" s="35"/>
      <c r="N105" s="38"/>
      <c r="O105" s="39"/>
      <c r="P105" s="47"/>
      <c r="Q105" s="48"/>
      <c r="R105" s="41"/>
      <c r="T105" s="42"/>
      <c r="U105" s="44"/>
      <c r="V105" s="42" t="str">
        <f>IF(NOTA[[#This Row],[HARGA/ CTN]]="",NOTA[[#This Row],[JUMLAH_H]],NOTA[[#This Row],[HARGA/ CTN]]*IF(NOTA[[#This Row],[C]]="",0,NOTA[[#This Row],[C]]))</f>
        <v/>
      </c>
      <c r="W105" s="42" t="str">
        <f>IF(NOTA[[#This Row],[JUMLAH]]="","",NOTA[[#This Row],[JUMLAH]]*NOTA[[#This Row],[Column6]])</f>
        <v/>
      </c>
      <c r="X105" s="42" t="str">
        <f>IF(NOTA[[#This Row],[JUMLAH]]="","",(NOTA[[#This Row],[JUMLAH]]-NOTA[[#This Row],[DISC 1-]])*NOTA[[#This Row],[Column7]])</f>
        <v/>
      </c>
      <c r="Y105" s="42" t="str">
        <f>IF(NOTA[[#This Row],[JUMLAH]]="","",(NOTA[[#This Row],[JUMLAH]]-NOTA[[#This Row],[DISC 1-]]-NOTA[[#This Row],[DISC 2-]])*NOTA[[#This Row],[Column8]])</f>
        <v/>
      </c>
      <c r="Z105" s="42" t="str">
        <f>IF(NOTA[[#This Row],[JUMLAH]]="","",NOTA[[#This Row],[DISC 1-]]+NOTA[[#This Row],[DISC 2-]]+NOTA[[#This Row],[DISC 3-]])</f>
        <v/>
      </c>
      <c r="AA105" s="42" t="str">
        <f>IF(NOTA[[#This Row],[JUMLAH]]="","",NOTA[[#This Row],[JUMLAH]]-NOTA[[#This Row],[DISC]])</f>
        <v/>
      </c>
      <c r="AB105" s="42"/>
      <c r="AC1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42" t="str">
        <f>IF(OR(NOTA[[#This Row],[QTY]]="",NOTA[[#This Row],[HARGA SATUAN]]="",),"",NOTA[[#This Row],[QTY]]*NOTA[[#This Row],[HARGA SATUAN]])</f>
        <v/>
      </c>
      <c r="AG105" s="36" t="str">
        <f ca="1">IF(NOTA[[#This Row],[ID_H]]="","",INDEX(NOTA[TANGGAL],MATCH(,INDIRECT(ADDRESS(ROW(NOTA[TANGGAL]),COLUMN(NOTA[TANGGAL]))&amp;":"&amp;ADDRESS(ROW(),COLUMN(NOTA[TANGGAL]))),-1)))</f>
        <v/>
      </c>
      <c r="AH105" s="36" t="str">
        <f ca="1">IF(NOTA[[#This Row],[ID_H]]="","",INDEX(NOTA[TGL.NOTA],MATCH(,INDIRECT(ADDRESS(ROW(NOTA[TGL.NOTA]),COLUMN(NOTA[TGL.NOTA]))&amp;":"&amp;ADDRESS(ROW(),COLUMN(NOTA[TGL.NOTA]))),-1)))</f>
        <v/>
      </c>
      <c r="AI105" s="36" t="str">
        <f ca="1">IF(NOTA[[#This Row],[ID_H]]="","",INDEX(NOTA[NO.NOTA],MATCH(NOTA[[#This Row],[ID_H]],NOTA[ID_H],0)))</f>
        <v/>
      </c>
      <c r="AJ105" s="38" t="str">
        <f ca="1">IF(NOTA[[#This Row],[NAMA BARANG]]="","",INDEX(NOTA[SUPPLIER],MATCH(,INDIRECT(ADDRESS(ROW(NOTA[ID]),COLUMN(NOTA[ID]))&amp;":"&amp;ADDRESS(ROW(),COLUMN(NOTA[ID]))),-1)))</f>
        <v/>
      </c>
      <c r="AK105" s="38" t="str">
        <f ca="1">IF(NOTA[[#This Row],[ID_H]]="","",IF(NOTA[[#This Row],[FAKTUR]]="",INDIRECT(ADDRESS(ROW()-1,COLUMN())),NOTA[[#This Row],[FAKTUR]]))</f>
        <v/>
      </c>
      <c r="AL105" s="35" t="str">
        <f ca="1">IF(NOTA[[#This Row],[ID]]="","",COUNTIF(NOTA[ID_H],NOTA[[#This Row],[ID_H]]))</f>
        <v/>
      </c>
      <c r="AM105" s="35" t="str">
        <f ca="1">IF(NOTA[[#This Row],[TGL.NOTA]]="",IF(NOTA[[#This Row],[SUPPLIER_H]]="","",AM104),MONTH(NOTA[[#This Row],[TGL.NOTA]]))</f>
        <v/>
      </c>
      <c r="AN1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5" s="35" t="str">
        <f>IF(NOTA[[#This Row],[CONCAT1]]="","",MATCH(NOTA[[#This Row],[CONCAT1]],[3]!db[NB NOTA_C],0))</f>
        <v/>
      </c>
      <c r="AS105" s="35" t="str">
        <f>IF(NOTA[[#This Row],[Column5]]="","",TRUE)</f>
        <v/>
      </c>
      <c r="AT105" s="35" t="str">
        <f ca="1">IF(NOTA[[#This Row],[ID_H]]="","",IF(NOTA[[#This Row],[Column3]]=TRUE,NOTA[[#This Row],[Column5]],INDEX([3]!db[QTY/ CTN],NOTA[[#This Row],[//DB]])))</f>
        <v/>
      </c>
      <c r="AU1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5" s="35" t="str">
        <f ca="1">IF(NOTA[[#This Row],[ID_H]]="","",MATCH(NOTA[[#This Row],[NB NOTA_C_QTY]],[3]!db[NB NOTA_C_QTY+F],0))</f>
        <v/>
      </c>
      <c r="AW105" s="43" t="str">
        <f ca="1">IF(NOTA[[#This Row],[NB NOTA_C_QTY]]="","",ROW()-2)</f>
        <v/>
      </c>
    </row>
    <row r="106" spans="1:49" ht="20.100000000000001" customHeight="1">
      <c r="A106" s="38">
        <f ca="1">IF(INDIRECT(ADDRESS(ROW()-1,COLUMN(NOTA[[#Headers],[ID]])))="ID",1,IF(NOTA[[#This Row],[FAKTUR]]="","",COUNT(INDIRECT(ADDRESS(ROW(NOTA[ID]),COLUMN(NOTA[ID]))&amp;":"&amp;ADDRESS(ROW()-1,COLUMN(NOTA[ID]))))+1))</f>
        <v>32</v>
      </c>
      <c r="B106" s="35">
        <f ca="1">IF(NOTA[[#This Row],[NAMA BARANG]]="","",INDEX(NOTA[ID],MATCH(,INDIRECT(ADDRESS(ROW(NOTA[ID]),COLUMN(NOTA[ID]))&amp;":"&amp;ADDRESS(ROW(),COLUMN(NOTA[ID]))),-1)))</f>
        <v>32</v>
      </c>
      <c r="C106" s="45">
        <v>45483</v>
      </c>
      <c r="D106" s="35" t="s">
        <v>275</v>
      </c>
      <c r="E106" s="35" t="s">
        <v>49</v>
      </c>
      <c r="F106" s="46" t="s">
        <v>276</v>
      </c>
      <c r="G106" s="35"/>
      <c r="H106" s="36">
        <v>45478</v>
      </c>
      <c r="I106" s="35"/>
      <c r="J106" s="50" t="s">
        <v>277</v>
      </c>
      <c r="K106" s="37">
        <v>1</v>
      </c>
      <c r="L106" s="35">
        <v>96</v>
      </c>
      <c r="M106" s="35" t="s">
        <v>51</v>
      </c>
      <c r="N106" s="38">
        <v>21000</v>
      </c>
      <c r="O106" s="39"/>
      <c r="P106" s="47" t="s">
        <v>281</v>
      </c>
      <c r="Q106" s="48">
        <v>0.03</v>
      </c>
      <c r="R106" s="41"/>
      <c r="T106" s="42"/>
      <c r="U106" s="44"/>
      <c r="V106" s="42">
        <f>IF(NOTA[[#This Row],[HARGA/ CTN]]="",NOTA[[#This Row],[JUMLAH_H]],NOTA[[#This Row],[HARGA/ CTN]]*IF(NOTA[[#This Row],[C]]="",0,NOTA[[#This Row],[C]]))</f>
        <v>2016000</v>
      </c>
      <c r="W106" s="42">
        <f>IF(NOTA[[#This Row],[JUMLAH]]="","",NOTA[[#This Row],[JUMLAH]]*NOTA[[#This Row],[Column6]])</f>
        <v>60480</v>
      </c>
      <c r="X106" s="42">
        <f>IF(NOTA[[#This Row],[JUMLAH]]="","",(NOTA[[#This Row],[JUMLAH]]-NOTA[[#This Row],[DISC 1-]])*NOTA[[#This Row],[Column7]])</f>
        <v>0</v>
      </c>
      <c r="Y106" s="42">
        <f>IF(NOTA[[#This Row],[JUMLAH]]="","",(NOTA[[#This Row],[JUMLAH]]-NOTA[[#This Row],[DISC 1-]]-NOTA[[#This Row],[DISC 2-]])*NOTA[[#This Row],[Column8]])</f>
        <v>0</v>
      </c>
      <c r="Z106" s="42">
        <f>IF(NOTA[[#This Row],[JUMLAH]]="","",NOTA[[#This Row],[DISC 1-]]+NOTA[[#This Row],[DISC 2-]]+NOTA[[#This Row],[DISC 3-]])</f>
        <v>60480</v>
      </c>
      <c r="AA106" s="42">
        <f>IF(NOTA[[#This Row],[JUMLAH]]="","",NOTA[[#This Row],[JUMLAH]]-NOTA[[#This Row],[DISC]])</f>
        <v>1955520</v>
      </c>
      <c r="AB106" s="42"/>
      <c r="AC1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6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6" s="42">
        <f>IF(OR(NOTA[[#This Row],[QTY]]="",NOTA[[#This Row],[HARGA SATUAN]]="",),"",NOTA[[#This Row],[QTY]]*NOTA[[#This Row],[HARGA SATUAN]])</f>
        <v>2016000</v>
      </c>
      <c r="AG106" s="36">
        <f ca="1">IF(NOTA[[#This Row],[ID_H]]="","",INDEX(NOTA[TANGGAL],MATCH(,INDIRECT(ADDRESS(ROW(NOTA[TANGGAL]),COLUMN(NOTA[TANGGAL]))&amp;":"&amp;ADDRESS(ROW(),COLUMN(NOTA[TANGGAL]))),-1)))</f>
        <v>45483</v>
      </c>
      <c r="AH106" s="36">
        <f ca="1">IF(NOTA[[#This Row],[ID_H]]="","",INDEX(NOTA[TGL.NOTA],MATCH(,INDIRECT(ADDRESS(ROW(NOTA[TGL.NOTA]),COLUMN(NOTA[TGL.NOTA]))&amp;":"&amp;ADDRESS(ROW(),COLUMN(NOTA[TGL.NOTA]))),-1)))</f>
        <v>45478</v>
      </c>
      <c r="AI106" s="36" t="str">
        <f ca="1">IF(NOTA[[#This Row],[ID_H]]="","",INDEX(NOTA[NO.NOTA],MATCH(NOTA[[#This Row],[ID_H]],NOTA[ID_H],0)))</f>
        <v>DHM/059/07-24C</v>
      </c>
      <c r="AJ106" s="38" t="str">
        <f ca="1">IF(NOTA[[#This Row],[NAMA BARANG]]="","",INDEX(NOTA[SUPPLIER],MATCH(,INDIRECT(ADDRESS(ROW(NOTA[ID]),COLUMN(NOTA[ID]))&amp;":"&amp;ADDRESS(ROW(),COLUMN(NOTA[ID]))),-1)))</f>
        <v>DUTA BAHAGIA</v>
      </c>
      <c r="AK106" s="38" t="str">
        <f ca="1">IF(NOTA[[#This Row],[ID_H]]="","",IF(NOTA[[#This Row],[FAKTUR]]="",INDIRECT(ADDRESS(ROW()-1,COLUMN())),NOTA[[#This Row],[FAKTUR]]))</f>
        <v>UNTANA</v>
      </c>
      <c r="AL106" s="35">
        <f ca="1">IF(NOTA[[#This Row],[ID]]="","",COUNTIF(NOTA[ID_H],NOTA[[#This Row],[ID_H]]))</f>
        <v>4</v>
      </c>
      <c r="AM106" s="35">
        <f>IF(NOTA[[#This Row],[TGL.NOTA]]="",IF(NOTA[[#This Row],[SUPPLIER_H]]="","",AM105),MONTH(NOTA[[#This Row],[TGL.NOTA]]))</f>
        <v>7</v>
      </c>
      <c r="AN106" s="35" t="str">
        <f>LOWER(SUBSTITUTE(SUBSTITUTE(SUBSTITUTE(SUBSTITUTE(SUBSTITUTE(SUBSTITUTE(SUBSTITUTE(SUBSTITUTE(SUBSTITUTE(NOTA[[#This Row],[NAMA BARANG]]," ",),".",""),"-",""),"(",""),")",""),",",""),"/",""),"""",""),"+",""))</f>
        <v>bindernotefphy001a560</v>
      </c>
      <c r="AO1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bindernotefphy001a56020160000,03</v>
      </c>
      <c r="AP1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bindernotefphy001a56020160000,03</v>
      </c>
      <c r="AQ106" s="35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BAHAGIAUNTANADHM/059/07-24C45478bindernotefphy001a560</v>
      </c>
      <c r="AR106" s="35">
        <f>IF(NOTA[[#This Row],[CONCAT1]]="","",MATCH(NOTA[[#This Row],[CONCAT1]],[3]!db[NB NOTA_C],0))</f>
        <v>354</v>
      </c>
      <c r="AS106" s="35" t="b">
        <f>IF(NOTA[[#This Row],[Column5]]="","",TRUE)</f>
        <v>1</v>
      </c>
      <c r="AT106" s="35" t="str">
        <f ca="1">IF(NOTA[[#This Row],[ID_H]]="","",IF(NOTA[[#This Row],[Column3]]=TRUE,NOTA[[#This Row],[Column5]],INDEX([3]!db[QTY/ CTN],NOTA[[#This Row],[//DB]])))</f>
        <v>96 PCS</v>
      </c>
      <c r="AU1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bindernotefphy001a56096pcsuntana</v>
      </c>
      <c r="AV106" s="35">
        <f ca="1">IF(NOTA[[#This Row],[ID_H]]="","",MATCH(NOTA[[#This Row],[NB NOTA_C_QTY]],[3]!db[NB NOTA_C_QTY+F],0))</f>
        <v>355</v>
      </c>
      <c r="AW106" s="43">
        <f ca="1">IF(NOTA[[#This Row],[NB NOTA_C_QTY]]="","",ROW()-2)</f>
        <v>104</v>
      </c>
    </row>
    <row r="107" spans="1:49" ht="20.100000000000001" customHeight="1">
      <c r="A1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5">
        <f ca="1">IF(NOTA[[#This Row],[NAMA BARANG]]="","",INDEX(NOTA[ID],MATCH(,INDIRECT(ADDRESS(ROW(NOTA[ID]),COLUMN(NOTA[ID]))&amp;":"&amp;ADDRESS(ROW(),COLUMN(NOTA[ID]))),-1)))</f>
        <v>32</v>
      </c>
      <c r="C107" s="45"/>
      <c r="G107" s="35"/>
      <c r="H107" s="36"/>
      <c r="I107" s="35"/>
      <c r="J107" s="50" t="s">
        <v>278</v>
      </c>
      <c r="K107" s="37">
        <v>1</v>
      </c>
      <c r="L107" s="35">
        <v>96</v>
      </c>
      <c r="M107" s="35" t="s">
        <v>51</v>
      </c>
      <c r="N107" s="38">
        <v>21000</v>
      </c>
      <c r="O107" s="39"/>
      <c r="P107" s="47" t="s">
        <v>281</v>
      </c>
      <c r="Q107" s="48">
        <v>0.03</v>
      </c>
      <c r="R107" s="41"/>
      <c r="T107" s="42"/>
      <c r="U107" s="44"/>
      <c r="V107" s="42">
        <f>IF(NOTA[[#This Row],[HARGA/ CTN]]="",NOTA[[#This Row],[JUMLAH_H]],NOTA[[#This Row],[HARGA/ CTN]]*IF(NOTA[[#This Row],[C]]="",0,NOTA[[#This Row],[C]]))</f>
        <v>2016000</v>
      </c>
      <c r="W107" s="42">
        <f>IF(NOTA[[#This Row],[JUMLAH]]="","",NOTA[[#This Row],[JUMLAH]]*NOTA[[#This Row],[Column6]])</f>
        <v>60480</v>
      </c>
      <c r="X107" s="42">
        <f>IF(NOTA[[#This Row],[JUMLAH]]="","",(NOTA[[#This Row],[JUMLAH]]-NOTA[[#This Row],[DISC 1-]])*NOTA[[#This Row],[Column7]])</f>
        <v>0</v>
      </c>
      <c r="Y107" s="42">
        <f>IF(NOTA[[#This Row],[JUMLAH]]="","",(NOTA[[#This Row],[JUMLAH]]-NOTA[[#This Row],[DISC 1-]]-NOTA[[#This Row],[DISC 2-]])*NOTA[[#This Row],[Column8]])</f>
        <v>0</v>
      </c>
      <c r="Z107" s="42">
        <f>IF(NOTA[[#This Row],[JUMLAH]]="","",NOTA[[#This Row],[DISC 1-]]+NOTA[[#This Row],[DISC 2-]]+NOTA[[#This Row],[DISC 3-]])</f>
        <v>60480</v>
      </c>
      <c r="AA107" s="42">
        <f>IF(NOTA[[#This Row],[JUMLAH]]="","",NOTA[[#This Row],[JUMLAH]]-NOTA[[#This Row],[DISC]])</f>
        <v>1955520</v>
      </c>
      <c r="AB107" s="42"/>
      <c r="AC1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7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7" s="42">
        <f>IF(OR(NOTA[[#This Row],[QTY]]="",NOTA[[#This Row],[HARGA SATUAN]]="",),"",NOTA[[#This Row],[QTY]]*NOTA[[#This Row],[HARGA SATUAN]])</f>
        <v>2016000</v>
      </c>
      <c r="AG107" s="36">
        <f ca="1">IF(NOTA[[#This Row],[ID_H]]="","",INDEX(NOTA[TANGGAL],MATCH(,INDIRECT(ADDRESS(ROW(NOTA[TANGGAL]),COLUMN(NOTA[TANGGAL]))&amp;":"&amp;ADDRESS(ROW(),COLUMN(NOTA[TANGGAL]))),-1)))</f>
        <v>45483</v>
      </c>
      <c r="AH107" s="36">
        <f ca="1">IF(NOTA[[#This Row],[ID_H]]="","",INDEX(NOTA[TGL.NOTA],MATCH(,INDIRECT(ADDRESS(ROW(NOTA[TGL.NOTA]),COLUMN(NOTA[TGL.NOTA]))&amp;":"&amp;ADDRESS(ROW(),COLUMN(NOTA[TGL.NOTA]))),-1)))</f>
        <v>45478</v>
      </c>
      <c r="AI107" s="36" t="str">
        <f ca="1">IF(NOTA[[#This Row],[ID_H]]="","",INDEX(NOTA[NO.NOTA],MATCH(NOTA[[#This Row],[ID_H]],NOTA[ID_H],0)))</f>
        <v>DHM/059/07-24C</v>
      </c>
      <c r="AJ107" s="38" t="str">
        <f ca="1">IF(NOTA[[#This Row],[NAMA BARANG]]="","",INDEX(NOTA[SUPPLIER],MATCH(,INDIRECT(ADDRESS(ROW(NOTA[ID]),COLUMN(NOTA[ID]))&amp;":"&amp;ADDRESS(ROW(),COLUMN(NOTA[ID]))),-1)))</f>
        <v>DUTA BAHAGIA</v>
      </c>
      <c r="AK107" s="38" t="str">
        <f ca="1">IF(NOTA[[#This Row],[ID_H]]="","",IF(NOTA[[#This Row],[FAKTUR]]="",INDIRECT(ADDRESS(ROW()-1,COLUMN())),NOTA[[#This Row],[FAKTUR]]))</f>
        <v>UNTANA</v>
      </c>
      <c r="AL107" s="35" t="str">
        <f ca="1">IF(NOTA[[#This Row],[ID]]="","",COUNTIF(NOTA[ID_H],NOTA[[#This Row],[ID_H]]))</f>
        <v/>
      </c>
      <c r="AM107" s="35">
        <f ca="1">IF(NOTA[[#This Row],[TGL.NOTA]]="",IF(NOTA[[#This Row],[SUPPLIER_H]]="","",AM106),MONTH(NOTA[[#This Row],[TGL.NOTA]]))</f>
        <v>7</v>
      </c>
      <c r="AN107" s="35" t="str">
        <f>LOWER(SUBSTITUTE(SUBSTITUTE(SUBSTITUTE(SUBSTITUTE(SUBSTITUTE(SUBSTITUTE(SUBSTITUTE(SUBSTITUTE(SUBSTITUTE(NOTA[[#This Row],[NAMA BARANG]]," ",),".",""),"-",""),"(",""),")",""),",",""),"/",""),"""",""),"+",""))</f>
        <v>bindernotefphy002a560</v>
      </c>
      <c r="AO1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bindernotefphy002a56020160000,03</v>
      </c>
      <c r="AP1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bindernotefphy002a56020160000,03</v>
      </c>
      <c r="AQ1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7" s="35">
        <f>IF(NOTA[[#This Row],[CONCAT1]]="","",MATCH(NOTA[[#This Row],[CONCAT1]],[3]!db[NB NOTA_C],0))</f>
        <v>357</v>
      </c>
      <c r="AS107" s="35" t="b">
        <f>IF(NOTA[[#This Row],[Column5]]="","",TRUE)</f>
        <v>1</v>
      </c>
      <c r="AT107" s="35" t="str">
        <f ca="1">IF(NOTA[[#This Row],[ID_H]]="","",IF(NOTA[[#This Row],[Column3]]=TRUE,NOTA[[#This Row],[Column5]],INDEX([3]!db[QTY/ CTN],NOTA[[#This Row],[//DB]])))</f>
        <v>96 PCS</v>
      </c>
      <c r="AU1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bindernotefphy002a56096pcsuntana</v>
      </c>
      <c r="AV107" s="35">
        <f ca="1">IF(NOTA[[#This Row],[ID_H]]="","",MATCH(NOTA[[#This Row],[NB NOTA_C_QTY]],[3]!db[NB NOTA_C_QTY+F],0))</f>
        <v>357</v>
      </c>
      <c r="AW107" s="43">
        <f ca="1">IF(NOTA[[#This Row],[NB NOTA_C_QTY]]="","",ROW()-2)</f>
        <v>105</v>
      </c>
    </row>
    <row r="108" spans="1:49" ht="20.100000000000001" customHeight="1">
      <c r="A1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5">
        <f ca="1">IF(NOTA[[#This Row],[NAMA BARANG]]="","",INDEX(NOTA[ID],MATCH(,INDIRECT(ADDRESS(ROW(NOTA[ID]),COLUMN(NOTA[ID]))&amp;":"&amp;ADDRESS(ROW(),COLUMN(NOTA[ID]))),-1)))</f>
        <v>32</v>
      </c>
      <c r="C108" s="45"/>
      <c r="F108" s="46"/>
      <c r="G108" s="35"/>
      <c r="H108" s="36"/>
      <c r="I108" s="35"/>
      <c r="J108" s="50" t="s">
        <v>279</v>
      </c>
      <c r="K108" s="37">
        <v>1</v>
      </c>
      <c r="L108" s="35">
        <v>72</v>
      </c>
      <c r="M108" s="35" t="s">
        <v>51</v>
      </c>
      <c r="N108" s="38">
        <v>28000</v>
      </c>
      <c r="O108" s="39"/>
      <c r="P108" s="47" t="s">
        <v>72</v>
      </c>
      <c r="Q108" s="48">
        <v>0.03</v>
      </c>
      <c r="R108" s="41"/>
      <c r="T108" s="42"/>
      <c r="U108" s="44"/>
      <c r="V108" s="42">
        <f>IF(NOTA[[#This Row],[HARGA/ CTN]]="",NOTA[[#This Row],[JUMLAH_H]],NOTA[[#This Row],[HARGA/ CTN]]*IF(NOTA[[#This Row],[C]]="",0,NOTA[[#This Row],[C]]))</f>
        <v>2016000</v>
      </c>
      <c r="W108" s="42">
        <f>IF(NOTA[[#This Row],[JUMLAH]]="","",NOTA[[#This Row],[JUMLAH]]*NOTA[[#This Row],[Column6]])</f>
        <v>60480</v>
      </c>
      <c r="X108" s="42">
        <f>IF(NOTA[[#This Row],[JUMLAH]]="","",(NOTA[[#This Row],[JUMLAH]]-NOTA[[#This Row],[DISC 1-]])*NOTA[[#This Row],[Column7]])</f>
        <v>0</v>
      </c>
      <c r="Y108" s="42">
        <f>IF(NOTA[[#This Row],[JUMLAH]]="","",(NOTA[[#This Row],[JUMLAH]]-NOTA[[#This Row],[DISC 1-]]-NOTA[[#This Row],[DISC 2-]])*NOTA[[#This Row],[Column8]])</f>
        <v>0</v>
      </c>
      <c r="Z108" s="42">
        <f>IF(NOTA[[#This Row],[JUMLAH]]="","",NOTA[[#This Row],[DISC 1-]]+NOTA[[#This Row],[DISC 2-]]+NOTA[[#This Row],[DISC 3-]])</f>
        <v>60480</v>
      </c>
      <c r="AA108" s="42">
        <f>IF(NOTA[[#This Row],[JUMLAH]]="","",NOTA[[#This Row],[JUMLAH]]-NOTA[[#This Row],[DISC]])</f>
        <v>1955520</v>
      </c>
      <c r="AB108" s="42"/>
      <c r="AC1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8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8" s="42">
        <f>IF(OR(NOTA[[#This Row],[QTY]]="",NOTA[[#This Row],[HARGA SATUAN]]="",),"",NOTA[[#This Row],[QTY]]*NOTA[[#This Row],[HARGA SATUAN]])</f>
        <v>2016000</v>
      </c>
      <c r="AG108" s="36">
        <f ca="1">IF(NOTA[[#This Row],[ID_H]]="","",INDEX(NOTA[TANGGAL],MATCH(,INDIRECT(ADDRESS(ROW(NOTA[TANGGAL]),COLUMN(NOTA[TANGGAL]))&amp;":"&amp;ADDRESS(ROW(),COLUMN(NOTA[TANGGAL]))),-1)))</f>
        <v>45483</v>
      </c>
      <c r="AH108" s="36">
        <f ca="1">IF(NOTA[[#This Row],[ID_H]]="","",INDEX(NOTA[TGL.NOTA],MATCH(,INDIRECT(ADDRESS(ROW(NOTA[TGL.NOTA]),COLUMN(NOTA[TGL.NOTA]))&amp;":"&amp;ADDRESS(ROW(),COLUMN(NOTA[TGL.NOTA]))),-1)))</f>
        <v>45478</v>
      </c>
      <c r="AI108" s="36" t="str">
        <f ca="1">IF(NOTA[[#This Row],[ID_H]]="","",INDEX(NOTA[NO.NOTA],MATCH(NOTA[[#This Row],[ID_H]],NOTA[ID_H],0)))</f>
        <v>DHM/059/07-24C</v>
      </c>
      <c r="AJ108" s="38" t="str">
        <f ca="1">IF(NOTA[[#This Row],[NAMA BARANG]]="","",INDEX(NOTA[SUPPLIER],MATCH(,INDIRECT(ADDRESS(ROW(NOTA[ID]),COLUMN(NOTA[ID]))&amp;":"&amp;ADDRESS(ROW(),COLUMN(NOTA[ID]))),-1)))</f>
        <v>DUTA BAHAGIA</v>
      </c>
      <c r="AK108" s="38" t="str">
        <f ca="1">IF(NOTA[[#This Row],[ID_H]]="","",IF(NOTA[[#This Row],[FAKTUR]]="",INDIRECT(ADDRESS(ROW()-1,COLUMN())),NOTA[[#This Row],[FAKTUR]]))</f>
        <v>UNTANA</v>
      </c>
      <c r="AL108" s="35" t="str">
        <f ca="1">IF(NOTA[[#This Row],[ID]]="","",COUNTIF(NOTA[ID_H],NOTA[[#This Row],[ID_H]]))</f>
        <v/>
      </c>
      <c r="AM108" s="35">
        <f ca="1">IF(NOTA[[#This Row],[TGL.NOTA]]="",IF(NOTA[[#This Row],[SUPPLIER_H]]="","",AM107),MONTH(NOTA[[#This Row],[TGL.NOTA]]))</f>
        <v>7</v>
      </c>
      <c r="AN108" s="35" t="str">
        <f>LOWER(SUBSTITUTE(SUBSTITUTE(SUBSTITUTE(SUBSTITUTE(SUBSTITUTE(SUBSTITUTE(SUBSTITUTE(SUBSTITUTE(SUBSTITUTE(NOTA[[#This Row],[NAMA BARANG]]," ",),".",""),"-",""),"(",""),")",""),",",""),"/",""),"""",""),"+",""))</f>
        <v>bindernotefphy001b560</v>
      </c>
      <c r="AO1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bindernotefphy001b56020160000,03</v>
      </c>
      <c r="AP1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bindernotefphy001b56020160000,03</v>
      </c>
      <c r="AQ1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8" s="35">
        <f>IF(NOTA[[#This Row],[CONCAT1]]="","",MATCH(NOTA[[#This Row],[CONCAT1]],[3]!db[NB NOTA_C],0))</f>
        <v>356</v>
      </c>
      <c r="AS108" s="35" t="b">
        <f>IF(NOTA[[#This Row],[Column5]]="","",TRUE)</f>
        <v>1</v>
      </c>
      <c r="AT108" s="35" t="str">
        <f ca="1">IF(NOTA[[#This Row],[ID_H]]="","",IF(NOTA[[#This Row],[Column3]]=TRUE,NOTA[[#This Row],[Column5]],INDEX([3]!db[QTY/ CTN],NOTA[[#This Row],[//DB]])))</f>
        <v>72 PCS</v>
      </c>
      <c r="AU1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bindernotefphy001b56072pcsuntana</v>
      </c>
      <c r="AV108" s="35">
        <f ca="1">IF(NOTA[[#This Row],[ID_H]]="","",MATCH(NOTA[[#This Row],[NB NOTA_C_QTY]],[3]!db[NB NOTA_C_QTY+F],0))</f>
        <v>356</v>
      </c>
      <c r="AW108" s="43">
        <f ca="1">IF(NOTA[[#This Row],[NB NOTA_C_QTY]]="","",ROW()-2)</f>
        <v>106</v>
      </c>
    </row>
    <row r="109" spans="1:49" ht="20.100000000000001" customHeight="1">
      <c r="A1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5">
        <f ca="1">IF(NOTA[[#This Row],[NAMA BARANG]]="","",INDEX(NOTA[ID],MATCH(,INDIRECT(ADDRESS(ROW(NOTA[ID]),COLUMN(NOTA[ID]))&amp;":"&amp;ADDRESS(ROW(),COLUMN(NOTA[ID]))),-1)))</f>
        <v>32</v>
      </c>
      <c r="C109" s="45"/>
      <c r="F109" s="46"/>
      <c r="G109" s="35"/>
      <c r="H109" s="36"/>
      <c r="I109" s="35"/>
      <c r="J109" s="50" t="s">
        <v>280</v>
      </c>
      <c r="K109" s="37">
        <v>1</v>
      </c>
      <c r="L109" s="35">
        <v>72</v>
      </c>
      <c r="M109" s="35" t="s">
        <v>51</v>
      </c>
      <c r="N109" s="38">
        <v>28000</v>
      </c>
      <c r="O109" s="39"/>
      <c r="P109" s="47" t="s">
        <v>72</v>
      </c>
      <c r="Q109" s="48">
        <v>0.03</v>
      </c>
      <c r="R109" s="41"/>
      <c r="T109" s="42"/>
      <c r="U109" s="44"/>
      <c r="V109" s="42">
        <f>IF(NOTA[[#This Row],[HARGA/ CTN]]="",NOTA[[#This Row],[JUMLAH_H]],NOTA[[#This Row],[HARGA/ CTN]]*IF(NOTA[[#This Row],[C]]="",0,NOTA[[#This Row],[C]]))</f>
        <v>2016000</v>
      </c>
      <c r="W109" s="42">
        <f>IF(NOTA[[#This Row],[JUMLAH]]="","",NOTA[[#This Row],[JUMLAH]]*NOTA[[#This Row],[Column6]])</f>
        <v>60480</v>
      </c>
      <c r="X109" s="42">
        <f>IF(NOTA[[#This Row],[JUMLAH]]="","",(NOTA[[#This Row],[JUMLAH]]-NOTA[[#This Row],[DISC 1-]])*NOTA[[#This Row],[Column7]])</f>
        <v>0</v>
      </c>
      <c r="Y109" s="42">
        <f>IF(NOTA[[#This Row],[JUMLAH]]="","",(NOTA[[#This Row],[JUMLAH]]-NOTA[[#This Row],[DISC 1-]]-NOTA[[#This Row],[DISC 2-]])*NOTA[[#This Row],[Column8]])</f>
        <v>0</v>
      </c>
      <c r="Z109" s="42">
        <f>IF(NOTA[[#This Row],[JUMLAH]]="","",NOTA[[#This Row],[DISC 1-]]+NOTA[[#This Row],[DISC 2-]]+NOTA[[#This Row],[DISC 3-]])</f>
        <v>60480</v>
      </c>
      <c r="AA109" s="42">
        <f>IF(NOTA[[#This Row],[JUMLAH]]="","",NOTA[[#This Row],[JUMLAH]]-NOTA[[#This Row],[DISC]])</f>
        <v>1955520</v>
      </c>
      <c r="AB109" s="42"/>
      <c r="AC10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241920</v>
      </c>
      <c r="AD10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7822080</v>
      </c>
      <c r="AE109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09" s="42">
        <f>IF(OR(NOTA[[#This Row],[QTY]]="",NOTA[[#This Row],[HARGA SATUAN]]="",),"",NOTA[[#This Row],[QTY]]*NOTA[[#This Row],[HARGA SATUAN]])</f>
        <v>2016000</v>
      </c>
      <c r="AG109" s="36">
        <f ca="1">IF(NOTA[[#This Row],[ID_H]]="","",INDEX(NOTA[TANGGAL],MATCH(,INDIRECT(ADDRESS(ROW(NOTA[TANGGAL]),COLUMN(NOTA[TANGGAL]))&amp;":"&amp;ADDRESS(ROW(),COLUMN(NOTA[TANGGAL]))),-1)))</f>
        <v>45483</v>
      </c>
      <c r="AH109" s="36">
        <f ca="1">IF(NOTA[[#This Row],[ID_H]]="","",INDEX(NOTA[TGL.NOTA],MATCH(,INDIRECT(ADDRESS(ROW(NOTA[TGL.NOTA]),COLUMN(NOTA[TGL.NOTA]))&amp;":"&amp;ADDRESS(ROW(),COLUMN(NOTA[TGL.NOTA]))),-1)))</f>
        <v>45478</v>
      </c>
      <c r="AI109" s="36" t="str">
        <f ca="1">IF(NOTA[[#This Row],[ID_H]]="","",INDEX(NOTA[NO.NOTA],MATCH(NOTA[[#This Row],[ID_H]],NOTA[ID_H],0)))</f>
        <v>DHM/059/07-24C</v>
      </c>
      <c r="AJ109" s="38" t="str">
        <f ca="1">IF(NOTA[[#This Row],[NAMA BARANG]]="","",INDEX(NOTA[SUPPLIER],MATCH(,INDIRECT(ADDRESS(ROW(NOTA[ID]),COLUMN(NOTA[ID]))&amp;":"&amp;ADDRESS(ROW(),COLUMN(NOTA[ID]))),-1)))</f>
        <v>DUTA BAHAGIA</v>
      </c>
      <c r="AK109" s="38" t="str">
        <f ca="1">IF(NOTA[[#This Row],[ID_H]]="","",IF(NOTA[[#This Row],[FAKTUR]]="",INDIRECT(ADDRESS(ROW()-1,COLUMN())),NOTA[[#This Row],[FAKTUR]]))</f>
        <v>UNTANA</v>
      </c>
      <c r="AL109" s="35" t="str">
        <f ca="1">IF(NOTA[[#This Row],[ID]]="","",COUNTIF(NOTA[ID_H],NOTA[[#This Row],[ID_H]]))</f>
        <v/>
      </c>
      <c r="AM109" s="35">
        <f ca="1">IF(NOTA[[#This Row],[TGL.NOTA]]="",IF(NOTA[[#This Row],[SUPPLIER_H]]="","",AM108),MONTH(NOTA[[#This Row],[TGL.NOTA]]))</f>
        <v>7</v>
      </c>
      <c r="AN109" s="35" t="str">
        <f>LOWER(SUBSTITUTE(SUBSTITUTE(SUBSTITUTE(SUBSTITUTE(SUBSTITUTE(SUBSTITUTE(SUBSTITUTE(SUBSTITUTE(SUBSTITUTE(NOTA[[#This Row],[NAMA BARANG]]," ",),".",""),"-",""),"(",""),")",""),",",""),"/",""),"""",""),"+",""))</f>
        <v>bindernotefphy002b560</v>
      </c>
      <c r="AO1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bindernotefphy002b56020160000,03</v>
      </c>
      <c r="AP1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bindernotefphy002b56020160000,03</v>
      </c>
      <c r="AQ1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9" s="35">
        <f>IF(NOTA[[#This Row],[CONCAT1]]="","",MATCH(NOTA[[#This Row],[CONCAT1]],[3]!db[NB NOTA_C],0))</f>
        <v>358</v>
      </c>
      <c r="AS109" s="35" t="b">
        <f>IF(NOTA[[#This Row],[Column5]]="","",TRUE)</f>
        <v>1</v>
      </c>
      <c r="AT109" s="35" t="str">
        <f ca="1">IF(NOTA[[#This Row],[ID_H]]="","",IF(NOTA[[#This Row],[Column3]]=TRUE,NOTA[[#This Row],[Column5]],INDEX([3]!db[QTY/ CTN],NOTA[[#This Row],[//DB]])))</f>
        <v>72 PCS</v>
      </c>
      <c r="AU1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bindernotefphy002b56072pcsuntana</v>
      </c>
      <c r="AV109" s="35">
        <f ca="1">IF(NOTA[[#This Row],[ID_H]]="","",MATCH(NOTA[[#This Row],[NB NOTA_C_QTY]],[3]!db[NB NOTA_C_QTY+F],0))</f>
        <v>358</v>
      </c>
      <c r="AW109" s="43">
        <f ca="1">IF(NOTA[[#This Row],[NB NOTA_C_QTY]]="","",ROW()-2)</f>
        <v>107</v>
      </c>
    </row>
    <row r="110" spans="1:49" ht="20.100000000000001" customHeight="1">
      <c r="A1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5" t="str">
        <f ca="1">IF(NOTA[[#This Row],[NAMA BARANG]]="","",INDEX(NOTA[ID],MATCH(,INDIRECT(ADDRESS(ROW(NOTA[ID]),COLUMN(NOTA[ID]))&amp;":"&amp;ADDRESS(ROW(),COLUMN(NOTA[ID]))),-1)))</f>
        <v/>
      </c>
      <c r="C110" s="45"/>
      <c r="F110" s="46"/>
      <c r="G110" s="35"/>
      <c r="H110" s="36"/>
      <c r="I110" s="35"/>
      <c r="K110" s="37"/>
      <c r="L110" s="35"/>
      <c r="N110" s="38"/>
      <c r="O110" s="39"/>
      <c r="P110" s="47"/>
      <c r="Q110" s="48"/>
      <c r="R110" s="41"/>
      <c r="T110" s="42"/>
      <c r="U110" s="44"/>
      <c r="V110" s="42" t="str">
        <f>IF(NOTA[[#This Row],[HARGA/ CTN]]="",NOTA[[#This Row],[JUMLAH_H]],NOTA[[#This Row],[HARGA/ CTN]]*IF(NOTA[[#This Row],[C]]="",0,NOTA[[#This Row],[C]]))</f>
        <v/>
      </c>
      <c r="W110" s="42" t="str">
        <f>IF(NOTA[[#This Row],[JUMLAH]]="","",NOTA[[#This Row],[JUMLAH]]*NOTA[[#This Row],[Column6]])</f>
        <v/>
      </c>
      <c r="X110" s="42" t="str">
        <f>IF(NOTA[[#This Row],[JUMLAH]]="","",(NOTA[[#This Row],[JUMLAH]]-NOTA[[#This Row],[DISC 1-]])*NOTA[[#This Row],[Column7]])</f>
        <v/>
      </c>
      <c r="Y110" s="42" t="str">
        <f>IF(NOTA[[#This Row],[JUMLAH]]="","",(NOTA[[#This Row],[JUMLAH]]-NOTA[[#This Row],[DISC 1-]]-NOTA[[#This Row],[DISC 2-]])*NOTA[[#This Row],[Column8]])</f>
        <v/>
      </c>
      <c r="Z110" s="42" t="str">
        <f>IF(NOTA[[#This Row],[JUMLAH]]="","",NOTA[[#This Row],[DISC 1-]]+NOTA[[#This Row],[DISC 2-]]+NOTA[[#This Row],[DISC 3-]])</f>
        <v/>
      </c>
      <c r="AA110" s="42" t="str">
        <f>IF(NOTA[[#This Row],[JUMLAH]]="","",NOTA[[#This Row],[JUMLAH]]-NOTA[[#This Row],[DISC]])</f>
        <v/>
      </c>
      <c r="AB110" s="42"/>
      <c r="AC1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" s="42" t="str">
        <f>IF(OR(NOTA[[#This Row],[QTY]]="",NOTA[[#This Row],[HARGA SATUAN]]="",),"",NOTA[[#This Row],[QTY]]*NOTA[[#This Row],[HARGA SATUAN]])</f>
        <v/>
      </c>
      <c r="AG110" s="36" t="str">
        <f ca="1">IF(NOTA[[#This Row],[ID_H]]="","",INDEX(NOTA[TANGGAL],MATCH(,INDIRECT(ADDRESS(ROW(NOTA[TANGGAL]),COLUMN(NOTA[TANGGAL]))&amp;":"&amp;ADDRESS(ROW(),COLUMN(NOTA[TANGGAL]))),-1)))</f>
        <v/>
      </c>
      <c r="AH110" s="36" t="str">
        <f ca="1">IF(NOTA[[#This Row],[ID_H]]="","",INDEX(NOTA[TGL.NOTA],MATCH(,INDIRECT(ADDRESS(ROW(NOTA[TGL.NOTA]),COLUMN(NOTA[TGL.NOTA]))&amp;":"&amp;ADDRESS(ROW(),COLUMN(NOTA[TGL.NOTA]))),-1)))</f>
        <v/>
      </c>
      <c r="AI110" s="36" t="str">
        <f ca="1">IF(NOTA[[#This Row],[ID_H]]="","",INDEX(NOTA[NO.NOTA],MATCH(NOTA[[#This Row],[ID_H]],NOTA[ID_H],0)))</f>
        <v/>
      </c>
      <c r="AJ110" s="38" t="str">
        <f ca="1">IF(NOTA[[#This Row],[NAMA BARANG]]="","",INDEX(NOTA[SUPPLIER],MATCH(,INDIRECT(ADDRESS(ROW(NOTA[ID]),COLUMN(NOTA[ID]))&amp;":"&amp;ADDRESS(ROW(),COLUMN(NOTA[ID]))),-1)))</f>
        <v/>
      </c>
      <c r="AK110" s="38" t="str">
        <f ca="1">IF(NOTA[[#This Row],[ID_H]]="","",IF(NOTA[[#This Row],[FAKTUR]]="",INDIRECT(ADDRESS(ROW()-1,COLUMN())),NOTA[[#This Row],[FAKTUR]]))</f>
        <v/>
      </c>
      <c r="AL110" s="35" t="str">
        <f ca="1">IF(NOTA[[#This Row],[ID]]="","",COUNTIF(NOTA[ID_H],NOTA[[#This Row],[ID_H]]))</f>
        <v/>
      </c>
      <c r="AM110" s="35" t="str">
        <f ca="1">IF(NOTA[[#This Row],[TGL.NOTA]]="",IF(NOTA[[#This Row],[SUPPLIER_H]]="","",AM109),MONTH(NOTA[[#This Row],[TGL.NOTA]]))</f>
        <v/>
      </c>
      <c r="AN1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0" s="35" t="str">
        <f>IF(NOTA[[#This Row],[CONCAT1]]="","",MATCH(NOTA[[#This Row],[CONCAT1]],[3]!db[NB NOTA_C],0))</f>
        <v/>
      </c>
      <c r="AS110" s="35" t="str">
        <f>IF(NOTA[[#This Row],[Column5]]="","",TRUE)</f>
        <v/>
      </c>
      <c r="AT110" s="35" t="str">
        <f ca="1">IF(NOTA[[#This Row],[ID_H]]="","",IF(NOTA[[#This Row],[Column3]]=TRUE,NOTA[[#This Row],[Column5]],INDEX([3]!db[QTY/ CTN],NOTA[[#This Row],[//DB]])))</f>
        <v/>
      </c>
      <c r="AU1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0" s="35" t="str">
        <f ca="1">IF(NOTA[[#This Row],[ID_H]]="","",MATCH(NOTA[[#This Row],[NB NOTA_C_QTY]],[3]!db[NB NOTA_C_QTY+F],0))</f>
        <v/>
      </c>
      <c r="AW110" s="43" t="str">
        <f ca="1">IF(NOTA[[#This Row],[NB NOTA_C_QTY]]="","",ROW()-2)</f>
        <v/>
      </c>
    </row>
    <row r="111" spans="1:49" ht="20.100000000000001" customHeight="1">
      <c r="A111" s="38">
        <f ca="1">IF(INDIRECT(ADDRESS(ROW()-1,COLUMN(NOTA[[#Headers],[ID]])))="ID",1,IF(NOTA[[#This Row],[FAKTUR]]="","",COUNT(INDIRECT(ADDRESS(ROW(NOTA[ID]),COLUMN(NOTA[ID]))&amp;":"&amp;ADDRESS(ROW()-1,COLUMN(NOTA[ID]))))+1))</f>
        <v>33</v>
      </c>
      <c r="B111" s="35">
        <f ca="1">IF(NOTA[[#This Row],[NAMA BARANG]]="","",INDEX(NOTA[ID],MATCH(,INDIRECT(ADDRESS(ROW(NOTA[ID]),COLUMN(NOTA[ID]))&amp;":"&amp;ADDRESS(ROW(),COLUMN(NOTA[ID]))),-1)))</f>
        <v>33</v>
      </c>
      <c r="C111" s="45">
        <v>45481</v>
      </c>
      <c r="D111" s="35" t="s">
        <v>74</v>
      </c>
      <c r="E111" s="35" t="s">
        <v>49</v>
      </c>
      <c r="F111" s="46" t="s">
        <v>282</v>
      </c>
      <c r="G111" s="35"/>
      <c r="H111" s="36">
        <v>45479</v>
      </c>
      <c r="I111" s="35"/>
      <c r="J111" s="51" t="s">
        <v>283</v>
      </c>
      <c r="K111" s="37">
        <v>2</v>
      </c>
      <c r="L111" s="35">
        <v>48</v>
      </c>
      <c r="M111" s="35" t="s">
        <v>287</v>
      </c>
      <c r="N111" s="38">
        <v>46700</v>
      </c>
      <c r="O111" s="39"/>
      <c r="P111" s="47" t="s">
        <v>288</v>
      </c>
      <c r="Q111" s="48"/>
      <c r="R111" s="41"/>
      <c r="T111" s="42"/>
      <c r="U111" s="44"/>
      <c r="V111" s="42">
        <f>IF(NOTA[[#This Row],[HARGA/ CTN]]="",NOTA[[#This Row],[JUMLAH_H]],NOTA[[#This Row],[HARGA/ CTN]]*IF(NOTA[[#This Row],[C]]="",0,NOTA[[#This Row],[C]]))</f>
        <v>2241600</v>
      </c>
      <c r="W111" s="42">
        <f>IF(NOTA[[#This Row],[JUMLAH]]="","",NOTA[[#This Row],[JUMLAH]]*NOTA[[#This Row],[Column6]])</f>
        <v>0</v>
      </c>
      <c r="X111" s="42">
        <f>IF(NOTA[[#This Row],[JUMLAH]]="","",(NOTA[[#This Row],[JUMLAH]]-NOTA[[#This Row],[DISC 1-]])*NOTA[[#This Row],[Column7]])</f>
        <v>0</v>
      </c>
      <c r="Y111" s="42">
        <f>IF(NOTA[[#This Row],[JUMLAH]]="","",(NOTA[[#This Row],[JUMLAH]]-NOTA[[#This Row],[DISC 1-]]-NOTA[[#This Row],[DISC 2-]])*NOTA[[#This Row],[Column8]])</f>
        <v>0</v>
      </c>
      <c r="Z111" s="42">
        <f>IF(NOTA[[#This Row],[JUMLAH]]="","",NOTA[[#This Row],[DISC 1-]]+NOTA[[#This Row],[DISC 2-]]+NOTA[[#This Row],[DISC 3-]])</f>
        <v>0</v>
      </c>
      <c r="AA111" s="42">
        <f>IF(NOTA[[#This Row],[JUMLAH]]="","",NOTA[[#This Row],[JUMLAH]]-NOTA[[#This Row],[DISC]])</f>
        <v>2241600</v>
      </c>
      <c r="AB111" s="42"/>
      <c r="AC1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1" s="38">
        <f>IF(NOTA[[#This Row],[NAMA BARANG]]="","",IF(NOTA[[#This Row],[JUMLAH_H]]="",NOTA[[#This Row],[HARGA/ CTN]],NOTA[[#This Row],[QTY]]*NOTA[[#This Row],[HARGA SATUAN]]/IF(ISNUMBER(NOTA[[#This Row],[C]]),NOTA[[#This Row],[C]],1)))</f>
        <v>1120800</v>
      </c>
      <c r="AF111" s="42">
        <f>IF(OR(NOTA[[#This Row],[QTY]]="",NOTA[[#This Row],[HARGA SATUAN]]="",),"",NOTA[[#This Row],[QTY]]*NOTA[[#This Row],[HARGA SATUAN]])</f>
        <v>2241600</v>
      </c>
      <c r="AG111" s="36">
        <f ca="1">IF(NOTA[[#This Row],[ID_H]]="","",INDEX(NOTA[TANGGAL],MATCH(,INDIRECT(ADDRESS(ROW(NOTA[TANGGAL]),COLUMN(NOTA[TANGGAL]))&amp;":"&amp;ADDRESS(ROW(),COLUMN(NOTA[TANGGAL]))),-1)))</f>
        <v>45481</v>
      </c>
      <c r="AH111" s="36">
        <f ca="1">IF(NOTA[[#This Row],[ID_H]]="","",INDEX(NOTA[TGL.NOTA],MATCH(,INDIRECT(ADDRESS(ROW(NOTA[TGL.NOTA]),COLUMN(NOTA[TGL.NOTA]))&amp;":"&amp;ADDRESS(ROW(),COLUMN(NOTA[TGL.NOTA]))),-1)))</f>
        <v>45479</v>
      </c>
      <c r="AI111" s="36" t="str">
        <f ca="1">IF(NOTA[[#This Row],[ID_H]]="","",INDEX(NOTA[NO.NOTA],MATCH(NOTA[[#This Row],[ID_H]],NOTA[ID_H],0)))</f>
        <v>JUG191/24</v>
      </c>
      <c r="AJ111" s="38" t="str">
        <f ca="1">IF(NOTA[[#This Row],[NAMA BARANG]]="","",INDEX(NOTA[SUPPLIER],MATCH(,INDIRECT(ADDRESS(ROW(NOTA[ID]),COLUMN(NOTA[ID]))&amp;":"&amp;ADDRESS(ROW(),COLUMN(NOTA[ID]))),-1)))</f>
        <v>DUTA BUANA</v>
      </c>
      <c r="AK111" s="38" t="str">
        <f ca="1">IF(NOTA[[#This Row],[ID_H]]="","",IF(NOTA[[#This Row],[FAKTUR]]="",INDIRECT(ADDRESS(ROW()-1,COLUMN())),NOTA[[#This Row],[FAKTUR]]))</f>
        <v>UNTANA</v>
      </c>
      <c r="AL111" s="35">
        <f ca="1">IF(NOTA[[#This Row],[ID]]="","",COUNTIF(NOTA[ID_H],NOTA[[#This Row],[ID_H]]))</f>
        <v>4</v>
      </c>
      <c r="AM111" s="35">
        <f>IF(NOTA[[#This Row],[TGL.NOTA]]="",IF(NOTA[[#This Row],[SUPPLIER_H]]="","",AM110),MONTH(NOTA[[#This Row],[TGL.NOTA]]))</f>
        <v>7</v>
      </c>
      <c r="AN111" s="35" t="str">
        <f>LOWER(SUBSTITUTE(SUBSTITUTE(SUBSTITUTE(SUBSTITUTE(SUBSTITUTE(SUBSTITUTE(SUBSTITUTE(SUBSTITUTE(SUBSTITUTE(NOTA[[#This Row],[NAMA BARANG]]," ",),".",""),"-",""),"(",""),")",""),",",""),"/",""),"""",""),"+",""))</f>
        <v>rbotolsusu20pcsr5833</v>
      </c>
      <c r="AO1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rbotolsusu20pcsr58331120800</v>
      </c>
      <c r="AP1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rbotolsusu20pcsr58331120800</v>
      </c>
      <c r="AQ111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BUANAUNTANAJUG191/2445479rbotolsusu20pcsr5833</v>
      </c>
      <c r="AR111" s="35">
        <f>IF(NOTA[[#This Row],[CONCAT1]]="","",MATCH(NOTA[[#This Row],[CONCAT1]],[3]!db[NB NOTA_C],0))</f>
        <v>3448</v>
      </c>
      <c r="AS111" s="35" t="b">
        <f>IF(NOTA[[#This Row],[Column5]]="","",TRUE)</f>
        <v>1</v>
      </c>
      <c r="AT111" s="35" t="str">
        <f ca="1">IF(NOTA[[#This Row],[ID_H]]="","",IF(NOTA[[#This Row],[Column3]]=TRUE,NOTA[[#This Row],[Column5]],INDEX([3]!db[QTY/ CTN],NOTA[[#This Row],[//DB]])))</f>
        <v>24 TOP</v>
      </c>
      <c r="AU1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rbotolsusu20pcsr583324topuntana</v>
      </c>
      <c r="AV111" s="35">
        <f ca="1">IF(NOTA[[#This Row],[ID_H]]="","",MATCH(NOTA[[#This Row],[NB NOTA_C_QTY]],[3]!db[NB NOTA_C_QTY+F],0))</f>
        <v>3448</v>
      </c>
      <c r="AW111" s="43">
        <f ca="1">IF(NOTA[[#This Row],[NB NOTA_C_QTY]]="","",ROW()-2)</f>
        <v>109</v>
      </c>
    </row>
    <row r="112" spans="1:49" ht="20.100000000000001" customHeight="1">
      <c r="A1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5">
        <f ca="1">IF(NOTA[[#This Row],[NAMA BARANG]]="","",INDEX(NOTA[ID],MATCH(,INDIRECT(ADDRESS(ROW(NOTA[ID]),COLUMN(NOTA[ID]))&amp;":"&amp;ADDRESS(ROW(),COLUMN(NOTA[ID]))),-1)))</f>
        <v>33</v>
      </c>
      <c r="C112" s="45"/>
      <c r="F112" s="46"/>
      <c r="G112" s="35"/>
      <c r="H112" s="36"/>
      <c r="I112" s="35"/>
      <c r="J112" s="35" t="s">
        <v>284</v>
      </c>
      <c r="K112" s="37">
        <v>2</v>
      </c>
      <c r="L112" s="35">
        <v>48</v>
      </c>
      <c r="M112" s="35" t="s">
        <v>287</v>
      </c>
      <c r="N112" s="38">
        <v>92500</v>
      </c>
      <c r="O112" s="39"/>
      <c r="P112" s="47" t="s">
        <v>288</v>
      </c>
      <c r="Q112" s="48"/>
      <c r="R112" s="41"/>
      <c r="T112" s="42"/>
      <c r="U112" s="44"/>
      <c r="V112" s="42">
        <f>IF(NOTA[[#This Row],[HARGA/ CTN]]="",NOTA[[#This Row],[JUMLAH_H]],NOTA[[#This Row],[HARGA/ CTN]]*IF(NOTA[[#This Row],[C]]="",0,NOTA[[#This Row],[C]]))</f>
        <v>4440000</v>
      </c>
      <c r="W112" s="42">
        <f>IF(NOTA[[#This Row],[JUMLAH]]="","",NOTA[[#This Row],[JUMLAH]]*NOTA[[#This Row],[Column6]])</f>
        <v>0</v>
      </c>
      <c r="X112" s="42">
        <f>IF(NOTA[[#This Row],[JUMLAH]]="","",(NOTA[[#This Row],[JUMLAH]]-NOTA[[#This Row],[DISC 1-]])*NOTA[[#This Row],[Column7]])</f>
        <v>0</v>
      </c>
      <c r="Y112" s="42">
        <f>IF(NOTA[[#This Row],[JUMLAH]]="","",(NOTA[[#This Row],[JUMLAH]]-NOTA[[#This Row],[DISC 1-]]-NOTA[[#This Row],[DISC 2-]])*NOTA[[#This Row],[Column8]])</f>
        <v>0</v>
      </c>
      <c r="Z112" s="42">
        <f>IF(NOTA[[#This Row],[JUMLAH]]="","",NOTA[[#This Row],[DISC 1-]]+NOTA[[#This Row],[DISC 2-]]+NOTA[[#This Row],[DISC 3-]])</f>
        <v>0</v>
      </c>
      <c r="AA112" s="42">
        <f>IF(NOTA[[#This Row],[JUMLAH]]="","",NOTA[[#This Row],[JUMLAH]]-NOTA[[#This Row],[DISC]])</f>
        <v>4440000</v>
      </c>
      <c r="AB112" s="42"/>
      <c r="AC1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2" s="38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F112" s="42">
        <f>IF(OR(NOTA[[#This Row],[QTY]]="",NOTA[[#This Row],[HARGA SATUAN]]="",),"",NOTA[[#This Row],[QTY]]*NOTA[[#This Row],[HARGA SATUAN]])</f>
        <v>4440000</v>
      </c>
      <c r="AG112" s="36">
        <f ca="1">IF(NOTA[[#This Row],[ID_H]]="","",INDEX(NOTA[TANGGAL],MATCH(,INDIRECT(ADDRESS(ROW(NOTA[TANGGAL]),COLUMN(NOTA[TANGGAL]))&amp;":"&amp;ADDRESS(ROW(),COLUMN(NOTA[TANGGAL]))),-1)))</f>
        <v>45481</v>
      </c>
      <c r="AH112" s="36">
        <f ca="1">IF(NOTA[[#This Row],[ID_H]]="","",INDEX(NOTA[TGL.NOTA],MATCH(,INDIRECT(ADDRESS(ROW(NOTA[TGL.NOTA]),COLUMN(NOTA[TGL.NOTA]))&amp;":"&amp;ADDRESS(ROW(),COLUMN(NOTA[TGL.NOTA]))),-1)))</f>
        <v>45479</v>
      </c>
      <c r="AI112" s="36" t="str">
        <f ca="1">IF(NOTA[[#This Row],[ID_H]]="","",INDEX(NOTA[NO.NOTA],MATCH(NOTA[[#This Row],[ID_H]],NOTA[ID_H],0)))</f>
        <v>JUG191/24</v>
      </c>
      <c r="AJ112" s="38" t="str">
        <f ca="1">IF(NOTA[[#This Row],[NAMA BARANG]]="","",INDEX(NOTA[SUPPLIER],MATCH(,INDIRECT(ADDRESS(ROW(NOTA[ID]),COLUMN(NOTA[ID]))&amp;":"&amp;ADDRESS(ROW(),COLUMN(NOTA[ID]))),-1)))</f>
        <v>DUTA BUANA</v>
      </c>
      <c r="AK112" s="38" t="str">
        <f ca="1">IF(NOTA[[#This Row],[ID_H]]="","",IF(NOTA[[#This Row],[FAKTUR]]="",INDIRECT(ADDRESS(ROW()-1,COLUMN())),NOTA[[#This Row],[FAKTUR]]))</f>
        <v>UNTANA</v>
      </c>
      <c r="AL112" s="35" t="str">
        <f ca="1">IF(NOTA[[#This Row],[ID]]="","",COUNTIF(NOTA[ID_H],NOTA[[#This Row],[ID_H]]))</f>
        <v/>
      </c>
      <c r="AM112" s="35">
        <f ca="1">IF(NOTA[[#This Row],[TGL.NOTA]]="",IF(NOTA[[#This Row],[SUPPLIER_H]]="","",AM111),MONTH(NOTA[[#This Row],[TGL.NOTA]]))</f>
        <v>7</v>
      </c>
      <c r="AN112" s="35" t="str">
        <f>LOWER(SUBSTITUTE(SUBSTITUTE(SUBSTITUTE(SUBSTITUTE(SUBSTITUTE(SUBSTITUTE(SUBSTITUTE(SUBSTITUTE(SUBSTITUTE(NOTA[[#This Row],[NAMA BARANG]]," ",),".",""),"-",""),"(",""),")",""),",",""),"/",""),"""",""),"+",""))</f>
        <v>rautantoples25pcsxlgr5861</v>
      </c>
      <c r="AO1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rautantoples25pcsxlgr58612220000</v>
      </c>
      <c r="AP1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rautantoples25pcsxlgr58612220000</v>
      </c>
      <c r="AQ1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2" s="35">
        <f>IF(NOTA[[#This Row],[CONCAT1]]="","",MATCH(NOTA[[#This Row],[CONCAT1]],[3]!db[NB NOTA_C],0))</f>
        <v>2781</v>
      </c>
      <c r="AS112" s="35" t="b">
        <f>IF(NOTA[[#This Row],[Column5]]="","",TRUE)</f>
        <v>1</v>
      </c>
      <c r="AT112" s="35" t="str">
        <f ca="1">IF(NOTA[[#This Row],[ID_H]]="","",IF(NOTA[[#This Row],[Column3]]=TRUE,NOTA[[#This Row],[Column5]],INDEX([3]!db[QTY/ CTN],NOTA[[#This Row],[//DB]])))</f>
        <v>24 TOP</v>
      </c>
      <c r="AU1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rautantoples25pcsxlgr586124topuntana</v>
      </c>
      <c r="AV112" s="35">
        <f ca="1">IF(NOTA[[#This Row],[ID_H]]="","",MATCH(NOTA[[#This Row],[NB NOTA_C_QTY]],[3]!db[NB NOTA_C_QTY+F],0))</f>
        <v>2781</v>
      </c>
      <c r="AW112" s="43">
        <f ca="1">IF(NOTA[[#This Row],[NB NOTA_C_QTY]]="","",ROW()-2)</f>
        <v>110</v>
      </c>
    </row>
    <row r="113" spans="1:49" ht="20.100000000000001" customHeight="1">
      <c r="A1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5">
        <f ca="1">IF(NOTA[[#This Row],[NAMA BARANG]]="","",INDEX(NOTA[ID],MATCH(,INDIRECT(ADDRESS(ROW(NOTA[ID]),COLUMN(NOTA[ID]))&amp;":"&amp;ADDRESS(ROW(),COLUMN(NOTA[ID]))),-1)))</f>
        <v>33</v>
      </c>
      <c r="C113" s="45"/>
      <c r="F113" s="46"/>
      <c r="G113" s="35"/>
      <c r="H113" s="36"/>
      <c r="I113" s="35"/>
      <c r="J113" s="51" t="s">
        <v>285</v>
      </c>
      <c r="K113" s="37">
        <v>3</v>
      </c>
      <c r="L113" s="35">
        <v>72</v>
      </c>
      <c r="M113" s="35" t="s">
        <v>287</v>
      </c>
      <c r="N113" s="38">
        <v>63800</v>
      </c>
      <c r="O113" s="39"/>
      <c r="P113" s="47" t="s">
        <v>288</v>
      </c>
      <c r="Q113" s="48"/>
      <c r="R113" s="41"/>
      <c r="T113" s="42"/>
      <c r="U113" s="44"/>
      <c r="V113" s="42">
        <f>IF(NOTA[[#This Row],[HARGA/ CTN]]="",NOTA[[#This Row],[JUMLAH_H]],NOTA[[#This Row],[HARGA/ CTN]]*IF(NOTA[[#This Row],[C]]="",0,NOTA[[#This Row],[C]]))</f>
        <v>4593600</v>
      </c>
      <c r="W113" s="42">
        <f>IF(NOTA[[#This Row],[JUMLAH]]="","",NOTA[[#This Row],[JUMLAH]]*NOTA[[#This Row],[Column6]])</f>
        <v>0</v>
      </c>
      <c r="X113" s="42">
        <f>IF(NOTA[[#This Row],[JUMLAH]]="","",(NOTA[[#This Row],[JUMLAH]]-NOTA[[#This Row],[DISC 1-]])*NOTA[[#This Row],[Column7]])</f>
        <v>0</v>
      </c>
      <c r="Y113" s="42">
        <f>IF(NOTA[[#This Row],[JUMLAH]]="","",(NOTA[[#This Row],[JUMLAH]]-NOTA[[#This Row],[DISC 1-]]-NOTA[[#This Row],[DISC 2-]])*NOTA[[#This Row],[Column8]])</f>
        <v>0</v>
      </c>
      <c r="Z113" s="42">
        <f>IF(NOTA[[#This Row],[JUMLAH]]="","",NOTA[[#This Row],[DISC 1-]]+NOTA[[#This Row],[DISC 2-]]+NOTA[[#This Row],[DISC 3-]])</f>
        <v>0</v>
      </c>
      <c r="AA113" s="42">
        <f>IF(NOTA[[#This Row],[JUMLAH]]="","",NOTA[[#This Row],[JUMLAH]]-NOTA[[#This Row],[DISC]])</f>
        <v>4593600</v>
      </c>
      <c r="AB113" s="42"/>
      <c r="AC1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3" s="38">
        <f>IF(NOTA[[#This Row],[NAMA BARANG]]="","",IF(NOTA[[#This Row],[JUMLAH_H]]="",NOTA[[#This Row],[HARGA/ CTN]],NOTA[[#This Row],[QTY]]*NOTA[[#This Row],[HARGA SATUAN]]/IF(ISNUMBER(NOTA[[#This Row],[C]]),NOTA[[#This Row],[C]],1)))</f>
        <v>1531200</v>
      </c>
      <c r="AF113" s="42">
        <f>IF(OR(NOTA[[#This Row],[QTY]]="",NOTA[[#This Row],[HARGA SATUAN]]="",),"",NOTA[[#This Row],[QTY]]*NOTA[[#This Row],[HARGA SATUAN]])</f>
        <v>4593600</v>
      </c>
      <c r="AG113" s="36">
        <f ca="1">IF(NOTA[[#This Row],[ID_H]]="","",INDEX(NOTA[TANGGAL],MATCH(,INDIRECT(ADDRESS(ROW(NOTA[TANGGAL]),COLUMN(NOTA[TANGGAL]))&amp;":"&amp;ADDRESS(ROW(),COLUMN(NOTA[TANGGAL]))),-1)))</f>
        <v>45481</v>
      </c>
      <c r="AH113" s="36">
        <f ca="1">IF(NOTA[[#This Row],[ID_H]]="","",INDEX(NOTA[TGL.NOTA],MATCH(,INDIRECT(ADDRESS(ROW(NOTA[TGL.NOTA]),COLUMN(NOTA[TGL.NOTA]))&amp;":"&amp;ADDRESS(ROW(),COLUMN(NOTA[TGL.NOTA]))),-1)))</f>
        <v>45479</v>
      </c>
      <c r="AI113" s="36" t="str">
        <f ca="1">IF(NOTA[[#This Row],[ID_H]]="","",INDEX(NOTA[NO.NOTA],MATCH(NOTA[[#This Row],[ID_H]],NOTA[ID_H],0)))</f>
        <v>JUG191/24</v>
      </c>
      <c r="AJ113" s="38" t="str">
        <f ca="1">IF(NOTA[[#This Row],[NAMA BARANG]]="","",INDEX(NOTA[SUPPLIER],MATCH(,INDIRECT(ADDRESS(ROW(NOTA[ID]),COLUMN(NOTA[ID]))&amp;":"&amp;ADDRESS(ROW(),COLUMN(NOTA[ID]))),-1)))</f>
        <v>DUTA BUANA</v>
      </c>
      <c r="AK113" s="38" t="str">
        <f ca="1">IF(NOTA[[#This Row],[ID_H]]="","",IF(NOTA[[#This Row],[FAKTUR]]="",INDIRECT(ADDRESS(ROW()-1,COLUMN())),NOTA[[#This Row],[FAKTUR]]))</f>
        <v>UNTANA</v>
      </c>
      <c r="AL113" s="35" t="str">
        <f ca="1">IF(NOTA[[#This Row],[ID]]="","",COUNTIF(NOTA[ID_H],NOTA[[#This Row],[ID_H]]))</f>
        <v/>
      </c>
      <c r="AM113" s="35">
        <f ca="1">IF(NOTA[[#This Row],[TGL.NOTA]]="",IF(NOTA[[#This Row],[SUPPLIER_H]]="","",AM112),MONTH(NOTA[[#This Row],[TGL.NOTA]]))</f>
        <v>7</v>
      </c>
      <c r="AN113" s="35" t="str">
        <f>LOWER(SUBSTITUTE(SUBSTITUTE(SUBSTITUTE(SUBSTITUTE(SUBSTITUTE(SUBSTITUTE(SUBSTITUTE(SUBSTITUTE(SUBSTITUTE(NOTA[[#This Row],[NAMA BARANG]]," ",),".",""),"-",""),"(",""),")",""),",",""),"/",""),"""",""),"+",""))</f>
        <v>rtoplesxlg17pcsr5857</v>
      </c>
      <c r="AO1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rtoplesxlg17pcsr58571531200</v>
      </c>
      <c r="AP1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rtoplesxlg17pcsr58571531200</v>
      </c>
      <c r="AQ1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3" s="35">
        <f>IF(NOTA[[#This Row],[CONCAT1]]="","",MATCH(NOTA[[#This Row],[CONCAT1]],[3]!db[NB NOTA_C],0))</f>
        <v>3449</v>
      </c>
      <c r="AS113" s="35" t="b">
        <f>IF(NOTA[[#This Row],[Column5]]="","",TRUE)</f>
        <v>1</v>
      </c>
      <c r="AT113" s="35" t="str">
        <f ca="1">IF(NOTA[[#This Row],[ID_H]]="","",IF(NOTA[[#This Row],[Column3]]=TRUE,NOTA[[#This Row],[Column5]],INDEX([3]!db[QTY/ CTN],NOTA[[#This Row],[//DB]])))</f>
        <v>24 TOP</v>
      </c>
      <c r="AU1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rtoplesxlg17pcsr585724topuntana</v>
      </c>
      <c r="AV113" s="35">
        <f ca="1">IF(NOTA[[#This Row],[ID_H]]="","",MATCH(NOTA[[#This Row],[NB NOTA_C_QTY]],[3]!db[NB NOTA_C_QTY+F],0))</f>
        <v>3449</v>
      </c>
      <c r="AW113" s="43">
        <f ca="1">IF(NOTA[[#This Row],[NB NOTA_C_QTY]]="","",ROW()-2)</f>
        <v>111</v>
      </c>
    </row>
    <row r="114" spans="1:49" ht="20.100000000000001" customHeight="1">
      <c r="A1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5">
        <f ca="1">IF(NOTA[[#This Row],[NAMA BARANG]]="","",INDEX(NOTA[ID],MATCH(,INDIRECT(ADDRESS(ROW(NOTA[ID]),COLUMN(NOTA[ID]))&amp;":"&amp;ADDRESS(ROW(),COLUMN(NOTA[ID]))),-1)))</f>
        <v>33</v>
      </c>
      <c r="C114" s="45"/>
      <c r="F114" s="46"/>
      <c r="G114" s="35"/>
      <c r="H114" s="36"/>
      <c r="I114" s="35"/>
      <c r="J114" s="51" t="s">
        <v>286</v>
      </c>
      <c r="K114" s="37"/>
      <c r="L114" s="35">
        <v>21</v>
      </c>
      <c r="M114" s="35" t="s">
        <v>51</v>
      </c>
      <c r="N114" s="38"/>
      <c r="O114" s="39"/>
      <c r="P114" s="47"/>
      <c r="Q114" s="48"/>
      <c r="R114" s="41"/>
      <c r="T114" s="42"/>
      <c r="U114" s="44"/>
      <c r="V114" s="42" t="str">
        <f>IF(NOTA[[#This Row],[HARGA/ CTN]]="",NOTA[[#This Row],[JUMLAH_H]],NOTA[[#This Row],[HARGA/ CTN]]*IF(NOTA[[#This Row],[C]]="",0,NOTA[[#This Row],[C]]))</f>
        <v/>
      </c>
      <c r="W114" s="42" t="str">
        <f>IF(NOTA[[#This Row],[JUMLAH]]="","",NOTA[[#This Row],[JUMLAH]]*NOTA[[#This Row],[Column6]])</f>
        <v/>
      </c>
      <c r="X114" s="42" t="str">
        <f>IF(NOTA[[#This Row],[JUMLAH]]="","",(NOTA[[#This Row],[JUMLAH]]-NOTA[[#This Row],[DISC 1-]])*NOTA[[#This Row],[Column7]])</f>
        <v/>
      </c>
      <c r="Y114" s="42" t="str">
        <f>IF(NOTA[[#This Row],[JUMLAH]]="","",(NOTA[[#This Row],[JUMLAH]]-NOTA[[#This Row],[DISC 1-]]-NOTA[[#This Row],[DISC 2-]])*NOTA[[#This Row],[Column8]])</f>
        <v/>
      </c>
      <c r="Z114" s="42" t="str">
        <f>IF(NOTA[[#This Row],[JUMLAH]]="","",NOTA[[#This Row],[DISC 1-]]+NOTA[[#This Row],[DISC 2-]]+NOTA[[#This Row],[DISC 3-]])</f>
        <v/>
      </c>
      <c r="AA114" s="42" t="str">
        <f>IF(NOTA[[#This Row],[JUMLAH]]="","",NOTA[[#This Row],[JUMLAH]]-NOTA[[#This Row],[DISC]])</f>
        <v/>
      </c>
      <c r="AB114" s="42"/>
      <c r="AC11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1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11275200</v>
      </c>
      <c r="AE114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4" s="42" t="str">
        <f>IF(OR(NOTA[[#This Row],[QTY]]="",NOTA[[#This Row],[HARGA SATUAN]]="",),"",NOTA[[#This Row],[QTY]]*NOTA[[#This Row],[HARGA SATUAN]])</f>
        <v/>
      </c>
      <c r="AG114" s="36">
        <f ca="1">IF(NOTA[[#This Row],[ID_H]]="","",INDEX(NOTA[TANGGAL],MATCH(,INDIRECT(ADDRESS(ROW(NOTA[TANGGAL]),COLUMN(NOTA[TANGGAL]))&amp;":"&amp;ADDRESS(ROW(),COLUMN(NOTA[TANGGAL]))),-1)))</f>
        <v>45481</v>
      </c>
      <c r="AH114" s="36">
        <f ca="1">IF(NOTA[[#This Row],[ID_H]]="","",INDEX(NOTA[TGL.NOTA],MATCH(,INDIRECT(ADDRESS(ROW(NOTA[TGL.NOTA]),COLUMN(NOTA[TGL.NOTA]))&amp;":"&amp;ADDRESS(ROW(),COLUMN(NOTA[TGL.NOTA]))),-1)))</f>
        <v>45479</v>
      </c>
      <c r="AI114" s="36" t="str">
        <f ca="1">IF(NOTA[[#This Row],[ID_H]]="","",INDEX(NOTA[NO.NOTA],MATCH(NOTA[[#This Row],[ID_H]],NOTA[ID_H],0)))</f>
        <v>JUG191/24</v>
      </c>
      <c r="AJ114" s="38" t="str">
        <f ca="1">IF(NOTA[[#This Row],[NAMA BARANG]]="","",INDEX(NOTA[SUPPLIER],MATCH(,INDIRECT(ADDRESS(ROW(NOTA[ID]),COLUMN(NOTA[ID]))&amp;":"&amp;ADDRESS(ROW(),COLUMN(NOTA[ID]))),-1)))</f>
        <v>DUTA BUANA</v>
      </c>
      <c r="AK114" s="38" t="str">
        <f ca="1">IF(NOTA[[#This Row],[ID_H]]="","",IF(NOTA[[#This Row],[FAKTUR]]="",INDIRECT(ADDRESS(ROW()-1,COLUMN())),NOTA[[#This Row],[FAKTUR]]))</f>
        <v>UNTANA</v>
      </c>
      <c r="AL114" s="35" t="str">
        <f ca="1">IF(NOTA[[#This Row],[ID]]="","",COUNTIF(NOTA[ID_H],NOTA[[#This Row],[ID_H]]))</f>
        <v/>
      </c>
      <c r="AM114" s="35">
        <f ca="1">IF(NOTA[[#This Row],[TGL.NOTA]]="",IF(NOTA[[#This Row],[SUPPLIER_H]]="","",AM113),MONTH(NOTA[[#This Row],[TGL.NOTA]]))</f>
        <v>7</v>
      </c>
      <c r="AN114" s="35" t="str">
        <f>LOWER(SUBSTITUTE(SUBSTITUTE(SUBSTITUTE(SUBSTITUTE(SUBSTITUTE(SUBSTITUTE(SUBSTITUTE(SUBSTITUTE(SUBSTITUTE(NOTA[[#This Row],[NAMA BARANG]]," ",),".",""),"-",""),"(",""),")",""),",",""),"/",""),"""",""),"+",""))</f>
        <v>rautanmejabonekasx0065l</v>
      </c>
      <c r="AO1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rautanmejabonekasx0065l0</v>
      </c>
      <c r="AP1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rautanmejabonekasx0065l0</v>
      </c>
      <c r="AQ1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4" s="35">
        <f>IF(NOTA[[#This Row],[CONCAT1]]="","",MATCH(NOTA[[#This Row],[CONCAT1]],[3]!db[NB NOTA_C],0))</f>
        <v>3450</v>
      </c>
      <c r="AS114" s="35" t="str">
        <f>IF(NOTA[[#This Row],[Column5]]="","",TRUE)</f>
        <v/>
      </c>
      <c r="AT114" s="35" t="str">
        <f ca="1">IF(NOTA[[#This Row],[ID_H]]="","",IF(NOTA[[#This Row],[Column3]]=TRUE,NOTA[[#This Row],[Column5]],INDEX([3]!db[QTY/ CTN],NOTA[[#This Row],[//DB]])))</f>
        <v>15 PCS</v>
      </c>
      <c r="AU1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rautanmejabonekasx0065l15pcsuntana</v>
      </c>
      <c r="AV114" s="35">
        <f ca="1">IF(NOTA[[#This Row],[ID_H]]="","",MATCH(NOTA[[#This Row],[NB NOTA_C_QTY]],[3]!db[NB NOTA_C_QTY+F],0))</f>
        <v>3450</v>
      </c>
      <c r="AW114" s="43">
        <f ca="1">IF(NOTA[[#This Row],[NB NOTA_C_QTY]]="","",ROW()-2)</f>
        <v>112</v>
      </c>
    </row>
    <row r="115" spans="1:49" ht="20.100000000000001" customHeight="1">
      <c r="A1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5" t="str">
        <f ca="1">IF(NOTA[[#This Row],[NAMA BARANG]]="","",INDEX(NOTA[ID],MATCH(,INDIRECT(ADDRESS(ROW(NOTA[ID]),COLUMN(NOTA[ID]))&amp;":"&amp;ADDRESS(ROW(),COLUMN(NOTA[ID]))),-1)))</f>
        <v/>
      </c>
      <c r="C115" s="45"/>
      <c r="F115" s="46"/>
      <c r="G115" s="35"/>
      <c r="H115" s="36"/>
      <c r="I115" s="35"/>
      <c r="K115" s="37"/>
      <c r="L115" s="35"/>
      <c r="N115" s="38"/>
      <c r="O115" s="39"/>
      <c r="P115" s="47"/>
      <c r="Q115" s="48"/>
      <c r="R115" s="41"/>
      <c r="T115" s="42"/>
      <c r="U115" s="44"/>
      <c r="V115" s="42" t="str">
        <f>IF(NOTA[[#This Row],[HARGA/ CTN]]="",NOTA[[#This Row],[JUMLAH_H]],NOTA[[#This Row],[HARGA/ CTN]]*IF(NOTA[[#This Row],[C]]="",0,NOTA[[#This Row],[C]]))</f>
        <v/>
      </c>
      <c r="W115" s="42" t="str">
        <f>IF(NOTA[[#This Row],[JUMLAH]]="","",NOTA[[#This Row],[JUMLAH]]*NOTA[[#This Row],[Column6]])</f>
        <v/>
      </c>
      <c r="X115" s="42" t="str">
        <f>IF(NOTA[[#This Row],[JUMLAH]]="","",(NOTA[[#This Row],[JUMLAH]]-NOTA[[#This Row],[DISC 1-]])*NOTA[[#This Row],[Column7]])</f>
        <v/>
      </c>
      <c r="Y115" s="42" t="str">
        <f>IF(NOTA[[#This Row],[JUMLAH]]="","",(NOTA[[#This Row],[JUMLAH]]-NOTA[[#This Row],[DISC 1-]]-NOTA[[#This Row],[DISC 2-]])*NOTA[[#This Row],[Column8]])</f>
        <v/>
      </c>
      <c r="Z115" s="42" t="str">
        <f>IF(NOTA[[#This Row],[JUMLAH]]="","",NOTA[[#This Row],[DISC 1-]]+NOTA[[#This Row],[DISC 2-]]+NOTA[[#This Row],[DISC 3-]])</f>
        <v/>
      </c>
      <c r="AA115" s="42" t="str">
        <f>IF(NOTA[[#This Row],[JUMLAH]]="","",NOTA[[#This Row],[JUMLAH]]-NOTA[[#This Row],[DISC]])</f>
        <v/>
      </c>
      <c r="AB115" s="42"/>
      <c r="AC1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42" t="str">
        <f>IF(OR(NOTA[[#This Row],[QTY]]="",NOTA[[#This Row],[HARGA SATUAN]]="",),"",NOTA[[#This Row],[QTY]]*NOTA[[#This Row],[HARGA SATUAN]])</f>
        <v/>
      </c>
      <c r="AG115" s="36" t="str">
        <f ca="1">IF(NOTA[[#This Row],[ID_H]]="","",INDEX(NOTA[TANGGAL],MATCH(,INDIRECT(ADDRESS(ROW(NOTA[TANGGAL]),COLUMN(NOTA[TANGGAL]))&amp;":"&amp;ADDRESS(ROW(),COLUMN(NOTA[TANGGAL]))),-1)))</f>
        <v/>
      </c>
      <c r="AH115" s="36" t="str">
        <f ca="1">IF(NOTA[[#This Row],[ID_H]]="","",INDEX(NOTA[TGL.NOTA],MATCH(,INDIRECT(ADDRESS(ROW(NOTA[TGL.NOTA]),COLUMN(NOTA[TGL.NOTA]))&amp;":"&amp;ADDRESS(ROW(),COLUMN(NOTA[TGL.NOTA]))),-1)))</f>
        <v/>
      </c>
      <c r="AI115" s="36" t="str">
        <f ca="1">IF(NOTA[[#This Row],[ID_H]]="","",INDEX(NOTA[NO.NOTA],MATCH(NOTA[[#This Row],[ID_H]],NOTA[ID_H],0)))</f>
        <v/>
      </c>
      <c r="AJ115" s="38" t="str">
        <f ca="1">IF(NOTA[[#This Row],[NAMA BARANG]]="","",INDEX(NOTA[SUPPLIER],MATCH(,INDIRECT(ADDRESS(ROW(NOTA[ID]),COLUMN(NOTA[ID]))&amp;":"&amp;ADDRESS(ROW(),COLUMN(NOTA[ID]))),-1)))</f>
        <v/>
      </c>
      <c r="AK115" s="38" t="str">
        <f ca="1">IF(NOTA[[#This Row],[ID_H]]="","",IF(NOTA[[#This Row],[FAKTUR]]="",INDIRECT(ADDRESS(ROW()-1,COLUMN())),NOTA[[#This Row],[FAKTUR]]))</f>
        <v/>
      </c>
      <c r="AL115" s="35" t="str">
        <f ca="1">IF(NOTA[[#This Row],[ID]]="","",COUNTIF(NOTA[ID_H],NOTA[[#This Row],[ID_H]]))</f>
        <v/>
      </c>
      <c r="AM115" s="35" t="str">
        <f ca="1">IF(NOTA[[#This Row],[TGL.NOTA]]="",IF(NOTA[[#This Row],[SUPPLIER_H]]="","",AM114),MONTH(NOTA[[#This Row],[TGL.NOTA]]))</f>
        <v/>
      </c>
      <c r="AN1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5" s="35" t="str">
        <f>IF(NOTA[[#This Row],[CONCAT1]]="","",MATCH(NOTA[[#This Row],[CONCAT1]],[3]!db[NB NOTA_C],0))</f>
        <v/>
      </c>
      <c r="AS115" s="35" t="str">
        <f>IF(NOTA[[#This Row],[Column5]]="","",TRUE)</f>
        <v/>
      </c>
      <c r="AT115" s="35" t="str">
        <f ca="1">IF(NOTA[[#This Row],[ID_H]]="","",IF(NOTA[[#This Row],[Column3]]=TRUE,NOTA[[#This Row],[Column5]],INDEX([3]!db[QTY/ CTN],NOTA[[#This Row],[//DB]])))</f>
        <v/>
      </c>
      <c r="AU1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15" s="35" t="str">
        <f ca="1">IF(NOTA[[#This Row],[ID_H]]="","",MATCH(NOTA[[#This Row],[NB NOTA_C_QTY]],[3]!db[NB NOTA_C_QTY+F],0))</f>
        <v/>
      </c>
      <c r="AW115" s="43" t="str">
        <f ca="1">IF(NOTA[[#This Row],[NB NOTA_C_QTY]]="","",ROW()-2)</f>
        <v/>
      </c>
    </row>
    <row r="116" spans="1:49" ht="20.100000000000001" customHeight="1">
      <c r="A116" s="38">
        <f ca="1">IF(INDIRECT(ADDRESS(ROW()-1,COLUMN(NOTA[[#Headers],[ID]])))="ID",1,IF(NOTA[[#This Row],[FAKTUR]]="","",COUNT(INDIRECT(ADDRESS(ROW(NOTA[ID]),COLUMN(NOTA[ID]))&amp;":"&amp;ADDRESS(ROW()-1,COLUMN(NOTA[ID]))))+1))</f>
        <v>34</v>
      </c>
      <c r="B116" s="35">
        <f ca="1">IF(NOTA[[#This Row],[NAMA BARANG]]="","",INDEX(NOTA[ID],MATCH(,INDIRECT(ADDRESS(ROW(NOTA[ID]),COLUMN(NOTA[ID]))&amp;":"&amp;ADDRESS(ROW(),COLUMN(NOTA[ID]))),-1)))</f>
        <v>34</v>
      </c>
      <c r="C116" s="45"/>
      <c r="D116" s="35" t="s">
        <v>74</v>
      </c>
      <c r="E116" s="35" t="s">
        <v>49</v>
      </c>
      <c r="F116" s="46" t="s">
        <v>290</v>
      </c>
      <c r="G116" s="35"/>
      <c r="H116" s="36">
        <v>45479</v>
      </c>
      <c r="I116" s="35"/>
      <c r="J116" s="50" t="s">
        <v>289</v>
      </c>
      <c r="K116" s="37">
        <v>1</v>
      </c>
      <c r="L116" s="35">
        <v>96</v>
      </c>
      <c r="M116" s="35" t="s">
        <v>50</v>
      </c>
      <c r="N116" s="38">
        <v>29000</v>
      </c>
      <c r="O116" s="39"/>
      <c r="P116" s="47"/>
      <c r="Q116" s="48"/>
      <c r="R116" s="41"/>
      <c r="T116" s="42"/>
      <c r="U116" s="44"/>
      <c r="V116" s="42">
        <f>IF(NOTA[[#This Row],[HARGA/ CTN]]="",NOTA[[#This Row],[JUMLAH_H]],NOTA[[#This Row],[HARGA/ CTN]]*IF(NOTA[[#This Row],[C]]="",0,NOTA[[#This Row],[C]]))</f>
        <v>2784000</v>
      </c>
      <c r="W116" s="42">
        <f>IF(NOTA[[#This Row],[JUMLAH]]="","",NOTA[[#This Row],[JUMLAH]]*NOTA[[#This Row],[Column6]])</f>
        <v>0</v>
      </c>
      <c r="X116" s="42">
        <f>IF(NOTA[[#This Row],[JUMLAH]]="","",(NOTA[[#This Row],[JUMLAH]]-NOTA[[#This Row],[DISC 1-]])*NOTA[[#This Row],[Column7]])</f>
        <v>0</v>
      </c>
      <c r="Y116" s="42">
        <f>IF(NOTA[[#This Row],[JUMLAH]]="","",(NOTA[[#This Row],[JUMLAH]]-NOTA[[#This Row],[DISC 1-]]-NOTA[[#This Row],[DISC 2-]])*NOTA[[#This Row],[Column8]])</f>
        <v>0</v>
      </c>
      <c r="Z116" s="42">
        <f>IF(NOTA[[#This Row],[JUMLAH]]="","",NOTA[[#This Row],[DISC 1-]]+NOTA[[#This Row],[DISC 2-]]+NOTA[[#This Row],[DISC 3-]])</f>
        <v>0</v>
      </c>
      <c r="AA116" s="42">
        <f>IF(NOTA[[#This Row],[JUMLAH]]="","",NOTA[[#This Row],[JUMLAH]]-NOTA[[#This Row],[DISC]])</f>
        <v>2784000</v>
      </c>
      <c r="AB116" s="42"/>
      <c r="AC1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6" s="3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6" s="42">
        <f>IF(OR(NOTA[[#This Row],[QTY]]="",NOTA[[#This Row],[HARGA SATUAN]]="",),"",NOTA[[#This Row],[QTY]]*NOTA[[#This Row],[HARGA SATUAN]])</f>
        <v>2784000</v>
      </c>
      <c r="AG116" s="36">
        <f ca="1">IF(NOTA[[#This Row],[ID_H]]="","",INDEX(NOTA[TANGGAL],MATCH(,INDIRECT(ADDRESS(ROW(NOTA[TANGGAL]),COLUMN(NOTA[TANGGAL]))&amp;":"&amp;ADDRESS(ROW(),COLUMN(NOTA[TANGGAL]))),-1)))</f>
        <v>45481</v>
      </c>
      <c r="AH116" s="36">
        <f ca="1">IF(NOTA[[#This Row],[ID_H]]="","",INDEX(NOTA[TGL.NOTA],MATCH(,INDIRECT(ADDRESS(ROW(NOTA[TGL.NOTA]),COLUMN(NOTA[TGL.NOTA]))&amp;":"&amp;ADDRESS(ROW(),COLUMN(NOTA[TGL.NOTA]))),-1)))</f>
        <v>45479</v>
      </c>
      <c r="AI116" s="36" t="str">
        <f ca="1">IF(NOTA[[#This Row],[ID_H]]="","",INDEX(NOTA[NO.NOTA],MATCH(NOTA[[#This Row],[ID_H]],NOTA[ID_H],0)))</f>
        <v>JUG190/24</v>
      </c>
      <c r="AJ116" s="38" t="str">
        <f ca="1">IF(NOTA[[#This Row],[NAMA BARANG]]="","",INDEX(NOTA[SUPPLIER],MATCH(,INDIRECT(ADDRESS(ROW(NOTA[ID]),COLUMN(NOTA[ID]))&amp;":"&amp;ADDRESS(ROW(),COLUMN(NOTA[ID]))),-1)))</f>
        <v>DUTA BUANA</v>
      </c>
      <c r="AK116" s="38" t="str">
        <f ca="1">IF(NOTA[[#This Row],[ID_H]]="","",IF(NOTA[[#This Row],[FAKTUR]]="",INDIRECT(ADDRESS(ROW()-1,COLUMN())),NOTA[[#This Row],[FAKTUR]]))</f>
        <v>UNTANA</v>
      </c>
      <c r="AL116" s="35">
        <f ca="1">IF(NOTA[[#This Row],[ID]]="","",COUNTIF(NOTA[ID_H],NOTA[[#This Row],[ID_H]]))</f>
        <v>12</v>
      </c>
      <c r="AM116" s="35">
        <f>IF(NOTA[[#This Row],[TGL.NOTA]]="",IF(NOTA[[#This Row],[SUPPLIER_H]]="","",AM115),MONTH(NOTA[[#This Row],[TGL.NOTA]]))</f>
        <v>7</v>
      </c>
      <c r="AN116" s="35" t="str">
        <f>LOWER(SUBSTITUTE(SUBSTITUTE(SUBSTITUTE(SUBSTITUTE(SUBSTITUTE(SUBSTITUTE(SUBSTITUTE(SUBSTITUTE(SUBSTITUTE(NOTA[[#This Row],[NAMA BARANG]]," ",),".",""),"-",""),"(",""),")",""),",",""),"/",""),"""",""),"+",""))</f>
        <v>mekpensil20tizotm01800a</v>
      </c>
      <c r="AO1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mekpensil20tizotm01800a2784000</v>
      </c>
      <c r="AP1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mekpensil20tizotm01800a2784000</v>
      </c>
      <c r="AQ116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BUANAUNTANAJUG190/2445479mekpensil20tizotm01800a</v>
      </c>
      <c r="AR116" s="35">
        <f>IF(NOTA[[#This Row],[CONCAT1]]="","",MATCH(NOTA[[#This Row],[CONCAT1]],[3]!db[NB NOTA_C],0))</f>
        <v>2153</v>
      </c>
      <c r="AS116" s="35" t="str">
        <f>IF(NOTA[[#This Row],[Column5]]="","",TRUE)</f>
        <v/>
      </c>
      <c r="AT116" s="35" t="str">
        <f ca="1">IF(NOTA[[#This Row],[ID_H]]="","",IF(NOTA[[#This Row],[Column3]]=TRUE,NOTA[[#This Row],[Column5]],INDEX([3]!db[QTY/ CTN],NOTA[[#This Row],[//DB]])))</f>
        <v>96 LSN</v>
      </c>
      <c r="AU1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V116" s="35">
        <f ca="1">IF(NOTA[[#This Row],[ID_H]]="","",MATCH(NOTA[[#This Row],[NB NOTA_C_QTY]],[3]!db[NB NOTA_C_QTY+F],0))</f>
        <v>2153</v>
      </c>
      <c r="AW116" s="43">
        <f ca="1">IF(NOTA[[#This Row],[NB NOTA_C_QTY]]="","",ROW()-2)</f>
        <v>114</v>
      </c>
    </row>
    <row r="117" spans="1:49" ht="20.100000000000001" customHeight="1">
      <c r="A1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5">
        <f ca="1">IF(NOTA[[#This Row],[NAMA BARANG]]="","",INDEX(NOTA[ID],MATCH(,INDIRECT(ADDRESS(ROW(NOTA[ID]),COLUMN(NOTA[ID]))&amp;":"&amp;ADDRESS(ROW(),COLUMN(NOTA[ID]))),-1)))</f>
        <v>34</v>
      </c>
      <c r="C117" s="45"/>
      <c r="F117" s="46"/>
      <c r="G117" s="35"/>
      <c r="H117" s="36"/>
      <c r="I117" s="35"/>
      <c r="J117" s="51" t="s">
        <v>291</v>
      </c>
      <c r="K117" s="37">
        <v>1</v>
      </c>
      <c r="L117" s="35">
        <v>96</v>
      </c>
      <c r="M117" s="35" t="s">
        <v>50</v>
      </c>
      <c r="N117" s="38">
        <v>29000</v>
      </c>
      <c r="O117" s="39"/>
      <c r="P117" s="47"/>
      <c r="Q117" s="48"/>
      <c r="R117" s="41"/>
      <c r="T117" s="42"/>
      <c r="U117" s="44"/>
      <c r="V117" s="42">
        <f>IF(NOTA[[#This Row],[HARGA/ CTN]]="",NOTA[[#This Row],[JUMLAH_H]],NOTA[[#This Row],[HARGA/ CTN]]*IF(NOTA[[#This Row],[C]]="",0,NOTA[[#This Row],[C]]))</f>
        <v>2784000</v>
      </c>
      <c r="W117" s="42">
        <f>IF(NOTA[[#This Row],[JUMLAH]]="","",NOTA[[#This Row],[JUMLAH]]*NOTA[[#This Row],[Column6]])</f>
        <v>0</v>
      </c>
      <c r="X117" s="42">
        <f>IF(NOTA[[#This Row],[JUMLAH]]="","",(NOTA[[#This Row],[JUMLAH]]-NOTA[[#This Row],[DISC 1-]])*NOTA[[#This Row],[Column7]])</f>
        <v>0</v>
      </c>
      <c r="Y117" s="42">
        <f>IF(NOTA[[#This Row],[JUMLAH]]="","",(NOTA[[#This Row],[JUMLAH]]-NOTA[[#This Row],[DISC 1-]]-NOTA[[#This Row],[DISC 2-]])*NOTA[[#This Row],[Column8]])</f>
        <v>0</v>
      </c>
      <c r="Z117" s="42">
        <f>IF(NOTA[[#This Row],[JUMLAH]]="","",NOTA[[#This Row],[DISC 1-]]+NOTA[[#This Row],[DISC 2-]]+NOTA[[#This Row],[DISC 3-]])</f>
        <v>0</v>
      </c>
      <c r="AA117" s="42">
        <f>IF(NOTA[[#This Row],[JUMLAH]]="","",NOTA[[#This Row],[JUMLAH]]-NOTA[[#This Row],[DISC]])</f>
        <v>2784000</v>
      </c>
      <c r="AB117" s="42"/>
      <c r="AC1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7" s="3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7" s="42">
        <f>IF(OR(NOTA[[#This Row],[QTY]]="",NOTA[[#This Row],[HARGA SATUAN]]="",),"",NOTA[[#This Row],[QTY]]*NOTA[[#This Row],[HARGA SATUAN]])</f>
        <v>2784000</v>
      </c>
      <c r="AG117" s="36">
        <f ca="1">IF(NOTA[[#This Row],[ID_H]]="","",INDEX(NOTA[TANGGAL],MATCH(,INDIRECT(ADDRESS(ROW(NOTA[TANGGAL]),COLUMN(NOTA[TANGGAL]))&amp;":"&amp;ADDRESS(ROW(),COLUMN(NOTA[TANGGAL]))),-1)))</f>
        <v>45481</v>
      </c>
      <c r="AH117" s="36">
        <f ca="1">IF(NOTA[[#This Row],[ID_H]]="","",INDEX(NOTA[TGL.NOTA],MATCH(,INDIRECT(ADDRESS(ROW(NOTA[TGL.NOTA]),COLUMN(NOTA[TGL.NOTA]))&amp;":"&amp;ADDRESS(ROW(),COLUMN(NOTA[TGL.NOTA]))),-1)))</f>
        <v>45479</v>
      </c>
      <c r="AI117" s="36" t="str">
        <f ca="1">IF(NOTA[[#This Row],[ID_H]]="","",INDEX(NOTA[NO.NOTA],MATCH(NOTA[[#This Row],[ID_H]],NOTA[ID_H],0)))</f>
        <v>JUG190/24</v>
      </c>
      <c r="AJ117" s="38" t="str">
        <f ca="1">IF(NOTA[[#This Row],[NAMA BARANG]]="","",INDEX(NOTA[SUPPLIER],MATCH(,INDIRECT(ADDRESS(ROW(NOTA[ID]),COLUMN(NOTA[ID]))&amp;":"&amp;ADDRESS(ROW(),COLUMN(NOTA[ID]))),-1)))</f>
        <v>DUTA BUANA</v>
      </c>
      <c r="AK117" s="38" t="str">
        <f ca="1">IF(NOTA[[#This Row],[ID_H]]="","",IF(NOTA[[#This Row],[FAKTUR]]="",INDIRECT(ADDRESS(ROW()-1,COLUMN())),NOTA[[#This Row],[FAKTUR]]))</f>
        <v>UNTANA</v>
      </c>
      <c r="AL117" s="35" t="str">
        <f ca="1">IF(NOTA[[#This Row],[ID]]="","",COUNTIF(NOTA[ID_H],NOTA[[#This Row],[ID_H]]))</f>
        <v/>
      </c>
      <c r="AM117" s="35">
        <f ca="1">IF(NOTA[[#This Row],[TGL.NOTA]]="",IF(NOTA[[#This Row],[SUPPLIER_H]]="","",AM116),MONTH(NOTA[[#This Row],[TGL.NOTA]]))</f>
        <v>7</v>
      </c>
      <c r="AN117" s="35" t="str">
        <f>LOWER(SUBSTITUTE(SUBSTITUTE(SUBSTITUTE(SUBSTITUTE(SUBSTITUTE(SUBSTITUTE(SUBSTITUTE(SUBSTITUTE(SUBSTITUTE(NOTA[[#This Row],[NAMA BARANG]]," ",),".",""),"-",""),"(",""),")",""),",",""),"/",""),"""",""),"+",""))</f>
        <v>mekpensil20tizotm030a2</v>
      </c>
      <c r="AO1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mekpensil20tizotm030a22784000</v>
      </c>
      <c r="AP1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mekpensil20tizotm030a22784000</v>
      </c>
      <c r="AQ1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7" s="35">
        <f>IF(NOTA[[#This Row],[CONCAT1]]="","",MATCH(NOTA[[#This Row],[CONCAT1]],[3]!db[NB NOTA_C],0))</f>
        <v>2176</v>
      </c>
      <c r="AS117" s="35" t="str">
        <f>IF(NOTA[[#This Row],[Column5]]="","",TRUE)</f>
        <v/>
      </c>
      <c r="AT117" s="35" t="str">
        <f ca="1">IF(NOTA[[#This Row],[ID_H]]="","",IF(NOTA[[#This Row],[Column3]]=TRUE,NOTA[[#This Row],[Column5]],INDEX([3]!db[QTY/ CTN],NOTA[[#This Row],[//DB]])))</f>
        <v>96 LSN</v>
      </c>
      <c r="AU1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mekpensil20tizotm030a296lsnuntana</v>
      </c>
      <c r="AV117" s="35">
        <f ca="1">IF(NOTA[[#This Row],[ID_H]]="","",MATCH(NOTA[[#This Row],[NB NOTA_C_QTY]],[3]!db[NB NOTA_C_QTY+F],0))</f>
        <v>2176</v>
      </c>
      <c r="AW117" s="43">
        <f ca="1">IF(NOTA[[#This Row],[NB NOTA_C_QTY]]="","",ROW()-2)</f>
        <v>115</v>
      </c>
    </row>
    <row r="118" spans="1:49" ht="20.100000000000001" customHeight="1">
      <c r="A1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5">
        <f ca="1">IF(NOTA[[#This Row],[NAMA BARANG]]="","",INDEX(NOTA[ID],MATCH(,INDIRECT(ADDRESS(ROW(NOTA[ID]),COLUMN(NOTA[ID]))&amp;":"&amp;ADDRESS(ROW(),COLUMN(NOTA[ID]))),-1)))</f>
        <v>34</v>
      </c>
      <c r="C118" s="45"/>
      <c r="F118" s="46"/>
      <c r="G118" s="35"/>
      <c r="H118" s="36"/>
      <c r="I118" s="35"/>
      <c r="J118" s="50" t="s">
        <v>292</v>
      </c>
      <c r="K118" s="37">
        <v>1</v>
      </c>
      <c r="L118" s="35">
        <v>72</v>
      </c>
      <c r="M118" s="35" t="s">
        <v>50</v>
      </c>
      <c r="N118" s="38">
        <v>43500</v>
      </c>
      <c r="O118" s="39"/>
      <c r="P118" s="47"/>
      <c r="Q118" s="48"/>
      <c r="R118" s="41"/>
      <c r="T118" s="42"/>
      <c r="U118" s="44"/>
      <c r="V118" s="42">
        <f>IF(NOTA[[#This Row],[HARGA/ CTN]]="",NOTA[[#This Row],[JUMLAH_H]],NOTA[[#This Row],[HARGA/ CTN]]*IF(NOTA[[#This Row],[C]]="",0,NOTA[[#This Row],[C]]))</f>
        <v>3132000</v>
      </c>
      <c r="W118" s="42">
        <f>IF(NOTA[[#This Row],[JUMLAH]]="","",NOTA[[#This Row],[JUMLAH]]*NOTA[[#This Row],[Column6]])</f>
        <v>0</v>
      </c>
      <c r="X118" s="42">
        <f>IF(NOTA[[#This Row],[JUMLAH]]="","",(NOTA[[#This Row],[JUMLAH]]-NOTA[[#This Row],[DISC 1-]])*NOTA[[#This Row],[Column7]])</f>
        <v>0</v>
      </c>
      <c r="Y118" s="42">
        <f>IF(NOTA[[#This Row],[JUMLAH]]="","",(NOTA[[#This Row],[JUMLAH]]-NOTA[[#This Row],[DISC 1-]]-NOTA[[#This Row],[DISC 2-]])*NOTA[[#This Row],[Column8]])</f>
        <v>0</v>
      </c>
      <c r="Z118" s="42">
        <f>IF(NOTA[[#This Row],[JUMLAH]]="","",NOTA[[#This Row],[DISC 1-]]+NOTA[[#This Row],[DISC 2-]]+NOTA[[#This Row],[DISC 3-]])</f>
        <v>0</v>
      </c>
      <c r="AA118" s="42">
        <f>IF(NOTA[[#This Row],[JUMLAH]]="","",NOTA[[#This Row],[JUMLAH]]-NOTA[[#This Row],[DISC]])</f>
        <v>3132000</v>
      </c>
      <c r="AB118" s="42"/>
      <c r="AC1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8" s="3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18" s="42">
        <f>IF(OR(NOTA[[#This Row],[QTY]]="",NOTA[[#This Row],[HARGA SATUAN]]="",),"",NOTA[[#This Row],[QTY]]*NOTA[[#This Row],[HARGA SATUAN]])</f>
        <v>3132000</v>
      </c>
      <c r="AG118" s="36">
        <f ca="1">IF(NOTA[[#This Row],[ID_H]]="","",INDEX(NOTA[TANGGAL],MATCH(,INDIRECT(ADDRESS(ROW(NOTA[TANGGAL]),COLUMN(NOTA[TANGGAL]))&amp;":"&amp;ADDRESS(ROW(),COLUMN(NOTA[TANGGAL]))),-1)))</f>
        <v>45481</v>
      </c>
      <c r="AH118" s="36">
        <f ca="1">IF(NOTA[[#This Row],[ID_H]]="","",INDEX(NOTA[TGL.NOTA],MATCH(,INDIRECT(ADDRESS(ROW(NOTA[TGL.NOTA]),COLUMN(NOTA[TGL.NOTA]))&amp;":"&amp;ADDRESS(ROW(),COLUMN(NOTA[TGL.NOTA]))),-1)))</f>
        <v>45479</v>
      </c>
      <c r="AI118" s="36" t="str">
        <f ca="1">IF(NOTA[[#This Row],[ID_H]]="","",INDEX(NOTA[NO.NOTA],MATCH(NOTA[[#This Row],[ID_H]],NOTA[ID_H],0)))</f>
        <v>JUG190/24</v>
      </c>
      <c r="AJ118" s="38" t="str">
        <f ca="1">IF(NOTA[[#This Row],[NAMA BARANG]]="","",INDEX(NOTA[SUPPLIER],MATCH(,INDIRECT(ADDRESS(ROW(NOTA[ID]),COLUMN(NOTA[ID]))&amp;":"&amp;ADDRESS(ROW(),COLUMN(NOTA[ID]))),-1)))</f>
        <v>DUTA BUANA</v>
      </c>
      <c r="AK118" s="38" t="str">
        <f ca="1">IF(NOTA[[#This Row],[ID_H]]="","",IF(NOTA[[#This Row],[FAKTUR]]="",INDIRECT(ADDRESS(ROW()-1,COLUMN())),NOTA[[#This Row],[FAKTUR]]))</f>
        <v>UNTANA</v>
      </c>
      <c r="AL118" s="35" t="str">
        <f ca="1">IF(NOTA[[#This Row],[ID]]="","",COUNTIF(NOTA[ID_H],NOTA[[#This Row],[ID_H]]))</f>
        <v/>
      </c>
      <c r="AM118" s="35">
        <f ca="1">IF(NOTA[[#This Row],[TGL.NOTA]]="",IF(NOTA[[#This Row],[SUPPLIER_H]]="","",AM117),MONTH(NOTA[[#This Row],[TGL.NOTA]]))</f>
        <v>7</v>
      </c>
      <c r="AN118" s="35" t="str">
        <f>LOWER(SUBSTITUTE(SUBSTITUTE(SUBSTITUTE(SUBSTITUTE(SUBSTITUTE(SUBSTITUTE(SUBSTITUTE(SUBSTITUTE(SUBSTITUTE(NOTA[[#This Row],[NAMA BARANG]]," ",),".",""),"-",""),"(",""),")",""),",",""),"/",""),"""",""),"+",""))</f>
        <v>geltizo10tg630a</v>
      </c>
      <c r="AO1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geltizo10tg630a3132000</v>
      </c>
      <c r="AP1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geltizo10tg630a3132000</v>
      </c>
      <c r="AQ1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8" s="35">
        <f>IF(NOTA[[#This Row],[CONCAT1]]="","",MATCH(NOTA[[#This Row],[CONCAT1]],[3]!db[NB NOTA_C],0))</f>
        <v>1252</v>
      </c>
      <c r="AS118" s="35" t="str">
        <f>IF(NOTA[[#This Row],[Column5]]="","",TRUE)</f>
        <v/>
      </c>
      <c r="AT118" s="35" t="str">
        <f ca="1">IF(NOTA[[#This Row],[ID_H]]="","",IF(NOTA[[#This Row],[Column3]]=TRUE,NOTA[[#This Row],[Column5]],INDEX([3]!db[QTY/ CTN],NOTA[[#This Row],[//DB]])))</f>
        <v>72 LSN</v>
      </c>
      <c r="AU1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geltizo10tg630a72lsnuntana</v>
      </c>
      <c r="AV118" s="35">
        <f ca="1">IF(NOTA[[#This Row],[ID_H]]="","",MATCH(NOTA[[#This Row],[NB NOTA_C_QTY]],[3]!db[NB NOTA_C_QTY+F],0))</f>
        <v>1252</v>
      </c>
      <c r="AW118" s="43">
        <f ca="1">IF(NOTA[[#This Row],[NB NOTA_C_QTY]]="","",ROW()-2)</f>
        <v>116</v>
      </c>
    </row>
    <row r="119" spans="1:49" ht="20.100000000000001" customHeight="1">
      <c r="A1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5">
        <f ca="1">IF(NOTA[[#This Row],[NAMA BARANG]]="","",INDEX(NOTA[ID],MATCH(,INDIRECT(ADDRESS(ROW(NOTA[ID]),COLUMN(NOTA[ID]))&amp;":"&amp;ADDRESS(ROW(),COLUMN(NOTA[ID]))),-1)))</f>
        <v>34</v>
      </c>
      <c r="C119" s="45"/>
      <c r="F119" s="46"/>
      <c r="G119" s="35"/>
      <c r="H119" s="36"/>
      <c r="I119" s="35"/>
      <c r="J119" s="50" t="s">
        <v>293</v>
      </c>
      <c r="K119" s="37">
        <v>1</v>
      </c>
      <c r="L119" s="35">
        <v>120</v>
      </c>
      <c r="M119" s="35" t="s">
        <v>50</v>
      </c>
      <c r="N119" s="38">
        <v>19000</v>
      </c>
      <c r="O119" s="39"/>
      <c r="P119" s="47" t="s">
        <v>120</v>
      </c>
      <c r="Q119" s="48"/>
      <c r="R119" s="41"/>
      <c r="T119" s="42"/>
      <c r="U119" s="44"/>
      <c r="V119" s="42">
        <f>IF(NOTA[[#This Row],[HARGA/ CTN]]="",NOTA[[#This Row],[JUMLAH_H]],NOTA[[#This Row],[HARGA/ CTN]]*IF(NOTA[[#This Row],[C]]="",0,NOTA[[#This Row],[C]]))</f>
        <v>2280000</v>
      </c>
      <c r="W119" s="42">
        <f>IF(NOTA[[#This Row],[JUMLAH]]="","",NOTA[[#This Row],[JUMLAH]]*NOTA[[#This Row],[Column6]])</f>
        <v>0</v>
      </c>
      <c r="X119" s="42">
        <f>IF(NOTA[[#This Row],[JUMLAH]]="","",(NOTA[[#This Row],[JUMLAH]]-NOTA[[#This Row],[DISC 1-]])*NOTA[[#This Row],[Column7]])</f>
        <v>0</v>
      </c>
      <c r="Y119" s="42">
        <f>IF(NOTA[[#This Row],[JUMLAH]]="","",(NOTA[[#This Row],[JUMLAH]]-NOTA[[#This Row],[DISC 1-]]-NOTA[[#This Row],[DISC 2-]])*NOTA[[#This Row],[Column8]])</f>
        <v>0</v>
      </c>
      <c r="Z119" s="42">
        <f>IF(NOTA[[#This Row],[JUMLAH]]="","",NOTA[[#This Row],[DISC 1-]]+NOTA[[#This Row],[DISC 2-]]+NOTA[[#This Row],[DISC 3-]])</f>
        <v>0</v>
      </c>
      <c r="AA119" s="42">
        <f>IF(NOTA[[#This Row],[JUMLAH]]="","",NOTA[[#This Row],[JUMLAH]]-NOTA[[#This Row],[DISC]])</f>
        <v>2280000</v>
      </c>
      <c r="AB119" s="42"/>
      <c r="AC1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19" s="38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119" s="42">
        <f>IF(OR(NOTA[[#This Row],[QTY]]="",NOTA[[#This Row],[HARGA SATUAN]]="",),"",NOTA[[#This Row],[QTY]]*NOTA[[#This Row],[HARGA SATUAN]])</f>
        <v>2280000</v>
      </c>
      <c r="AG119" s="36">
        <f ca="1">IF(NOTA[[#This Row],[ID_H]]="","",INDEX(NOTA[TANGGAL],MATCH(,INDIRECT(ADDRESS(ROW(NOTA[TANGGAL]),COLUMN(NOTA[TANGGAL]))&amp;":"&amp;ADDRESS(ROW(),COLUMN(NOTA[TANGGAL]))),-1)))</f>
        <v>45481</v>
      </c>
      <c r="AH119" s="36">
        <f ca="1">IF(NOTA[[#This Row],[ID_H]]="","",INDEX(NOTA[TGL.NOTA],MATCH(,INDIRECT(ADDRESS(ROW(NOTA[TGL.NOTA]),COLUMN(NOTA[TGL.NOTA]))&amp;":"&amp;ADDRESS(ROW(),COLUMN(NOTA[TGL.NOTA]))),-1)))</f>
        <v>45479</v>
      </c>
      <c r="AI119" s="36" t="str">
        <f ca="1">IF(NOTA[[#This Row],[ID_H]]="","",INDEX(NOTA[NO.NOTA],MATCH(NOTA[[#This Row],[ID_H]],NOTA[ID_H],0)))</f>
        <v>JUG190/24</v>
      </c>
      <c r="AJ119" s="38" t="str">
        <f ca="1">IF(NOTA[[#This Row],[NAMA BARANG]]="","",INDEX(NOTA[SUPPLIER],MATCH(,INDIRECT(ADDRESS(ROW(NOTA[ID]),COLUMN(NOTA[ID]))&amp;":"&amp;ADDRESS(ROW(),COLUMN(NOTA[ID]))),-1)))</f>
        <v>DUTA BUANA</v>
      </c>
      <c r="AK119" s="38" t="str">
        <f ca="1">IF(NOTA[[#This Row],[ID_H]]="","",IF(NOTA[[#This Row],[FAKTUR]]="",INDIRECT(ADDRESS(ROW()-1,COLUMN())),NOTA[[#This Row],[FAKTUR]]))</f>
        <v>UNTANA</v>
      </c>
      <c r="AL119" s="35" t="str">
        <f ca="1">IF(NOTA[[#This Row],[ID]]="","",COUNTIF(NOTA[ID_H],NOTA[[#This Row],[ID_H]]))</f>
        <v/>
      </c>
      <c r="AM119" s="35">
        <f ca="1">IF(NOTA[[#This Row],[TGL.NOTA]]="",IF(NOTA[[#This Row],[SUPPLIER_H]]="","",AM118),MONTH(NOTA[[#This Row],[TGL.NOTA]]))</f>
        <v>7</v>
      </c>
      <c r="AN119" s="35" t="str">
        <f>LOWER(SUBSTITUTE(SUBSTITUTE(SUBSTITUTE(SUBSTITUTE(SUBSTITUTE(SUBSTITUTE(SUBSTITUTE(SUBSTITUTE(SUBSTITUTE(NOTA[[#This Row],[NAMA BARANG]]," ",),".",""),"-",""),"(",""),")",""),",",""),"/",""),"""",""),"+",""))</f>
        <v>geldebozz07refilldb530</v>
      </c>
      <c r="AO1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geldebozz07refilldb5302280000</v>
      </c>
      <c r="AP1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geldebozz07refilldb5302280000</v>
      </c>
      <c r="AQ1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9" s="35">
        <f>IF(NOTA[[#This Row],[CONCAT1]]="","",MATCH(NOTA[[#This Row],[CONCAT1]],[3]!db[NB NOTA_C],0))</f>
        <v>1050</v>
      </c>
      <c r="AS119" s="35" t="b">
        <f>IF(NOTA[[#This Row],[Column5]]="","",TRUE)</f>
        <v>1</v>
      </c>
      <c r="AT119" s="35" t="str">
        <f ca="1">IF(NOTA[[#This Row],[ID_H]]="","",IF(NOTA[[#This Row],[Column3]]=TRUE,NOTA[[#This Row],[Column5]],INDEX([3]!db[QTY/ CTN],NOTA[[#This Row],[//DB]])))</f>
        <v>120 LSN</v>
      </c>
      <c r="AU1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geldebozz07refilldb530120lsnuntana</v>
      </c>
      <c r="AV119" s="35">
        <f ca="1">IF(NOTA[[#This Row],[ID_H]]="","",MATCH(NOTA[[#This Row],[NB NOTA_C_QTY]],[3]!db[NB NOTA_C_QTY+F],0))</f>
        <v>1050</v>
      </c>
      <c r="AW119" s="43">
        <f ca="1">IF(NOTA[[#This Row],[NB NOTA_C_QTY]]="","",ROW()-2)</f>
        <v>117</v>
      </c>
    </row>
    <row r="120" spans="1:49" ht="20.100000000000001" customHeight="1">
      <c r="A1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5">
        <f ca="1">IF(NOTA[[#This Row],[NAMA BARANG]]="","",INDEX(NOTA[ID],MATCH(,INDIRECT(ADDRESS(ROW(NOTA[ID]),COLUMN(NOTA[ID]))&amp;":"&amp;ADDRESS(ROW(),COLUMN(NOTA[ID]))),-1)))</f>
        <v>34</v>
      </c>
      <c r="C120" s="45"/>
      <c r="F120" s="46"/>
      <c r="G120" s="35"/>
      <c r="H120" s="36"/>
      <c r="I120" s="35"/>
      <c r="J120" s="50" t="s">
        <v>294</v>
      </c>
      <c r="K120" s="37">
        <v>1</v>
      </c>
      <c r="L120" s="35">
        <v>32</v>
      </c>
      <c r="M120" s="35" t="s">
        <v>145</v>
      </c>
      <c r="N120" s="38">
        <v>49500</v>
      </c>
      <c r="O120" s="39"/>
      <c r="P120" s="47"/>
      <c r="Q120" s="48"/>
      <c r="R120" s="41"/>
      <c r="T120" s="42"/>
      <c r="U120" s="44"/>
      <c r="V120" s="42">
        <f>IF(NOTA[[#This Row],[HARGA/ CTN]]="",NOTA[[#This Row],[JUMLAH_H]],NOTA[[#This Row],[HARGA/ CTN]]*IF(NOTA[[#This Row],[C]]="",0,NOTA[[#This Row],[C]]))</f>
        <v>1584000</v>
      </c>
      <c r="W120" s="42">
        <f>IF(NOTA[[#This Row],[JUMLAH]]="","",NOTA[[#This Row],[JUMLAH]]*NOTA[[#This Row],[Column6]])</f>
        <v>0</v>
      </c>
      <c r="X120" s="42">
        <f>IF(NOTA[[#This Row],[JUMLAH]]="","",(NOTA[[#This Row],[JUMLAH]]-NOTA[[#This Row],[DISC 1-]])*NOTA[[#This Row],[Column7]])</f>
        <v>0</v>
      </c>
      <c r="Y120" s="42">
        <f>IF(NOTA[[#This Row],[JUMLAH]]="","",(NOTA[[#This Row],[JUMLAH]]-NOTA[[#This Row],[DISC 1-]]-NOTA[[#This Row],[DISC 2-]])*NOTA[[#This Row],[Column8]])</f>
        <v>0</v>
      </c>
      <c r="Z120" s="42">
        <f>IF(NOTA[[#This Row],[JUMLAH]]="","",NOTA[[#This Row],[DISC 1-]]+NOTA[[#This Row],[DISC 2-]]+NOTA[[#This Row],[DISC 3-]])</f>
        <v>0</v>
      </c>
      <c r="AA120" s="42">
        <f>IF(NOTA[[#This Row],[JUMLAH]]="","",NOTA[[#This Row],[JUMLAH]]-NOTA[[#This Row],[DISC]])</f>
        <v>1584000</v>
      </c>
      <c r="AB120" s="42"/>
      <c r="AC1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0" s="3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20" s="42">
        <f>IF(OR(NOTA[[#This Row],[QTY]]="",NOTA[[#This Row],[HARGA SATUAN]]="",),"",NOTA[[#This Row],[QTY]]*NOTA[[#This Row],[HARGA SATUAN]])</f>
        <v>1584000</v>
      </c>
      <c r="AG120" s="36">
        <f ca="1">IF(NOTA[[#This Row],[ID_H]]="","",INDEX(NOTA[TANGGAL],MATCH(,INDIRECT(ADDRESS(ROW(NOTA[TANGGAL]),COLUMN(NOTA[TANGGAL]))&amp;":"&amp;ADDRESS(ROW(),COLUMN(NOTA[TANGGAL]))),-1)))</f>
        <v>45481</v>
      </c>
      <c r="AH120" s="36">
        <f ca="1">IF(NOTA[[#This Row],[ID_H]]="","",INDEX(NOTA[TGL.NOTA],MATCH(,INDIRECT(ADDRESS(ROW(NOTA[TGL.NOTA]),COLUMN(NOTA[TGL.NOTA]))&amp;":"&amp;ADDRESS(ROW(),COLUMN(NOTA[TGL.NOTA]))),-1)))</f>
        <v>45479</v>
      </c>
      <c r="AI120" s="36" t="str">
        <f ca="1">IF(NOTA[[#This Row],[ID_H]]="","",INDEX(NOTA[NO.NOTA],MATCH(NOTA[[#This Row],[ID_H]],NOTA[ID_H],0)))</f>
        <v>JUG190/24</v>
      </c>
      <c r="AJ120" s="38" t="str">
        <f ca="1">IF(NOTA[[#This Row],[NAMA BARANG]]="","",INDEX(NOTA[SUPPLIER],MATCH(,INDIRECT(ADDRESS(ROW(NOTA[ID]),COLUMN(NOTA[ID]))&amp;":"&amp;ADDRESS(ROW(),COLUMN(NOTA[ID]))),-1)))</f>
        <v>DUTA BUANA</v>
      </c>
      <c r="AK120" s="38" t="str">
        <f ca="1">IF(NOTA[[#This Row],[ID_H]]="","",IF(NOTA[[#This Row],[FAKTUR]]="",INDIRECT(ADDRESS(ROW()-1,COLUMN())),NOTA[[#This Row],[FAKTUR]]))</f>
        <v>UNTANA</v>
      </c>
      <c r="AL120" s="35" t="str">
        <f ca="1">IF(NOTA[[#This Row],[ID]]="","",COUNTIF(NOTA[ID_H],NOTA[[#This Row],[ID_H]]))</f>
        <v/>
      </c>
      <c r="AM120" s="35">
        <f ca="1">IF(NOTA[[#This Row],[TGL.NOTA]]="",IF(NOTA[[#This Row],[SUPPLIER_H]]="","",AM119),MONTH(NOTA[[#This Row],[TGL.NOTA]]))</f>
        <v>7</v>
      </c>
      <c r="AN120" s="35" t="str">
        <f>LOWER(SUBSTITUTE(SUBSTITUTE(SUBSTITUTE(SUBSTITUTE(SUBSTITUTE(SUBSTITUTE(SUBSTITUTE(SUBSTITUTE(SUBSTITUTE(NOTA[[#This Row],[NAMA BARANG]]," ",),".",""),"-",""),"(",""),")",""),",",""),"/",""),"""",""),"+",""))</f>
        <v>highlighter24pcstf616</v>
      </c>
      <c r="AO1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highlighter24pcstf6161584000</v>
      </c>
      <c r="AP1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highlighter24pcstf6161584000</v>
      </c>
      <c r="AQ1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0" s="35">
        <f>IF(NOTA[[#This Row],[CONCAT1]]="","",MATCH(NOTA[[#This Row],[CONCAT1]],[3]!db[NB NOTA_C],0))</f>
        <v>1448</v>
      </c>
      <c r="AS120" s="35" t="str">
        <f>IF(NOTA[[#This Row],[Column5]]="","",TRUE)</f>
        <v/>
      </c>
      <c r="AT120" s="35" t="str">
        <f ca="1">IF(NOTA[[#This Row],[ID_H]]="","",IF(NOTA[[#This Row],[Column3]]=TRUE,NOTA[[#This Row],[Column5]],INDEX([3]!db[QTY/ CTN],NOTA[[#This Row],[//DB]])))</f>
        <v>32 PAK (24 PCS)</v>
      </c>
      <c r="AU1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V120" s="35">
        <f ca="1">IF(NOTA[[#This Row],[ID_H]]="","",MATCH(NOTA[[#This Row],[NB NOTA_C_QTY]],[3]!db[NB NOTA_C_QTY+F],0))</f>
        <v>1448</v>
      </c>
      <c r="AW120" s="43">
        <f ca="1">IF(NOTA[[#This Row],[NB NOTA_C_QTY]]="","",ROW()-2)</f>
        <v>118</v>
      </c>
    </row>
    <row r="121" spans="1:49" ht="20.100000000000001" customHeight="1">
      <c r="A1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5">
        <f ca="1">IF(NOTA[[#This Row],[NAMA BARANG]]="","",INDEX(NOTA[ID],MATCH(,INDIRECT(ADDRESS(ROW(NOTA[ID]),COLUMN(NOTA[ID]))&amp;":"&amp;ADDRESS(ROW(),COLUMN(NOTA[ID]))),-1)))</f>
        <v>34</v>
      </c>
      <c r="C121" s="45"/>
      <c r="F121" s="46"/>
      <c r="G121" s="35"/>
      <c r="H121" s="36"/>
      <c r="I121" s="35"/>
      <c r="J121" s="35" t="s">
        <v>295</v>
      </c>
      <c r="K121" s="37">
        <v>1</v>
      </c>
      <c r="L121" s="35">
        <v>144</v>
      </c>
      <c r="M121" s="35" t="s">
        <v>50</v>
      </c>
      <c r="N121" s="38">
        <v>24000</v>
      </c>
      <c r="O121" s="39"/>
      <c r="P121" s="47"/>
      <c r="Q121" s="48"/>
      <c r="R121" s="41"/>
      <c r="T121" s="42"/>
      <c r="U121" s="44"/>
      <c r="V121" s="42">
        <f>IF(NOTA[[#This Row],[HARGA/ CTN]]="",NOTA[[#This Row],[JUMLAH_H]],NOTA[[#This Row],[HARGA/ CTN]]*IF(NOTA[[#This Row],[C]]="",0,NOTA[[#This Row],[C]]))</f>
        <v>3456000</v>
      </c>
      <c r="W121" s="42">
        <f>IF(NOTA[[#This Row],[JUMLAH]]="","",NOTA[[#This Row],[JUMLAH]]*NOTA[[#This Row],[Column6]])</f>
        <v>0</v>
      </c>
      <c r="X121" s="42">
        <f>IF(NOTA[[#This Row],[JUMLAH]]="","",(NOTA[[#This Row],[JUMLAH]]-NOTA[[#This Row],[DISC 1-]])*NOTA[[#This Row],[Column7]])</f>
        <v>0</v>
      </c>
      <c r="Y121" s="42">
        <f>IF(NOTA[[#This Row],[JUMLAH]]="","",(NOTA[[#This Row],[JUMLAH]]-NOTA[[#This Row],[DISC 1-]]-NOTA[[#This Row],[DISC 2-]])*NOTA[[#This Row],[Column8]])</f>
        <v>0</v>
      </c>
      <c r="Z121" s="42">
        <f>IF(NOTA[[#This Row],[JUMLAH]]="","",NOTA[[#This Row],[DISC 1-]]+NOTA[[#This Row],[DISC 2-]]+NOTA[[#This Row],[DISC 3-]])</f>
        <v>0</v>
      </c>
      <c r="AA121" s="42">
        <f>IF(NOTA[[#This Row],[JUMLAH]]="","",NOTA[[#This Row],[JUMLAH]]-NOTA[[#This Row],[DISC]])</f>
        <v>3456000</v>
      </c>
      <c r="AB121" s="42"/>
      <c r="AC1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1" s="3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121" s="42">
        <f>IF(OR(NOTA[[#This Row],[QTY]]="",NOTA[[#This Row],[HARGA SATUAN]]="",),"",NOTA[[#This Row],[QTY]]*NOTA[[#This Row],[HARGA SATUAN]])</f>
        <v>3456000</v>
      </c>
      <c r="AG121" s="36">
        <f ca="1">IF(NOTA[[#This Row],[ID_H]]="","",INDEX(NOTA[TANGGAL],MATCH(,INDIRECT(ADDRESS(ROW(NOTA[TANGGAL]),COLUMN(NOTA[TANGGAL]))&amp;":"&amp;ADDRESS(ROW(),COLUMN(NOTA[TANGGAL]))),-1)))</f>
        <v>45481</v>
      </c>
      <c r="AH121" s="36">
        <f ca="1">IF(NOTA[[#This Row],[ID_H]]="","",INDEX(NOTA[TGL.NOTA],MATCH(,INDIRECT(ADDRESS(ROW(NOTA[TGL.NOTA]),COLUMN(NOTA[TGL.NOTA]))&amp;":"&amp;ADDRESS(ROW(),COLUMN(NOTA[TGL.NOTA]))),-1)))</f>
        <v>45479</v>
      </c>
      <c r="AI121" s="36" t="str">
        <f ca="1">IF(NOTA[[#This Row],[ID_H]]="","",INDEX(NOTA[NO.NOTA],MATCH(NOTA[[#This Row],[ID_H]],NOTA[ID_H],0)))</f>
        <v>JUG190/24</v>
      </c>
      <c r="AJ121" s="38" t="str">
        <f ca="1">IF(NOTA[[#This Row],[NAMA BARANG]]="","",INDEX(NOTA[SUPPLIER],MATCH(,INDIRECT(ADDRESS(ROW(NOTA[ID]),COLUMN(NOTA[ID]))&amp;":"&amp;ADDRESS(ROW(),COLUMN(NOTA[ID]))),-1)))</f>
        <v>DUTA BUANA</v>
      </c>
      <c r="AK121" s="38" t="str">
        <f ca="1">IF(NOTA[[#This Row],[ID_H]]="","",IF(NOTA[[#This Row],[FAKTUR]]="",INDIRECT(ADDRESS(ROW()-1,COLUMN())),NOTA[[#This Row],[FAKTUR]]))</f>
        <v>UNTANA</v>
      </c>
      <c r="AL121" s="35" t="str">
        <f ca="1">IF(NOTA[[#This Row],[ID]]="","",COUNTIF(NOTA[ID_H],NOTA[[#This Row],[ID_H]]))</f>
        <v/>
      </c>
      <c r="AM121" s="35">
        <f ca="1">IF(NOTA[[#This Row],[TGL.NOTA]]="",IF(NOTA[[#This Row],[SUPPLIER_H]]="","",AM120),MONTH(NOTA[[#This Row],[TGL.NOTA]]))</f>
        <v>7</v>
      </c>
      <c r="AN121" s="35" t="str">
        <f>LOWER(SUBSTITUTE(SUBSTITUTE(SUBSTITUTE(SUBSTITUTE(SUBSTITUTE(SUBSTITUTE(SUBSTITUTE(SUBSTITUTE(SUBSTITUTE(NOTA[[#This Row],[NAMA BARANG]]," ",),".",""),"-",""),"(",""),")",""),",",""),"/",""),"""",""),"+",""))</f>
        <v>geltizokliktg3300</v>
      </c>
      <c r="AO1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geltizokliktg33003456000</v>
      </c>
      <c r="AP1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geltizokliktg33003456000</v>
      </c>
      <c r="AQ1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1" s="35">
        <f>IF(NOTA[[#This Row],[CONCAT1]]="","",MATCH(NOTA[[#This Row],[CONCAT1]],[3]!db[NB NOTA_C],0))</f>
        <v>1150</v>
      </c>
      <c r="AS121" s="35" t="str">
        <f>IF(NOTA[[#This Row],[Column5]]="","",TRUE)</f>
        <v/>
      </c>
      <c r="AT121" s="35" t="str">
        <f ca="1">IF(NOTA[[#This Row],[ID_H]]="","",IF(NOTA[[#This Row],[Column3]]=TRUE,NOTA[[#This Row],[Column5]],INDEX([3]!db[QTY/ CTN],NOTA[[#This Row],[//DB]])))</f>
        <v>144 LSN</v>
      </c>
      <c r="AU1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geltizokliktg3300144lsnuntana</v>
      </c>
      <c r="AV121" s="35">
        <f ca="1">IF(NOTA[[#This Row],[ID_H]]="","",MATCH(NOTA[[#This Row],[NB NOTA_C_QTY]],[3]!db[NB NOTA_C_QTY+F],0))</f>
        <v>1150</v>
      </c>
      <c r="AW121" s="43">
        <f ca="1">IF(NOTA[[#This Row],[NB NOTA_C_QTY]]="","",ROW()-2)</f>
        <v>119</v>
      </c>
    </row>
    <row r="122" spans="1:49" ht="20.100000000000001" customHeight="1">
      <c r="A1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5">
        <f ca="1">IF(NOTA[[#This Row],[NAMA BARANG]]="","",INDEX(NOTA[ID],MATCH(,INDIRECT(ADDRESS(ROW(NOTA[ID]),COLUMN(NOTA[ID]))&amp;":"&amp;ADDRESS(ROW(),COLUMN(NOTA[ID]))),-1)))</f>
        <v>34</v>
      </c>
      <c r="C122" s="45"/>
      <c r="F122" s="46"/>
      <c r="G122" s="35"/>
      <c r="H122" s="36"/>
      <c r="I122" s="35"/>
      <c r="J122" s="50" t="s">
        <v>296</v>
      </c>
      <c r="K122" s="37">
        <v>1</v>
      </c>
      <c r="L122" s="35">
        <v>144</v>
      </c>
      <c r="M122" s="35" t="s">
        <v>50</v>
      </c>
      <c r="N122" s="38">
        <v>22500</v>
      </c>
      <c r="O122" s="39"/>
      <c r="P122" s="47"/>
      <c r="Q122" s="48"/>
      <c r="R122" s="41"/>
      <c r="T122" s="42"/>
      <c r="U122" s="44"/>
      <c r="V122" s="42">
        <f>IF(NOTA[[#This Row],[HARGA/ CTN]]="",NOTA[[#This Row],[JUMLAH_H]],NOTA[[#This Row],[HARGA/ CTN]]*IF(NOTA[[#This Row],[C]]="",0,NOTA[[#This Row],[C]]))</f>
        <v>3240000</v>
      </c>
      <c r="W122" s="42">
        <f>IF(NOTA[[#This Row],[JUMLAH]]="","",NOTA[[#This Row],[JUMLAH]]*NOTA[[#This Row],[Column6]])</f>
        <v>0</v>
      </c>
      <c r="X122" s="42">
        <f>IF(NOTA[[#This Row],[JUMLAH]]="","",(NOTA[[#This Row],[JUMLAH]]-NOTA[[#This Row],[DISC 1-]])*NOTA[[#This Row],[Column7]])</f>
        <v>0</v>
      </c>
      <c r="Y122" s="42">
        <f>IF(NOTA[[#This Row],[JUMLAH]]="","",(NOTA[[#This Row],[JUMLAH]]-NOTA[[#This Row],[DISC 1-]]-NOTA[[#This Row],[DISC 2-]])*NOTA[[#This Row],[Column8]])</f>
        <v>0</v>
      </c>
      <c r="Z122" s="42">
        <f>IF(NOTA[[#This Row],[JUMLAH]]="","",NOTA[[#This Row],[DISC 1-]]+NOTA[[#This Row],[DISC 2-]]+NOTA[[#This Row],[DISC 3-]])</f>
        <v>0</v>
      </c>
      <c r="AA122" s="42">
        <f>IF(NOTA[[#This Row],[JUMLAH]]="","",NOTA[[#This Row],[JUMLAH]]-NOTA[[#This Row],[DISC]])</f>
        <v>3240000</v>
      </c>
      <c r="AB122" s="42"/>
      <c r="AC1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2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22" s="42">
        <f>IF(OR(NOTA[[#This Row],[QTY]]="",NOTA[[#This Row],[HARGA SATUAN]]="",),"",NOTA[[#This Row],[QTY]]*NOTA[[#This Row],[HARGA SATUAN]])</f>
        <v>3240000</v>
      </c>
      <c r="AG122" s="36">
        <f ca="1">IF(NOTA[[#This Row],[ID_H]]="","",INDEX(NOTA[TANGGAL],MATCH(,INDIRECT(ADDRESS(ROW(NOTA[TANGGAL]),COLUMN(NOTA[TANGGAL]))&amp;":"&amp;ADDRESS(ROW(),COLUMN(NOTA[TANGGAL]))),-1)))</f>
        <v>45481</v>
      </c>
      <c r="AH122" s="36">
        <f ca="1">IF(NOTA[[#This Row],[ID_H]]="","",INDEX(NOTA[TGL.NOTA],MATCH(,INDIRECT(ADDRESS(ROW(NOTA[TGL.NOTA]),COLUMN(NOTA[TGL.NOTA]))&amp;":"&amp;ADDRESS(ROW(),COLUMN(NOTA[TGL.NOTA]))),-1)))</f>
        <v>45479</v>
      </c>
      <c r="AI122" s="36" t="str">
        <f ca="1">IF(NOTA[[#This Row],[ID_H]]="","",INDEX(NOTA[NO.NOTA],MATCH(NOTA[[#This Row],[ID_H]],NOTA[ID_H],0)))</f>
        <v>JUG190/24</v>
      </c>
      <c r="AJ122" s="38" t="str">
        <f ca="1">IF(NOTA[[#This Row],[NAMA BARANG]]="","",INDEX(NOTA[SUPPLIER],MATCH(,INDIRECT(ADDRESS(ROW(NOTA[ID]),COLUMN(NOTA[ID]))&amp;":"&amp;ADDRESS(ROW(),COLUMN(NOTA[ID]))),-1)))</f>
        <v>DUTA BUANA</v>
      </c>
      <c r="AK122" s="38" t="str">
        <f ca="1">IF(NOTA[[#This Row],[ID_H]]="","",IF(NOTA[[#This Row],[FAKTUR]]="",INDIRECT(ADDRESS(ROW()-1,COLUMN())),NOTA[[#This Row],[FAKTUR]]))</f>
        <v>UNTANA</v>
      </c>
      <c r="AL122" s="35" t="str">
        <f ca="1">IF(NOTA[[#This Row],[ID]]="","",COUNTIF(NOTA[ID_H],NOTA[[#This Row],[ID_H]]))</f>
        <v/>
      </c>
      <c r="AM122" s="35">
        <f ca="1">IF(NOTA[[#This Row],[TGL.NOTA]]="",IF(NOTA[[#This Row],[SUPPLIER_H]]="","",AM121),MONTH(NOTA[[#This Row],[TGL.NOTA]]))</f>
        <v>7</v>
      </c>
      <c r="AN122" s="35" t="str">
        <f>LOWER(SUBSTITUTE(SUBSTITUTE(SUBSTITUTE(SUBSTITUTE(SUBSTITUTE(SUBSTITUTE(SUBSTITUTE(SUBSTITUTE(SUBSTITUTE(NOTA[[#This Row],[NAMA BARANG]]," ",),".",""),"-",""),"(",""),")",""),",",""),"/",""),"""",""),"+",""))</f>
        <v>gelinktianjiaotz501</v>
      </c>
      <c r="AO1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gelinktianjiaotz5013240000</v>
      </c>
      <c r="AP1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gelinktianjiaotz5013240000</v>
      </c>
      <c r="AQ1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2" s="35">
        <f>IF(NOTA[[#This Row],[CONCAT1]]="","",MATCH(NOTA[[#This Row],[CONCAT1]],[3]!db[NB NOTA_C],0))</f>
        <v>1057</v>
      </c>
      <c r="AS122" s="35" t="str">
        <f>IF(NOTA[[#This Row],[Column5]]="","",TRUE)</f>
        <v/>
      </c>
      <c r="AT122" s="35" t="str">
        <f ca="1">IF(NOTA[[#This Row],[ID_H]]="","",IF(NOTA[[#This Row],[Column3]]=TRUE,NOTA[[#This Row],[Column5]],INDEX([3]!db[QTY/ CTN],NOTA[[#This Row],[//DB]])))</f>
        <v>144 LSN</v>
      </c>
      <c r="AU1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V122" s="35">
        <f ca="1">IF(NOTA[[#This Row],[ID_H]]="","",MATCH(NOTA[[#This Row],[NB NOTA_C_QTY]],[3]!db[NB NOTA_C_QTY+F],0))</f>
        <v>1057</v>
      </c>
      <c r="AW122" s="43">
        <f ca="1">IF(NOTA[[#This Row],[NB NOTA_C_QTY]]="","",ROW()-2)</f>
        <v>120</v>
      </c>
    </row>
    <row r="123" spans="1:49" ht="20.100000000000001" customHeight="1">
      <c r="A1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5">
        <f ca="1">IF(NOTA[[#This Row],[NAMA BARANG]]="","",INDEX(NOTA[ID],MATCH(,INDIRECT(ADDRESS(ROW(NOTA[ID]),COLUMN(NOTA[ID]))&amp;":"&amp;ADDRESS(ROW(),COLUMN(NOTA[ID]))),-1)))</f>
        <v>34</v>
      </c>
      <c r="C123" s="45"/>
      <c r="F123" s="46"/>
      <c r="G123" s="35"/>
      <c r="H123" s="36"/>
      <c r="I123" s="35"/>
      <c r="J123" s="50" t="s">
        <v>297</v>
      </c>
      <c r="K123" s="37">
        <v>10</v>
      </c>
      <c r="L123" s="35">
        <v>960</v>
      </c>
      <c r="M123" s="35" t="s">
        <v>50</v>
      </c>
      <c r="N123" s="38">
        <v>31500</v>
      </c>
      <c r="O123" s="39"/>
      <c r="P123" s="47"/>
      <c r="Q123" s="48"/>
      <c r="R123" s="41"/>
      <c r="T123" s="42"/>
      <c r="U123" s="44"/>
      <c r="V123" s="42">
        <f>IF(NOTA[[#This Row],[HARGA/ CTN]]="",NOTA[[#This Row],[JUMLAH_H]],NOTA[[#This Row],[HARGA/ CTN]]*IF(NOTA[[#This Row],[C]]="",0,NOTA[[#This Row],[C]]))</f>
        <v>30240000</v>
      </c>
      <c r="W123" s="42">
        <f>IF(NOTA[[#This Row],[JUMLAH]]="","",NOTA[[#This Row],[JUMLAH]]*NOTA[[#This Row],[Column6]])</f>
        <v>0</v>
      </c>
      <c r="X123" s="42">
        <f>IF(NOTA[[#This Row],[JUMLAH]]="","",(NOTA[[#This Row],[JUMLAH]]-NOTA[[#This Row],[DISC 1-]])*NOTA[[#This Row],[Column7]])</f>
        <v>0</v>
      </c>
      <c r="Y123" s="42">
        <f>IF(NOTA[[#This Row],[JUMLAH]]="","",(NOTA[[#This Row],[JUMLAH]]-NOTA[[#This Row],[DISC 1-]]-NOTA[[#This Row],[DISC 2-]])*NOTA[[#This Row],[Column8]])</f>
        <v>0</v>
      </c>
      <c r="Z123" s="42">
        <f>IF(NOTA[[#This Row],[JUMLAH]]="","",NOTA[[#This Row],[DISC 1-]]+NOTA[[#This Row],[DISC 2-]]+NOTA[[#This Row],[DISC 3-]])</f>
        <v>0</v>
      </c>
      <c r="AA123" s="42">
        <f>IF(NOTA[[#This Row],[JUMLAH]]="","",NOTA[[#This Row],[JUMLAH]]-NOTA[[#This Row],[DISC]])</f>
        <v>30240000</v>
      </c>
      <c r="AB123" s="42"/>
      <c r="AC1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3" s="3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23" s="42">
        <f>IF(OR(NOTA[[#This Row],[QTY]]="",NOTA[[#This Row],[HARGA SATUAN]]="",),"",NOTA[[#This Row],[QTY]]*NOTA[[#This Row],[HARGA SATUAN]])</f>
        <v>30240000</v>
      </c>
      <c r="AG123" s="36">
        <f ca="1">IF(NOTA[[#This Row],[ID_H]]="","",INDEX(NOTA[TANGGAL],MATCH(,INDIRECT(ADDRESS(ROW(NOTA[TANGGAL]),COLUMN(NOTA[TANGGAL]))&amp;":"&amp;ADDRESS(ROW(),COLUMN(NOTA[TANGGAL]))),-1)))</f>
        <v>45481</v>
      </c>
      <c r="AH123" s="36">
        <f ca="1">IF(NOTA[[#This Row],[ID_H]]="","",INDEX(NOTA[TGL.NOTA],MATCH(,INDIRECT(ADDRESS(ROW(NOTA[TGL.NOTA]),COLUMN(NOTA[TGL.NOTA]))&amp;":"&amp;ADDRESS(ROW(),COLUMN(NOTA[TGL.NOTA]))),-1)))</f>
        <v>45479</v>
      </c>
      <c r="AI123" s="36" t="str">
        <f ca="1">IF(NOTA[[#This Row],[ID_H]]="","",INDEX(NOTA[NO.NOTA],MATCH(NOTA[[#This Row],[ID_H]],NOTA[ID_H],0)))</f>
        <v>JUG190/24</v>
      </c>
      <c r="AJ123" s="38" t="str">
        <f ca="1">IF(NOTA[[#This Row],[NAMA BARANG]]="","",INDEX(NOTA[SUPPLIER],MATCH(,INDIRECT(ADDRESS(ROW(NOTA[ID]),COLUMN(NOTA[ID]))&amp;":"&amp;ADDRESS(ROW(),COLUMN(NOTA[ID]))),-1)))</f>
        <v>DUTA BUANA</v>
      </c>
      <c r="AK123" s="38" t="str">
        <f ca="1">IF(NOTA[[#This Row],[ID_H]]="","",IF(NOTA[[#This Row],[FAKTUR]]="",INDIRECT(ADDRESS(ROW()-1,COLUMN())),NOTA[[#This Row],[FAKTUR]]))</f>
        <v>UNTANA</v>
      </c>
      <c r="AL123" s="35" t="str">
        <f ca="1">IF(NOTA[[#This Row],[ID]]="","",COUNTIF(NOTA[ID_H],NOTA[[#This Row],[ID_H]]))</f>
        <v/>
      </c>
      <c r="AM123" s="35">
        <f ca="1">IF(NOTA[[#This Row],[TGL.NOTA]]="",IF(NOTA[[#This Row],[SUPPLIER_H]]="","",AM122),MONTH(NOTA[[#This Row],[TGL.NOTA]]))</f>
        <v>7</v>
      </c>
      <c r="AN123" s="35" t="str">
        <f>LOWER(SUBSTITUTE(SUBSTITUTE(SUBSTITUTE(SUBSTITUTE(SUBSTITUTE(SUBSTITUTE(SUBSTITUTE(SUBSTITUTE(SUBSTITUTE(NOTA[[#This Row],[NAMA BARANG]]," ",),".",""),"-",""),"(",""),")",""),",",""),"/",""),"""",""),"+",""))</f>
        <v>gel10tg340bibiru</v>
      </c>
      <c r="AO1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gel10tg340bibiru3024000</v>
      </c>
      <c r="AP1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gel10tg340bibiru3024000</v>
      </c>
      <c r="AQ1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3" s="35">
        <f>IF(NOTA[[#This Row],[CONCAT1]]="","",MATCH(NOTA[[#This Row],[CONCAT1]],[3]!db[NB NOTA_C],0))</f>
        <v>1037</v>
      </c>
      <c r="AS123" s="35" t="str">
        <f>IF(NOTA[[#This Row],[Column5]]="","",TRUE)</f>
        <v/>
      </c>
      <c r="AT123" s="35" t="str">
        <f ca="1">IF(NOTA[[#This Row],[ID_H]]="","",IF(NOTA[[#This Row],[Column3]]=TRUE,NOTA[[#This Row],[Column5]],INDEX([3]!db[QTY/ CTN],NOTA[[#This Row],[//DB]])))</f>
        <v>96 LSN</v>
      </c>
      <c r="AU1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gel10tg340bibiru96lsnuntana</v>
      </c>
      <c r="AV123" s="35">
        <f ca="1">IF(NOTA[[#This Row],[ID_H]]="","",MATCH(NOTA[[#This Row],[NB NOTA_C_QTY]],[3]!db[NB NOTA_C_QTY+F],0))</f>
        <v>1037</v>
      </c>
      <c r="AW123" s="43">
        <f ca="1">IF(NOTA[[#This Row],[NB NOTA_C_QTY]]="","",ROW()-2)</f>
        <v>121</v>
      </c>
    </row>
    <row r="124" spans="1:49" ht="20.100000000000001" customHeight="1">
      <c r="A1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5">
        <f ca="1">IF(NOTA[[#This Row],[NAMA BARANG]]="","",INDEX(NOTA[ID],MATCH(,INDIRECT(ADDRESS(ROW(NOTA[ID]),COLUMN(NOTA[ID]))&amp;":"&amp;ADDRESS(ROW(),COLUMN(NOTA[ID]))),-1)))</f>
        <v>34</v>
      </c>
      <c r="C124" s="45"/>
      <c r="F124" s="46"/>
      <c r="G124" s="35"/>
      <c r="H124" s="36"/>
      <c r="I124" s="35"/>
      <c r="J124" s="50" t="s">
        <v>297</v>
      </c>
      <c r="K124" s="37">
        <v>5</v>
      </c>
      <c r="L124" s="35">
        <v>480</v>
      </c>
      <c r="M124" s="35" t="s">
        <v>50</v>
      </c>
      <c r="N124" s="38">
        <v>31500</v>
      </c>
      <c r="O124" s="39"/>
      <c r="P124" s="47"/>
      <c r="Q124" s="48"/>
      <c r="R124" s="41"/>
      <c r="T124" s="42"/>
      <c r="U124" s="44"/>
      <c r="V124" s="42">
        <f>IF(NOTA[[#This Row],[HARGA/ CTN]]="",NOTA[[#This Row],[JUMLAH_H]],NOTA[[#This Row],[HARGA/ CTN]]*IF(NOTA[[#This Row],[C]]="",0,NOTA[[#This Row],[C]]))</f>
        <v>15120000</v>
      </c>
      <c r="W124" s="42">
        <f>IF(NOTA[[#This Row],[JUMLAH]]="","",NOTA[[#This Row],[JUMLAH]]*NOTA[[#This Row],[Column6]])</f>
        <v>0</v>
      </c>
      <c r="X124" s="42">
        <f>IF(NOTA[[#This Row],[JUMLAH]]="","",(NOTA[[#This Row],[JUMLAH]]-NOTA[[#This Row],[DISC 1-]])*NOTA[[#This Row],[Column7]])</f>
        <v>0</v>
      </c>
      <c r="Y124" s="42">
        <f>IF(NOTA[[#This Row],[JUMLAH]]="","",(NOTA[[#This Row],[JUMLAH]]-NOTA[[#This Row],[DISC 1-]]-NOTA[[#This Row],[DISC 2-]])*NOTA[[#This Row],[Column8]])</f>
        <v>0</v>
      </c>
      <c r="Z124" s="42">
        <f>IF(NOTA[[#This Row],[JUMLAH]]="","",NOTA[[#This Row],[DISC 1-]]+NOTA[[#This Row],[DISC 2-]]+NOTA[[#This Row],[DISC 3-]])</f>
        <v>0</v>
      </c>
      <c r="AA124" s="42">
        <f>IF(NOTA[[#This Row],[JUMLAH]]="","",NOTA[[#This Row],[JUMLAH]]-NOTA[[#This Row],[DISC]])</f>
        <v>15120000</v>
      </c>
      <c r="AB124" s="42"/>
      <c r="AC1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4" s="3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24" s="42">
        <f>IF(OR(NOTA[[#This Row],[QTY]]="",NOTA[[#This Row],[HARGA SATUAN]]="",),"",NOTA[[#This Row],[QTY]]*NOTA[[#This Row],[HARGA SATUAN]])</f>
        <v>15120000</v>
      </c>
      <c r="AG124" s="36">
        <f ca="1">IF(NOTA[[#This Row],[ID_H]]="","",INDEX(NOTA[TANGGAL],MATCH(,INDIRECT(ADDRESS(ROW(NOTA[TANGGAL]),COLUMN(NOTA[TANGGAL]))&amp;":"&amp;ADDRESS(ROW(),COLUMN(NOTA[TANGGAL]))),-1)))</f>
        <v>45481</v>
      </c>
      <c r="AH124" s="36">
        <f ca="1">IF(NOTA[[#This Row],[ID_H]]="","",INDEX(NOTA[TGL.NOTA],MATCH(,INDIRECT(ADDRESS(ROW(NOTA[TGL.NOTA]),COLUMN(NOTA[TGL.NOTA]))&amp;":"&amp;ADDRESS(ROW(),COLUMN(NOTA[TGL.NOTA]))),-1)))</f>
        <v>45479</v>
      </c>
      <c r="AI124" s="36" t="str">
        <f ca="1">IF(NOTA[[#This Row],[ID_H]]="","",INDEX(NOTA[NO.NOTA],MATCH(NOTA[[#This Row],[ID_H]],NOTA[ID_H],0)))</f>
        <v>JUG190/24</v>
      </c>
      <c r="AJ124" s="38" t="str">
        <f ca="1">IF(NOTA[[#This Row],[NAMA BARANG]]="","",INDEX(NOTA[SUPPLIER],MATCH(,INDIRECT(ADDRESS(ROW(NOTA[ID]),COLUMN(NOTA[ID]))&amp;":"&amp;ADDRESS(ROW(),COLUMN(NOTA[ID]))),-1)))</f>
        <v>DUTA BUANA</v>
      </c>
      <c r="AK124" s="38" t="str">
        <f ca="1">IF(NOTA[[#This Row],[ID_H]]="","",IF(NOTA[[#This Row],[FAKTUR]]="",INDIRECT(ADDRESS(ROW()-1,COLUMN())),NOTA[[#This Row],[FAKTUR]]))</f>
        <v>UNTANA</v>
      </c>
      <c r="AL124" s="35" t="str">
        <f ca="1">IF(NOTA[[#This Row],[ID]]="","",COUNTIF(NOTA[ID_H],NOTA[[#This Row],[ID_H]]))</f>
        <v/>
      </c>
      <c r="AM124" s="35">
        <f ca="1">IF(NOTA[[#This Row],[TGL.NOTA]]="",IF(NOTA[[#This Row],[SUPPLIER_H]]="","",AM123),MONTH(NOTA[[#This Row],[TGL.NOTA]]))</f>
        <v>7</v>
      </c>
      <c r="AN124" s="35" t="str">
        <f>LOWER(SUBSTITUTE(SUBSTITUTE(SUBSTITUTE(SUBSTITUTE(SUBSTITUTE(SUBSTITUTE(SUBSTITUTE(SUBSTITUTE(SUBSTITUTE(NOTA[[#This Row],[NAMA BARANG]]," ",),".",""),"-",""),"(",""),")",""),",",""),"/",""),"""",""),"+",""))</f>
        <v>gel10tg340bibiru</v>
      </c>
      <c r="AO1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gel10tg340bibiru3024000</v>
      </c>
      <c r="AP1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gel10tg340bibiru3024000</v>
      </c>
      <c r="AQ1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4" s="35">
        <f>IF(NOTA[[#This Row],[CONCAT1]]="","",MATCH(NOTA[[#This Row],[CONCAT1]],[3]!db[NB NOTA_C],0))</f>
        <v>1037</v>
      </c>
      <c r="AS124" s="35" t="str">
        <f>IF(NOTA[[#This Row],[Column5]]="","",TRUE)</f>
        <v/>
      </c>
      <c r="AT124" s="35" t="str">
        <f ca="1">IF(NOTA[[#This Row],[ID_H]]="","",IF(NOTA[[#This Row],[Column3]]=TRUE,NOTA[[#This Row],[Column5]],INDEX([3]!db[QTY/ CTN],NOTA[[#This Row],[//DB]])))</f>
        <v>96 LSN</v>
      </c>
      <c r="AU1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gel10tg340bibiru96lsnuntana</v>
      </c>
      <c r="AV124" s="35">
        <f ca="1">IF(NOTA[[#This Row],[ID_H]]="","",MATCH(NOTA[[#This Row],[NB NOTA_C_QTY]],[3]!db[NB NOTA_C_QTY+F],0))</f>
        <v>1037</v>
      </c>
      <c r="AW124" s="43">
        <f ca="1">IF(NOTA[[#This Row],[NB NOTA_C_QTY]]="","",ROW()-2)</f>
        <v>122</v>
      </c>
    </row>
    <row r="125" spans="1:49" ht="20.100000000000001" customHeight="1">
      <c r="A1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5">
        <f ca="1">IF(NOTA[[#This Row],[NAMA BARANG]]="","",INDEX(NOTA[ID],MATCH(,INDIRECT(ADDRESS(ROW(NOTA[ID]),COLUMN(NOTA[ID]))&amp;":"&amp;ADDRESS(ROW(),COLUMN(NOTA[ID]))),-1)))</f>
        <v>34</v>
      </c>
      <c r="C125" s="45"/>
      <c r="F125" s="46"/>
      <c r="G125" s="35"/>
      <c r="H125" s="36"/>
      <c r="I125" s="35"/>
      <c r="J125" s="50" t="s">
        <v>298</v>
      </c>
      <c r="K125" s="37">
        <v>1</v>
      </c>
      <c r="L125" s="35">
        <v>120</v>
      </c>
      <c r="M125" s="35" t="s">
        <v>50</v>
      </c>
      <c r="N125" s="38">
        <v>25500</v>
      </c>
      <c r="O125" s="39"/>
      <c r="P125" s="47" t="s">
        <v>120</v>
      </c>
      <c r="Q125" s="48"/>
      <c r="R125" s="41"/>
      <c r="T125" s="42"/>
      <c r="U125" s="44"/>
      <c r="V125" s="42">
        <f>IF(NOTA[[#This Row],[HARGA/ CTN]]="",NOTA[[#This Row],[JUMLAH_H]],NOTA[[#This Row],[HARGA/ CTN]]*IF(NOTA[[#This Row],[C]]="",0,NOTA[[#This Row],[C]]))</f>
        <v>3060000</v>
      </c>
      <c r="W125" s="42">
        <f>IF(NOTA[[#This Row],[JUMLAH]]="","",NOTA[[#This Row],[JUMLAH]]*NOTA[[#This Row],[Column6]])</f>
        <v>0</v>
      </c>
      <c r="X125" s="42">
        <f>IF(NOTA[[#This Row],[JUMLAH]]="","",(NOTA[[#This Row],[JUMLAH]]-NOTA[[#This Row],[DISC 1-]])*NOTA[[#This Row],[Column7]])</f>
        <v>0</v>
      </c>
      <c r="Y125" s="42">
        <f>IF(NOTA[[#This Row],[JUMLAH]]="","",(NOTA[[#This Row],[JUMLAH]]-NOTA[[#This Row],[DISC 1-]]-NOTA[[#This Row],[DISC 2-]])*NOTA[[#This Row],[Column8]])</f>
        <v>0</v>
      </c>
      <c r="Z125" s="42">
        <f>IF(NOTA[[#This Row],[JUMLAH]]="","",NOTA[[#This Row],[DISC 1-]]+NOTA[[#This Row],[DISC 2-]]+NOTA[[#This Row],[DISC 3-]])</f>
        <v>0</v>
      </c>
      <c r="AA125" s="42">
        <f>IF(NOTA[[#This Row],[JUMLAH]]="","",NOTA[[#This Row],[JUMLAH]]-NOTA[[#This Row],[DISC]])</f>
        <v>3060000</v>
      </c>
      <c r="AB125" s="42"/>
      <c r="AC1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5" s="3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125" s="42">
        <f>IF(OR(NOTA[[#This Row],[QTY]]="",NOTA[[#This Row],[HARGA SATUAN]]="",),"",NOTA[[#This Row],[QTY]]*NOTA[[#This Row],[HARGA SATUAN]])</f>
        <v>3060000</v>
      </c>
      <c r="AG125" s="36">
        <f ca="1">IF(NOTA[[#This Row],[ID_H]]="","",INDEX(NOTA[TANGGAL],MATCH(,INDIRECT(ADDRESS(ROW(NOTA[TANGGAL]),COLUMN(NOTA[TANGGAL]))&amp;":"&amp;ADDRESS(ROW(),COLUMN(NOTA[TANGGAL]))),-1)))</f>
        <v>45481</v>
      </c>
      <c r="AH125" s="36">
        <f ca="1">IF(NOTA[[#This Row],[ID_H]]="","",INDEX(NOTA[TGL.NOTA],MATCH(,INDIRECT(ADDRESS(ROW(NOTA[TGL.NOTA]),COLUMN(NOTA[TGL.NOTA]))&amp;":"&amp;ADDRESS(ROW(),COLUMN(NOTA[TGL.NOTA]))),-1)))</f>
        <v>45479</v>
      </c>
      <c r="AI125" s="36" t="str">
        <f ca="1">IF(NOTA[[#This Row],[ID_H]]="","",INDEX(NOTA[NO.NOTA],MATCH(NOTA[[#This Row],[ID_H]],NOTA[ID_H],0)))</f>
        <v>JUG190/24</v>
      </c>
      <c r="AJ125" s="38" t="str">
        <f ca="1">IF(NOTA[[#This Row],[NAMA BARANG]]="","",INDEX(NOTA[SUPPLIER],MATCH(,INDIRECT(ADDRESS(ROW(NOTA[ID]),COLUMN(NOTA[ID]))&amp;":"&amp;ADDRESS(ROW(),COLUMN(NOTA[ID]))),-1)))</f>
        <v>DUTA BUANA</v>
      </c>
      <c r="AK125" s="38" t="str">
        <f ca="1">IF(NOTA[[#This Row],[ID_H]]="","",IF(NOTA[[#This Row],[FAKTUR]]="",INDIRECT(ADDRESS(ROW()-1,COLUMN())),NOTA[[#This Row],[FAKTUR]]))</f>
        <v>UNTANA</v>
      </c>
      <c r="AL125" s="35" t="str">
        <f ca="1">IF(NOTA[[#This Row],[ID]]="","",COUNTIF(NOTA[ID_H],NOTA[[#This Row],[ID_H]]))</f>
        <v/>
      </c>
      <c r="AM125" s="35">
        <f ca="1">IF(NOTA[[#This Row],[TGL.NOTA]]="",IF(NOTA[[#This Row],[SUPPLIER_H]]="","",AM124),MONTH(NOTA[[#This Row],[TGL.NOTA]]))</f>
        <v>7</v>
      </c>
      <c r="AN125" s="35" t="str">
        <f>LOWER(SUBSTITUTE(SUBSTITUTE(SUBSTITUTE(SUBSTITUTE(SUBSTITUTE(SUBSTITUTE(SUBSTITUTE(SUBSTITUTE(SUBSTITUTE(NOTA[[#This Row],[NAMA BARANG]]," ",),".",""),"-",""),"(",""),")",""),",",""),"/",""),"""",""),"+",""))</f>
        <v>geldebozz07dbg07</v>
      </c>
      <c r="AO1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geldebozz07dbg073060000</v>
      </c>
      <c r="AP1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geldebozz07dbg073060000</v>
      </c>
      <c r="AQ1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5" s="35">
        <f>IF(NOTA[[#This Row],[CONCAT1]]="","",MATCH(NOTA[[#This Row],[CONCAT1]],[3]!db[NB NOTA_C],0))</f>
        <v>1049</v>
      </c>
      <c r="AS125" s="35" t="b">
        <f>IF(NOTA[[#This Row],[Column5]]="","",TRUE)</f>
        <v>1</v>
      </c>
      <c r="AT125" s="35" t="str">
        <f ca="1">IF(NOTA[[#This Row],[ID_H]]="","",IF(NOTA[[#This Row],[Column3]]=TRUE,NOTA[[#This Row],[Column5]],INDEX([3]!db[QTY/ CTN],NOTA[[#This Row],[//DB]])))</f>
        <v>120 LSN</v>
      </c>
      <c r="AU1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V125" s="35">
        <f ca="1">IF(NOTA[[#This Row],[ID_H]]="","",MATCH(NOTA[[#This Row],[NB NOTA_C_QTY]],[3]!db[NB NOTA_C_QTY+F],0))</f>
        <v>3463</v>
      </c>
      <c r="AW125" s="43">
        <f ca="1">IF(NOTA[[#This Row],[NB NOTA_C_QTY]]="","",ROW()-2)</f>
        <v>123</v>
      </c>
    </row>
    <row r="126" spans="1:49" ht="20.100000000000001" customHeight="1">
      <c r="A1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5">
        <f ca="1">IF(NOTA[[#This Row],[NAMA BARANG]]="","",INDEX(NOTA[ID],MATCH(,INDIRECT(ADDRESS(ROW(NOTA[ID]),COLUMN(NOTA[ID]))&amp;":"&amp;ADDRESS(ROW(),COLUMN(NOTA[ID]))),-1)))</f>
        <v>34</v>
      </c>
      <c r="C126" s="45"/>
      <c r="F126" s="46"/>
      <c r="G126" s="35"/>
      <c r="H126" s="36"/>
      <c r="I126" s="35"/>
      <c r="J126" s="50" t="s">
        <v>299</v>
      </c>
      <c r="K126" s="37">
        <v>1</v>
      </c>
      <c r="L126" s="35">
        <v>120</v>
      </c>
      <c r="M126" s="35" t="s">
        <v>50</v>
      </c>
      <c r="N126" s="38">
        <v>27000</v>
      </c>
      <c r="O126" s="39"/>
      <c r="P126" s="47"/>
      <c r="Q126" s="48"/>
      <c r="R126" s="41"/>
      <c r="T126" s="42"/>
      <c r="U126" s="44"/>
      <c r="V126" s="42">
        <f>IF(NOTA[[#This Row],[HARGA/ CTN]]="",NOTA[[#This Row],[JUMLAH_H]],NOTA[[#This Row],[HARGA/ CTN]]*IF(NOTA[[#This Row],[C]]="",0,NOTA[[#This Row],[C]]))</f>
        <v>3240000</v>
      </c>
      <c r="W126" s="42">
        <f>IF(NOTA[[#This Row],[JUMLAH]]="","",NOTA[[#This Row],[JUMLAH]]*NOTA[[#This Row],[Column6]])</f>
        <v>0</v>
      </c>
      <c r="X126" s="42">
        <f>IF(NOTA[[#This Row],[JUMLAH]]="","",(NOTA[[#This Row],[JUMLAH]]-NOTA[[#This Row],[DISC 1-]])*NOTA[[#This Row],[Column7]])</f>
        <v>0</v>
      </c>
      <c r="Y126" s="42">
        <f>IF(NOTA[[#This Row],[JUMLAH]]="","",(NOTA[[#This Row],[JUMLAH]]-NOTA[[#This Row],[DISC 1-]]-NOTA[[#This Row],[DISC 2-]])*NOTA[[#This Row],[Column8]])</f>
        <v>0</v>
      </c>
      <c r="Z126" s="42">
        <f>IF(NOTA[[#This Row],[JUMLAH]]="","",NOTA[[#This Row],[DISC 1-]]+NOTA[[#This Row],[DISC 2-]]+NOTA[[#This Row],[DISC 3-]])</f>
        <v>0</v>
      </c>
      <c r="AA126" s="42">
        <f>IF(NOTA[[#This Row],[JUMLAH]]="","",NOTA[[#This Row],[JUMLAH]]-NOTA[[#This Row],[DISC]])</f>
        <v>3240000</v>
      </c>
      <c r="AB126" s="42"/>
      <c r="AC1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6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26" s="42">
        <f>IF(OR(NOTA[[#This Row],[QTY]]="",NOTA[[#This Row],[HARGA SATUAN]]="",),"",NOTA[[#This Row],[QTY]]*NOTA[[#This Row],[HARGA SATUAN]])</f>
        <v>3240000</v>
      </c>
      <c r="AG126" s="36">
        <f ca="1">IF(NOTA[[#This Row],[ID_H]]="","",INDEX(NOTA[TANGGAL],MATCH(,INDIRECT(ADDRESS(ROW(NOTA[TANGGAL]),COLUMN(NOTA[TANGGAL]))&amp;":"&amp;ADDRESS(ROW(),COLUMN(NOTA[TANGGAL]))),-1)))</f>
        <v>45481</v>
      </c>
      <c r="AH126" s="36">
        <f ca="1">IF(NOTA[[#This Row],[ID_H]]="","",INDEX(NOTA[TGL.NOTA],MATCH(,INDIRECT(ADDRESS(ROW(NOTA[TGL.NOTA]),COLUMN(NOTA[TGL.NOTA]))&amp;":"&amp;ADDRESS(ROW(),COLUMN(NOTA[TGL.NOTA]))),-1)))</f>
        <v>45479</v>
      </c>
      <c r="AI126" s="36" t="str">
        <f ca="1">IF(NOTA[[#This Row],[ID_H]]="","",INDEX(NOTA[NO.NOTA],MATCH(NOTA[[#This Row],[ID_H]],NOTA[ID_H],0)))</f>
        <v>JUG190/24</v>
      </c>
      <c r="AJ126" s="38" t="str">
        <f ca="1">IF(NOTA[[#This Row],[NAMA BARANG]]="","",INDEX(NOTA[SUPPLIER],MATCH(,INDIRECT(ADDRESS(ROW(NOTA[ID]),COLUMN(NOTA[ID]))&amp;":"&amp;ADDRESS(ROW(),COLUMN(NOTA[ID]))),-1)))</f>
        <v>DUTA BUANA</v>
      </c>
      <c r="AK126" s="38" t="str">
        <f ca="1">IF(NOTA[[#This Row],[ID_H]]="","",IF(NOTA[[#This Row],[FAKTUR]]="",INDIRECT(ADDRESS(ROW()-1,COLUMN())),NOTA[[#This Row],[FAKTUR]]))</f>
        <v>UNTANA</v>
      </c>
      <c r="AL126" s="35" t="str">
        <f ca="1">IF(NOTA[[#This Row],[ID]]="","",COUNTIF(NOTA[ID_H],NOTA[[#This Row],[ID_H]]))</f>
        <v/>
      </c>
      <c r="AM126" s="35">
        <f ca="1">IF(NOTA[[#This Row],[TGL.NOTA]]="",IF(NOTA[[#This Row],[SUPPLIER_H]]="","",AM125),MONTH(NOTA[[#This Row],[TGL.NOTA]]))</f>
        <v>7</v>
      </c>
      <c r="AN126" s="35" t="str">
        <f>LOWER(SUBSTITUTE(SUBSTITUTE(SUBSTITUTE(SUBSTITUTE(SUBSTITUTE(SUBSTITUTE(SUBSTITUTE(SUBSTITUTE(SUBSTITUTE(NOTA[[#This Row],[NAMA BARANG]]," ",),".",""),"-",""),"(",""),")",""),",",""),"/",""),"""",""),"+",""))</f>
        <v>geldebozz05dbg05</v>
      </c>
      <c r="AO1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geldebozz05dbg053240000</v>
      </c>
      <c r="AP1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geldebozz05dbg053240000</v>
      </c>
      <c r="AQ1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6" s="35">
        <f>IF(NOTA[[#This Row],[CONCAT1]]="","",MATCH(NOTA[[#This Row],[CONCAT1]],[3]!db[NB NOTA_C],0))</f>
        <v>1044</v>
      </c>
      <c r="AS126" s="35" t="str">
        <f>IF(NOTA[[#This Row],[Column5]]="","",TRUE)</f>
        <v/>
      </c>
      <c r="AT126" s="35" t="str">
        <f ca="1">IF(NOTA[[#This Row],[ID_H]]="","",IF(NOTA[[#This Row],[Column3]]=TRUE,NOTA[[#This Row],[Column5]],INDEX([3]!db[QTY/ CTN],NOTA[[#This Row],[//DB]])))</f>
        <v>120 LSN</v>
      </c>
      <c r="AU1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V126" s="35">
        <f ca="1">IF(NOTA[[#This Row],[ID_H]]="","",MATCH(NOTA[[#This Row],[NB NOTA_C_QTY]],[3]!db[NB NOTA_C_QTY+F],0))</f>
        <v>1044</v>
      </c>
      <c r="AW126" s="43">
        <f ca="1">IF(NOTA[[#This Row],[NB NOTA_C_QTY]]="","",ROW()-2)</f>
        <v>124</v>
      </c>
    </row>
    <row r="127" spans="1:49" ht="20.100000000000001" customHeight="1">
      <c r="A1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5">
        <f ca="1">IF(NOTA[[#This Row],[NAMA BARANG]]="","",INDEX(NOTA[ID],MATCH(,INDIRECT(ADDRESS(ROW(NOTA[ID]),COLUMN(NOTA[ID]))&amp;":"&amp;ADDRESS(ROW(),COLUMN(NOTA[ID]))),-1)))</f>
        <v>34</v>
      </c>
      <c r="C127" s="45"/>
      <c r="F127" s="46"/>
      <c r="G127" s="35"/>
      <c r="H127" s="36"/>
      <c r="I127" s="35"/>
      <c r="J127" s="50" t="s">
        <v>300</v>
      </c>
      <c r="K127" s="37">
        <v>1</v>
      </c>
      <c r="L127" s="35">
        <v>144</v>
      </c>
      <c r="M127" s="35" t="s">
        <v>50</v>
      </c>
      <c r="N127" s="38">
        <v>22500</v>
      </c>
      <c r="O127" s="39"/>
      <c r="P127" s="47"/>
      <c r="Q127" s="48"/>
      <c r="R127" s="41"/>
      <c r="T127" s="42"/>
      <c r="U127" s="44"/>
      <c r="V127" s="42">
        <f>IF(NOTA[[#This Row],[HARGA/ CTN]]="",NOTA[[#This Row],[JUMLAH_H]],NOTA[[#This Row],[HARGA/ CTN]]*IF(NOTA[[#This Row],[C]]="",0,NOTA[[#This Row],[C]]))</f>
        <v>3240000</v>
      </c>
      <c r="W127" s="42">
        <f>IF(NOTA[[#This Row],[JUMLAH]]="","",NOTA[[#This Row],[JUMLAH]]*NOTA[[#This Row],[Column6]])</f>
        <v>0</v>
      </c>
      <c r="X127" s="42">
        <f>IF(NOTA[[#This Row],[JUMLAH]]="","",(NOTA[[#This Row],[JUMLAH]]-NOTA[[#This Row],[DISC 1-]])*NOTA[[#This Row],[Column7]])</f>
        <v>0</v>
      </c>
      <c r="Y127" s="42">
        <f>IF(NOTA[[#This Row],[JUMLAH]]="","",(NOTA[[#This Row],[JUMLAH]]-NOTA[[#This Row],[DISC 1-]]-NOTA[[#This Row],[DISC 2-]])*NOTA[[#This Row],[Column8]])</f>
        <v>0</v>
      </c>
      <c r="Z127" s="42">
        <f>IF(NOTA[[#This Row],[JUMLAH]]="","",NOTA[[#This Row],[DISC 1-]]+NOTA[[#This Row],[DISC 2-]]+NOTA[[#This Row],[DISC 3-]])</f>
        <v>0</v>
      </c>
      <c r="AA127" s="42">
        <f>IF(NOTA[[#This Row],[JUMLAH]]="","",NOTA[[#This Row],[JUMLAH]]-NOTA[[#This Row],[DISC]])</f>
        <v>3240000</v>
      </c>
      <c r="AB127" s="42"/>
      <c r="AC12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2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74160000</v>
      </c>
      <c r="AE127" s="3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27" s="42">
        <f>IF(OR(NOTA[[#This Row],[QTY]]="",NOTA[[#This Row],[HARGA SATUAN]]="",),"",NOTA[[#This Row],[QTY]]*NOTA[[#This Row],[HARGA SATUAN]])</f>
        <v>3240000</v>
      </c>
      <c r="AG127" s="36">
        <f ca="1">IF(NOTA[[#This Row],[ID_H]]="","",INDEX(NOTA[TANGGAL],MATCH(,INDIRECT(ADDRESS(ROW(NOTA[TANGGAL]),COLUMN(NOTA[TANGGAL]))&amp;":"&amp;ADDRESS(ROW(),COLUMN(NOTA[TANGGAL]))),-1)))</f>
        <v>45481</v>
      </c>
      <c r="AH127" s="36">
        <f ca="1">IF(NOTA[[#This Row],[ID_H]]="","",INDEX(NOTA[TGL.NOTA],MATCH(,INDIRECT(ADDRESS(ROW(NOTA[TGL.NOTA]),COLUMN(NOTA[TGL.NOTA]))&amp;":"&amp;ADDRESS(ROW(),COLUMN(NOTA[TGL.NOTA]))),-1)))</f>
        <v>45479</v>
      </c>
      <c r="AI127" s="36" t="str">
        <f ca="1">IF(NOTA[[#This Row],[ID_H]]="","",INDEX(NOTA[NO.NOTA],MATCH(NOTA[[#This Row],[ID_H]],NOTA[ID_H],0)))</f>
        <v>JUG190/24</v>
      </c>
      <c r="AJ127" s="38" t="str">
        <f ca="1">IF(NOTA[[#This Row],[NAMA BARANG]]="","",INDEX(NOTA[SUPPLIER],MATCH(,INDIRECT(ADDRESS(ROW(NOTA[ID]),COLUMN(NOTA[ID]))&amp;":"&amp;ADDRESS(ROW(),COLUMN(NOTA[ID]))),-1)))</f>
        <v>DUTA BUANA</v>
      </c>
      <c r="AK127" s="38" t="str">
        <f ca="1">IF(NOTA[[#This Row],[ID_H]]="","",IF(NOTA[[#This Row],[FAKTUR]]="",INDIRECT(ADDRESS(ROW()-1,COLUMN())),NOTA[[#This Row],[FAKTUR]]))</f>
        <v>UNTANA</v>
      </c>
      <c r="AL127" s="35" t="str">
        <f ca="1">IF(NOTA[[#This Row],[ID]]="","",COUNTIF(NOTA[ID_H],NOTA[[#This Row],[ID_H]]))</f>
        <v/>
      </c>
      <c r="AM127" s="35">
        <f ca="1">IF(NOTA[[#This Row],[TGL.NOTA]]="",IF(NOTA[[#This Row],[SUPPLIER_H]]="","",AM126),MONTH(NOTA[[#This Row],[TGL.NOTA]]))</f>
        <v>7</v>
      </c>
      <c r="AN127" s="35" t="str">
        <f>LOWER(SUBSTITUTE(SUBSTITUTE(SUBSTITUTE(SUBSTITUTE(SUBSTITUTE(SUBSTITUTE(SUBSTITUTE(SUBSTITUTE(SUBSTITUTE(NOTA[[#This Row],[NAMA BARANG]]," ",),".",""),"-",""),"(",""),")",""),",",""),"/",""),"""",""),"+",""))</f>
        <v>geldebozzklik09dbg09</v>
      </c>
      <c r="AO1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geldebozzklik09dbg093240000</v>
      </c>
      <c r="AP1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geldebozzklik09dbg093240000</v>
      </c>
      <c r="AQ1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7" s="35">
        <f>IF(NOTA[[#This Row],[CONCAT1]]="","",MATCH(NOTA[[#This Row],[CONCAT1]],[3]!db[NB NOTA_C],0))</f>
        <v>1055</v>
      </c>
      <c r="AS127" s="35" t="str">
        <f>IF(NOTA[[#This Row],[Column5]]="","",TRUE)</f>
        <v/>
      </c>
      <c r="AT127" s="35" t="str">
        <f ca="1">IF(NOTA[[#This Row],[ID_H]]="","",IF(NOTA[[#This Row],[Column3]]=TRUE,NOTA[[#This Row],[Column5]],INDEX([3]!db[QTY/ CTN],NOTA[[#This Row],[//DB]])))</f>
        <v>144 LSN</v>
      </c>
      <c r="AU1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V127" s="35">
        <f ca="1">IF(NOTA[[#This Row],[ID_H]]="","",MATCH(NOTA[[#This Row],[NB NOTA_C_QTY]],[3]!db[NB NOTA_C_QTY+F],0))</f>
        <v>1055</v>
      </c>
      <c r="AW127" s="43">
        <f ca="1">IF(NOTA[[#This Row],[NB NOTA_C_QTY]]="","",ROW()-2)</f>
        <v>125</v>
      </c>
    </row>
    <row r="128" spans="1:49" ht="20.100000000000001" customHeight="1">
      <c r="A1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5" t="str">
        <f ca="1">IF(NOTA[[#This Row],[NAMA BARANG]]="","",INDEX(NOTA[ID],MATCH(,INDIRECT(ADDRESS(ROW(NOTA[ID]),COLUMN(NOTA[ID]))&amp;":"&amp;ADDRESS(ROW(),COLUMN(NOTA[ID]))),-1)))</f>
        <v/>
      </c>
      <c r="C128" s="45"/>
      <c r="F128" s="46"/>
      <c r="G128" s="35"/>
      <c r="H128" s="36"/>
      <c r="I128" s="35"/>
      <c r="K128" s="37"/>
      <c r="L128" s="35"/>
      <c r="N128" s="38"/>
      <c r="O128" s="39"/>
      <c r="P128" s="47"/>
      <c r="Q128" s="48"/>
      <c r="R128" s="41"/>
      <c r="T128" s="42"/>
      <c r="U128" s="44"/>
      <c r="V128" s="42" t="str">
        <f>IF(NOTA[[#This Row],[HARGA/ CTN]]="",NOTA[[#This Row],[JUMLAH_H]],NOTA[[#This Row],[HARGA/ CTN]]*IF(NOTA[[#This Row],[C]]="",0,NOTA[[#This Row],[C]]))</f>
        <v/>
      </c>
      <c r="W128" s="42" t="str">
        <f>IF(NOTA[[#This Row],[JUMLAH]]="","",NOTA[[#This Row],[JUMLAH]]*NOTA[[#This Row],[Column6]])</f>
        <v/>
      </c>
      <c r="X128" s="42" t="str">
        <f>IF(NOTA[[#This Row],[JUMLAH]]="","",(NOTA[[#This Row],[JUMLAH]]-NOTA[[#This Row],[DISC 1-]])*NOTA[[#This Row],[Column7]])</f>
        <v/>
      </c>
      <c r="Y128" s="42" t="str">
        <f>IF(NOTA[[#This Row],[JUMLAH]]="","",(NOTA[[#This Row],[JUMLAH]]-NOTA[[#This Row],[DISC 1-]]-NOTA[[#This Row],[DISC 2-]])*NOTA[[#This Row],[Column8]])</f>
        <v/>
      </c>
      <c r="Z128" s="42" t="str">
        <f>IF(NOTA[[#This Row],[JUMLAH]]="","",NOTA[[#This Row],[DISC 1-]]+NOTA[[#This Row],[DISC 2-]]+NOTA[[#This Row],[DISC 3-]])</f>
        <v/>
      </c>
      <c r="AA128" s="42" t="str">
        <f>IF(NOTA[[#This Row],[JUMLAH]]="","",NOTA[[#This Row],[JUMLAH]]-NOTA[[#This Row],[DISC]])</f>
        <v/>
      </c>
      <c r="AB128" s="42"/>
      <c r="AC1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42" t="str">
        <f>IF(OR(NOTA[[#This Row],[QTY]]="",NOTA[[#This Row],[HARGA SATUAN]]="",),"",NOTA[[#This Row],[QTY]]*NOTA[[#This Row],[HARGA SATUAN]])</f>
        <v/>
      </c>
      <c r="AG128" s="36" t="str">
        <f ca="1">IF(NOTA[[#This Row],[ID_H]]="","",INDEX(NOTA[TANGGAL],MATCH(,INDIRECT(ADDRESS(ROW(NOTA[TANGGAL]),COLUMN(NOTA[TANGGAL]))&amp;":"&amp;ADDRESS(ROW(),COLUMN(NOTA[TANGGAL]))),-1)))</f>
        <v/>
      </c>
      <c r="AH128" s="36" t="str">
        <f ca="1">IF(NOTA[[#This Row],[ID_H]]="","",INDEX(NOTA[TGL.NOTA],MATCH(,INDIRECT(ADDRESS(ROW(NOTA[TGL.NOTA]),COLUMN(NOTA[TGL.NOTA]))&amp;":"&amp;ADDRESS(ROW(),COLUMN(NOTA[TGL.NOTA]))),-1)))</f>
        <v/>
      </c>
      <c r="AI128" s="36" t="str">
        <f ca="1">IF(NOTA[[#This Row],[ID_H]]="","",INDEX(NOTA[NO.NOTA],MATCH(NOTA[[#This Row],[ID_H]],NOTA[ID_H],0)))</f>
        <v/>
      </c>
      <c r="AJ128" s="38" t="str">
        <f ca="1">IF(NOTA[[#This Row],[NAMA BARANG]]="","",INDEX(NOTA[SUPPLIER],MATCH(,INDIRECT(ADDRESS(ROW(NOTA[ID]),COLUMN(NOTA[ID]))&amp;":"&amp;ADDRESS(ROW(),COLUMN(NOTA[ID]))),-1)))</f>
        <v/>
      </c>
      <c r="AK128" s="38" t="str">
        <f ca="1">IF(NOTA[[#This Row],[ID_H]]="","",IF(NOTA[[#This Row],[FAKTUR]]="",INDIRECT(ADDRESS(ROW()-1,COLUMN())),NOTA[[#This Row],[FAKTUR]]))</f>
        <v/>
      </c>
      <c r="AL128" s="35" t="str">
        <f ca="1">IF(NOTA[[#This Row],[ID]]="","",COUNTIF(NOTA[ID_H],NOTA[[#This Row],[ID_H]]))</f>
        <v/>
      </c>
      <c r="AM128" s="35" t="str">
        <f ca="1">IF(NOTA[[#This Row],[TGL.NOTA]]="",IF(NOTA[[#This Row],[SUPPLIER_H]]="","",AM127),MONTH(NOTA[[#This Row],[TGL.NOTA]]))</f>
        <v/>
      </c>
      <c r="AN1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8" s="35" t="str">
        <f>IF(NOTA[[#This Row],[CONCAT1]]="","",MATCH(NOTA[[#This Row],[CONCAT1]],[3]!db[NB NOTA_C],0))</f>
        <v/>
      </c>
      <c r="AS128" s="35" t="str">
        <f>IF(NOTA[[#This Row],[Column5]]="","",TRUE)</f>
        <v/>
      </c>
      <c r="AT128" s="35" t="str">
        <f ca="1">IF(NOTA[[#This Row],[ID_H]]="","",IF(NOTA[[#This Row],[Column3]]=TRUE,NOTA[[#This Row],[Column5]],INDEX([3]!db[QTY/ CTN],NOTA[[#This Row],[//DB]])))</f>
        <v/>
      </c>
      <c r="AU1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28" s="35" t="str">
        <f ca="1">IF(NOTA[[#This Row],[ID_H]]="","",MATCH(NOTA[[#This Row],[NB NOTA_C_QTY]],[3]!db[NB NOTA_C_QTY+F],0))</f>
        <v/>
      </c>
      <c r="AW128" s="43" t="str">
        <f ca="1">IF(NOTA[[#This Row],[NB NOTA_C_QTY]]="","",ROW()-2)</f>
        <v/>
      </c>
    </row>
    <row r="129" spans="1:49" ht="20.100000000000001" customHeight="1">
      <c r="A129" s="38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5">
        <f ca="1">IF(NOTA[[#This Row],[NAMA BARANG]]="","",INDEX(NOTA[ID],MATCH(,INDIRECT(ADDRESS(ROW(NOTA[ID]),COLUMN(NOTA[ID]))&amp;":"&amp;ADDRESS(ROW(),COLUMN(NOTA[ID]))),-1)))</f>
        <v>35</v>
      </c>
      <c r="C129" s="45">
        <v>45479</v>
      </c>
      <c r="D129" s="35" t="s">
        <v>301</v>
      </c>
      <c r="E129" s="35" t="s">
        <v>49</v>
      </c>
      <c r="F129" s="46" t="s">
        <v>302</v>
      </c>
      <c r="G129" s="35"/>
      <c r="H129" s="36">
        <v>45474</v>
      </c>
      <c r="I129" s="35"/>
      <c r="J129" s="35" t="s">
        <v>330</v>
      </c>
      <c r="K129" s="37">
        <v>13</v>
      </c>
      <c r="L129" s="35">
        <v>3120</v>
      </c>
      <c r="M129" s="35" t="s">
        <v>51</v>
      </c>
      <c r="N129" s="38">
        <v>7500</v>
      </c>
      <c r="O129" s="39"/>
      <c r="P129" s="47" t="s">
        <v>303</v>
      </c>
      <c r="Q129" s="48"/>
      <c r="R129" s="41"/>
      <c r="T129" s="42"/>
      <c r="U129" s="44"/>
      <c r="V129" s="42">
        <f>IF(NOTA[[#This Row],[HARGA/ CTN]]="",NOTA[[#This Row],[JUMLAH_H]],NOTA[[#This Row],[HARGA/ CTN]]*IF(NOTA[[#This Row],[C]]="",0,NOTA[[#This Row],[C]]))</f>
        <v>23400000</v>
      </c>
      <c r="W129" s="42">
        <f>IF(NOTA[[#This Row],[JUMLAH]]="","",NOTA[[#This Row],[JUMLAH]]*NOTA[[#This Row],[Column6]])</f>
        <v>0</v>
      </c>
      <c r="X129" s="42">
        <f>IF(NOTA[[#This Row],[JUMLAH]]="","",(NOTA[[#This Row],[JUMLAH]]-NOTA[[#This Row],[DISC 1-]])*NOTA[[#This Row],[Column7]])</f>
        <v>0</v>
      </c>
      <c r="Y129" s="42">
        <f>IF(NOTA[[#This Row],[JUMLAH]]="","",(NOTA[[#This Row],[JUMLAH]]-NOTA[[#This Row],[DISC 1-]]-NOTA[[#This Row],[DISC 2-]])*NOTA[[#This Row],[Column8]])</f>
        <v>0</v>
      </c>
      <c r="Z129" s="42">
        <f>IF(NOTA[[#This Row],[JUMLAH]]="","",NOTA[[#This Row],[DISC 1-]]+NOTA[[#This Row],[DISC 2-]]+NOTA[[#This Row],[DISC 3-]])</f>
        <v>0</v>
      </c>
      <c r="AA129" s="42">
        <f>IF(NOTA[[#This Row],[JUMLAH]]="","",NOTA[[#This Row],[JUMLAH]]-NOTA[[#This Row],[DISC]])</f>
        <v>23400000</v>
      </c>
      <c r="AB129" s="42"/>
      <c r="AC1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29" s="3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129" s="42">
        <f>IF(OR(NOTA[[#This Row],[QTY]]="",NOTA[[#This Row],[HARGA SATUAN]]="",),"",NOTA[[#This Row],[QTY]]*NOTA[[#This Row],[HARGA SATUAN]])</f>
        <v>23400000</v>
      </c>
      <c r="AG129" s="36">
        <f ca="1">IF(NOTA[[#This Row],[ID_H]]="","",INDEX(NOTA[TANGGAL],MATCH(,INDIRECT(ADDRESS(ROW(NOTA[TANGGAL]),COLUMN(NOTA[TANGGAL]))&amp;":"&amp;ADDRESS(ROW(),COLUMN(NOTA[TANGGAL]))),-1)))</f>
        <v>45479</v>
      </c>
      <c r="AH129" s="36">
        <f ca="1">IF(NOTA[[#This Row],[ID_H]]="","",INDEX(NOTA[TGL.NOTA],MATCH(,INDIRECT(ADDRESS(ROW(NOTA[TGL.NOTA]),COLUMN(NOTA[TGL.NOTA]))&amp;":"&amp;ADDRESS(ROW(),COLUMN(NOTA[TGL.NOTA]))),-1)))</f>
        <v>45474</v>
      </c>
      <c r="AI129" s="36" t="str">
        <f ca="1">IF(NOTA[[#This Row],[ID_H]]="","",INDEX(NOTA[NO.NOTA],MATCH(NOTA[[#This Row],[ID_H]],NOTA[ID_H],0)))</f>
        <v>81127</v>
      </c>
      <c r="AJ129" s="38" t="str">
        <f ca="1">IF(NOTA[[#This Row],[NAMA BARANG]]="","",INDEX(NOTA[SUPPLIER],MATCH(,INDIRECT(ADDRESS(ROW(NOTA[ID]),COLUMN(NOTA[ID]))&amp;":"&amp;ADDRESS(ROW(),COLUMN(NOTA[ID]))),-1)))</f>
        <v>SINAR KOTA</v>
      </c>
      <c r="AK129" s="38" t="str">
        <f ca="1">IF(NOTA[[#This Row],[ID_H]]="","",IF(NOTA[[#This Row],[FAKTUR]]="",INDIRECT(ADDRESS(ROW()-1,COLUMN())),NOTA[[#This Row],[FAKTUR]]))</f>
        <v>UNTANA</v>
      </c>
      <c r="AL129" s="35">
        <f ca="1">IF(NOTA[[#This Row],[ID]]="","",COUNTIF(NOTA[ID_H],NOTA[[#This Row],[ID_H]]))</f>
        <v>9</v>
      </c>
      <c r="AM129" s="35">
        <f>IF(NOTA[[#This Row],[TGL.NOTA]]="",IF(NOTA[[#This Row],[SUPPLIER_H]]="","",AM128),MONTH(NOTA[[#This Row],[TGL.NOTA]]))</f>
        <v>7</v>
      </c>
      <c r="AN129" s="35" t="str">
        <f>LOWER(SUBSTITUTE(SUBSTITUTE(SUBSTITUTE(SUBSTITUTE(SUBSTITUTE(SUBSTITUTE(SUBSTITUTE(SUBSTITUTE(SUBSTITUTE(NOTA[[#This Row],[NAMA BARANG]]," ",),".",""),"-",""),"(",""),")",""),",",""),"/",""),"""",""),"+",""))</f>
        <v>agenda50kbc5113550</v>
      </c>
      <c r="AO1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agenda50kbc51135501800000</v>
      </c>
      <c r="AP1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agenda50kbc51135501800000</v>
      </c>
      <c r="AQ129" s="35" t="str">
        <f>IF(NOTA[[#This Row],[SUPPLIER]]="","",NOTA[[#This Row],[SUPPLIER]]&amp;NOTA[[#This Row],[FAKTUR]]&amp;NOTA[[#This Row],[NO.NOTA]]&amp;NOTA[[#This Row],[NO.SJ]]&amp;NOTA[[#This Row],[TGL.NOTA]]&amp;NOTA[[#This Row],[CONCAT1]])</f>
        <v>SINAR KOTAUNTANA8112745474agenda50kbc5113550</v>
      </c>
      <c r="AR129" s="35">
        <f>IF(NOTA[[#This Row],[CONCAT1]]="","",MATCH(NOTA[[#This Row],[CONCAT1]],[3]!db[NB NOTA_C],0))</f>
        <v>3455</v>
      </c>
      <c r="AS129" s="35" t="b">
        <f>IF(NOTA[[#This Row],[Column5]]="","",TRUE)</f>
        <v>1</v>
      </c>
      <c r="AT129" s="35" t="str">
        <f ca="1">IF(NOTA[[#This Row],[ID_H]]="","",IF(NOTA[[#This Row],[Column3]]=TRUE,NOTA[[#This Row],[Column5]],INDEX([3]!db[QTY/ CTN],NOTA[[#This Row],[//DB]])))</f>
        <v>260 PCS</v>
      </c>
      <c r="AU1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agenda50kbc5113550260pcsuntana</v>
      </c>
      <c r="AV129" s="35">
        <f ca="1">IF(NOTA[[#This Row],[ID_H]]="","",MATCH(NOTA[[#This Row],[NB NOTA_C_QTY]],[3]!db[NB NOTA_C_QTY+F],0))</f>
        <v>3455</v>
      </c>
      <c r="AW129" s="43">
        <f ca="1">IF(NOTA[[#This Row],[NB NOTA_C_QTY]]="","",ROW()-2)</f>
        <v>127</v>
      </c>
    </row>
    <row r="130" spans="1:49" ht="20.100000000000001" customHeight="1">
      <c r="A1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5">
        <f ca="1">IF(NOTA[[#This Row],[NAMA BARANG]]="","",INDEX(NOTA[ID],MATCH(,INDIRECT(ADDRESS(ROW(NOTA[ID]),COLUMN(NOTA[ID]))&amp;":"&amp;ADDRESS(ROW(),COLUMN(NOTA[ID]))),-1)))</f>
        <v>35</v>
      </c>
      <c r="C130" s="45"/>
      <c r="F130" s="46"/>
      <c r="G130" s="35"/>
      <c r="H130" s="36"/>
      <c r="I130" s="35"/>
      <c r="J130" s="35" t="s">
        <v>330</v>
      </c>
      <c r="K130" s="37"/>
      <c r="L130" s="35">
        <v>220</v>
      </c>
      <c r="M130" s="35" t="s">
        <v>51</v>
      </c>
      <c r="N130" s="38">
        <v>7500</v>
      </c>
      <c r="O130" s="39"/>
      <c r="P130" s="47" t="s">
        <v>303</v>
      </c>
      <c r="Q130" s="48"/>
      <c r="R130" s="41"/>
      <c r="T130" s="42"/>
      <c r="U130" s="44"/>
      <c r="V130" s="42">
        <f>IF(NOTA[[#This Row],[HARGA/ CTN]]="",NOTA[[#This Row],[JUMLAH_H]],NOTA[[#This Row],[HARGA/ CTN]]*IF(NOTA[[#This Row],[C]]="",0,NOTA[[#This Row],[C]]))</f>
        <v>1650000</v>
      </c>
      <c r="W130" s="42">
        <f>IF(NOTA[[#This Row],[JUMLAH]]="","",NOTA[[#This Row],[JUMLAH]]*NOTA[[#This Row],[Column6]])</f>
        <v>0</v>
      </c>
      <c r="X130" s="42">
        <f>IF(NOTA[[#This Row],[JUMLAH]]="","",(NOTA[[#This Row],[JUMLAH]]-NOTA[[#This Row],[DISC 1-]])*NOTA[[#This Row],[Column7]])</f>
        <v>0</v>
      </c>
      <c r="Y130" s="42">
        <f>IF(NOTA[[#This Row],[JUMLAH]]="","",(NOTA[[#This Row],[JUMLAH]]-NOTA[[#This Row],[DISC 1-]]-NOTA[[#This Row],[DISC 2-]])*NOTA[[#This Row],[Column8]])</f>
        <v>0</v>
      </c>
      <c r="Z130" s="42">
        <f>IF(NOTA[[#This Row],[JUMLAH]]="","",NOTA[[#This Row],[DISC 1-]]+NOTA[[#This Row],[DISC 2-]]+NOTA[[#This Row],[DISC 3-]])</f>
        <v>0</v>
      </c>
      <c r="AA130" s="42">
        <f>IF(NOTA[[#This Row],[JUMLAH]]="","",NOTA[[#This Row],[JUMLAH]]-NOTA[[#This Row],[DISC]])</f>
        <v>1650000</v>
      </c>
      <c r="AB130" s="42"/>
      <c r="AC1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0" s="38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130" s="42">
        <f>IF(OR(NOTA[[#This Row],[QTY]]="",NOTA[[#This Row],[HARGA SATUAN]]="",),"",NOTA[[#This Row],[QTY]]*NOTA[[#This Row],[HARGA SATUAN]])</f>
        <v>1650000</v>
      </c>
      <c r="AG130" s="36">
        <f ca="1">IF(NOTA[[#This Row],[ID_H]]="","",INDEX(NOTA[TANGGAL],MATCH(,INDIRECT(ADDRESS(ROW(NOTA[TANGGAL]),COLUMN(NOTA[TANGGAL]))&amp;":"&amp;ADDRESS(ROW(),COLUMN(NOTA[TANGGAL]))),-1)))</f>
        <v>45479</v>
      </c>
      <c r="AH130" s="36">
        <f ca="1">IF(NOTA[[#This Row],[ID_H]]="","",INDEX(NOTA[TGL.NOTA],MATCH(,INDIRECT(ADDRESS(ROW(NOTA[TGL.NOTA]),COLUMN(NOTA[TGL.NOTA]))&amp;":"&amp;ADDRESS(ROW(),COLUMN(NOTA[TGL.NOTA]))),-1)))</f>
        <v>45474</v>
      </c>
      <c r="AI130" s="36" t="str">
        <f ca="1">IF(NOTA[[#This Row],[ID_H]]="","",INDEX(NOTA[NO.NOTA],MATCH(NOTA[[#This Row],[ID_H]],NOTA[ID_H],0)))</f>
        <v>81127</v>
      </c>
      <c r="AJ130" s="38" t="str">
        <f ca="1">IF(NOTA[[#This Row],[NAMA BARANG]]="","",INDEX(NOTA[SUPPLIER],MATCH(,INDIRECT(ADDRESS(ROW(NOTA[ID]),COLUMN(NOTA[ID]))&amp;":"&amp;ADDRESS(ROW(),COLUMN(NOTA[ID]))),-1)))</f>
        <v>SINAR KOTA</v>
      </c>
      <c r="AK130" s="38" t="str">
        <f ca="1">IF(NOTA[[#This Row],[ID_H]]="","",IF(NOTA[[#This Row],[FAKTUR]]="",INDIRECT(ADDRESS(ROW()-1,COLUMN())),NOTA[[#This Row],[FAKTUR]]))</f>
        <v>UNTANA</v>
      </c>
      <c r="AL130" s="35" t="str">
        <f ca="1">IF(NOTA[[#This Row],[ID]]="","",COUNTIF(NOTA[ID_H],NOTA[[#This Row],[ID_H]]))</f>
        <v/>
      </c>
      <c r="AM130" s="35">
        <f ca="1">IF(NOTA[[#This Row],[TGL.NOTA]]="",IF(NOTA[[#This Row],[SUPPLIER_H]]="","",AM129),MONTH(NOTA[[#This Row],[TGL.NOTA]]))</f>
        <v>7</v>
      </c>
      <c r="AN130" s="35" t="str">
        <f>LOWER(SUBSTITUTE(SUBSTITUTE(SUBSTITUTE(SUBSTITUTE(SUBSTITUTE(SUBSTITUTE(SUBSTITUTE(SUBSTITUTE(SUBSTITUTE(NOTA[[#This Row],[NAMA BARANG]]," ",),".",""),"-",""),"(",""),")",""),",",""),"/",""),"""",""),"+",""))</f>
        <v>agenda50kbc5113550</v>
      </c>
      <c r="AO1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agenda50kbc51135501650000</v>
      </c>
      <c r="AP1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agenda50kbc51135507500</v>
      </c>
      <c r="AQ1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0" s="35">
        <f>IF(NOTA[[#This Row],[CONCAT1]]="","",MATCH(NOTA[[#This Row],[CONCAT1]],[3]!db[NB NOTA_C],0))</f>
        <v>3455</v>
      </c>
      <c r="AS130" s="35" t="b">
        <f>IF(NOTA[[#This Row],[Column5]]="","",TRUE)</f>
        <v>1</v>
      </c>
      <c r="AT130" s="35" t="str">
        <f ca="1">IF(NOTA[[#This Row],[ID_H]]="","",IF(NOTA[[#This Row],[Column3]]=TRUE,NOTA[[#This Row],[Column5]],INDEX([3]!db[QTY/ CTN],NOTA[[#This Row],[//DB]])))</f>
        <v>260 PCS</v>
      </c>
      <c r="AU1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agenda50kbc5113550260pcsuntana</v>
      </c>
      <c r="AV130" s="35">
        <f ca="1">IF(NOTA[[#This Row],[ID_H]]="","",MATCH(NOTA[[#This Row],[NB NOTA_C_QTY]],[3]!db[NB NOTA_C_QTY+F],0))</f>
        <v>3455</v>
      </c>
      <c r="AW130" s="43">
        <f ca="1">IF(NOTA[[#This Row],[NB NOTA_C_QTY]]="","",ROW()-2)</f>
        <v>128</v>
      </c>
    </row>
    <row r="131" spans="1:49" ht="20.100000000000001" customHeight="1">
      <c r="A1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5">
        <f ca="1">IF(NOTA[[#This Row],[NAMA BARANG]]="","",INDEX(NOTA[ID],MATCH(,INDIRECT(ADDRESS(ROW(NOTA[ID]),COLUMN(NOTA[ID]))&amp;":"&amp;ADDRESS(ROW(),COLUMN(NOTA[ID]))),-1)))</f>
        <v>35</v>
      </c>
      <c r="C131" s="45"/>
      <c r="F131" s="46"/>
      <c r="G131" s="35"/>
      <c r="H131" s="36"/>
      <c r="I131" s="35"/>
      <c r="J131" s="50" t="s">
        <v>304</v>
      </c>
      <c r="K131" s="37">
        <v>11</v>
      </c>
      <c r="L131" s="35">
        <v>11520</v>
      </c>
      <c r="M131" s="35" t="s">
        <v>51</v>
      </c>
      <c r="N131" s="38">
        <v>1200</v>
      </c>
      <c r="O131" s="39"/>
      <c r="P131" s="47" t="s">
        <v>306</v>
      </c>
      <c r="Q131" s="48"/>
      <c r="R131" s="41"/>
      <c r="T131" s="42"/>
      <c r="U131" s="44"/>
      <c r="V131" s="42">
        <f>IF(NOTA[[#This Row],[HARGA/ CTN]]="",NOTA[[#This Row],[JUMLAH_H]],NOTA[[#This Row],[HARGA/ CTN]]*IF(NOTA[[#This Row],[C]]="",0,NOTA[[#This Row],[C]]))</f>
        <v>13824000</v>
      </c>
      <c r="W131" s="42">
        <f>IF(NOTA[[#This Row],[JUMLAH]]="","",NOTA[[#This Row],[JUMLAH]]*NOTA[[#This Row],[Column6]])</f>
        <v>0</v>
      </c>
      <c r="X131" s="42">
        <f>IF(NOTA[[#This Row],[JUMLAH]]="","",(NOTA[[#This Row],[JUMLAH]]-NOTA[[#This Row],[DISC 1-]])*NOTA[[#This Row],[Column7]])</f>
        <v>0</v>
      </c>
      <c r="Y131" s="42">
        <f>IF(NOTA[[#This Row],[JUMLAH]]="","",(NOTA[[#This Row],[JUMLAH]]-NOTA[[#This Row],[DISC 1-]]-NOTA[[#This Row],[DISC 2-]])*NOTA[[#This Row],[Column8]])</f>
        <v>0</v>
      </c>
      <c r="Z131" s="42">
        <f>IF(NOTA[[#This Row],[JUMLAH]]="","",NOTA[[#This Row],[DISC 1-]]+NOTA[[#This Row],[DISC 2-]]+NOTA[[#This Row],[DISC 3-]])</f>
        <v>0</v>
      </c>
      <c r="AA131" s="42">
        <f>IF(NOTA[[#This Row],[JUMLAH]]="","",NOTA[[#This Row],[JUMLAH]]-NOTA[[#This Row],[DISC]])</f>
        <v>13824000</v>
      </c>
      <c r="AB131" s="42"/>
      <c r="AC1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1" s="38">
        <f>IF(NOTA[[#This Row],[NAMA BARANG]]="","",IF(NOTA[[#This Row],[JUMLAH_H]]="",NOTA[[#This Row],[HARGA/ CTN]],NOTA[[#This Row],[QTY]]*NOTA[[#This Row],[HARGA SATUAN]]/IF(ISNUMBER(NOTA[[#This Row],[C]]),NOTA[[#This Row],[C]],1)))</f>
        <v>1256727.2727272727</v>
      </c>
      <c r="AF131" s="42">
        <f>IF(OR(NOTA[[#This Row],[QTY]]="",NOTA[[#This Row],[HARGA SATUAN]]="",),"",NOTA[[#This Row],[QTY]]*NOTA[[#This Row],[HARGA SATUAN]])</f>
        <v>13824000</v>
      </c>
      <c r="AG131" s="36">
        <f ca="1">IF(NOTA[[#This Row],[ID_H]]="","",INDEX(NOTA[TANGGAL],MATCH(,INDIRECT(ADDRESS(ROW(NOTA[TANGGAL]),COLUMN(NOTA[TANGGAL]))&amp;":"&amp;ADDRESS(ROW(),COLUMN(NOTA[TANGGAL]))),-1)))</f>
        <v>45479</v>
      </c>
      <c r="AH131" s="36">
        <f ca="1">IF(NOTA[[#This Row],[ID_H]]="","",INDEX(NOTA[TGL.NOTA],MATCH(,INDIRECT(ADDRESS(ROW(NOTA[TGL.NOTA]),COLUMN(NOTA[TGL.NOTA]))&amp;":"&amp;ADDRESS(ROW(),COLUMN(NOTA[TGL.NOTA]))),-1)))</f>
        <v>45474</v>
      </c>
      <c r="AI131" s="36" t="str">
        <f ca="1">IF(NOTA[[#This Row],[ID_H]]="","",INDEX(NOTA[NO.NOTA],MATCH(NOTA[[#This Row],[ID_H]],NOTA[ID_H],0)))</f>
        <v>81127</v>
      </c>
      <c r="AJ131" s="38" t="str">
        <f ca="1">IF(NOTA[[#This Row],[NAMA BARANG]]="","",INDEX(NOTA[SUPPLIER],MATCH(,INDIRECT(ADDRESS(ROW(NOTA[ID]),COLUMN(NOTA[ID]))&amp;":"&amp;ADDRESS(ROW(),COLUMN(NOTA[ID]))),-1)))</f>
        <v>SINAR KOTA</v>
      </c>
      <c r="AK131" s="38" t="str">
        <f ca="1">IF(NOTA[[#This Row],[ID_H]]="","",IF(NOTA[[#This Row],[FAKTUR]]="",INDIRECT(ADDRESS(ROW()-1,COLUMN())),NOTA[[#This Row],[FAKTUR]]))</f>
        <v>UNTANA</v>
      </c>
      <c r="AL131" s="35" t="str">
        <f ca="1">IF(NOTA[[#This Row],[ID]]="","",COUNTIF(NOTA[ID_H],NOTA[[#This Row],[ID_H]]))</f>
        <v/>
      </c>
      <c r="AM131" s="35">
        <f ca="1">IF(NOTA[[#This Row],[TGL.NOTA]]="",IF(NOTA[[#This Row],[SUPPLIER_H]]="","",AM130),MONTH(NOTA[[#This Row],[TGL.NOTA]]))</f>
        <v>7</v>
      </c>
      <c r="AN131" s="35" t="str">
        <f>LOWER(SUBSTITUTE(SUBSTITUTE(SUBSTITUTE(SUBSTITUTE(SUBSTITUTE(SUBSTITUTE(SUBSTITUTE(SUBSTITUTE(SUBSTITUTE(NOTA[[#This Row],[NAMA BARANG]]," ",),".",""),"-",""),"(",""),")",""),",",""),"/",""),"""",""),"+",""))</f>
        <v>serutanstip6603fungsi</v>
      </c>
      <c r="AO1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serutanstip6603fungsi1256727,27272727</v>
      </c>
      <c r="AP1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serutanstip6603fungsi1256727,27272727</v>
      </c>
      <c r="AQ1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1" s="35">
        <f>IF(NOTA[[#This Row],[CONCAT1]]="","",MATCH(NOTA[[#This Row],[CONCAT1]],[3]!db[NB NOTA_C],0))</f>
        <v>3456</v>
      </c>
      <c r="AS131" s="35" t="b">
        <f>IF(NOTA[[#This Row],[Column5]]="","",TRUE)</f>
        <v>1</v>
      </c>
      <c r="AT131" s="35" t="str">
        <f ca="1">IF(NOTA[[#This Row],[ID_H]]="","",IF(NOTA[[#This Row],[Column3]]=TRUE,NOTA[[#This Row],[Column5]],INDEX([3]!db[QTY/ CTN],NOTA[[#This Row],[//DB]])))</f>
        <v>1152 PCS</v>
      </c>
      <c r="AU1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serutanstip6603fungsi1152pcsuntana</v>
      </c>
      <c r="AV131" s="35">
        <f ca="1">IF(NOTA[[#This Row],[ID_H]]="","",MATCH(NOTA[[#This Row],[NB NOTA_C_QTY]],[3]!db[NB NOTA_C_QTY+F],0))</f>
        <v>3456</v>
      </c>
      <c r="AW131" s="43">
        <f ca="1">IF(NOTA[[#This Row],[NB NOTA_C_QTY]]="","",ROW()-2)</f>
        <v>129</v>
      </c>
    </row>
    <row r="132" spans="1:49" ht="20.100000000000001" customHeight="1">
      <c r="A1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5">
        <f ca="1">IF(NOTA[[#This Row],[NAMA BARANG]]="","",INDEX(NOTA[ID],MATCH(,INDIRECT(ADDRESS(ROW(NOTA[ID]),COLUMN(NOTA[ID]))&amp;":"&amp;ADDRESS(ROW(),COLUMN(NOTA[ID]))),-1)))</f>
        <v>35</v>
      </c>
      <c r="C132" s="45"/>
      <c r="F132" s="46"/>
      <c r="G132" s="35"/>
      <c r="H132" s="36"/>
      <c r="I132" s="35"/>
      <c r="J132" s="35" t="s">
        <v>305</v>
      </c>
      <c r="K132" s="37">
        <v>1</v>
      </c>
      <c r="L132" s="35">
        <v>96</v>
      </c>
      <c r="M132" s="35" t="s">
        <v>51</v>
      </c>
      <c r="N132" s="38">
        <v>17000</v>
      </c>
      <c r="O132" s="39"/>
      <c r="P132" s="47" t="s">
        <v>281</v>
      </c>
      <c r="Q132" s="48"/>
      <c r="R132" s="41"/>
      <c r="T132" s="42"/>
      <c r="U132" s="44"/>
      <c r="V132" s="42">
        <f>IF(NOTA[[#This Row],[HARGA/ CTN]]="",NOTA[[#This Row],[JUMLAH_H]],NOTA[[#This Row],[HARGA/ CTN]]*IF(NOTA[[#This Row],[C]]="",0,NOTA[[#This Row],[C]]))</f>
        <v>1632000</v>
      </c>
      <c r="W132" s="42">
        <f>IF(NOTA[[#This Row],[JUMLAH]]="","",NOTA[[#This Row],[JUMLAH]]*NOTA[[#This Row],[Column6]])</f>
        <v>0</v>
      </c>
      <c r="X132" s="42">
        <f>IF(NOTA[[#This Row],[JUMLAH]]="","",(NOTA[[#This Row],[JUMLAH]]-NOTA[[#This Row],[DISC 1-]])*NOTA[[#This Row],[Column7]])</f>
        <v>0</v>
      </c>
      <c r="Y132" s="42">
        <f>IF(NOTA[[#This Row],[JUMLAH]]="","",(NOTA[[#This Row],[JUMLAH]]-NOTA[[#This Row],[DISC 1-]]-NOTA[[#This Row],[DISC 2-]])*NOTA[[#This Row],[Column8]])</f>
        <v>0</v>
      </c>
      <c r="Z132" s="42">
        <f>IF(NOTA[[#This Row],[JUMLAH]]="","",NOTA[[#This Row],[DISC 1-]]+NOTA[[#This Row],[DISC 2-]]+NOTA[[#This Row],[DISC 3-]])</f>
        <v>0</v>
      </c>
      <c r="AA132" s="42">
        <f>IF(NOTA[[#This Row],[JUMLAH]]="","",NOTA[[#This Row],[JUMLAH]]-NOTA[[#This Row],[DISC]])</f>
        <v>1632000</v>
      </c>
      <c r="AB132" s="42"/>
      <c r="AC1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2" s="38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132" s="42">
        <f>IF(OR(NOTA[[#This Row],[QTY]]="",NOTA[[#This Row],[HARGA SATUAN]]="",),"",NOTA[[#This Row],[QTY]]*NOTA[[#This Row],[HARGA SATUAN]])</f>
        <v>1632000</v>
      </c>
      <c r="AG132" s="36">
        <f ca="1">IF(NOTA[[#This Row],[ID_H]]="","",INDEX(NOTA[TANGGAL],MATCH(,INDIRECT(ADDRESS(ROW(NOTA[TANGGAL]),COLUMN(NOTA[TANGGAL]))&amp;":"&amp;ADDRESS(ROW(),COLUMN(NOTA[TANGGAL]))),-1)))</f>
        <v>45479</v>
      </c>
      <c r="AH132" s="36">
        <f ca="1">IF(NOTA[[#This Row],[ID_H]]="","",INDEX(NOTA[TGL.NOTA],MATCH(,INDIRECT(ADDRESS(ROW(NOTA[TGL.NOTA]),COLUMN(NOTA[TGL.NOTA]))&amp;":"&amp;ADDRESS(ROW(),COLUMN(NOTA[TGL.NOTA]))),-1)))</f>
        <v>45474</v>
      </c>
      <c r="AI132" s="36" t="str">
        <f ca="1">IF(NOTA[[#This Row],[ID_H]]="","",INDEX(NOTA[NO.NOTA],MATCH(NOTA[[#This Row],[ID_H]],NOTA[ID_H],0)))</f>
        <v>81127</v>
      </c>
      <c r="AJ132" s="38" t="str">
        <f ca="1">IF(NOTA[[#This Row],[NAMA BARANG]]="","",INDEX(NOTA[SUPPLIER],MATCH(,INDIRECT(ADDRESS(ROW(NOTA[ID]),COLUMN(NOTA[ID]))&amp;":"&amp;ADDRESS(ROW(),COLUMN(NOTA[ID]))),-1)))</f>
        <v>SINAR KOTA</v>
      </c>
      <c r="AK132" s="38" t="str">
        <f ca="1">IF(NOTA[[#This Row],[ID_H]]="","",IF(NOTA[[#This Row],[FAKTUR]]="",INDIRECT(ADDRESS(ROW()-1,COLUMN())),NOTA[[#This Row],[FAKTUR]]))</f>
        <v>UNTANA</v>
      </c>
      <c r="AL132" s="35" t="str">
        <f ca="1">IF(NOTA[[#This Row],[ID]]="","",COUNTIF(NOTA[ID_H],NOTA[[#This Row],[ID_H]]))</f>
        <v/>
      </c>
      <c r="AM132" s="35">
        <f ca="1">IF(NOTA[[#This Row],[TGL.NOTA]]="",IF(NOTA[[#This Row],[SUPPLIER_H]]="","",AM131),MONTH(NOTA[[#This Row],[TGL.NOTA]]))</f>
        <v>7</v>
      </c>
      <c r="AN132" s="35" t="str">
        <f>LOWER(SUBSTITUTE(SUBSTITUTE(SUBSTITUTE(SUBSTITUTE(SUBSTITUTE(SUBSTITUTE(SUBSTITUTE(SUBSTITUTE(SUBSTITUTE(NOTA[[#This Row],[NAMA BARANG]]," ",),".",""),"-",""),"(",""),")",""),",",""),"/",""),"""",""),"+",""))</f>
        <v>serutanmejahellokitykt8009</v>
      </c>
      <c r="AO1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serutanmejahellokitykt80091632000</v>
      </c>
      <c r="AP1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serutanmejahellokitykt80091632000</v>
      </c>
      <c r="AQ1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2" s="35">
        <f>IF(NOTA[[#This Row],[CONCAT1]]="","",MATCH(NOTA[[#This Row],[CONCAT1]],[3]!db[NB NOTA_C],0))</f>
        <v>3457</v>
      </c>
      <c r="AS132" s="35" t="b">
        <f>IF(NOTA[[#This Row],[Column5]]="","",TRUE)</f>
        <v>1</v>
      </c>
      <c r="AT132" s="35" t="str">
        <f ca="1">IF(NOTA[[#This Row],[ID_H]]="","",IF(NOTA[[#This Row],[Column3]]=TRUE,NOTA[[#This Row],[Column5]],INDEX([3]!db[QTY/ CTN],NOTA[[#This Row],[//DB]])))</f>
        <v>96 PCS</v>
      </c>
      <c r="AU1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serutanmejahellokitykt800996pcsuntana</v>
      </c>
      <c r="AV132" s="35">
        <f ca="1">IF(NOTA[[#This Row],[ID_H]]="","",MATCH(NOTA[[#This Row],[NB NOTA_C_QTY]],[3]!db[NB NOTA_C_QTY+F],0))</f>
        <v>3457</v>
      </c>
      <c r="AW132" s="43">
        <f ca="1">IF(NOTA[[#This Row],[NB NOTA_C_QTY]]="","",ROW()-2)</f>
        <v>130</v>
      </c>
    </row>
    <row r="133" spans="1:49" ht="20.100000000000001" customHeight="1">
      <c r="A1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5">
        <f ca="1">IF(NOTA[[#This Row],[NAMA BARANG]]="","",INDEX(NOTA[ID],MATCH(,INDIRECT(ADDRESS(ROW(NOTA[ID]),COLUMN(NOTA[ID]))&amp;":"&amp;ADDRESS(ROW(),COLUMN(NOTA[ID]))),-1)))</f>
        <v>35</v>
      </c>
      <c r="C133" s="45"/>
      <c r="F133" s="46"/>
      <c r="G133" s="35"/>
      <c r="H133" s="36"/>
      <c r="I133" s="35"/>
      <c r="J133" s="35" t="s">
        <v>307</v>
      </c>
      <c r="K133" s="37"/>
      <c r="L133" s="35">
        <v>90</v>
      </c>
      <c r="M133" s="35" t="s">
        <v>51</v>
      </c>
      <c r="N133" s="38">
        <v>17000</v>
      </c>
      <c r="O133" s="39"/>
      <c r="P133" s="47" t="s">
        <v>281</v>
      </c>
      <c r="Q133" s="48"/>
      <c r="R133" s="41"/>
      <c r="T133" s="42"/>
      <c r="U133" s="44"/>
      <c r="V133" s="42">
        <f>IF(NOTA[[#This Row],[HARGA/ CTN]]="",NOTA[[#This Row],[JUMLAH_H]],NOTA[[#This Row],[HARGA/ CTN]]*IF(NOTA[[#This Row],[C]]="",0,NOTA[[#This Row],[C]]))</f>
        <v>1530000</v>
      </c>
      <c r="W133" s="42">
        <f>IF(NOTA[[#This Row],[JUMLAH]]="","",NOTA[[#This Row],[JUMLAH]]*NOTA[[#This Row],[Column6]])</f>
        <v>0</v>
      </c>
      <c r="X133" s="42">
        <f>IF(NOTA[[#This Row],[JUMLAH]]="","",(NOTA[[#This Row],[JUMLAH]]-NOTA[[#This Row],[DISC 1-]])*NOTA[[#This Row],[Column7]])</f>
        <v>0</v>
      </c>
      <c r="Y133" s="42">
        <f>IF(NOTA[[#This Row],[JUMLAH]]="","",(NOTA[[#This Row],[JUMLAH]]-NOTA[[#This Row],[DISC 1-]]-NOTA[[#This Row],[DISC 2-]])*NOTA[[#This Row],[Column8]])</f>
        <v>0</v>
      </c>
      <c r="Z133" s="42">
        <f>IF(NOTA[[#This Row],[JUMLAH]]="","",NOTA[[#This Row],[DISC 1-]]+NOTA[[#This Row],[DISC 2-]]+NOTA[[#This Row],[DISC 3-]])</f>
        <v>0</v>
      </c>
      <c r="AA133" s="42">
        <f>IF(NOTA[[#This Row],[JUMLAH]]="","",NOTA[[#This Row],[JUMLAH]]-NOTA[[#This Row],[DISC]])</f>
        <v>1530000</v>
      </c>
      <c r="AB133" s="42"/>
      <c r="AC1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3" s="3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133" s="42">
        <f>IF(OR(NOTA[[#This Row],[QTY]]="",NOTA[[#This Row],[HARGA SATUAN]]="",),"",NOTA[[#This Row],[QTY]]*NOTA[[#This Row],[HARGA SATUAN]])</f>
        <v>1530000</v>
      </c>
      <c r="AG133" s="36">
        <f ca="1">IF(NOTA[[#This Row],[ID_H]]="","",INDEX(NOTA[TANGGAL],MATCH(,INDIRECT(ADDRESS(ROW(NOTA[TANGGAL]),COLUMN(NOTA[TANGGAL]))&amp;":"&amp;ADDRESS(ROW(),COLUMN(NOTA[TANGGAL]))),-1)))</f>
        <v>45479</v>
      </c>
      <c r="AH133" s="36">
        <f ca="1">IF(NOTA[[#This Row],[ID_H]]="","",INDEX(NOTA[TGL.NOTA],MATCH(,INDIRECT(ADDRESS(ROW(NOTA[TGL.NOTA]),COLUMN(NOTA[TGL.NOTA]))&amp;":"&amp;ADDRESS(ROW(),COLUMN(NOTA[TGL.NOTA]))),-1)))</f>
        <v>45474</v>
      </c>
      <c r="AI133" s="36" t="str">
        <f ca="1">IF(NOTA[[#This Row],[ID_H]]="","",INDEX(NOTA[NO.NOTA],MATCH(NOTA[[#This Row],[ID_H]],NOTA[ID_H],0)))</f>
        <v>81127</v>
      </c>
      <c r="AJ133" s="38" t="str">
        <f ca="1">IF(NOTA[[#This Row],[NAMA BARANG]]="","",INDEX(NOTA[SUPPLIER],MATCH(,INDIRECT(ADDRESS(ROW(NOTA[ID]),COLUMN(NOTA[ID]))&amp;":"&amp;ADDRESS(ROW(),COLUMN(NOTA[ID]))),-1)))</f>
        <v>SINAR KOTA</v>
      </c>
      <c r="AK133" s="38" t="str">
        <f ca="1">IF(NOTA[[#This Row],[ID_H]]="","",IF(NOTA[[#This Row],[FAKTUR]]="",INDIRECT(ADDRESS(ROW()-1,COLUMN())),NOTA[[#This Row],[FAKTUR]]))</f>
        <v>UNTANA</v>
      </c>
      <c r="AL133" s="35" t="str">
        <f ca="1">IF(NOTA[[#This Row],[ID]]="","",COUNTIF(NOTA[ID_H],NOTA[[#This Row],[ID_H]]))</f>
        <v/>
      </c>
      <c r="AM133" s="35">
        <f ca="1">IF(NOTA[[#This Row],[TGL.NOTA]]="",IF(NOTA[[#This Row],[SUPPLIER_H]]="","",AM132),MONTH(NOTA[[#This Row],[TGL.NOTA]]))</f>
        <v>7</v>
      </c>
      <c r="AN133" s="35" t="str">
        <f>LOWER(SUBSTITUTE(SUBSTITUTE(SUBSTITUTE(SUBSTITUTE(SUBSTITUTE(SUBSTITUTE(SUBSTITUTE(SUBSTITUTE(SUBSTITUTE(NOTA[[#This Row],[NAMA BARANG]]," ",),".",""),"-",""),"(",""),")",""),",",""),"/",""),"""",""),"+",""))</f>
        <v>serutanmejahellokittykt8009</v>
      </c>
      <c r="AO1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serutanmejahellokittykt80091530000</v>
      </c>
      <c r="AP1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serutanmejahellokittykt800917000</v>
      </c>
      <c r="AQ1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3" s="35">
        <f>IF(NOTA[[#This Row],[CONCAT1]]="","",MATCH(NOTA[[#This Row],[CONCAT1]],[3]!db[NB NOTA_C],0))</f>
        <v>3458</v>
      </c>
      <c r="AS133" s="35" t="b">
        <f>IF(NOTA[[#This Row],[Column5]]="","",TRUE)</f>
        <v>1</v>
      </c>
      <c r="AT133" s="35" t="str">
        <f ca="1">IF(NOTA[[#This Row],[ID_H]]="","",IF(NOTA[[#This Row],[Column3]]=TRUE,NOTA[[#This Row],[Column5]],INDEX([3]!db[QTY/ CTN],NOTA[[#This Row],[//DB]])))</f>
        <v>96 PCS</v>
      </c>
      <c r="AU1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serutanmejahellokittykt800996pcsuntana</v>
      </c>
      <c r="AV133" s="35">
        <f ca="1">IF(NOTA[[#This Row],[ID_H]]="","",MATCH(NOTA[[#This Row],[NB NOTA_C_QTY]],[3]!db[NB NOTA_C_QTY+F],0))</f>
        <v>3458</v>
      </c>
      <c r="AW133" s="43">
        <f ca="1">IF(NOTA[[#This Row],[NB NOTA_C_QTY]]="","",ROW()-2)</f>
        <v>131</v>
      </c>
    </row>
    <row r="134" spans="1:49" ht="20.100000000000001" customHeight="1">
      <c r="A1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5">
        <f ca="1">IF(NOTA[[#This Row],[NAMA BARANG]]="","",INDEX(NOTA[ID],MATCH(,INDIRECT(ADDRESS(ROW(NOTA[ID]),COLUMN(NOTA[ID]))&amp;":"&amp;ADDRESS(ROW(),COLUMN(NOTA[ID]))),-1)))</f>
        <v>35</v>
      </c>
      <c r="C134" s="45"/>
      <c r="F134" s="46"/>
      <c r="G134" s="35"/>
      <c r="H134" s="36"/>
      <c r="I134" s="35"/>
      <c r="J134" s="35" t="s">
        <v>329</v>
      </c>
      <c r="K134" s="37">
        <v>1</v>
      </c>
      <c r="L134" s="35">
        <v>200</v>
      </c>
      <c r="M134" s="35" t="s">
        <v>51</v>
      </c>
      <c r="N134" s="38">
        <v>5000</v>
      </c>
      <c r="O134" s="39"/>
      <c r="P134" s="47" t="s">
        <v>308</v>
      </c>
      <c r="Q134" s="48"/>
      <c r="R134" s="41"/>
      <c r="T134" s="42"/>
      <c r="U134" s="44"/>
      <c r="V134" s="42">
        <f>IF(NOTA[[#This Row],[HARGA/ CTN]]="",NOTA[[#This Row],[JUMLAH_H]],NOTA[[#This Row],[HARGA/ CTN]]*IF(NOTA[[#This Row],[C]]="",0,NOTA[[#This Row],[C]]))</f>
        <v>1000000</v>
      </c>
      <c r="W134" s="42">
        <f>IF(NOTA[[#This Row],[JUMLAH]]="","",NOTA[[#This Row],[JUMLAH]]*NOTA[[#This Row],[Column6]])</f>
        <v>0</v>
      </c>
      <c r="X134" s="42">
        <f>IF(NOTA[[#This Row],[JUMLAH]]="","",(NOTA[[#This Row],[JUMLAH]]-NOTA[[#This Row],[DISC 1-]])*NOTA[[#This Row],[Column7]])</f>
        <v>0</v>
      </c>
      <c r="Y134" s="42">
        <f>IF(NOTA[[#This Row],[JUMLAH]]="","",(NOTA[[#This Row],[JUMLAH]]-NOTA[[#This Row],[DISC 1-]]-NOTA[[#This Row],[DISC 2-]])*NOTA[[#This Row],[Column8]])</f>
        <v>0</v>
      </c>
      <c r="Z134" s="42">
        <f>IF(NOTA[[#This Row],[JUMLAH]]="","",NOTA[[#This Row],[DISC 1-]]+NOTA[[#This Row],[DISC 2-]]+NOTA[[#This Row],[DISC 3-]])</f>
        <v>0</v>
      </c>
      <c r="AA134" s="42">
        <f>IF(NOTA[[#This Row],[JUMLAH]]="","",NOTA[[#This Row],[JUMLAH]]-NOTA[[#This Row],[DISC]])</f>
        <v>1000000</v>
      </c>
      <c r="AB134" s="42"/>
      <c r="AC1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4" s="38">
        <f>IF(NOTA[[#This Row],[NAMA BARANG]]="","",IF(NOTA[[#This Row],[JUMLAH_H]]="",NOTA[[#This Row],[HARGA/ CTN]],NOTA[[#This Row],[QTY]]*NOTA[[#This Row],[HARGA SATUAN]]/IF(ISNUMBER(NOTA[[#This Row],[C]]),NOTA[[#This Row],[C]],1)))</f>
        <v>1000000</v>
      </c>
      <c r="AF134" s="42">
        <f>IF(OR(NOTA[[#This Row],[QTY]]="",NOTA[[#This Row],[HARGA SATUAN]]="",),"",NOTA[[#This Row],[QTY]]*NOTA[[#This Row],[HARGA SATUAN]])</f>
        <v>1000000</v>
      </c>
      <c r="AG134" s="36">
        <f ca="1">IF(NOTA[[#This Row],[ID_H]]="","",INDEX(NOTA[TANGGAL],MATCH(,INDIRECT(ADDRESS(ROW(NOTA[TANGGAL]),COLUMN(NOTA[TANGGAL]))&amp;":"&amp;ADDRESS(ROW(),COLUMN(NOTA[TANGGAL]))),-1)))</f>
        <v>45479</v>
      </c>
      <c r="AH134" s="36">
        <f ca="1">IF(NOTA[[#This Row],[ID_H]]="","",INDEX(NOTA[TGL.NOTA],MATCH(,INDIRECT(ADDRESS(ROW(NOTA[TGL.NOTA]),COLUMN(NOTA[TGL.NOTA]))&amp;":"&amp;ADDRESS(ROW(),COLUMN(NOTA[TGL.NOTA]))),-1)))</f>
        <v>45474</v>
      </c>
      <c r="AI134" s="36" t="str">
        <f ca="1">IF(NOTA[[#This Row],[ID_H]]="","",INDEX(NOTA[NO.NOTA],MATCH(NOTA[[#This Row],[ID_H]],NOTA[ID_H],0)))</f>
        <v>81127</v>
      </c>
      <c r="AJ134" s="38" t="str">
        <f ca="1">IF(NOTA[[#This Row],[NAMA BARANG]]="","",INDEX(NOTA[SUPPLIER],MATCH(,INDIRECT(ADDRESS(ROW(NOTA[ID]),COLUMN(NOTA[ID]))&amp;":"&amp;ADDRESS(ROW(),COLUMN(NOTA[ID]))),-1)))</f>
        <v>SINAR KOTA</v>
      </c>
      <c r="AK134" s="38" t="str">
        <f ca="1">IF(NOTA[[#This Row],[ID_H]]="","",IF(NOTA[[#This Row],[FAKTUR]]="",INDIRECT(ADDRESS(ROW()-1,COLUMN())),NOTA[[#This Row],[FAKTUR]]))</f>
        <v>UNTANA</v>
      </c>
      <c r="AL134" s="35" t="str">
        <f ca="1">IF(NOTA[[#This Row],[ID]]="","",COUNTIF(NOTA[ID_H],NOTA[[#This Row],[ID_H]]))</f>
        <v/>
      </c>
      <c r="AM134" s="35">
        <f ca="1">IF(NOTA[[#This Row],[TGL.NOTA]]="",IF(NOTA[[#This Row],[SUPPLIER_H]]="","",AM133),MONTH(NOTA[[#This Row],[TGL.NOTA]]))</f>
        <v>7</v>
      </c>
      <c r="AN134" s="35" t="str">
        <f>LOWER(SUBSTITUTE(SUBSTITUTE(SUBSTITUTE(SUBSTITUTE(SUBSTITUTE(SUBSTITUTE(SUBSTITUTE(SUBSTITUTE(SUBSTITUTE(NOTA[[#This Row],[NAMA BARANG]]," ",),".",""),"-",""),"(",""),")",""),",",""),"/",""),"""",""),"+",""))</f>
        <v>notebookaa092030929</v>
      </c>
      <c r="AO1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notebookaa0920309291000000</v>
      </c>
      <c r="AP1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notebookaa0920309291000000</v>
      </c>
      <c r="AQ1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4" s="35">
        <f>IF(NOTA[[#This Row],[CONCAT1]]="","",MATCH(NOTA[[#This Row],[CONCAT1]],[3]!db[NB NOTA_C],0))</f>
        <v>3459</v>
      </c>
      <c r="AS134" s="35" t="b">
        <f>IF(NOTA[[#This Row],[Column5]]="","",TRUE)</f>
        <v>1</v>
      </c>
      <c r="AT134" s="35" t="str">
        <f ca="1">IF(NOTA[[#This Row],[ID_H]]="","",IF(NOTA[[#This Row],[Column3]]=TRUE,NOTA[[#This Row],[Column5]],INDEX([3]!db[QTY/ CTN],NOTA[[#This Row],[//DB]])))</f>
        <v>200 PCS</v>
      </c>
      <c r="AU1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notebookaa092030929200pcsuntana</v>
      </c>
      <c r="AV134" s="35">
        <f ca="1">IF(NOTA[[#This Row],[ID_H]]="","",MATCH(NOTA[[#This Row],[NB NOTA_C_QTY]],[3]!db[NB NOTA_C_QTY+F],0))</f>
        <v>3459</v>
      </c>
      <c r="AW134" s="43">
        <f ca="1">IF(NOTA[[#This Row],[NB NOTA_C_QTY]]="","",ROW()-2)</f>
        <v>132</v>
      </c>
    </row>
    <row r="135" spans="1:49" ht="20.100000000000001" customHeight="1">
      <c r="A1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5">
        <f ca="1">IF(NOTA[[#This Row],[NAMA BARANG]]="","",INDEX(NOTA[ID],MATCH(,INDIRECT(ADDRESS(ROW(NOTA[ID]),COLUMN(NOTA[ID]))&amp;":"&amp;ADDRESS(ROW(),COLUMN(NOTA[ID]))),-1)))</f>
        <v>35</v>
      </c>
      <c r="C135" s="45"/>
      <c r="F135" s="46"/>
      <c r="G135" s="35"/>
      <c r="H135" s="36"/>
      <c r="I135" s="35"/>
      <c r="J135" s="35" t="s">
        <v>329</v>
      </c>
      <c r="K135" s="37"/>
      <c r="L135" s="35">
        <v>191</v>
      </c>
      <c r="M135" s="35" t="s">
        <v>51</v>
      </c>
      <c r="N135" s="38">
        <v>5000</v>
      </c>
      <c r="O135" s="39"/>
      <c r="P135" s="47" t="s">
        <v>308</v>
      </c>
      <c r="Q135" s="48"/>
      <c r="R135" s="41"/>
      <c r="T135" s="42"/>
      <c r="U135" s="44"/>
      <c r="V135" s="42">
        <f>IF(NOTA[[#This Row],[HARGA/ CTN]]="",NOTA[[#This Row],[JUMLAH_H]],NOTA[[#This Row],[HARGA/ CTN]]*IF(NOTA[[#This Row],[C]]="",0,NOTA[[#This Row],[C]]))</f>
        <v>955000</v>
      </c>
      <c r="W135" s="42">
        <f>IF(NOTA[[#This Row],[JUMLAH]]="","",NOTA[[#This Row],[JUMLAH]]*NOTA[[#This Row],[Column6]])</f>
        <v>0</v>
      </c>
      <c r="X135" s="42">
        <f>IF(NOTA[[#This Row],[JUMLAH]]="","",(NOTA[[#This Row],[JUMLAH]]-NOTA[[#This Row],[DISC 1-]])*NOTA[[#This Row],[Column7]])</f>
        <v>0</v>
      </c>
      <c r="Y135" s="42">
        <f>IF(NOTA[[#This Row],[JUMLAH]]="","",(NOTA[[#This Row],[JUMLAH]]-NOTA[[#This Row],[DISC 1-]]-NOTA[[#This Row],[DISC 2-]])*NOTA[[#This Row],[Column8]])</f>
        <v>0</v>
      </c>
      <c r="Z135" s="42">
        <f>IF(NOTA[[#This Row],[JUMLAH]]="","",NOTA[[#This Row],[DISC 1-]]+NOTA[[#This Row],[DISC 2-]]+NOTA[[#This Row],[DISC 3-]])</f>
        <v>0</v>
      </c>
      <c r="AA135" s="42">
        <f>IF(NOTA[[#This Row],[JUMLAH]]="","",NOTA[[#This Row],[JUMLAH]]-NOTA[[#This Row],[DISC]])</f>
        <v>955000</v>
      </c>
      <c r="AB135" s="42"/>
      <c r="AC1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5" s="38">
        <f>IF(NOTA[[#This Row],[NAMA BARANG]]="","",IF(NOTA[[#This Row],[JUMLAH_H]]="",NOTA[[#This Row],[HARGA/ CTN]],NOTA[[#This Row],[QTY]]*NOTA[[#This Row],[HARGA SATUAN]]/IF(ISNUMBER(NOTA[[#This Row],[C]]),NOTA[[#This Row],[C]],1)))</f>
        <v>955000</v>
      </c>
      <c r="AF135" s="42">
        <f>IF(OR(NOTA[[#This Row],[QTY]]="",NOTA[[#This Row],[HARGA SATUAN]]="",),"",NOTA[[#This Row],[QTY]]*NOTA[[#This Row],[HARGA SATUAN]])</f>
        <v>955000</v>
      </c>
      <c r="AG135" s="36">
        <f ca="1">IF(NOTA[[#This Row],[ID_H]]="","",INDEX(NOTA[TANGGAL],MATCH(,INDIRECT(ADDRESS(ROW(NOTA[TANGGAL]),COLUMN(NOTA[TANGGAL]))&amp;":"&amp;ADDRESS(ROW(),COLUMN(NOTA[TANGGAL]))),-1)))</f>
        <v>45479</v>
      </c>
      <c r="AH135" s="36">
        <f ca="1">IF(NOTA[[#This Row],[ID_H]]="","",INDEX(NOTA[TGL.NOTA],MATCH(,INDIRECT(ADDRESS(ROW(NOTA[TGL.NOTA]),COLUMN(NOTA[TGL.NOTA]))&amp;":"&amp;ADDRESS(ROW(),COLUMN(NOTA[TGL.NOTA]))),-1)))</f>
        <v>45474</v>
      </c>
      <c r="AI135" s="36" t="str">
        <f ca="1">IF(NOTA[[#This Row],[ID_H]]="","",INDEX(NOTA[NO.NOTA],MATCH(NOTA[[#This Row],[ID_H]],NOTA[ID_H],0)))</f>
        <v>81127</v>
      </c>
      <c r="AJ135" s="38" t="str">
        <f ca="1">IF(NOTA[[#This Row],[NAMA BARANG]]="","",INDEX(NOTA[SUPPLIER],MATCH(,INDIRECT(ADDRESS(ROW(NOTA[ID]),COLUMN(NOTA[ID]))&amp;":"&amp;ADDRESS(ROW(),COLUMN(NOTA[ID]))),-1)))</f>
        <v>SINAR KOTA</v>
      </c>
      <c r="AK135" s="38" t="str">
        <f ca="1">IF(NOTA[[#This Row],[ID_H]]="","",IF(NOTA[[#This Row],[FAKTUR]]="",INDIRECT(ADDRESS(ROW()-1,COLUMN())),NOTA[[#This Row],[FAKTUR]]))</f>
        <v>UNTANA</v>
      </c>
      <c r="AL135" s="35" t="str">
        <f ca="1">IF(NOTA[[#This Row],[ID]]="","",COUNTIF(NOTA[ID_H],NOTA[[#This Row],[ID_H]]))</f>
        <v/>
      </c>
      <c r="AM135" s="35">
        <f ca="1">IF(NOTA[[#This Row],[TGL.NOTA]]="",IF(NOTA[[#This Row],[SUPPLIER_H]]="","",AM134),MONTH(NOTA[[#This Row],[TGL.NOTA]]))</f>
        <v>7</v>
      </c>
      <c r="AN135" s="35" t="str">
        <f>LOWER(SUBSTITUTE(SUBSTITUTE(SUBSTITUTE(SUBSTITUTE(SUBSTITUTE(SUBSTITUTE(SUBSTITUTE(SUBSTITUTE(SUBSTITUTE(NOTA[[#This Row],[NAMA BARANG]]," ",),".",""),"-",""),"(",""),")",""),",",""),"/",""),"""",""),"+",""))</f>
        <v>notebookaa092030929</v>
      </c>
      <c r="AO1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notebookaa092030929955000</v>
      </c>
      <c r="AP1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notebookaa0920309295000</v>
      </c>
      <c r="AQ1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5" s="35">
        <f>IF(NOTA[[#This Row],[CONCAT1]]="","",MATCH(NOTA[[#This Row],[CONCAT1]],[3]!db[NB NOTA_C],0))</f>
        <v>3459</v>
      </c>
      <c r="AS135" s="35" t="b">
        <f>IF(NOTA[[#This Row],[Column5]]="","",TRUE)</f>
        <v>1</v>
      </c>
      <c r="AT135" s="35" t="str">
        <f ca="1">IF(NOTA[[#This Row],[ID_H]]="","",IF(NOTA[[#This Row],[Column3]]=TRUE,NOTA[[#This Row],[Column5]],INDEX([3]!db[QTY/ CTN],NOTA[[#This Row],[//DB]])))</f>
        <v>200 PCS</v>
      </c>
      <c r="AU1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notebookaa092030929200pcsuntana</v>
      </c>
      <c r="AV135" s="35">
        <f ca="1">IF(NOTA[[#This Row],[ID_H]]="","",MATCH(NOTA[[#This Row],[NB NOTA_C_QTY]],[3]!db[NB NOTA_C_QTY+F],0))</f>
        <v>3459</v>
      </c>
      <c r="AW135" s="43">
        <f ca="1">IF(NOTA[[#This Row],[NB NOTA_C_QTY]]="","",ROW()-2)</f>
        <v>133</v>
      </c>
    </row>
    <row r="136" spans="1:49" ht="20.100000000000001" customHeight="1">
      <c r="A1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5">
        <f ca="1">IF(NOTA[[#This Row],[NAMA BARANG]]="","",INDEX(NOTA[ID],MATCH(,INDIRECT(ADDRESS(ROW(NOTA[ID]),COLUMN(NOTA[ID]))&amp;":"&amp;ADDRESS(ROW(),COLUMN(NOTA[ID]))),-1)))</f>
        <v>35</v>
      </c>
      <c r="C136" s="45"/>
      <c r="F136" s="46"/>
      <c r="G136" s="35"/>
      <c r="H136" s="36"/>
      <c r="I136" s="35"/>
      <c r="J136" s="35" t="s">
        <v>328</v>
      </c>
      <c r="K136" s="37">
        <v>1</v>
      </c>
      <c r="L136" s="35">
        <v>800</v>
      </c>
      <c r="M136" s="35" t="s">
        <v>51</v>
      </c>
      <c r="N136" s="38">
        <v>1500</v>
      </c>
      <c r="O136" s="39"/>
      <c r="P136" s="47" t="s">
        <v>309</v>
      </c>
      <c r="Q136" s="48"/>
      <c r="R136" s="41"/>
      <c r="T136" s="42"/>
      <c r="U136" s="44"/>
      <c r="V136" s="42">
        <f>IF(NOTA[[#This Row],[HARGA/ CTN]]="",NOTA[[#This Row],[JUMLAH_H]],NOTA[[#This Row],[HARGA/ CTN]]*IF(NOTA[[#This Row],[C]]="",0,NOTA[[#This Row],[C]]))</f>
        <v>1200000</v>
      </c>
      <c r="W136" s="42">
        <f>IF(NOTA[[#This Row],[JUMLAH]]="","",NOTA[[#This Row],[JUMLAH]]*NOTA[[#This Row],[Column6]])</f>
        <v>0</v>
      </c>
      <c r="X136" s="42">
        <f>IF(NOTA[[#This Row],[JUMLAH]]="","",(NOTA[[#This Row],[JUMLAH]]-NOTA[[#This Row],[DISC 1-]])*NOTA[[#This Row],[Column7]])</f>
        <v>0</v>
      </c>
      <c r="Y136" s="42">
        <f>IF(NOTA[[#This Row],[JUMLAH]]="","",(NOTA[[#This Row],[JUMLAH]]-NOTA[[#This Row],[DISC 1-]]-NOTA[[#This Row],[DISC 2-]])*NOTA[[#This Row],[Column8]])</f>
        <v>0</v>
      </c>
      <c r="Z136" s="42">
        <f>IF(NOTA[[#This Row],[JUMLAH]]="","",NOTA[[#This Row],[DISC 1-]]+NOTA[[#This Row],[DISC 2-]]+NOTA[[#This Row],[DISC 3-]])</f>
        <v>0</v>
      </c>
      <c r="AA136" s="42">
        <f>IF(NOTA[[#This Row],[JUMLAH]]="","",NOTA[[#This Row],[JUMLAH]]-NOTA[[#This Row],[DISC]])</f>
        <v>1200000</v>
      </c>
      <c r="AB136" s="42"/>
      <c r="AC1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6" s="38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36" s="42">
        <f>IF(OR(NOTA[[#This Row],[QTY]]="",NOTA[[#This Row],[HARGA SATUAN]]="",),"",NOTA[[#This Row],[QTY]]*NOTA[[#This Row],[HARGA SATUAN]])</f>
        <v>1200000</v>
      </c>
      <c r="AG136" s="36">
        <f ca="1">IF(NOTA[[#This Row],[ID_H]]="","",INDEX(NOTA[TANGGAL],MATCH(,INDIRECT(ADDRESS(ROW(NOTA[TANGGAL]),COLUMN(NOTA[TANGGAL]))&amp;":"&amp;ADDRESS(ROW(),COLUMN(NOTA[TANGGAL]))),-1)))</f>
        <v>45479</v>
      </c>
      <c r="AH136" s="36">
        <f ca="1">IF(NOTA[[#This Row],[ID_H]]="","",INDEX(NOTA[TGL.NOTA],MATCH(,INDIRECT(ADDRESS(ROW(NOTA[TGL.NOTA]),COLUMN(NOTA[TGL.NOTA]))&amp;":"&amp;ADDRESS(ROW(),COLUMN(NOTA[TGL.NOTA]))),-1)))</f>
        <v>45474</v>
      </c>
      <c r="AI136" s="36" t="str">
        <f ca="1">IF(NOTA[[#This Row],[ID_H]]="","",INDEX(NOTA[NO.NOTA],MATCH(NOTA[[#This Row],[ID_H]],NOTA[ID_H],0)))</f>
        <v>81127</v>
      </c>
      <c r="AJ136" s="38" t="str">
        <f ca="1">IF(NOTA[[#This Row],[NAMA BARANG]]="","",INDEX(NOTA[SUPPLIER],MATCH(,INDIRECT(ADDRESS(ROW(NOTA[ID]),COLUMN(NOTA[ID]))&amp;":"&amp;ADDRESS(ROW(),COLUMN(NOTA[ID]))),-1)))</f>
        <v>SINAR KOTA</v>
      </c>
      <c r="AK136" s="38" t="str">
        <f ca="1">IF(NOTA[[#This Row],[ID_H]]="","",IF(NOTA[[#This Row],[FAKTUR]]="",INDIRECT(ADDRESS(ROW()-1,COLUMN())),NOTA[[#This Row],[FAKTUR]]))</f>
        <v>UNTANA</v>
      </c>
      <c r="AL136" s="35" t="str">
        <f ca="1">IF(NOTA[[#This Row],[ID]]="","",COUNTIF(NOTA[ID_H],NOTA[[#This Row],[ID_H]]))</f>
        <v/>
      </c>
      <c r="AM136" s="35">
        <f ca="1">IF(NOTA[[#This Row],[TGL.NOTA]]="",IF(NOTA[[#This Row],[SUPPLIER_H]]="","",AM135),MONTH(NOTA[[#This Row],[TGL.NOTA]]))</f>
        <v>7</v>
      </c>
      <c r="AN136" s="35" t="str">
        <f>LOWER(SUBSTITUTE(SUBSTITUTE(SUBSTITUTE(SUBSTITUTE(SUBSTITUTE(SUBSTITUTE(SUBSTITUTE(SUBSTITUTE(SUBSTITUTE(NOTA[[#This Row],[NAMA BARANG]]," ",),".",""),"-",""),"(",""),")",""),",",""),"/",""),"""",""),"+",""))</f>
        <v>diariring272274</v>
      </c>
      <c r="AO1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diariring2722741200000</v>
      </c>
      <c r="AP1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diariring2722741200000</v>
      </c>
      <c r="AQ1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6" s="35">
        <f>IF(NOTA[[#This Row],[CONCAT1]]="","",MATCH(NOTA[[#This Row],[CONCAT1]],[3]!db[NB NOTA_C],0))</f>
        <v>3460</v>
      </c>
      <c r="AS136" s="35" t="b">
        <f>IF(NOTA[[#This Row],[Column5]]="","",TRUE)</f>
        <v>1</v>
      </c>
      <c r="AT136" s="35" t="str">
        <f ca="1">IF(NOTA[[#This Row],[ID_H]]="","",IF(NOTA[[#This Row],[Column3]]=TRUE,NOTA[[#This Row],[Column5]],INDEX([3]!db[QTY/ CTN],NOTA[[#This Row],[//DB]])))</f>
        <v>800 PCS</v>
      </c>
      <c r="AU1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diariring272274800pcsuntana</v>
      </c>
      <c r="AV136" s="35">
        <f ca="1">IF(NOTA[[#This Row],[ID_H]]="","",MATCH(NOTA[[#This Row],[NB NOTA_C_QTY]],[3]!db[NB NOTA_C_QTY+F],0))</f>
        <v>3460</v>
      </c>
      <c r="AW136" s="43">
        <f ca="1">IF(NOTA[[#This Row],[NB NOTA_C_QTY]]="","",ROW()-2)</f>
        <v>134</v>
      </c>
    </row>
    <row r="137" spans="1:49" ht="20.100000000000001" customHeight="1">
      <c r="A1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5">
        <f ca="1">IF(NOTA[[#This Row],[NAMA BARANG]]="","",INDEX(NOTA[ID],MATCH(,INDIRECT(ADDRESS(ROW(NOTA[ID]),COLUMN(NOTA[ID]))&amp;":"&amp;ADDRESS(ROW(),COLUMN(NOTA[ID]))),-1)))</f>
        <v>35</v>
      </c>
      <c r="C137" s="45"/>
      <c r="F137" s="46"/>
      <c r="G137" s="35"/>
      <c r="H137" s="36"/>
      <c r="I137" s="35"/>
      <c r="J137" s="35" t="s">
        <v>328</v>
      </c>
      <c r="K137" s="37"/>
      <c r="L137" s="35">
        <v>725</v>
      </c>
      <c r="M137" s="35" t="s">
        <v>51</v>
      </c>
      <c r="N137" s="38">
        <v>1500</v>
      </c>
      <c r="O137" s="39"/>
      <c r="P137" s="47" t="s">
        <v>309</v>
      </c>
      <c r="Q137" s="48"/>
      <c r="R137" s="41"/>
      <c r="T137" s="42"/>
      <c r="U137" s="44"/>
      <c r="V137" s="42">
        <f>IF(NOTA[[#This Row],[HARGA/ CTN]]="",NOTA[[#This Row],[JUMLAH_H]],NOTA[[#This Row],[HARGA/ CTN]]*IF(NOTA[[#This Row],[C]]="",0,NOTA[[#This Row],[C]]))</f>
        <v>1087500</v>
      </c>
      <c r="W137" s="42">
        <f>IF(NOTA[[#This Row],[JUMLAH]]="","",NOTA[[#This Row],[JUMLAH]]*NOTA[[#This Row],[Column6]])</f>
        <v>0</v>
      </c>
      <c r="X137" s="42">
        <f>IF(NOTA[[#This Row],[JUMLAH]]="","",(NOTA[[#This Row],[JUMLAH]]-NOTA[[#This Row],[DISC 1-]])*NOTA[[#This Row],[Column7]])</f>
        <v>0</v>
      </c>
      <c r="Y137" s="42">
        <f>IF(NOTA[[#This Row],[JUMLAH]]="","",(NOTA[[#This Row],[JUMLAH]]-NOTA[[#This Row],[DISC 1-]]-NOTA[[#This Row],[DISC 2-]])*NOTA[[#This Row],[Column8]])</f>
        <v>0</v>
      </c>
      <c r="Z137" s="42">
        <f>IF(NOTA[[#This Row],[JUMLAH]]="","",NOTA[[#This Row],[DISC 1-]]+NOTA[[#This Row],[DISC 2-]]+NOTA[[#This Row],[DISC 3-]])</f>
        <v>0</v>
      </c>
      <c r="AA137" s="42">
        <f>IF(NOTA[[#This Row],[JUMLAH]]="","",NOTA[[#This Row],[JUMLAH]]-NOTA[[#This Row],[DISC]])</f>
        <v>1087500</v>
      </c>
      <c r="AB137" s="42"/>
      <c r="AC13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3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46278500</v>
      </c>
      <c r="AE137" s="38">
        <f>IF(NOTA[[#This Row],[NAMA BARANG]]="","",IF(NOTA[[#This Row],[JUMLAH_H]]="",NOTA[[#This Row],[HARGA/ CTN]],NOTA[[#This Row],[QTY]]*NOTA[[#This Row],[HARGA SATUAN]]/IF(ISNUMBER(NOTA[[#This Row],[C]]),NOTA[[#This Row],[C]],1)))</f>
        <v>1087500</v>
      </c>
      <c r="AF137" s="42">
        <f>IF(OR(NOTA[[#This Row],[QTY]]="",NOTA[[#This Row],[HARGA SATUAN]]="",),"",NOTA[[#This Row],[QTY]]*NOTA[[#This Row],[HARGA SATUAN]])</f>
        <v>1087500</v>
      </c>
      <c r="AG137" s="36">
        <f ca="1">IF(NOTA[[#This Row],[ID_H]]="","",INDEX(NOTA[TANGGAL],MATCH(,INDIRECT(ADDRESS(ROW(NOTA[TANGGAL]),COLUMN(NOTA[TANGGAL]))&amp;":"&amp;ADDRESS(ROW(),COLUMN(NOTA[TANGGAL]))),-1)))</f>
        <v>45479</v>
      </c>
      <c r="AH137" s="36">
        <f ca="1">IF(NOTA[[#This Row],[ID_H]]="","",INDEX(NOTA[TGL.NOTA],MATCH(,INDIRECT(ADDRESS(ROW(NOTA[TGL.NOTA]),COLUMN(NOTA[TGL.NOTA]))&amp;":"&amp;ADDRESS(ROW(),COLUMN(NOTA[TGL.NOTA]))),-1)))</f>
        <v>45474</v>
      </c>
      <c r="AI137" s="36" t="str">
        <f ca="1">IF(NOTA[[#This Row],[ID_H]]="","",INDEX(NOTA[NO.NOTA],MATCH(NOTA[[#This Row],[ID_H]],NOTA[ID_H],0)))</f>
        <v>81127</v>
      </c>
      <c r="AJ137" s="38" t="str">
        <f ca="1">IF(NOTA[[#This Row],[NAMA BARANG]]="","",INDEX(NOTA[SUPPLIER],MATCH(,INDIRECT(ADDRESS(ROW(NOTA[ID]),COLUMN(NOTA[ID]))&amp;":"&amp;ADDRESS(ROW(),COLUMN(NOTA[ID]))),-1)))</f>
        <v>SINAR KOTA</v>
      </c>
      <c r="AK137" s="38" t="str">
        <f ca="1">IF(NOTA[[#This Row],[ID_H]]="","",IF(NOTA[[#This Row],[FAKTUR]]="",INDIRECT(ADDRESS(ROW()-1,COLUMN())),NOTA[[#This Row],[FAKTUR]]))</f>
        <v>UNTANA</v>
      </c>
      <c r="AL137" s="35" t="str">
        <f ca="1">IF(NOTA[[#This Row],[ID]]="","",COUNTIF(NOTA[ID_H],NOTA[[#This Row],[ID_H]]))</f>
        <v/>
      </c>
      <c r="AM137" s="35">
        <f ca="1">IF(NOTA[[#This Row],[TGL.NOTA]]="",IF(NOTA[[#This Row],[SUPPLIER_H]]="","",AM136),MONTH(NOTA[[#This Row],[TGL.NOTA]]))</f>
        <v>7</v>
      </c>
      <c r="AN137" s="35" t="str">
        <f>LOWER(SUBSTITUTE(SUBSTITUTE(SUBSTITUTE(SUBSTITUTE(SUBSTITUTE(SUBSTITUTE(SUBSTITUTE(SUBSTITUTE(SUBSTITUTE(NOTA[[#This Row],[NAMA BARANG]]," ",),".",""),"-",""),"(",""),")",""),",",""),"/",""),"""",""),"+",""))</f>
        <v>diariring272274</v>
      </c>
      <c r="AO1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diariring2722741087500</v>
      </c>
      <c r="AP1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diariring2722741500</v>
      </c>
      <c r="AQ1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7" s="35">
        <f>IF(NOTA[[#This Row],[CONCAT1]]="","",MATCH(NOTA[[#This Row],[CONCAT1]],[3]!db[NB NOTA_C],0))</f>
        <v>3460</v>
      </c>
      <c r="AS137" s="35" t="b">
        <f>IF(NOTA[[#This Row],[Column5]]="","",TRUE)</f>
        <v>1</v>
      </c>
      <c r="AT137" s="35" t="str">
        <f ca="1">IF(NOTA[[#This Row],[ID_H]]="","",IF(NOTA[[#This Row],[Column3]]=TRUE,NOTA[[#This Row],[Column5]],INDEX([3]!db[QTY/ CTN],NOTA[[#This Row],[//DB]])))</f>
        <v>800 PCS</v>
      </c>
      <c r="AU1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diariring272274800pcsuntana</v>
      </c>
      <c r="AV137" s="35">
        <f ca="1">IF(NOTA[[#This Row],[ID_H]]="","",MATCH(NOTA[[#This Row],[NB NOTA_C_QTY]],[3]!db[NB NOTA_C_QTY+F],0))</f>
        <v>3460</v>
      </c>
      <c r="AW137" s="43">
        <f ca="1">IF(NOTA[[#This Row],[NB NOTA_C_QTY]]="","",ROW()-2)</f>
        <v>135</v>
      </c>
    </row>
    <row r="138" spans="1:49" ht="20.100000000000001" customHeight="1">
      <c r="A1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5" t="str">
        <f ca="1">IF(NOTA[[#This Row],[NAMA BARANG]]="","",INDEX(NOTA[ID],MATCH(,INDIRECT(ADDRESS(ROW(NOTA[ID]),COLUMN(NOTA[ID]))&amp;":"&amp;ADDRESS(ROW(),COLUMN(NOTA[ID]))),-1)))</f>
        <v/>
      </c>
      <c r="C138" s="45"/>
      <c r="F138" s="46"/>
      <c r="G138" s="35"/>
      <c r="H138" s="36"/>
      <c r="I138" s="35"/>
      <c r="K138" s="37"/>
      <c r="L138" s="35"/>
      <c r="N138" s="38"/>
      <c r="O138" s="39"/>
      <c r="P138" s="47"/>
      <c r="Q138" s="48"/>
      <c r="R138" s="41"/>
      <c r="T138" s="42"/>
      <c r="U138" s="44"/>
      <c r="V138" s="42" t="str">
        <f>IF(NOTA[[#This Row],[HARGA/ CTN]]="",NOTA[[#This Row],[JUMLAH_H]],NOTA[[#This Row],[HARGA/ CTN]]*IF(NOTA[[#This Row],[C]]="",0,NOTA[[#This Row],[C]]))</f>
        <v/>
      </c>
      <c r="W138" s="42" t="str">
        <f>IF(NOTA[[#This Row],[JUMLAH]]="","",NOTA[[#This Row],[JUMLAH]]*NOTA[[#This Row],[Column6]])</f>
        <v/>
      </c>
      <c r="X138" s="42" t="str">
        <f>IF(NOTA[[#This Row],[JUMLAH]]="","",(NOTA[[#This Row],[JUMLAH]]-NOTA[[#This Row],[DISC 1-]])*NOTA[[#This Row],[Column7]])</f>
        <v/>
      </c>
      <c r="Y138" s="42" t="str">
        <f>IF(NOTA[[#This Row],[JUMLAH]]="","",(NOTA[[#This Row],[JUMLAH]]-NOTA[[#This Row],[DISC 1-]]-NOTA[[#This Row],[DISC 2-]])*NOTA[[#This Row],[Column8]])</f>
        <v/>
      </c>
      <c r="Z138" s="42" t="str">
        <f>IF(NOTA[[#This Row],[JUMLAH]]="","",NOTA[[#This Row],[DISC 1-]]+NOTA[[#This Row],[DISC 2-]]+NOTA[[#This Row],[DISC 3-]])</f>
        <v/>
      </c>
      <c r="AA138" s="42" t="str">
        <f>IF(NOTA[[#This Row],[JUMLAH]]="","",NOTA[[#This Row],[JUMLAH]]-NOTA[[#This Row],[DISC]])</f>
        <v/>
      </c>
      <c r="AB138" s="42"/>
      <c r="AC1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8" s="42" t="str">
        <f>IF(OR(NOTA[[#This Row],[QTY]]="",NOTA[[#This Row],[HARGA SATUAN]]="",),"",NOTA[[#This Row],[QTY]]*NOTA[[#This Row],[HARGA SATUAN]])</f>
        <v/>
      </c>
      <c r="AG138" s="36" t="str">
        <f ca="1">IF(NOTA[[#This Row],[ID_H]]="","",INDEX(NOTA[TANGGAL],MATCH(,INDIRECT(ADDRESS(ROW(NOTA[TANGGAL]),COLUMN(NOTA[TANGGAL]))&amp;":"&amp;ADDRESS(ROW(),COLUMN(NOTA[TANGGAL]))),-1)))</f>
        <v/>
      </c>
      <c r="AH138" s="36" t="str">
        <f ca="1">IF(NOTA[[#This Row],[ID_H]]="","",INDEX(NOTA[TGL.NOTA],MATCH(,INDIRECT(ADDRESS(ROW(NOTA[TGL.NOTA]),COLUMN(NOTA[TGL.NOTA]))&amp;":"&amp;ADDRESS(ROW(),COLUMN(NOTA[TGL.NOTA]))),-1)))</f>
        <v/>
      </c>
      <c r="AI138" s="36" t="str">
        <f ca="1">IF(NOTA[[#This Row],[ID_H]]="","",INDEX(NOTA[NO.NOTA],MATCH(NOTA[[#This Row],[ID_H]],NOTA[ID_H],0)))</f>
        <v/>
      </c>
      <c r="AJ138" s="38" t="str">
        <f ca="1">IF(NOTA[[#This Row],[NAMA BARANG]]="","",INDEX(NOTA[SUPPLIER],MATCH(,INDIRECT(ADDRESS(ROW(NOTA[ID]),COLUMN(NOTA[ID]))&amp;":"&amp;ADDRESS(ROW(),COLUMN(NOTA[ID]))),-1)))</f>
        <v/>
      </c>
      <c r="AK138" s="38" t="str">
        <f ca="1">IF(NOTA[[#This Row],[ID_H]]="","",IF(NOTA[[#This Row],[FAKTUR]]="",INDIRECT(ADDRESS(ROW()-1,COLUMN())),NOTA[[#This Row],[FAKTUR]]))</f>
        <v/>
      </c>
      <c r="AL138" s="35" t="str">
        <f ca="1">IF(NOTA[[#This Row],[ID]]="","",COUNTIF(NOTA[ID_H],NOTA[[#This Row],[ID_H]]))</f>
        <v/>
      </c>
      <c r="AM138" s="35" t="str">
        <f ca="1">IF(NOTA[[#This Row],[TGL.NOTA]]="",IF(NOTA[[#This Row],[SUPPLIER_H]]="","",AM137),MONTH(NOTA[[#This Row],[TGL.NOTA]]))</f>
        <v/>
      </c>
      <c r="AN1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8" s="35" t="str">
        <f>IF(NOTA[[#This Row],[CONCAT1]]="","",MATCH(NOTA[[#This Row],[CONCAT1]],[3]!db[NB NOTA_C],0))</f>
        <v/>
      </c>
      <c r="AS138" s="35" t="str">
        <f>IF(NOTA[[#This Row],[Column5]]="","",TRUE)</f>
        <v/>
      </c>
      <c r="AT138" s="35" t="str">
        <f ca="1">IF(NOTA[[#This Row],[ID_H]]="","",IF(NOTA[[#This Row],[Column3]]=TRUE,NOTA[[#This Row],[Column5]],INDEX([3]!db[QTY/ CTN],NOTA[[#This Row],[//DB]])))</f>
        <v/>
      </c>
      <c r="AU1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38" s="35" t="str">
        <f ca="1">IF(NOTA[[#This Row],[ID_H]]="","",MATCH(NOTA[[#This Row],[NB NOTA_C_QTY]],[3]!db[NB NOTA_C_QTY+F],0))</f>
        <v/>
      </c>
      <c r="AW138" s="43" t="str">
        <f ca="1">IF(NOTA[[#This Row],[NB NOTA_C_QTY]]="","",ROW()-2)</f>
        <v/>
      </c>
    </row>
    <row r="139" spans="1:49" ht="20.100000000000001" customHeight="1">
      <c r="A139" s="38">
        <f ca="1">IF(INDIRECT(ADDRESS(ROW()-1,COLUMN(NOTA[[#Headers],[ID]])))="ID",1,IF(NOTA[[#This Row],[FAKTUR]]="","",COUNT(INDIRECT(ADDRESS(ROW(NOTA[ID]),COLUMN(NOTA[ID]))&amp;":"&amp;ADDRESS(ROW()-1,COLUMN(NOTA[ID]))))+1))</f>
        <v>36</v>
      </c>
      <c r="B139" s="35">
        <f ca="1">IF(NOTA[[#This Row],[NAMA BARANG]]="","",INDEX(NOTA[ID],MATCH(,INDIRECT(ADDRESS(ROW(NOTA[ID]),COLUMN(NOTA[ID]))&amp;":"&amp;ADDRESS(ROW(),COLUMN(NOTA[ID]))),-1)))</f>
        <v>36</v>
      </c>
      <c r="C139" s="45">
        <v>45485</v>
      </c>
      <c r="D139" s="35" t="s">
        <v>77</v>
      </c>
      <c r="E139" s="35" t="s">
        <v>49</v>
      </c>
      <c r="F139" s="46" t="s">
        <v>310</v>
      </c>
      <c r="G139" s="35"/>
      <c r="H139" s="36">
        <v>45485</v>
      </c>
      <c r="I139" s="35"/>
      <c r="J139" s="35" t="s">
        <v>221</v>
      </c>
      <c r="K139" s="37"/>
      <c r="L139" s="35">
        <v>2</v>
      </c>
      <c r="M139" s="35" t="s">
        <v>50</v>
      </c>
      <c r="N139" s="38">
        <v>180000</v>
      </c>
      <c r="O139" s="39"/>
      <c r="P139" s="47" t="s">
        <v>78</v>
      </c>
      <c r="Q139" s="48"/>
      <c r="R139" s="41"/>
      <c r="T139" s="42"/>
      <c r="U139" s="44"/>
      <c r="V139" s="42">
        <f>IF(NOTA[[#This Row],[HARGA/ CTN]]="",NOTA[[#This Row],[JUMLAH_H]],NOTA[[#This Row],[HARGA/ CTN]]*IF(NOTA[[#This Row],[C]]="",0,NOTA[[#This Row],[C]]))</f>
        <v>360000</v>
      </c>
      <c r="W139" s="42">
        <f>IF(NOTA[[#This Row],[JUMLAH]]="","",NOTA[[#This Row],[JUMLAH]]*NOTA[[#This Row],[Column6]])</f>
        <v>0</v>
      </c>
      <c r="X139" s="42">
        <f>IF(NOTA[[#This Row],[JUMLAH]]="","",(NOTA[[#This Row],[JUMLAH]]-NOTA[[#This Row],[DISC 1-]])*NOTA[[#This Row],[Column7]])</f>
        <v>0</v>
      </c>
      <c r="Y139" s="42">
        <f>IF(NOTA[[#This Row],[JUMLAH]]="","",(NOTA[[#This Row],[JUMLAH]]-NOTA[[#This Row],[DISC 1-]]-NOTA[[#This Row],[DISC 2-]])*NOTA[[#This Row],[Column8]])</f>
        <v>0</v>
      </c>
      <c r="Z139" s="42">
        <f>IF(NOTA[[#This Row],[JUMLAH]]="","",NOTA[[#This Row],[DISC 1-]]+NOTA[[#This Row],[DISC 2-]]+NOTA[[#This Row],[DISC 3-]])</f>
        <v>0</v>
      </c>
      <c r="AA139" s="42">
        <f>IF(NOTA[[#This Row],[JUMLAH]]="","",NOTA[[#This Row],[JUMLAH]]-NOTA[[#This Row],[DISC]])</f>
        <v>360000</v>
      </c>
      <c r="AB139" s="42"/>
      <c r="AC1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39" s="38">
        <f>IF(NOTA[[#This Row],[NAMA BARANG]]="","",IF(NOTA[[#This Row],[JUMLAH_H]]="",NOTA[[#This Row],[HARGA/ CTN]],NOTA[[#This Row],[QTY]]*NOTA[[#This Row],[HARGA SATUAN]]/IF(ISNUMBER(NOTA[[#This Row],[C]]),NOTA[[#This Row],[C]],1)))</f>
        <v>360000</v>
      </c>
      <c r="AF139" s="42">
        <f>IF(OR(NOTA[[#This Row],[QTY]]="",NOTA[[#This Row],[HARGA SATUAN]]="",),"",NOTA[[#This Row],[QTY]]*NOTA[[#This Row],[HARGA SATUAN]])</f>
        <v>360000</v>
      </c>
      <c r="AG139" s="36">
        <f ca="1">IF(NOTA[[#This Row],[ID_H]]="","",INDEX(NOTA[TANGGAL],MATCH(,INDIRECT(ADDRESS(ROW(NOTA[TANGGAL]),COLUMN(NOTA[TANGGAL]))&amp;":"&amp;ADDRESS(ROW(),COLUMN(NOTA[TANGGAL]))),-1)))</f>
        <v>45485</v>
      </c>
      <c r="AH139" s="36">
        <f ca="1">IF(NOTA[[#This Row],[ID_H]]="","",INDEX(NOTA[TGL.NOTA],MATCH(,INDIRECT(ADDRESS(ROW(NOTA[TGL.NOTA]),COLUMN(NOTA[TGL.NOTA]))&amp;":"&amp;ADDRESS(ROW(),COLUMN(NOTA[TGL.NOTA]))),-1)))</f>
        <v>45485</v>
      </c>
      <c r="AI139" s="36" t="str">
        <f ca="1">IF(NOTA[[#This Row],[ID_H]]="","",INDEX(NOTA[NO.NOTA],MATCH(NOTA[[#This Row],[ID_H]],NOTA[ID_H],0)))</f>
        <v>0724</v>
      </c>
      <c r="AJ139" s="38" t="str">
        <f ca="1">IF(NOTA[[#This Row],[NAMA BARANG]]="","",INDEX(NOTA[SUPPLIER],MATCH(,INDIRECT(ADDRESS(ROW(NOTA[ID]),COLUMN(NOTA[ID]))&amp;":"&amp;ADDRESS(ROW(),COLUMN(NOTA[ID]))),-1)))</f>
        <v>COMBI</v>
      </c>
      <c r="AK139" s="38" t="str">
        <f ca="1">IF(NOTA[[#This Row],[ID_H]]="","",IF(NOTA[[#This Row],[FAKTUR]]="",INDIRECT(ADDRESS(ROW()-1,COLUMN())),NOTA[[#This Row],[FAKTUR]]))</f>
        <v>UNTANA</v>
      </c>
      <c r="AL139" s="35">
        <f ca="1">IF(NOTA[[#This Row],[ID]]="","",COUNTIF(NOTA[ID_H],NOTA[[#This Row],[ID_H]]))</f>
        <v>2</v>
      </c>
      <c r="AM139" s="35">
        <f>IF(NOTA[[#This Row],[TGL.NOTA]]="",IF(NOTA[[#This Row],[SUPPLIER_H]]="","",AM138),MONTH(NOTA[[#This Row],[TGL.NOTA]]))</f>
        <v>7</v>
      </c>
      <c r="AN139" s="3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O1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docritinfinity360000</v>
      </c>
      <c r="AP1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docritinfinity180000</v>
      </c>
      <c r="AQ139" s="35" t="str">
        <f>IF(NOTA[[#This Row],[SUPPLIER]]="","",NOTA[[#This Row],[SUPPLIER]]&amp;NOTA[[#This Row],[FAKTUR]]&amp;NOTA[[#This Row],[NO.NOTA]]&amp;NOTA[[#This Row],[NO.SJ]]&amp;NOTA[[#This Row],[TGL.NOTA]]&amp;NOTA[[#This Row],[CONCAT1]])</f>
        <v>COMBIUNTANA072445485docritinfinity</v>
      </c>
      <c r="AR139" s="35">
        <f>IF(NOTA[[#This Row],[CONCAT1]]="","",MATCH(NOTA[[#This Row],[CONCAT1]],[3]!db[NB NOTA_C],0))</f>
        <v>865</v>
      </c>
      <c r="AS139" s="35" t="b">
        <f>IF(NOTA[[#This Row],[Column5]]="","",TRUE)</f>
        <v>1</v>
      </c>
      <c r="AT139" s="35" t="str">
        <f ca="1">IF(NOTA[[#This Row],[ID_H]]="","",IF(NOTA[[#This Row],[Column3]]=TRUE,NOTA[[#This Row],[Column5]],INDEX([3]!db[QTY/ CTN],NOTA[[#This Row],[//DB]])))</f>
        <v>8 LSN</v>
      </c>
      <c r="AU1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V139" s="35">
        <f ca="1">IF(NOTA[[#This Row],[ID_H]]="","",MATCH(NOTA[[#This Row],[NB NOTA_C_QTY]],[3]!db[NB NOTA_C_QTY+F],0))</f>
        <v>865</v>
      </c>
      <c r="AW139" s="43">
        <f ca="1">IF(NOTA[[#This Row],[NB NOTA_C_QTY]]="","",ROW()-2)</f>
        <v>137</v>
      </c>
    </row>
    <row r="140" spans="1:49" ht="20.100000000000001" customHeight="1">
      <c r="A1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5">
        <f ca="1">IF(NOTA[[#This Row],[NAMA BARANG]]="","",INDEX(NOTA[ID],MATCH(,INDIRECT(ADDRESS(ROW(NOTA[ID]),COLUMN(NOTA[ID]))&amp;":"&amp;ADDRESS(ROW(),COLUMN(NOTA[ID]))),-1)))</f>
        <v>36</v>
      </c>
      <c r="C140" s="45"/>
      <c r="F140" s="46"/>
      <c r="G140" s="35"/>
      <c r="H140" s="36"/>
      <c r="I140" s="35"/>
      <c r="J140" s="35" t="s">
        <v>221</v>
      </c>
      <c r="K140" s="37"/>
      <c r="L140" s="35">
        <v>8</v>
      </c>
      <c r="M140" s="35" t="s">
        <v>50</v>
      </c>
      <c r="N140" s="38">
        <v>180000</v>
      </c>
      <c r="O140" s="39"/>
      <c r="P140" s="47" t="s">
        <v>311</v>
      </c>
      <c r="Q140" s="48"/>
      <c r="R140" s="41"/>
      <c r="T140" s="42"/>
      <c r="U140" s="44"/>
      <c r="V140" s="42">
        <f>IF(NOTA[[#This Row],[HARGA/ CTN]]="",NOTA[[#This Row],[JUMLAH_H]],NOTA[[#This Row],[HARGA/ CTN]]*IF(NOTA[[#This Row],[C]]="",0,NOTA[[#This Row],[C]]))</f>
        <v>1440000</v>
      </c>
      <c r="W140" s="42">
        <f>IF(NOTA[[#This Row],[JUMLAH]]="","",NOTA[[#This Row],[JUMLAH]]*NOTA[[#This Row],[Column6]])</f>
        <v>0</v>
      </c>
      <c r="X140" s="42">
        <f>IF(NOTA[[#This Row],[JUMLAH]]="","",(NOTA[[#This Row],[JUMLAH]]-NOTA[[#This Row],[DISC 1-]])*NOTA[[#This Row],[Column7]])</f>
        <v>0</v>
      </c>
      <c r="Y140" s="42">
        <f>IF(NOTA[[#This Row],[JUMLAH]]="","",(NOTA[[#This Row],[JUMLAH]]-NOTA[[#This Row],[DISC 1-]]-NOTA[[#This Row],[DISC 2-]])*NOTA[[#This Row],[Column8]])</f>
        <v>0</v>
      </c>
      <c r="Z140" s="42">
        <f>IF(NOTA[[#This Row],[JUMLAH]]="","",NOTA[[#This Row],[DISC 1-]]+NOTA[[#This Row],[DISC 2-]]+NOTA[[#This Row],[DISC 3-]])</f>
        <v>0</v>
      </c>
      <c r="AA140" s="42">
        <f>IF(NOTA[[#This Row],[JUMLAH]]="","",NOTA[[#This Row],[JUMLAH]]-NOTA[[#This Row],[DISC]])</f>
        <v>1440000</v>
      </c>
      <c r="AB140" s="42"/>
      <c r="AC14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1800000</v>
      </c>
      <c r="AE140" s="3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40" s="42">
        <f>IF(OR(NOTA[[#This Row],[QTY]]="",NOTA[[#This Row],[HARGA SATUAN]]="",),"",NOTA[[#This Row],[QTY]]*NOTA[[#This Row],[HARGA SATUAN]])</f>
        <v>1440000</v>
      </c>
      <c r="AG140" s="36">
        <f ca="1">IF(NOTA[[#This Row],[ID_H]]="","",INDEX(NOTA[TANGGAL],MATCH(,INDIRECT(ADDRESS(ROW(NOTA[TANGGAL]),COLUMN(NOTA[TANGGAL]))&amp;":"&amp;ADDRESS(ROW(),COLUMN(NOTA[TANGGAL]))),-1)))</f>
        <v>45485</v>
      </c>
      <c r="AH140" s="36">
        <f ca="1">IF(NOTA[[#This Row],[ID_H]]="","",INDEX(NOTA[TGL.NOTA],MATCH(,INDIRECT(ADDRESS(ROW(NOTA[TGL.NOTA]),COLUMN(NOTA[TGL.NOTA]))&amp;":"&amp;ADDRESS(ROW(),COLUMN(NOTA[TGL.NOTA]))),-1)))</f>
        <v>45485</v>
      </c>
      <c r="AI140" s="36" t="str">
        <f ca="1">IF(NOTA[[#This Row],[ID_H]]="","",INDEX(NOTA[NO.NOTA],MATCH(NOTA[[#This Row],[ID_H]],NOTA[ID_H],0)))</f>
        <v>0724</v>
      </c>
      <c r="AJ140" s="38" t="str">
        <f ca="1">IF(NOTA[[#This Row],[NAMA BARANG]]="","",INDEX(NOTA[SUPPLIER],MATCH(,INDIRECT(ADDRESS(ROW(NOTA[ID]),COLUMN(NOTA[ID]))&amp;":"&amp;ADDRESS(ROW(),COLUMN(NOTA[ID]))),-1)))</f>
        <v>COMBI</v>
      </c>
      <c r="AK140" s="38" t="str">
        <f ca="1">IF(NOTA[[#This Row],[ID_H]]="","",IF(NOTA[[#This Row],[FAKTUR]]="",INDIRECT(ADDRESS(ROW()-1,COLUMN())),NOTA[[#This Row],[FAKTUR]]))</f>
        <v>UNTANA</v>
      </c>
      <c r="AL140" s="35" t="str">
        <f ca="1">IF(NOTA[[#This Row],[ID]]="","",COUNTIF(NOTA[ID_H],NOTA[[#This Row],[ID_H]]))</f>
        <v/>
      </c>
      <c r="AM140" s="35">
        <f ca="1">IF(NOTA[[#This Row],[TGL.NOTA]]="",IF(NOTA[[#This Row],[SUPPLIER_H]]="","",AM139),MONTH(NOTA[[#This Row],[TGL.NOTA]]))</f>
        <v>7</v>
      </c>
      <c r="AN140" s="3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O1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docritinfinity1440000</v>
      </c>
      <c r="AP1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docritinfinity180000</v>
      </c>
      <c r="AQ1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0" s="35">
        <f>IF(NOTA[[#This Row],[CONCAT1]]="","",MATCH(NOTA[[#This Row],[CONCAT1]],[3]!db[NB NOTA_C],0))</f>
        <v>865</v>
      </c>
      <c r="AS140" s="35" t="b">
        <f>IF(NOTA[[#This Row],[Column5]]="","",TRUE)</f>
        <v>1</v>
      </c>
      <c r="AT140" s="35" t="str">
        <f ca="1">IF(NOTA[[#This Row],[ID_H]]="","",IF(NOTA[[#This Row],[Column3]]=TRUE,NOTA[[#This Row],[Column5]],INDEX([3]!db[QTY/ CTN],NOTA[[#This Row],[//DB]])))</f>
        <v xml:space="preserve"> 8 LSN</v>
      </c>
      <c r="AU1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V140" s="35">
        <f ca="1">IF(NOTA[[#This Row],[ID_H]]="","",MATCH(NOTA[[#This Row],[NB NOTA_C_QTY]],[3]!db[NB NOTA_C_QTY+F],0))</f>
        <v>865</v>
      </c>
      <c r="AW140" s="43">
        <f ca="1">IF(NOTA[[#This Row],[NB NOTA_C_QTY]]="","",ROW()-2)</f>
        <v>138</v>
      </c>
    </row>
    <row r="141" spans="1:49" ht="20.100000000000001" customHeight="1">
      <c r="A1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5" t="str">
        <f ca="1">IF(NOTA[[#This Row],[NAMA BARANG]]="","",INDEX(NOTA[ID],MATCH(,INDIRECT(ADDRESS(ROW(NOTA[ID]),COLUMN(NOTA[ID]))&amp;":"&amp;ADDRESS(ROW(),COLUMN(NOTA[ID]))),-1)))</f>
        <v/>
      </c>
      <c r="C141" s="45"/>
      <c r="F141" s="46"/>
      <c r="G141" s="35"/>
      <c r="H141" s="36"/>
      <c r="I141" s="35"/>
      <c r="K141" s="37"/>
      <c r="L141" s="35"/>
      <c r="N141" s="38"/>
      <c r="O141" s="39"/>
      <c r="P141" s="47"/>
      <c r="Q141" s="48"/>
      <c r="R141" s="41"/>
      <c r="T141" s="42"/>
      <c r="U141" s="44"/>
      <c r="V141" s="42" t="str">
        <f>IF(NOTA[[#This Row],[HARGA/ CTN]]="",NOTA[[#This Row],[JUMLAH_H]],NOTA[[#This Row],[HARGA/ CTN]]*IF(NOTA[[#This Row],[C]]="",0,NOTA[[#This Row],[C]]))</f>
        <v/>
      </c>
      <c r="W141" s="42" t="str">
        <f>IF(NOTA[[#This Row],[JUMLAH]]="","",NOTA[[#This Row],[JUMLAH]]*NOTA[[#This Row],[Column6]])</f>
        <v/>
      </c>
      <c r="X141" s="42" t="str">
        <f>IF(NOTA[[#This Row],[JUMLAH]]="","",(NOTA[[#This Row],[JUMLAH]]-NOTA[[#This Row],[DISC 1-]])*NOTA[[#This Row],[Column7]])</f>
        <v/>
      </c>
      <c r="Y141" s="42" t="str">
        <f>IF(NOTA[[#This Row],[JUMLAH]]="","",(NOTA[[#This Row],[JUMLAH]]-NOTA[[#This Row],[DISC 1-]]-NOTA[[#This Row],[DISC 2-]])*NOTA[[#This Row],[Column8]])</f>
        <v/>
      </c>
      <c r="Z141" s="42" t="str">
        <f>IF(NOTA[[#This Row],[JUMLAH]]="","",NOTA[[#This Row],[DISC 1-]]+NOTA[[#This Row],[DISC 2-]]+NOTA[[#This Row],[DISC 3-]])</f>
        <v/>
      </c>
      <c r="AA141" s="42" t="str">
        <f>IF(NOTA[[#This Row],[JUMLAH]]="","",NOTA[[#This Row],[JUMLAH]]-NOTA[[#This Row],[DISC]])</f>
        <v/>
      </c>
      <c r="AB141" s="42"/>
      <c r="AC1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42" t="str">
        <f>IF(OR(NOTA[[#This Row],[QTY]]="",NOTA[[#This Row],[HARGA SATUAN]]="",),"",NOTA[[#This Row],[QTY]]*NOTA[[#This Row],[HARGA SATUAN]])</f>
        <v/>
      </c>
      <c r="AG141" s="36" t="str">
        <f ca="1">IF(NOTA[[#This Row],[ID_H]]="","",INDEX(NOTA[TANGGAL],MATCH(,INDIRECT(ADDRESS(ROW(NOTA[TANGGAL]),COLUMN(NOTA[TANGGAL]))&amp;":"&amp;ADDRESS(ROW(),COLUMN(NOTA[TANGGAL]))),-1)))</f>
        <v/>
      </c>
      <c r="AH141" s="36" t="str">
        <f ca="1">IF(NOTA[[#This Row],[ID_H]]="","",INDEX(NOTA[TGL.NOTA],MATCH(,INDIRECT(ADDRESS(ROW(NOTA[TGL.NOTA]),COLUMN(NOTA[TGL.NOTA]))&amp;":"&amp;ADDRESS(ROW(),COLUMN(NOTA[TGL.NOTA]))),-1)))</f>
        <v/>
      </c>
      <c r="AI141" s="36" t="str">
        <f ca="1">IF(NOTA[[#This Row],[ID_H]]="","",INDEX(NOTA[NO.NOTA],MATCH(NOTA[[#This Row],[ID_H]],NOTA[ID_H],0)))</f>
        <v/>
      </c>
      <c r="AJ141" s="38" t="str">
        <f ca="1">IF(NOTA[[#This Row],[NAMA BARANG]]="","",INDEX(NOTA[SUPPLIER],MATCH(,INDIRECT(ADDRESS(ROW(NOTA[ID]),COLUMN(NOTA[ID]))&amp;":"&amp;ADDRESS(ROW(),COLUMN(NOTA[ID]))),-1)))</f>
        <v/>
      </c>
      <c r="AK141" s="38" t="str">
        <f ca="1">IF(NOTA[[#This Row],[ID_H]]="","",IF(NOTA[[#This Row],[FAKTUR]]="",INDIRECT(ADDRESS(ROW()-1,COLUMN())),NOTA[[#This Row],[FAKTUR]]))</f>
        <v/>
      </c>
      <c r="AL141" s="35" t="str">
        <f ca="1">IF(NOTA[[#This Row],[ID]]="","",COUNTIF(NOTA[ID_H],NOTA[[#This Row],[ID_H]]))</f>
        <v/>
      </c>
      <c r="AM141" s="35" t="str">
        <f ca="1">IF(NOTA[[#This Row],[TGL.NOTA]]="",IF(NOTA[[#This Row],[SUPPLIER_H]]="","",AM140),MONTH(NOTA[[#This Row],[TGL.NOTA]]))</f>
        <v/>
      </c>
      <c r="AN1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1" s="35" t="str">
        <f>IF(NOTA[[#This Row],[CONCAT1]]="","",MATCH(NOTA[[#This Row],[CONCAT1]],[3]!db[NB NOTA_C],0))</f>
        <v/>
      </c>
      <c r="AS141" s="35" t="str">
        <f>IF(NOTA[[#This Row],[Column5]]="","",TRUE)</f>
        <v/>
      </c>
      <c r="AT141" s="35" t="str">
        <f ca="1">IF(NOTA[[#This Row],[ID_H]]="","",IF(NOTA[[#This Row],[Column3]]=TRUE,NOTA[[#This Row],[Column5]],INDEX([3]!db[QTY/ CTN],NOTA[[#This Row],[//DB]])))</f>
        <v/>
      </c>
      <c r="AU1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1" s="35" t="str">
        <f ca="1">IF(NOTA[[#This Row],[ID_H]]="","",MATCH(NOTA[[#This Row],[NB NOTA_C_QTY]],[3]!db[NB NOTA_C_QTY+F],0))</f>
        <v/>
      </c>
      <c r="AW141" s="43" t="str">
        <f ca="1">IF(NOTA[[#This Row],[NB NOTA_C_QTY]]="","",ROW()-2)</f>
        <v/>
      </c>
    </row>
    <row r="142" spans="1:49" ht="20.100000000000001" customHeight="1">
      <c r="A142" s="38">
        <f ca="1">IF(INDIRECT(ADDRESS(ROW()-1,COLUMN(NOTA[[#Headers],[ID]])))="ID",1,IF(NOTA[[#This Row],[FAKTUR]]="","",COUNT(INDIRECT(ADDRESS(ROW(NOTA[ID]),COLUMN(NOTA[ID]))&amp;":"&amp;ADDRESS(ROW()-1,COLUMN(NOTA[ID]))))+1))</f>
        <v>37</v>
      </c>
      <c r="B142" s="35">
        <f ca="1">IF(NOTA[[#This Row],[NAMA BARANG]]="","",INDEX(NOTA[ID],MATCH(,INDIRECT(ADDRESS(ROW(NOTA[ID]),COLUMN(NOTA[ID]))&amp;":"&amp;ADDRESS(ROW(),COLUMN(NOTA[ID]))),-1)))</f>
        <v>37</v>
      </c>
      <c r="C142" s="45"/>
      <c r="D142" s="35" t="s">
        <v>243</v>
      </c>
      <c r="E142" s="35" t="s">
        <v>49</v>
      </c>
      <c r="F142" s="46" t="s">
        <v>312</v>
      </c>
      <c r="G142" s="35"/>
      <c r="H142" s="36">
        <v>45474</v>
      </c>
      <c r="I142" s="35"/>
      <c r="J142" s="50" t="s">
        <v>326</v>
      </c>
      <c r="K142" s="37">
        <v>5</v>
      </c>
      <c r="L142" s="35">
        <v>120</v>
      </c>
      <c r="M142" s="35" t="s">
        <v>50</v>
      </c>
      <c r="N142" s="38">
        <v>52500</v>
      </c>
      <c r="O142" s="39"/>
      <c r="P142" s="47" t="s">
        <v>119</v>
      </c>
      <c r="Q142" s="48"/>
      <c r="R142" s="41"/>
      <c r="T142" s="42"/>
      <c r="U142" s="44"/>
      <c r="V142" s="42">
        <f>IF(NOTA[[#This Row],[HARGA/ CTN]]="",NOTA[[#This Row],[JUMLAH_H]],NOTA[[#This Row],[HARGA/ CTN]]*IF(NOTA[[#This Row],[C]]="",0,NOTA[[#This Row],[C]]))</f>
        <v>6300000</v>
      </c>
      <c r="W142" s="42">
        <f>IF(NOTA[[#This Row],[JUMLAH]]="","",NOTA[[#This Row],[JUMLAH]]*NOTA[[#This Row],[Column6]])</f>
        <v>0</v>
      </c>
      <c r="X142" s="42">
        <f>IF(NOTA[[#This Row],[JUMLAH]]="","",(NOTA[[#This Row],[JUMLAH]]-NOTA[[#This Row],[DISC 1-]])*NOTA[[#This Row],[Column7]])</f>
        <v>0</v>
      </c>
      <c r="Y142" s="42">
        <f>IF(NOTA[[#This Row],[JUMLAH]]="","",(NOTA[[#This Row],[JUMLAH]]-NOTA[[#This Row],[DISC 1-]]-NOTA[[#This Row],[DISC 2-]])*NOTA[[#This Row],[Column8]])</f>
        <v>0</v>
      </c>
      <c r="Z142" s="42">
        <f>IF(NOTA[[#This Row],[JUMLAH]]="","",NOTA[[#This Row],[DISC 1-]]+NOTA[[#This Row],[DISC 2-]]+NOTA[[#This Row],[DISC 3-]])</f>
        <v>0</v>
      </c>
      <c r="AA142" s="42">
        <f>IF(NOTA[[#This Row],[JUMLAH]]="","",NOTA[[#This Row],[JUMLAH]]-NOTA[[#This Row],[DISC]])</f>
        <v>6300000</v>
      </c>
      <c r="AB142" s="42"/>
      <c r="AC14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6300000</v>
      </c>
      <c r="AE142" s="38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142" s="42">
        <f>IF(OR(NOTA[[#This Row],[QTY]]="",NOTA[[#This Row],[HARGA SATUAN]]="",),"",NOTA[[#This Row],[QTY]]*NOTA[[#This Row],[HARGA SATUAN]])</f>
        <v>6300000</v>
      </c>
      <c r="AG142" s="36">
        <f ca="1">IF(NOTA[[#This Row],[ID_H]]="","",INDEX(NOTA[TANGGAL],MATCH(,INDIRECT(ADDRESS(ROW(NOTA[TANGGAL]),COLUMN(NOTA[TANGGAL]))&amp;":"&amp;ADDRESS(ROW(),COLUMN(NOTA[TANGGAL]))),-1)))</f>
        <v>45485</v>
      </c>
      <c r="AH142" s="36">
        <f ca="1">IF(NOTA[[#This Row],[ID_H]]="","",INDEX(NOTA[TGL.NOTA],MATCH(,INDIRECT(ADDRESS(ROW(NOTA[TGL.NOTA]),COLUMN(NOTA[TGL.NOTA]))&amp;":"&amp;ADDRESS(ROW(),COLUMN(NOTA[TGL.NOTA]))),-1)))</f>
        <v>45474</v>
      </c>
      <c r="AI142" s="36" t="str">
        <f ca="1">IF(NOTA[[#This Row],[ID_H]]="","",INDEX(NOTA[NO.NOTA],MATCH(NOTA[[#This Row],[ID_H]],NOTA[ID_H],0)))</f>
        <v>WG00189</v>
      </c>
      <c r="AJ142" s="38" t="str">
        <f ca="1">IF(NOTA[[#This Row],[NAMA BARANG]]="","",INDEX(NOTA[SUPPLIER],MATCH(,INDIRECT(ADDRESS(ROW(NOTA[ID]),COLUMN(NOTA[ID]))&amp;":"&amp;ADDRESS(ROW(),COLUMN(NOTA[ID]))),-1)))</f>
        <v>SBS</v>
      </c>
      <c r="AK142" s="38" t="str">
        <f ca="1">IF(NOTA[[#This Row],[ID_H]]="","",IF(NOTA[[#This Row],[FAKTUR]]="",INDIRECT(ADDRESS(ROW()-1,COLUMN())),NOTA[[#This Row],[FAKTUR]]))</f>
        <v>UNTANA</v>
      </c>
      <c r="AL142" s="35">
        <f ca="1">IF(NOTA[[#This Row],[ID]]="","",COUNTIF(NOTA[ID_H],NOTA[[#This Row],[ID_H]]))</f>
        <v>1</v>
      </c>
      <c r="AM142" s="35">
        <f>IF(NOTA[[#This Row],[TGL.NOTA]]="",IF(NOTA[[#This Row],[SUPPLIER_H]]="","",AM141),MONTH(NOTA[[#This Row],[TGL.NOTA]]))</f>
        <v>7</v>
      </c>
      <c r="AN142" s="35" t="str">
        <f>LOWER(SUBSTITUTE(SUBSTITUTE(SUBSTITUTE(SUBSTITUTE(SUBSTITUTE(SUBSTITUTE(SUBSTITUTE(SUBSTITUTE(SUBSTITUTE(NOTA[[#This Row],[NAMA BARANG]]," ",),".",""),"-",""),"(",""),")",""),",",""),"/",""),"""",""),"+",""))</f>
        <v>stamppadherok</v>
      </c>
      <c r="AO1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stamppadherok1260000</v>
      </c>
      <c r="AP1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stamppadherok1260000</v>
      </c>
      <c r="AQ142" s="35" t="str">
        <f>IF(NOTA[[#This Row],[SUPPLIER]]="","",NOTA[[#This Row],[SUPPLIER]]&amp;NOTA[[#This Row],[FAKTUR]]&amp;NOTA[[#This Row],[NO.NOTA]]&amp;NOTA[[#This Row],[NO.SJ]]&amp;NOTA[[#This Row],[TGL.NOTA]]&amp;NOTA[[#This Row],[CONCAT1]])</f>
        <v>SBSUNTANAWG0018945474stamppadherok</v>
      </c>
      <c r="AR142" s="35">
        <f>IF(NOTA[[#This Row],[CONCAT1]]="","",MATCH(NOTA[[#This Row],[CONCAT1]],[3]!db[NB NOTA_C],0))</f>
        <v>2927</v>
      </c>
      <c r="AS142" s="35" t="b">
        <f>IF(NOTA[[#This Row],[Column5]]="","",TRUE)</f>
        <v>1</v>
      </c>
      <c r="AT142" s="35" t="str">
        <f ca="1">IF(NOTA[[#This Row],[ID_H]]="","",IF(NOTA[[#This Row],[Column3]]=TRUE,NOTA[[#This Row],[Column5]],INDEX([3]!db[QTY/ CTN],NOTA[[#This Row],[//DB]])))</f>
        <v>24 LSN</v>
      </c>
      <c r="AU1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stamppadherok24lsnuntana</v>
      </c>
      <c r="AV142" s="35">
        <f ca="1">IF(NOTA[[#This Row],[ID_H]]="","",MATCH(NOTA[[#This Row],[NB NOTA_C_QTY]],[3]!db[NB NOTA_C_QTY+F],0))</f>
        <v>2927</v>
      </c>
      <c r="AW142" s="43">
        <f ca="1">IF(NOTA[[#This Row],[NB NOTA_C_QTY]]="","",ROW()-2)</f>
        <v>140</v>
      </c>
    </row>
    <row r="143" spans="1:49" ht="20.100000000000001" customHeight="1">
      <c r="A1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5" t="str">
        <f ca="1">IF(NOTA[[#This Row],[NAMA BARANG]]="","",INDEX(NOTA[ID],MATCH(,INDIRECT(ADDRESS(ROW(NOTA[ID]),COLUMN(NOTA[ID]))&amp;":"&amp;ADDRESS(ROW(),COLUMN(NOTA[ID]))),-1)))</f>
        <v/>
      </c>
      <c r="C143" s="45"/>
      <c r="F143" s="46"/>
      <c r="G143" s="35"/>
      <c r="H143" s="36"/>
      <c r="I143" s="35"/>
      <c r="K143" s="37"/>
      <c r="L143" s="35"/>
      <c r="N143" s="38"/>
      <c r="O143" s="39"/>
      <c r="P143" s="47"/>
      <c r="Q143" s="48"/>
      <c r="R143" s="41"/>
      <c r="T143" s="42"/>
      <c r="U143" s="44"/>
      <c r="V143" s="42" t="str">
        <f>IF(NOTA[[#This Row],[HARGA/ CTN]]="",NOTA[[#This Row],[JUMLAH_H]],NOTA[[#This Row],[HARGA/ CTN]]*IF(NOTA[[#This Row],[C]]="",0,NOTA[[#This Row],[C]]))</f>
        <v/>
      </c>
      <c r="W143" s="42" t="str">
        <f>IF(NOTA[[#This Row],[JUMLAH]]="","",NOTA[[#This Row],[JUMLAH]]*NOTA[[#This Row],[Column6]])</f>
        <v/>
      </c>
      <c r="X143" s="42" t="str">
        <f>IF(NOTA[[#This Row],[JUMLAH]]="","",(NOTA[[#This Row],[JUMLAH]]-NOTA[[#This Row],[DISC 1-]])*NOTA[[#This Row],[Column7]])</f>
        <v/>
      </c>
      <c r="Y143" s="42" t="str">
        <f>IF(NOTA[[#This Row],[JUMLAH]]="","",(NOTA[[#This Row],[JUMLAH]]-NOTA[[#This Row],[DISC 1-]]-NOTA[[#This Row],[DISC 2-]])*NOTA[[#This Row],[Column8]])</f>
        <v/>
      </c>
      <c r="Z143" s="42" t="str">
        <f>IF(NOTA[[#This Row],[JUMLAH]]="","",NOTA[[#This Row],[DISC 1-]]+NOTA[[#This Row],[DISC 2-]]+NOTA[[#This Row],[DISC 3-]])</f>
        <v/>
      </c>
      <c r="AA143" s="42" t="str">
        <f>IF(NOTA[[#This Row],[JUMLAH]]="","",NOTA[[#This Row],[JUMLAH]]-NOTA[[#This Row],[DISC]])</f>
        <v/>
      </c>
      <c r="AB143" s="42"/>
      <c r="AC1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42" t="str">
        <f>IF(OR(NOTA[[#This Row],[QTY]]="",NOTA[[#This Row],[HARGA SATUAN]]="",),"",NOTA[[#This Row],[QTY]]*NOTA[[#This Row],[HARGA SATUAN]])</f>
        <v/>
      </c>
      <c r="AG143" s="36" t="str">
        <f ca="1">IF(NOTA[[#This Row],[ID_H]]="","",INDEX(NOTA[TANGGAL],MATCH(,INDIRECT(ADDRESS(ROW(NOTA[TANGGAL]),COLUMN(NOTA[TANGGAL]))&amp;":"&amp;ADDRESS(ROW(),COLUMN(NOTA[TANGGAL]))),-1)))</f>
        <v/>
      </c>
      <c r="AH143" s="36" t="str">
        <f ca="1">IF(NOTA[[#This Row],[ID_H]]="","",INDEX(NOTA[TGL.NOTA],MATCH(,INDIRECT(ADDRESS(ROW(NOTA[TGL.NOTA]),COLUMN(NOTA[TGL.NOTA]))&amp;":"&amp;ADDRESS(ROW(),COLUMN(NOTA[TGL.NOTA]))),-1)))</f>
        <v/>
      </c>
      <c r="AI143" s="36" t="str">
        <f ca="1">IF(NOTA[[#This Row],[ID_H]]="","",INDEX(NOTA[NO.NOTA],MATCH(NOTA[[#This Row],[ID_H]],NOTA[ID_H],0)))</f>
        <v/>
      </c>
      <c r="AJ143" s="38" t="str">
        <f ca="1">IF(NOTA[[#This Row],[NAMA BARANG]]="","",INDEX(NOTA[SUPPLIER],MATCH(,INDIRECT(ADDRESS(ROW(NOTA[ID]),COLUMN(NOTA[ID]))&amp;":"&amp;ADDRESS(ROW(),COLUMN(NOTA[ID]))),-1)))</f>
        <v/>
      </c>
      <c r="AK143" s="38" t="str">
        <f ca="1">IF(NOTA[[#This Row],[ID_H]]="","",IF(NOTA[[#This Row],[FAKTUR]]="",INDIRECT(ADDRESS(ROW()-1,COLUMN())),NOTA[[#This Row],[FAKTUR]]))</f>
        <v/>
      </c>
      <c r="AL143" s="35" t="str">
        <f ca="1">IF(NOTA[[#This Row],[ID]]="","",COUNTIF(NOTA[ID_H],NOTA[[#This Row],[ID_H]]))</f>
        <v/>
      </c>
      <c r="AM143" s="35" t="str">
        <f ca="1">IF(NOTA[[#This Row],[TGL.NOTA]]="",IF(NOTA[[#This Row],[SUPPLIER_H]]="","",AM142),MONTH(NOTA[[#This Row],[TGL.NOTA]]))</f>
        <v/>
      </c>
      <c r="AN1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3" s="35" t="str">
        <f>IF(NOTA[[#This Row],[CONCAT1]]="","",MATCH(NOTA[[#This Row],[CONCAT1]],[3]!db[NB NOTA_C],0))</f>
        <v/>
      </c>
      <c r="AS143" s="35" t="str">
        <f>IF(NOTA[[#This Row],[Column5]]="","",TRUE)</f>
        <v/>
      </c>
      <c r="AT143" s="35" t="str">
        <f ca="1">IF(NOTA[[#This Row],[ID_H]]="","",IF(NOTA[[#This Row],[Column3]]=TRUE,NOTA[[#This Row],[Column5]],INDEX([3]!db[QTY/ CTN],NOTA[[#This Row],[//DB]])))</f>
        <v/>
      </c>
      <c r="AU1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3" s="35" t="str">
        <f ca="1">IF(NOTA[[#This Row],[ID_H]]="","",MATCH(NOTA[[#This Row],[NB NOTA_C_QTY]],[3]!db[NB NOTA_C_QTY+F],0))</f>
        <v/>
      </c>
      <c r="AW143" s="43" t="str">
        <f ca="1">IF(NOTA[[#This Row],[NB NOTA_C_QTY]]="","",ROW()-2)</f>
        <v/>
      </c>
    </row>
    <row r="144" spans="1:49" ht="20.100000000000001" customHeight="1">
      <c r="A144" s="38">
        <f ca="1">IF(INDIRECT(ADDRESS(ROW()-1,COLUMN(NOTA[[#Headers],[ID]])))="ID",1,IF(NOTA[[#This Row],[FAKTUR]]="","",COUNT(INDIRECT(ADDRESS(ROW(NOTA[ID]),COLUMN(NOTA[ID]))&amp;":"&amp;ADDRESS(ROW()-1,COLUMN(NOTA[ID]))))+1))</f>
        <v>38</v>
      </c>
      <c r="B144" s="35">
        <f ca="1">IF(NOTA[[#This Row],[NAMA BARANG]]="","",INDEX(NOTA[ID],MATCH(,INDIRECT(ADDRESS(ROW(NOTA[ID]),COLUMN(NOTA[ID]))&amp;":"&amp;ADDRESS(ROW(),COLUMN(NOTA[ID]))),-1)))</f>
        <v>38</v>
      </c>
      <c r="C144" s="45"/>
      <c r="D144" s="35" t="s">
        <v>243</v>
      </c>
      <c r="E144" s="35" t="s">
        <v>49</v>
      </c>
      <c r="F144" s="46" t="s">
        <v>313</v>
      </c>
      <c r="G144" s="35"/>
      <c r="H144" s="36">
        <v>45482</v>
      </c>
      <c r="I144" s="35"/>
      <c r="J144" s="35" t="s">
        <v>314</v>
      </c>
      <c r="K144" s="37">
        <v>3</v>
      </c>
      <c r="L144" s="35">
        <v>360</v>
      </c>
      <c r="M144" s="35" t="s">
        <v>51</v>
      </c>
      <c r="N144" s="38">
        <v>9500</v>
      </c>
      <c r="O144" s="39"/>
      <c r="P144" s="47" t="s">
        <v>315</v>
      </c>
      <c r="Q144" s="48"/>
      <c r="R144" s="41"/>
      <c r="T144" s="42"/>
      <c r="U144" s="44"/>
      <c r="V144" s="42">
        <f>IF(NOTA[[#This Row],[HARGA/ CTN]]="",NOTA[[#This Row],[JUMLAH_H]],NOTA[[#This Row],[HARGA/ CTN]]*IF(NOTA[[#This Row],[C]]="",0,NOTA[[#This Row],[C]]))</f>
        <v>3420000</v>
      </c>
      <c r="W144" s="42">
        <f>IF(NOTA[[#This Row],[JUMLAH]]="","",NOTA[[#This Row],[JUMLAH]]*NOTA[[#This Row],[Column6]])</f>
        <v>0</v>
      </c>
      <c r="X144" s="42">
        <f>IF(NOTA[[#This Row],[JUMLAH]]="","",(NOTA[[#This Row],[JUMLAH]]-NOTA[[#This Row],[DISC 1-]])*NOTA[[#This Row],[Column7]])</f>
        <v>0</v>
      </c>
      <c r="Y144" s="42">
        <f>IF(NOTA[[#This Row],[JUMLAH]]="","",(NOTA[[#This Row],[JUMLAH]]-NOTA[[#This Row],[DISC 1-]]-NOTA[[#This Row],[DISC 2-]])*NOTA[[#This Row],[Column8]])</f>
        <v>0</v>
      </c>
      <c r="Z144" s="42">
        <f>IF(NOTA[[#This Row],[JUMLAH]]="","",NOTA[[#This Row],[DISC 1-]]+NOTA[[#This Row],[DISC 2-]]+NOTA[[#This Row],[DISC 3-]])</f>
        <v>0</v>
      </c>
      <c r="AA144" s="42">
        <f>IF(NOTA[[#This Row],[JUMLAH]]="","",NOTA[[#This Row],[JUMLAH]]-NOTA[[#This Row],[DISC]])</f>
        <v>3420000</v>
      </c>
      <c r="AB144" s="42"/>
      <c r="AC1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4" s="3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44" s="42">
        <f>IF(OR(NOTA[[#This Row],[QTY]]="",NOTA[[#This Row],[HARGA SATUAN]]="",),"",NOTA[[#This Row],[QTY]]*NOTA[[#This Row],[HARGA SATUAN]])</f>
        <v>3420000</v>
      </c>
      <c r="AG144" s="36">
        <f ca="1">IF(NOTA[[#This Row],[ID_H]]="","",INDEX(NOTA[TANGGAL],MATCH(,INDIRECT(ADDRESS(ROW(NOTA[TANGGAL]),COLUMN(NOTA[TANGGAL]))&amp;":"&amp;ADDRESS(ROW(),COLUMN(NOTA[TANGGAL]))),-1)))</f>
        <v>45485</v>
      </c>
      <c r="AH144" s="36">
        <f ca="1">IF(NOTA[[#This Row],[ID_H]]="","",INDEX(NOTA[TGL.NOTA],MATCH(,INDIRECT(ADDRESS(ROW(NOTA[TGL.NOTA]),COLUMN(NOTA[TGL.NOTA]))&amp;":"&amp;ADDRESS(ROW(),COLUMN(NOTA[TGL.NOTA]))),-1)))</f>
        <v>45482</v>
      </c>
      <c r="AI144" s="36" t="str">
        <f ca="1">IF(NOTA[[#This Row],[ID_H]]="","",INDEX(NOTA[NO.NOTA],MATCH(NOTA[[#This Row],[ID_H]],NOTA[ID_H],0)))</f>
        <v>WG0248B</v>
      </c>
      <c r="AJ144" s="38" t="str">
        <f ca="1">IF(NOTA[[#This Row],[NAMA BARANG]]="","",INDEX(NOTA[SUPPLIER],MATCH(,INDIRECT(ADDRESS(ROW(NOTA[ID]),COLUMN(NOTA[ID]))&amp;":"&amp;ADDRESS(ROW(),COLUMN(NOTA[ID]))),-1)))</f>
        <v>SBS</v>
      </c>
      <c r="AK144" s="38" t="str">
        <f ca="1">IF(NOTA[[#This Row],[ID_H]]="","",IF(NOTA[[#This Row],[FAKTUR]]="",INDIRECT(ADDRESS(ROW()-1,COLUMN())),NOTA[[#This Row],[FAKTUR]]))</f>
        <v>UNTANA</v>
      </c>
      <c r="AL144" s="35">
        <f ca="1">IF(NOTA[[#This Row],[ID]]="","",COUNTIF(NOTA[ID_H],NOTA[[#This Row],[ID_H]]))</f>
        <v>3</v>
      </c>
      <c r="AM144" s="35">
        <f>IF(NOTA[[#This Row],[TGL.NOTA]]="",IF(NOTA[[#This Row],[SUPPLIER_H]]="","",AM143),MONTH(NOTA[[#This Row],[TGL.NOTA]]))</f>
        <v>7</v>
      </c>
      <c r="AN144" s="35" t="str">
        <f>LOWER(SUBSTITUTE(SUBSTITUTE(SUBSTITUTE(SUBSTITUTE(SUBSTITUTE(SUBSTITUTE(SUBSTITUTE(SUBSTITUTE(SUBSTITUTE(NOTA[[#This Row],[NAMA BARANG]]," ",),".",""),"-",""),"(",""),")",""),",",""),"/",""),"""",""),"+",""))</f>
        <v>bindernotefancyslipa51903ctvintage</v>
      </c>
      <c r="AO1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bindernotefancyslipa51903ctvintage1140000</v>
      </c>
      <c r="AP1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bindernotefancyslipa51903ctvintage1140000</v>
      </c>
      <c r="AQ144" s="35" t="str">
        <f>IF(NOTA[[#This Row],[SUPPLIER]]="","",NOTA[[#This Row],[SUPPLIER]]&amp;NOTA[[#This Row],[FAKTUR]]&amp;NOTA[[#This Row],[NO.NOTA]]&amp;NOTA[[#This Row],[NO.SJ]]&amp;NOTA[[#This Row],[TGL.NOTA]]&amp;NOTA[[#This Row],[CONCAT1]])</f>
        <v>SBSUNTANAWG0248B45482bindernotefancyslipa51903ctvintage</v>
      </c>
      <c r="AR144" s="35">
        <f>IF(NOTA[[#This Row],[CONCAT1]]="","",MATCH(NOTA[[#This Row],[CONCAT1]],[3]!db[NB NOTA_C],0))</f>
        <v>3398</v>
      </c>
      <c r="AS144" s="35" t="b">
        <f>IF(NOTA[[#This Row],[Column5]]="","",TRUE)</f>
        <v>1</v>
      </c>
      <c r="AT144" s="35" t="str">
        <f ca="1">IF(NOTA[[#This Row],[ID_H]]="","",IF(NOTA[[#This Row],[Column3]]=TRUE,NOTA[[#This Row],[Column5]],INDEX([3]!db[QTY/ CTN],NOTA[[#This Row],[//DB]])))</f>
        <v>120 PCS</v>
      </c>
      <c r="AU1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bindernotefancyslipa51903ctvintage120pcsuntana</v>
      </c>
      <c r="AV144" s="35">
        <f ca="1">IF(NOTA[[#This Row],[ID_H]]="","",MATCH(NOTA[[#This Row],[NB NOTA_C_QTY]],[3]!db[NB NOTA_C_QTY+F],0))</f>
        <v>3398</v>
      </c>
      <c r="AW144" s="43">
        <f ca="1">IF(NOTA[[#This Row],[NB NOTA_C_QTY]]="","",ROW()-2)</f>
        <v>142</v>
      </c>
    </row>
    <row r="145" spans="1:49" ht="20.100000000000001" customHeight="1">
      <c r="A1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5">
        <f ca="1">IF(NOTA[[#This Row],[NAMA BARANG]]="","",INDEX(NOTA[ID],MATCH(,INDIRECT(ADDRESS(ROW(NOTA[ID]),COLUMN(NOTA[ID]))&amp;":"&amp;ADDRESS(ROW(),COLUMN(NOTA[ID]))),-1)))</f>
        <v>38</v>
      </c>
      <c r="C145" s="45"/>
      <c r="F145" s="46"/>
      <c r="G145" s="35"/>
      <c r="H145" s="36"/>
      <c r="I145" s="35"/>
      <c r="J145" s="35" t="s">
        <v>316</v>
      </c>
      <c r="K145" s="37">
        <v>3</v>
      </c>
      <c r="L145" s="35">
        <v>360</v>
      </c>
      <c r="M145" s="35" t="s">
        <v>51</v>
      </c>
      <c r="N145" s="38">
        <v>9500</v>
      </c>
      <c r="O145" s="39"/>
      <c r="P145" s="47" t="s">
        <v>315</v>
      </c>
      <c r="Q145" s="48"/>
      <c r="R145" s="41"/>
      <c r="T145" s="42"/>
      <c r="U145" s="44"/>
      <c r="V145" s="42">
        <f>IF(NOTA[[#This Row],[HARGA/ CTN]]="",NOTA[[#This Row],[JUMLAH_H]],NOTA[[#This Row],[HARGA/ CTN]]*IF(NOTA[[#This Row],[C]]="",0,NOTA[[#This Row],[C]]))</f>
        <v>3420000</v>
      </c>
      <c r="W145" s="42">
        <f>IF(NOTA[[#This Row],[JUMLAH]]="","",NOTA[[#This Row],[JUMLAH]]*NOTA[[#This Row],[Column6]])</f>
        <v>0</v>
      </c>
      <c r="X145" s="42">
        <f>IF(NOTA[[#This Row],[JUMLAH]]="","",(NOTA[[#This Row],[JUMLAH]]-NOTA[[#This Row],[DISC 1-]])*NOTA[[#This Row],[Column7]])</f>
        <v>0</v>
      </c>
      <c r="Y145" s="42">
        <f>IF(NOTA[[#This Row],[JUMLAH]]="","",(NOTA[[#This Row],[JUMLAH]]-NOTA[[#This Row],[DISC 1-]]-NOTA[[#This Row],[DISC 2-]])*NOTA[[#This Row],[Column8]])</f>
        <v>0</v>
      </c>
      <c r="Z145" s="42">
        <f>IF(NOTA[[#This Row],[JUMLAH]]="","",NOTA[[#This Row],[DISC 1-]]+NOTA[[#This Row],[DISC 2-]]+NOTA[[#This Row],[DISC 3-]])</f>
        <v>0</v>
      </c>
      <c r="AA145" s="42">
        <f>IF(NOTA[[#This Row],[JUMLAH]]="","",NOTA[[#This Row],[JUMLAH]]-NOTA[[#This Row],[DISC]])</f>
        <v>3420000</v>
      </c>
      <c r="AB145" s="42"/>
      <c r="AC1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5" s="3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45" s="42">
        <f>IF(OR(NOTA[[#This Row],[QTY]]="",NOTA[[#This Row],[HARGA SATUAN]]="",),"",NOTA[[#This Row],[QTY]]*NOTA[[#This Row],[HARGA SATUAN]])</f>
        <v>3420000</v>
      </c>
      <c r="AG145" s="36">
        <f ca="1">IF(NOTA[[#This Row],[ID_H]]="","",INDEX(NOTA[TANGGAL],MATCH(,INDIRECT(ADDRESS(ROW(NOTA[TANGGAL]),COLUMN(NOTA[TANGGAL]))&amp;":"&amp;ADDRESS(ROW(),COLUMN(NOTA[TANGGAL]))),-1)))</f>
        <v>45485</v>
      </c>
      <c r="AH145" s="36">
        <f ca="1">IF(NOTA[[#This Row],[ID_H]]="","",INDEX(NOTA[TGL.NOTA],MATCH(,INDIRECT(ADDRESS(ROW(NOTA[TGL.NOTA]),COLUMN(NOTA[TGL.NOTA]))&amp;":"&amp;ADDRESS(ROW(),COLUMN(NOTA[TGL.NOTA]))),-1)))</f>
        <v>45482</v>
      </c>
      <c r="AI145" s="36" t="str">
        <f ca="1">IF(NOTA[[#This Row],[ID_H]]="","",INDEX(NOTA[NO.NOTA],MATCH(NOTA[[#This Row],[ID_H]],NOTA[ID_H],0)))</f>
        <v>WG0248B</v>
      </c>
      <c r="AJ145" s="38" t="str">
        <f ca="1">IF(NOTA[[#This Row],[NAMA BARANG]]="","",INDEX(NOTA[SUPPLIER],MATCH(,INDIRECT(ADDRESS(ROW(NOTA[ID]),COLUMN(NOTA[ID]))&amp;":"&amp;ADDRESS(ROW(),COLUMN(NOTA[ID]))),-1)))</f>
        <v>SBS</v>
      </c>
      <c r="AK145" s="38" t="str">
        <f ca="1">IF(NOTA[[#This Row],[ID_H]]="","",IF(NOTA[[#This Row],[FAKTUR]]="",INDIRECT(ADDRESS(ROW()-1,COLUMN())),NOTA[[#This Row],[FAKTUR]]))</f>
        <v>UNTANA</v>
      </c>
      <c r="AL145" s="35" t="str">
        <f ca="1">IF(NOTA[[#This Row],[ID]]="","",COUNTIF(NOTA[ID_H],NOTA[[#This Row],[ID_H]]))</f>
        <v/>
      </c>
      <c r="AM145" s="35">
        <f ca="1">IF(NOTA[[#This Row],[TGL.NOTA]]="",IF(NOTA[[#This Row],[SUPPLIER_H]]="","",AM144),MONTH(NOTA[[#This Row],[TGL.NOTA]]))</f>
        <v>7</v>
      </c>
      <c r="AN145" s="35" t="str">
        <f>LOWER(SUBSTITUTE(SUBSTITUTE(SUBSTITUTE(SUBSTITUTE(SUBSTITUTE(SUBSTITUTE(SUBSTITUTE(SUBSTITUTE(SUBSTITUTE(NOTA[[#This Row],[NAMA BARANG]]," ",),".",""),"-",""),"(",""),")",""),",",""),"/",""),"""",""),"+",""))</f>
        <v>bindernotefancyslipa51903sssky</v>
      </c>
      <c r="AO1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bindernotefancyslipa51903sssky1140000</v>
      </c>
      <c r="AP1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bindernotefancyslipa51903sssky1140000</v>
      </c>
      <c r="AQ1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5" s="35">
        <f>IF(NOTA[[#This Row],[CONCAT1]]="","",MATCH(NOTA[[#This Row],[CONCAT1]],[3]!db[NB NOTA_C],0))</f>
        <v>3400</v>
      </c>
      <c r="AS145" s="35" t="b">
        <f>IF(NOTA[[#This Row],[Column5]]="","",TRUE)</f>
        <v>1</v>
      </c>
      <c r="AT145" s="35" t="str">
        <f ca="1">IF(NOTA[[#This Row],[ID_H]]="","",IF(NOTA[[#This Row],[Column3]]=TRUE,NOTA[[#This Row],[Column5]],INDEX([3]!db[QTY/ CTN],NOTA[[#This Row],[//DB]])))</f>
        <v>120 PCS</v>
      </c>
      <c r="AU1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bindernotefancyslipa51903sssky120pcsuntana</v>
      </c>
      <c r="AV145" s="35">
        <f ca="1">IF(NOTA[[#This Row],[ID_H]]="","",MATCH(NOTA[[#This Row],[NB NOTA_C_QTY]],[3]!db[NB NOTA_C_QTY+F],0))</f>
        <v>3400</v>
      </c>
      <c r="AW145" s="43">
        <f ca="1">IF(NOTA[[#This Row],[NB NOTA_C_QTY]]="","",ROW()-2)</f>
        <v>143</v>
      </c>
    </row>
    <row r="146" spans="1:49" ht="20.100000000000001" customHeight="1">
      <c r="A1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5">
        <f ca="1">IF(NOTA[[#This Row],[NAMA BARANG]]="","",INDEX(NOTA[ID],MATCH(,INDIRECT(ADDRESS(ROW(NOTA[ID]),COLUMN(NOTA[ID]))&amp;":"&amp;ADDRESS(ROW(),COLUMN(NOTA[ID]))),-1)))</f>
        <v>38</v>
      </c>
      <c r="C146" s="45"/>
      <c r="F146" s="46"/>
      <c r="G146" s="35"/>
      <c r="H146" s="36"/>
      <c r="I146" s="35"/>
      <c r="J146" s="35" t="s">
        <v>317</v>
      </c>
      <c r="K146" s="37">
        <v>1</v>
      </c>
      <c r="L146" s="35">
        <v>120</v>
      </c>
      <c r="M146" s="35" t="s">
        <v>51</v>
      </c>
      <c r="N146" s="38">
        <v>9500</v>
      </c>
      <c r="O146" s="39"/>
      <c r="P146" s="47" t="s">
        <v>315</v>
      </c>
      <c r="Q146" s="48"/>
      <c r="R146" s="41"/>
      <c r="T146" s="42"/>
      <c r="U146" s="44"/>
      <c r="V146" s="42">
        <f>IF(NOTA[[#This Row],[HARGA/ CTN]]="",NOTA[[#This Row],[JUMLAH_H]],NOTA[[#This Row],[HARGA/ CTN]]*IF(NOTA[[#This Row],[C]]="",0,NOTA[[#This Row],[C]]))</f>
        <v>1140000</v>
      </c>
      <c r="W146" s="42">
        <f>IF(NOTA[[#This Row],[JUMLAH]]="","",NOTA[[#This Row],[JUMLAH]]*NOTA[[#This Row],[Column6]])</f>
        <v>0</v>
      </c>
      <c r="X146" s="42">
        <f>IF(NOTA[[#This Row],[JUMLAH]]="","",(NOTA[[#This Row],[JUMLAH]]-NOTA[[#This Row],[DISC 1-]])*NOTA[[#This Row],[Column7]])</f>
        <v>0</v>
      </c>
      <c r="Y146" s="42">
        <f>IF(NOTA[[#This Row],[JUMLAH]]="","",(NOTA[[#This Row],[JUMLAH]]-NOTA[[#This Row],[DISC 1-]]-NOTA[[#This Row],[DISC 2-]])*NOTA[[#This Row],[Column8]])</f>
        <v>0</v>
      </c>
      <c r="Z146" s="42">
        <f>IF(NOTA[[#This Row],[JUMLAH]]="","",NOTA[[#This Row],[DISC 1-]]+NOTA[[#This Row],[DISC 2-]]+NOTA[[#This Row],[DISC 3-]])</f>
        <v>0</v>
      </c>
      <c r="AA146" s="42">
        <f>IF(NOTA[[#This Row],[JUMLAH]]="","",NOTA[[#This Row],[JUMLAH]]-NOTA[[#This Row],[DISC]])</f>
        <v>1140000</v>
      </c>
      <c r="AB146" s="42"/>
      <c r="AC14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4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7980000</v>
      </c>
      <c r="AE146" s="3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146" s="42">
        <f>IF(OR(NOTA[[#This Row],[QTY]]="",NOTA[[#This Row],[HARGA SATUAN]]="",),"",NOTA[[#This Row],[QTY]]*NOTA[[#This Row],[HARGA SATUAN]])</f>
        <v>1140000</v>
      </c>
      <c r="AG146" s="36">
        <f ca="1">IF(NOTA[[#This Row],[ID_H]]="","",INDEX(NOTA[TANGGAL],MATCH(,INDIRECT(ADDRESS(ROW(NOTA[TANGGAL]),COLUMN(NOTA[TANGGAL]))&amp;":"&amp;ADDRESS(ROW(),COLUMN(NOTA[TANGGAL]))),-1)))</f>
        <v>45485</v>
      </c>
      <c r="AH146" s="36">
        <f ca="1">IF(NOTA[[#This Row],[ID_H]]="","",INDEX(NOTA[TGL.NOTA],MATCH(,INDIRECT(ADDRESS(ROW(NOTA[TGL.NOTA]),COLUMN(NOTA[TGL.NOTA]))&amp;":"&amp;ADDRESS(ROW(),COLUMN(NOTA[TGL.NOTA]))),-1)))</f>
        <v>45482</v>
      </c>
      <c r="AI146" s="36" t="str">
        <f ca="1">IF(NOTA[[#This Row],[ID_H]]="","",INDEX(NOTA[NO.NOTA],MATCH(NOTA[[#This Row],[ID_H]],NOTA[ID_H],0)))</f>
        <v>WG0248B</v>
      </c>
      <c r="AJ146" s="38" t="str">
        <f ca="1">IF(NOTA[[#This Row],[NAMA BARANG]]="","",INDEX(NOTA[SUPPLIER],MATCH(,INDIRECT(ADDRESS(ROW(NOTA[ID]),COLUMN(NOTA[ID]))&amp;":"&amp;ADDRESS(ROW(),COLUMN(NOTA[ID]))),-1)))</f>
        <v>SBS</v>
      </c>
      <c r="AK146" s="38" t="str">
        <f ca="1">IF(NOTA[[#This Row],[ID_H]]="","",IF(NOTA[[#This Row],[FAKTUR]]="",INDIRECT(ADDRESS(ROW()-1,COLUMN())),NOTA[[#This Row],[FAKTUR]]))</f>
        <v>UNTANA</v>
      </c>
      <c r="AL146" s="35" t="str">
        <f ca="1">IF(NOTA[[#This Row],[ID]]="","",COUNTIF(NOTA[ID_H],NOTA[[#This Row],[ID_H]]))</f>
        <v/>
      </c>
      <c r="AM146" s="35">
        <f ca="1">IF(NOTA[[#This Row],[TGL.NOTA]]="",IF(NOTA[[#This Row],[SUPPLIER_H]]="","",AM145),MONTH(NOTA[[#This Row],[TGL.NOTA]]))</f>
        <v>7</v>
      </c>
      <c r="AN146" s="35" t="str">
        <f>LOWER(SUBSTITUTE(SUBSTITUTE(SUBSTITUTE(SUBSTITUTE(SUBSTITUTE(SUBSTITUTE(SUBSTITUTE(SUBSTITUTE(SUBSTITUTE(NOTA[[#This Row],[NAMA BARANG]]," ",),".",""),"-",""),"(",""),")",""),",",""),"/",""),"""",""),"+",""))</f>
        <v>bindernotefancyslipa5sf1925cute</v>
      </c>
      <c r="AO1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bindernotefancyslipa5sf1925cute1140000</v>
      </c>
      <c r="AP1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bindernotefancyslipa5sf1925cute1140000</v>
      </c>
      <c r="AQ1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6" s="35">
        <f>IF(NOTA[[#This Row],[CONCAT1]]="","",MATCH(NOTA[[#This Row],[CONCAT1]],[3]!db[NB NOTA_C],0))</f>
        <v>3401</v>
      </c>
      <c r="AS146" s="35" t="b">
        <f>IF(NOTA[[#This Row],[Column5]]="","",TRUE)</f>
        <v>1</v>
      </c>
      <c r="AT146" s="35" t="str">
        <f ca="1">IF(NOTA[[#This Row],[ID_H]]="","",IF(NOTA[[#This Row],[Column3]]=TRUE,NOTA[[#This Row],[Column5]],INDEX([3]!db[QTY/ CTN],NOTA[[#This Row],[//DB]])))</f>
        <v>120 PCS</v>
      </c>
      <c r="AU1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bindernotefancyslipa5sf1925cute120pcsuntana</v>
      </c>
      <c r="AV146" s="35">
        <f ca="1">IF(NOTA[[#This Row],[ID_H]]="","",MATCH(NOTA[[#This Row],[NB NOTA_C_QTY]],[3]!db[NB NOTA_C_QTY+F],0))</f>
        <v>3401</v>
      </c>
      <c r="AW146" s="43">
        <f ca="1">IF(NOTA[[#This Row],[NB NOTA_C_QTY]]="","",ROW()-2)</f>
        <v>144</v>
      </c>
    </row>
    <row r="147" spans="1:49" ht="20.100000000000001" customHeight="1">
      <c r="A1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5" t="str">
        <f ca="1">IF(NOTA[[#This Row],[NAMA BARANG]]="","",INDEX(NOTA[ID],MATCH(,INDIRECT(ADDRESS(ROW(NOTA[ID]),COLUMN(NOTA[ID]))&amp;":"&amp;ADDRESS(ROW(),COLUMN(NOTA[ID]))),-1)))</f>
        <v/>
      </c>
      <c r="C147" s="45"/>
      <c r="F147" s="46"/>
      <c r="G147" s="35"/>
      <c r="H147" s="36"/>
      <c r="I147" s="35"/>
      <c r="K147" s="37"/>
      <c r="L147" s="35"/>
      <c r="N147" s="38"/>
      <c r="O147" s="39"/>
      <c r="P147" s="47"/>
      <c r="Q147" s="48"/>
      <c r="R147" s="41"/>
      <c r="T147" s="42"/>
      <c r="U147" s="44"/>
      <c r="V147" s="42" t="str">
        <f>IF(NOTA[[#This Row],[HARGA/ CTN]]="",NOTA[[#This Row],[JUMLAH_H]],NOTA[[#This Row],[HARGA/ CTN]]*IF(NOTA[[#This Row],[C]]="",0,NOTA[[#This Row],[C]]))</f>
        <v/>
      </c>
      <c r="W147" s="42" t="str">
        <f>IF(NOTA[[#This Row],[JUMLAH]]="","",NOTA[[#This Row],[JUMLAH]]*NOTA[[#This Row],[Column6]])</f>
        <v/>
      </c>
      <c r="X147" s="42" t="str">
        <f>IF(NOTA[[#This Row],[JUMLAH]]="","",(NOTA[[#This Row],[JUMLAH]]-NOTA[[#This Row],[DISC 1-]])*NOTA[[#This Row],[Column7]])</f>
        <v/>
      </c>
      <c r="Y147" s="42" t="str">
        <f>IF(NOTA[[#This Row],[JUMLAH]]="","",(NOTA[[#This Row],[JUMLAH]]-NOTA[[#This Row],[DISC 1-]]-NOTA[[#This Row],[DISC 2-]])*NOTA[[#This Row],[Column8]])</f>
        <v/>
      </c>
      <c r="Z147" s="42" t="str">
        <f>IF(NOTA[[#This Row],[JUMLAH]]="","",NOTA[[#This Row],[DISC 1-]]+NOTA[[#This Row],[DISC 2-]]+NOTA[[#This Row],[DISC 3-]])</f>
        <v/>
      </c>
      <c r="AA147" s="42" t="str">
        <f>IF(NOTA[[#This Row],[JUMLAH]]="","",NOTA[[#This Row],[JUMLAH]]-NOTA[[#This Row],[DISC]])</f>
        <v/>
      </c>
      <c r="AB147" s="42"/>
      <c r="AC1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7" s="42" t="str">
        <f>IF(OR(NOTA[[#This Row],[QTY]]="",NOTA[[#This Row],[HARGA SATUAN]]="",),"",NOTA[[#This Row],[QTY]]*NOTA[[#This Row],[HARGA SATUAN]])</f>
        <v/>
      </c>
      <c r="AG147" s="36" t="str">
        <f ca="1">IF(NOTA[[#This Row],[ID_H]]="","",INDEX(NOTA[TANGGAL],MATCH(,INDIRECT(ADDRESS(ROW(NOTA[TANGGAL]),COLUMN(NOTA[TANGGAL]))&amp;":"&amp;ADDRESS(ROW(),COLUMN(NOTA[TANGGAL]))),-1)))</f>
        <v/>
      </c>
      <c r="AH147" s="36" t="str">
        <f ca="1">IF(NOTA[[#This Row],[ID_H]]="","",INDEX(NOTA[TGL.NOTA],MATCH(,INDIRECT(ADDRESS(ROW(NOTA[TGL.NOTA]),COLUMN(NOTA[TGL.NOTA]))&amp;":"&amp;ADDRESS(ROW(),COLUMN(NOTA[TGL.NOTA]))),-1)))</f>
        <v/>
      </c>
      <c r="AI147" s="36" t="str">
        <f ca="1">IF(NOTA[[#This Row],[ID_H]]="","",INDEX(NOTA[NO.NOTA],MATCH(NOTA[[#This Row],[ID_H]],NOTA[ID_H],0)))</f>
        <v/>
      </c>
      <c r="AJ147" s="38" t="str">
        <f ca="1">IF(NOTA[[#This Row],[NAMA BARANG]]="","",INDEX(NOTA[SUPPLIER],MATCH(,INDIRECT(ADDRESS(ROW(NOTA[ID]),COLUMN(NOTA[ID]))&amp;":"&amp;ADDRESS(ROW(),COLUMN(NOTA[ID]))),-1)))</f>
        <v/>
      </c>
      <c r="AK147" s="38" t="str">
        <f ca="1">IF(NOTA[[#This Row],[ID_H]]="","",IF(NOTA[[#This Row],[FAKTUR]]="",INDIRECT(ADDRESS(ROW()-1,COLUMN())),NOTA[[#This Row],[FAKTUR]]))</f>
        <v/>
      </c>
      <c r="AL147" s="35" t="str">
        <f ca="1">IF(NOTA[[#This Row],[ID]]="","",COUNTIF(NOTA[ID_H],NOTA[[#This Row],[ID_H]]))</f>
        <v/>
      </c>
      <c r="AM147" s="35" t="str">
        <f ca="1">IF(NOTA[[#This Row],[TGL.NOTA]]="",IF(NOTA[[#This Row],[SUPPLIER_H]]="","",AM146),MONTH(NOTA[[#This Row],[TGL.NOTA]]))</f>
        <v/>
      </c>
      <c r="AN1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7" s="35" t="str">
        <f>IF(NOTA[[#This Row],[CONCAT1]]="","",MATCH(NOTA[[#This Row],[CONCAT1]],[3]!db[NB NOTA_C],0))</f>
        <v/>
      </c>
      <c r="AS147" s="35" t="str">
        <f>IF(NOTA[[#This Row],[Column5]]="","",TRUE)</f>
        <v/>
      </c>
      <c r="AT147" s="35" t="str">
        <f ca="1">IF(NOTA[[#This Row],[ID_H]]="","",IF(NOTA[[#This Row],[Column3]]=TRUE,NOTA[[#This Row],[Column5]],INDEX([3]!db[QTY/ CTN],NOTA[[#This Row],[//DB]])))</f>
        <v/>
      </c>
      <c r="AU1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47" s="35" t="str">
        <f ca="1">IF(NOTA[[#This Row],[ID_H]]="","",MATCH(NOTA[[#This Row],[NB NOTA_C_QTY]],[3]!db[NB NOTA_C_QTY+F],0))</f>
        <v/>
      </c>
      <c r="AW147" s="43" t="str">
        <f ca="1">IF(NOTA[[#This Row],[NB NOTA_C_QTY]]="","",ROW()-2)</f>
        <v/>
      </c>
    </row>
    <row r="148" spans="1:49" ht="20.100000000000001" customHeight="1">
      <c r="A148" s="38">
        <f ca="1">IF(INDIRECT(ADDRESS(ROW()-1,COLUMN(NOTA[[#Headers],[ID]])))="ID",1,IF(NOTA[[#This Row],[FAKTUR]]="","",COUNT(INDIRECT(ADDRESS(ROW(NOTA[ID]),COLUMN(NOTA[ID]))&amp;":"&amp;ADDRESS(ROW()-1,COLUMN(NOTA[ID]))))+1))</f>
        <v>39</v>
      </c>
      <c r="B148" s="35">
        <f ca="1">IF(NOTA[[#This Row],[NAMA BARANG]]="","",INDEX(NOTA[ID],MATCH(,INDIRECT(ADDRESS(ROW(NOTA[ID]),COLUMN(NOTA[ID]))&amp;":"&amp;ADDRESS(ROW(),COLUMN(NOTA[ID]))),-1)))</f>
        <v>39</v>
      </c>
      <c r="C148" s="45"/>
      <c r="D148" s="35" t="s">
        <v>74</v>
      </c>
      <c r="E148" s="35" t="s">
        <v>49</v>
      </c>
      <c r="F148" s="46" t="s">
        <v>318</v>
      </c>
      <c r="G148" s="35"/>
      <c r="H148" s="36">
        <v>45483</v>
      </c>
      <c r="I148" s="35"/>
      <c r="J148" s="50" t="s">
        <v>331</v>
      </c>
      <c r="K148" s="37">
        <v>12</v>
      </c>
      <c r="L148" s="35">
        <v>864</v>
      </c>
      <c r="M148" s="35" t="s">
        <v>122</v>
      </c>
      <c r="N148" s="38">
        <v>15000</v>
      </c>
      <c r="O148" s="39"/>
      <c r="P148" s="47" t="s">
        <v>319</v>
      </c>
      <c r="Q148" s="48">
        <v>0.03</v>
      </c>
      <c r="R148" s="41"/>
      <c r="T148" s="42"/>
      <c r="U148" s="44"/>
      <c r="V148" s="42">
        <f>IF(NOTA[[#This Row],[HARGA/ CTN]]="",NOTA[[#This Row],[JUMLAH_H]],NOTA[[#This Row],[HARGA/ CTN]]*IF(NOTA[[#This Row],[C]]="",0,NOTA[[#This Row],[C]]))</f>
        <v>12960000</v>
      </c>
      <c r="W148" s="42">
        <f>IF(NOTA[[#This Row],[JUMLAH]]="","",NOTA[[#This Row],[JUMLAH]]*NOTA[[#This Row],[Column6]])</f>
        <v>388800</v>
      </c>
      <c r="X148" s="42">
        <f>IF(NOTA[[#This Row],[JUMLAH]]="","",(NOTA[[#This Row],[JUMLAH]]-NOTA[[#This Row],[DISC 1-]])*NOTA[[#This Row],[Column7]])</f>
        <v>0</v>
      </c>
      <c r="Y148" s="42">
        <f>IF(NOTA[[#This Row],[JUMLAH]]="","",(NOTA[[#This Row],[JUMLAH]]-NOTA[[#This Row],[DISC 1-]]-NOTA[[#This Row],[DISC 2-]])*NOTA[[#This Row],[Column8]])</f>
        <v>0</v>
      </c>
      <c r="Z148" s="42">
        <f>IF(NOTA[[#This Row],[JUMLAH]]="","",NOTA[[#This Row],[DISC 1-]]+NOTA[[#This Row],[DISC 2-]]+NOTA[[#This Row],[DISC 3-]])</f>
        <v>388800</v>
      </c>
      <c r="AA148" s="42">
        <f>IF(NOTA[[#This Row],[JUMLAH]]="","",NOTA[[#This Row],[JUMLAH]]-NOTA[[#This Row],[DISC]])</f>
        <v>12571200</v>
      </c>
      <c r="AB148" s="42"/>
      <c r="AC1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8" s="3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148" s="42">
        <f>IF(OR(NOTA[[#This Row],[QTY]]="",NOTA[[#This Row],[HARGA SATUAN]]="",),"",NOTA[[#This Row],[QTY]]*NOTA[[#This Row],[HARGA SATUAN]])</f>
        <v>12960000</v>
      </c>
      <c r="AG148" s="36">
        <f ca="1">IF(NOTA[[#This Row],[ID_H]]="","",INDEX(NOTA[TANGGAL],MATCH(,INDIRECT(ADDRESS(ROW(NOTA[TANGGAL]),COLUMN(NOTA[TANGGAL]))&amp;":"&amp;ADDRESS(ROW(),COLUMN(NOTA[TANGGAL]))),-1)))</f>
        <v>45485</v>
      </c>
      <c r="AH148" s="36">
        <f ca="1">IF(NOTA[[#This Row],[ID_H]]="","",INDEX(NOTA[TGL.NOTA],MATCH(,INDIRECT(ADDRESS(ROW(NOTA[TGL.NOTA]),COLUMN(NOTA[TGL.NOTA]))&amp;":"&amp;ADDRESS(ROW(),COLUMN(NOTA[TGL.NOTA]))),-1)))</f>
        <v>45483</v>
      </c>
      <c r="AI148" s="36" t="str">
        <f ca="1">IF(NOTA[[#This Row],[ID_H]]="","",INDEX(NOTA[NO.NOTA],MATCH(NOTA[[#This Row],[ID_H]],NOTA[ID_H],0)))</f>
        <v>HM/136/07-24H</v>
      </c>
      <c r="AJ148" s="38" t="str">
        <f ca="1">IF(NOTA[[#This Row],[NAMA BARANG]]="","",INDEX(NOTA[SUPPLIER],MATCH(,INDIRECT(ADDRESS(ROW(NOTA[ID]),COLUMN(NOTA[ID]))&amp;":"&amp;ADDRESS(ROW(),COLUMN(NOTA[ID]))),-1)))</f>
        <v>DUTA BUANA</v>
      </c>
      <c r="AK148" s="38" t="str">
        <f ca="1">IF(NOTA[[#This Row],[ID_H]]="","",IF(NOTA[[#This Row],[FAKTUR]]="",INDIRECT(ADDRESS(ROW()-1,COLUMN())),NOTA[[#This Row],[FAKTUR]]))</f>
        <v>UNTANA</v>
      </c>
      <c r="AL148" s="35">
        <f ca="1">IF(NOTA[[#This Row],[ID]]="","",COUNTIF(NOTA[ID_H],NOTA[[#This Row],[ID_H]]))</f>
        <v>9</v>
      </c>
      <c r="AM148" s="35">
        <f>IF(NOTA[[#This Row],[TGL.NOTA]]="",IF(NOTA[[#This Row],[SUPPLIER_H]]="","",AM147),MONTH(NOTA[[#This Row],[TGL.NOTA]]))</f>
        <v>7</v>
      </c>
      <c r="AN148" s="35" t="str">
        <f>LOWER(SUBSTITUTE(SUBSTITUTE(SUBSTITUTE(SUBSTITUTE(SUBSTITUTE(SUBSTITUTE(SUBSTITUTE(SUBSTITUTE(SUBSTITUTE(NOTA[[#This Row],[NAMA BARANG]]," ",),".",""),"-",""),"(",""),")",""),",",""),"/",""),"""",""),"+",""))</f>
        <v>acryliccolourtfac00112x6ml</v>
      </c>
      <c r="AO1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acryliccolourtfac00112x6ml10800000,03</v>
      </c>
      <c r="AP1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acryliccolourtfac00112x6ml10800000,03</v>
      </c>
      <c r="AQ148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BUANAUNTANAHM/136/07-24H45483acryliccolourtfac00112x6ml</v>
      </c>
      <c r="AR148" s="35">
        <f>IF(NOTA[[#This Row],[CONCAT1]]="","",MATCH(NOTA[[#This Row],[CONCAT1]],[3]!db[NB NOTA_C],0))</f>
        <v>27</v>
      </c>
      <c r="AS148" s="35" t="b">
        <f>IF(NOTA[[#This Row],[Column5]]="","",TRUE)</f>
        <v>1</v>
      </c>
      <c r="AT148" s="35" t="str">
        <f ca="1">IF(NOTA[[#This Row],[ID_H]]="","",IF(NOTA[[#This Row],[Column3]]=TRUE,NOTA[[#This Row],[Column5]],INDEX([3]!db[QTY/ CTN],NOTA[[#This Row],[//DB]])))</f>
        <v>72 SET</v>
      </c>
      <c r="AU1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acryliccolourtfac00112x6ml72setuntana</v>
      </c>
      <c r="AV148" s="35">
        <f ca="1">IF(NOTA[[#This Row],[ID_H]]="","",MATCH(NOTA[[#This Row],[NB NOTA_C_QTY]],[3]!db[NB NOTA_C_QTY+F],0))</f>
        <v>27</v>
      </c>
      <c r="AW148" s="43">
        <f ca="1">IF(NOTA[[#This Row],[NB NOTA_C_QTY]]="","",ROW()-2)</f>
        <v>146</v>
      </c>
    </row>
    <row r="149" spans="1:49" ht="20.100000000000001" customHeight="1">
      <c r="A1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5">
        <f ca="1">IF(NOTA[[#This Row],[NAMA BARANG]]="","",INDEX(NOTA[ID],MATCH(,INDIRECT(ADDRESS(ROW(NOTA[ID]),COLUMN(NOTA[ID]))&amp;":"&amp;ADDRESS(ROW(),COLUMN(NOTA[ID]))),-1)))</f>
        <v>39</v>
      </c>
      <c r="C149" s="45"/>
      <c r="F149" s="46"/>
      <c r="G149" s="35"/>
      <c r="H149" s="36"/>
      <c r="I149" s="35"/>
      <c r="J149" s="50" t="s">
        <v>332</v>
      </c>
      <c r="K149" s="37">
        <v>8</v>
      </c>
      <c r="L149" s="35">
        <v>480</v>
      </c>
      <c r="M149" s="35" t="s">
        <v>122</v>
      </c>
      <c r="N149" s="38">
        <v>20500</v>
      </c>
      <c r="O149" s="39"/>
      <c r="P149" s="47" t="s">
        <v>320</v>
      </c>
      <c r="Q149" s="48">
        <v>0.03</v>
      </c>
      <c r="R149" s="41"/>
      <c r="T149" s="42"/>
      <c r="U149" s="44"/>
      <c r="V149" s="42">
        <f>IF(NOTA[[#This Row],[HARGA/ CTN]]="",NOTA[[#This Row],[JUMLAH_H]],NOTA[[#This Row],[HARGA/ CTN]]*IF(NOTA[[#This Row],[C]]="",0,NOTA[[#This Row],[C]]))</f>
        <v>9840000</v>
      </c>
      <c r="W149" s="42">
        <f>IF(NOTA[[#This Row],[JUMLAH]]="","",NOTA[[#This Row],[JUMLAH]]*NOTA[[#This Row],[Column6]])</f>
        <v>295200</v>
      </c>
      <c r="X149" s="42">
        <f>IF(NOTA[[#This Row],[JUMLAH]]="","",(NOTA[[#This Row],[JUMLAH]]-NOTA[[#This Row],[DISC 1-]])*NOTA[[#This Row],[Column7]])</f>
        <v>0</v>
      </c>
      <c r="Y149" s="42">
        <f>IF(NOTA[[#This Row],[JUMLAH]]="","",(NOTA[[#This Row],[JUMLAH]]-NOTA[[#This Row],[DISC 1-]]-NOTA[[#This Row],[DISC 2-]])*NOTA[[#This Row],[Column8]])</f>
        <v>0</v>
      </c>
      <c r="Z149" s="42">
        <f>IF(NOTA[[#This Row],[JUMLAH]]="","",NOTA[[#This Row],[DISC 1-]]+NOTA[[#This Row],[DISC 2-]]+NOTA[[#This Row],[DISC 3-]])</f>
        <v>295200</v>
      </c>
      <c r="AA149" s="42">
        <f>IF(NOTA[[#This Row],[JUMLAH]]="","",NOTA[[#This Row],[JUMLAH]]-NOTA[[#This Row],[DISC]])</f>
        <v>9544800</v>
      </c>
      <c r="AB149" s="42"/>
      <c r="AC1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49" s="38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F149" s="42">
        <f>IF(OR(NOTA[[#This Row],[QTY]]="",NOTA[[#This Row],[HARGA SATUAN]]="",),"",NOTA[[#This Row],[QTY]]*NOTA[[#This Row],[HARGA SATUAN]])</f>
        <v>9840000</v>
      </c>
      <c r="AG149" s="36">
        <f ca="1">IF(NOTA[[#This Row],[ID_H]]="","",INDEX(NOTA[TANGGAL],MATCH(,INDIRECT(ADDRESS(ROW(NOTA[TANGGAL]),COLUMN(NOTA[TANGGAL]))&amp;":"&amp;ADDRESS(ROW(),COLUMN(NOTA[TANGGAL]))),-1)))</f>
        <v>45485</v>
      </c>
      <c r="AH149" s="36">
        <f ca="1">IF(NOTA[[#This Row],[ID_H]]="","",INDEX(NOTA[TGL.NOTA],MATCH(,INDIRECT(ADDRESS(ROW(NOTA[TGL.NOTA]),COLUMN(NOTA[TGL.NOTA]))&amp;":"&amp;ADDRESS(ROW(),COLUMN(NOTA[TGL.NOTA]))),-1)))</f>
        <v>45483</v>
      </c>
      <c r="AI149" s="36" t="str">
        <f ca="1">IF(NOTA[[#This Row],[ID_H]]="","",INDEX(NOTA[NO.NOTA],MATCH(NOTA[[#This Row],[ID_H]],NOTA[ID_H],0)))</f>
        <v>HM/136/07-24H</v>
      </c>
      <c r="AJ149" s="38" t="str">
        <f ca="1">IF(NOTA[[#This Row],[NAMA BARANG]]="","",INDEX(NOTA[SUPPLIER],MATCH(,INDIRECT(ADDRESS(ROW(NOTA[ID]),COLUMN(NOTA[ID]))&amp;":"&amp;ADDRESS(ROW(),COLUMN(NOTA[ID]))),-1)))</f>
        <v>DUTA BUANA</v>
      </c>
      <c r="AK149" s="38" t="str">
        <f ca="1">IF(NOTA[[#This Row],[ID_H]]="","",IF(NOTA[[#This Row],[FAKTUR]]="",INDIRECT(ADDRESS(ROW()-1,COLUMN())),NOTA[[#This Row],[FAKTUR]]))</f>
        <v>UNTANA</v>
      </c>
      <c r="AL149" s="35" t="str">
        <f ca="1">IF(NOTA[[#This Row],[ID]]="","",COUNTIF(NOTA[ID_H],NOTA[[#This Row],[ID_H]]))</f>
        <v/>
      </c>
      <c r="AM149" s="35">
        <f ca="1">IF(NOTA[[#This Row],[TGL.NOTA]]="",IF(NOTA[[#This Row],[SUPPLIER_H]]="","",AM148),MONTH(NOTA[[#This Row],[TGL.NOTA]]))</f>
        <v>7</v>
      </c>
      <c r="AN149" s="35" t="str">
        <f>LOWER(SUBSTITUTE(SUBSTITUTE(SUBSTITUTE(SUBSTITUTE(SUBSTITUTE(SUBSTITUTE(SUBSTITUTE(SUBSTITUTE(SUBSTITUTE(NOTA[[#This Row],[NAMA BARANG]]," ",),".",""),"-",""),"(",""),")",""),",",""),"/",""),"""",""),"+",""))</f>
        <v>acryliccolourtfac00212x12ml</v>
      </c>
      <c r="AO1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acryliccolourtfac00212x12ml12300000,03</v>
      </c>
      <c r="AP1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acryliccolourtfac00212x12ml12300000,03</v>
      </c>
      <c r="AQ1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9" s="35">
        <f>IF(NOTA[[#This Row],[CONCAT1]]="","",MATCH(NOTA[[#This Row],[CONCAT1]],[3]!db[NB NOTA_C],0))</f>
        <v>29</v>
      </c>
      <c r="AS149" s="35" t="b">
        <f>IF(NOTA[[#This Row],[Column5]]="","",TRUE)</f>
        <v>1</v>
      </c>
      <c r="AT149" s="35" t="str">
        <f ca="1">IF(NOTA[[#This Row],[ID_H]]="","",IF(NOTA[[#This Row],[Column3]]=TRUE,NOTA[[#This Row],[Column5]],INDEX([3]!db[QTY/ CTN],NOTA[[#This Row],[//DB]])))</f>
        <v>60 SET</v>
      </c>
      <c r="AU1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acryliccolourtfac00212x12ml60setuntana</v>
      </c>
      <c r="AV149" s="35">
        <f ca="1">IF(NOTA[[#This Row],[ID_H]]="","",MATCH(NOTA[[#This Row],[NB NOTA_C_QTY]],[3]!db[NB NOTA_C_QTY+F],0))</f>
        <v>29</v>
      </c>
      <c r="AW149" s="43">
        <f ca="1">IF(NOTA[[#This Row],[NB NOTA_C_QTY]]="","",ROW()-2)</f>
        <v>147</v>
      </c>
    </row>
    <row r="150" spans="1:49" ht="20.100000000000001" customHeight="1">
      <c r="A1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5">
        <f ca="1">IF(NOTA[[#This Row],[NAMA BARANG]]="","",INDEX(NOTA[ID],MATCH(,INDIRECT(ADDRESS(ROW(NOTA[ID]),COLUMN(NOTA[ID]))&amp;":"&amp;ADDRESS(ROW(),COLUMN(NOTA[ID]))),-1)))</f>
        <v>39</v>
      </c>
      <c r="C150" s="45"/>
      <c r="F150" s="46"/>
      <c r="G150" s="35"/>
      <c r="H150" s="36"/>
      <c r="I150" s="35"/>
      <c r="J150" s="50" t="s">
        <v>333</v>
      </c>
      <c r="K150" s="37">
        <v>4</v>
      </c>
      <c r="L150" s="35">
        <v>288</v>
      </c>
      <c r="M150" s="35" t="s">
        <v>122</v>
      </c>
      <c r="N150" s="38">
        <v>16000</v>
      </c>
      <c r="O150" s="39"/>
      <c r="P150" s="47" t="s">
        <v>319</v>
      </c>
      <c r="Q150" s="48">
        <v>0.03</v>
      </c>
      <c r="R150" s="41"/>
      <c r="T150" s="42"/>
      <c r="U150" s="44"/>
      <c r="V150" s="42">
        <f>IF(NOTA[[#This Row],[HARGA/ CTN]]="",NOTA[[#This Row],[JUMLAH_H]],NOTA[[#This Row],[HARGA/ CTN]]*IF(NOTA[[#This Row],[C]]="",0,NOTA[[#This Row],[C]]))</f>
        <v>4608000</v>
      </c>
      <c r="W150" s="42">
        <f>IF(NOTA[[#This Row],[JUMLAH]]="","",NOTA[[#This Row],[JUMLAH]]*NOTA[[#This Row],[Column6]])</f>
        <v>138240</v>
      </c>
      <c r="X150" s="42">
        <f>IF(NOTA[[#This Row],[JUMLAH]]="","",(NOTA[[#This Row],[JUMLAH]]-NOTA[[#This Row],[DISC 1-]])*NOTA[[#This Row],[Column7]])</f>
        <v>0</v>
      </c>
      <c r="Y150" s="42">
        <f>IF(NOTA[[#This Row],[JUMLAH]]="","",(NOTA[[#This Row],[JUMLAH]]-NOTA[[#This Row],[DISC 1-]]-NOTA[[#This Row],[DISC 2-]])*NOTA[[#This Row],[Column8]])</f>
        <v>0</v>
      </c>
      <c r="Z150" s="42">
        <f>IF(NOTA[[#This Row],[JUMLAH]]="","",NOTA[[#This Row],[DISC 1-]]+NOTA[[#This Row],[DISC 2-]]+NOTA[[#This Row],[DISC 3-]])</f>
        <v>138240</v>
      </c>
      <c r="AA150" s="42">
        <f>IF(NOTA[[#This Row],[JUMLAH]]="","",NOTA[[#This Row],[JUMLAH]]-NOTA[[#This Row],[DISC]])</f>
        <v>4469760</v>
      </c>
      <c r="AB150" s="42"/>
      <c r="AC1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0" s="3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50" s="42">
        <f>IF(OR(NOTA[[#This Row],[QTY]]="",NOTA[[#This Row],[HARGA SATUAN]]="",),"",NOTA[[#This Row],[QTY]]*NOTA[[#This Row],[HARGA SATUAN]])</f>
        <v>4608000</v>
      </c>
      <c r="AG150" s="36">
        <f ca="1">IF(NOTA[[#This Row],[ID_H]]="","",INDEX(NOTA[TANGGAL],MATCH(,INDIRECT(ADDRESS(ROW(NOTA[TANGGAL]),COLUMN(NOTA[TANGGAL]))&amp;":"&amp;ADDRESS(ROW(),COLUMN(NOTA[TANGGAL]))),-1)))</f>
        <v>45485</v>
      </c>
      <c r="AH150" s="36">
        <f ca="1">IF(NOTA[[#This Row],[ID_H]]="","",INDEX(NOTA[TGL.NOTA],MATCH(,INDIRECT(ADDRESS(ROW(NOTA[TGL.NOTA]),COLUMN(NOTA[TGL.NOTA]))&amp;":"&amp;ADDRESS(ROW(),COLUMN(NOTA[TGL.NOTA]))),-1)))</f>
        <v>45483</v>
      </c>
      <c r="AI150" s="36" t="str">
        <f ca="1">IF(NOTA[[#This Row],[ID_H]]="","",INDEX(NOTA[NO.NOTA],MATCH(NOTA[[#This Row],[ID_H]],NOTA[ID_H],0)))</f>
        <v>HM/136/07-24H</v>
      </c>
      <c r="AJ150" s="38" t="str">
        <f ca="1">IF(NOTA[[#This Row],[NAMA BARANG]]="","",INDEX(NOTA[SUPPLIER],MATCH(,INDIRECT(ADDRESS(ROW(NOTA[ID]),COLUMN(NOTA[ID]))&amp;":"&amp;ADDRESS(ROW(),COLUMN(NOTA[ID]))),-1)))</f>
        <v>DUTA BUANA</v>
      </c>
      <c r="AK150" s="38" t="str">
        <f ca="1">IF(NOTA[[#This Row],[ID_H]]="","",IF(NOTA[[#This Row],[FAKTUR]]="",INDIRECT(ADDRESS(ROW()-1,COLUMN())),NOTA[[#This Row],[FAKTUR]]))</f>
        <v>UNTANA</v>
      </c>
      <c r="AL150" s="35" t="str">
        <f ca="1">IF(NOTA[[#This Row],[ID]]="","",COUNTIF(NOTA[ID_H],NOTA[[#This Row],[ID_H]]))</f>
        <v/>
      </c>
      <c r="AM150" s="35">
        <f ca="1">IF(NOTA[[#This Row],[TGL.NOTA]]="",IF(NOTA[[#This Row],[SUPPLIER_H]]="","",AM149),MONTH(NOTA[[#This Row],[TGL.NOTA]]))</f>
        <v>7</v>
      </c>
      <c r="AN150" s="35" t="str">
        <f>LOWER(SUBSTITUTE(SUBSTITUTE(SUBSTITUTE(SUBSTITUTE(SUBSTITUTE(SUBSTITUTE(SUBSTITUTE(SUBSTITUTE(SUBSTITUTE(NOTA[[#This Row],[NAMA BARANG]]," ",),".",""),"-",""),"(",""),")",""),",",""),"/",""),"""",""),"+",""))</f>
        <v>acryliccolourtfac004n12x6mlneon</v>
      </c>
      <c r="AO1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acryliccolourtfac004n12x6mlneon11520000,03</v>
      </c>
      <c r="AP1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acryliccolourtfac004n12x6mlneon11520000,03</v>
      </c>
      <c r="AQ1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0" s="35">
        <f>IF(NOTA[[#This Row],[CONCAT1]]="","",MATCH(NOTA[[#This Row],[CONCAT1]],[3]!db[NB NOTA_C],0))</f>
        <v>32</v>
      </c>
      <c r="AS150" s="35" t="b">
        <f>IF(NOTA[[#This Row],[Column5]]="","",TRUE)</f>
        <v>1</v>
      </c>
      <c r="AT150" s="35" t="str">
        <f ca="1">IF(NOTA[[#This Row],[ID_H]]="","",IF(NOTA[[#This Row],[Column3]]=TRUE,NOTA[[#This Row],[Column5]],INDEX([3]!db[QTY/ CTN],NOTA[[#This Row],[//DB]])))</f>
        <v>72 SET</v>
      </c>
      <c r="AU1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acryliccolourtfac004n12x6mlneon72setuntana</v>
      </c>
      <c r="AV150" s="35">
        <f ca="1">IF(NOTA[[#This Row],[ID_H]]="","",MATCH(NOTA[[#This Row],[NB NOTA_C_QTY]],[3]!db[NB NOTA_C_QTY+F],0))</f>
        <v>32</v>
      </c>
      <c r="AW150" s="43">
        <f ca="1">IF(NOTA[[#This Row],[NB NOTA_C_QTY]]="","",ROW()-2)</f>
        <v>148</v>
      </c>
    </row>
    <row r="151" spans="1:49" ht="20.100000000000001" customHeight="1">
      <c r="A1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5">
        <f ca="1">IF(NOTA[[#This Row],[NAMA BARANG]]="","",INDEX(NOTA[ID],MATCH(,INDIRECT(ADDRESS(ROW(NOTA[ID]),COLUMN(NOTA[ID]))&amp;":"&amp;ADDRESS(ROW(),COLUMN(NOTA[ID]))),-1)))</f>
        <v>39</v>
      </c>
      <c r="C151" s="45"/>
      <c r="F151" s="46"/>
      <c r="G151" s="35"/>
      <c r="H151" s="36"/>
      <c r="I151" s="35"/>
      <c r="J151" s="50" t="s">
        <v>334</v>
      </c>
      <c r="K151" s="37">
        <v>3</v>
      </c>
      <c r="L151" s="35">
        <v>216</v>
      </c>
      <c r="M151" s="35" t="s">
        <v>122</v>
      </c>
      <c r="N151" s="38">
        <v>16000</v>
      </c>
      <c r="O151" s="39"/>
      <c r="P151" s="47" t="s">
        <v>319</v>
      </c>
      <c r="Q151" s="48">
        <v>0.03</v>
      </c>
      <c r="R151" s="41"/>
      <c r="T151" s="42"/>
      <c r="U151" s="44"/>
      <c r="V151" s="42">
        <f>IF(NOTA[[#This Row],[HARGA/ CTN]]="",NOTA[[#This Row],[JUMLAH_H]],NOTA[[#This Row],[HARGA/ CTN]]*IF(NOTA[[#This Row],[C]]="",0,NOTA[[#This Row],[C]]))</f>
        <v>3456000</v>
      </c>
      <c r="W151" s="42">
        <f>IF(NOTA[[#This Row],[JUMLAH]]="","",NOTA[[#This Row],[JUMLAH]]*NOTA[[#This Row],[Column6]])</f>
        <v>103680</v>
      </c>
      <c r="X151" s="42">
        <f>IF(NOTA[[#This Row],[JUMLAH]]="","",(NOTA[[#This Row],[JUMLAH]]-NOTA[[#This Row],[DISC 1-]])*NOTA[[#This Row],[Column7]])</f>
        <v>0</v>
      </c>
      <c r="Y151" s="42">
        <f>IF(NOTA[[#This Row],[JUMLAH]]="","",(NOTA[[#This Row],[JUMLAH]]-NOTA[[#This Row],[DISC 1-]]-NOTA[[#This Row],[DISC 2-]])*NOTA[[#This Row],[Column8]])</f>
        <v>0</v>
      </c>
      <c r="Z151" s="42">
        <f>IF(NOTA[[#This Row],[JUMLAH]]="","",NOTA[[#This Row],[DISC 1-]]+NOTA[[#This Row],[DISC 2-]]+NOTA[[#This Row],[DISC 3-]])</f>
        <v>103680</v>
      </c>
      <c r="AA151" s="42">
        <f>IF(NOTA[[#This Row],[JUMLAH]]="","",NOTA[[#This Row],[JUMLAH]]-NOTA[[#This Row],[DISC]])</f>
        <v>3352320</v>
      </c>
      <c r="AB151" s="42"/>
      <c r="AC1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1" s="3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51" s="42">
        <f>IF(OR(NOTA[[#This Row],[QTY]]="",NOTA[[#This Row],[HARGA SATUAN]]="",),"",NOTA[[#This Row],[QTY]]*NOTA[[#This Row],[HARGA SATUAN]])</f>
        <v>3456000</v>
      </c>
      <c r="AG151" s="36">
        <f ca="1">IF(NOTA[[#This Row],[ID_H]]="","",INDEX(NOTA[TANGGAL],MATCH(,INDIRECT(ADDRESS(ROW(NOTA[TANGGAL]),COLUMN(NOTA[TANGGAL]))&amp;":"&amp;ADDRESS(ROW(),COLUMN(NOTA[TANGGAL]))),-1)))</f>
        <v>45485</v>
      </c>
      <c r="AH151" s="36">
        <f ca="1">IF(NOTA[[#This Row],[ID_H]]="","",INDEX(NOTA[TGL.NOTA],MATCH(,INDIRECT(ADDRESS(ROW(NOTA[TGL.NOTA]),COLUMN(NOTA[TGL.NOTA]))&amp;":"&amp;ADDRESS(ROW(),COLUMN(NOTA[TGL.NOTA]))),-1)))</f>
        <v>45483</v>
      </c>
      <c r="AI151" s="36" t="str">
        <f ca="1">IF(NOTA[[#This Row],[ID_H]]="","",INDEX(NOTA[NO.NOTA],MATCH(NOTA[[#This Row],[ID_H]],NOTA[ID_H],0)))</f>
        <v>HM/136/07-24H</v>
      </c>
      <c r="AJ151" s="38" t="str">
        <f ca="1">IF(NOTA[[#This Row],[NAMA BARANG]]="","",INDEX(NOTA[SUPPLIER],MATCH(,INDIRECT(ADDRESS(ROW(NOTA[ID]),COLUMN(NOTA[ID]))&amp;":"&amp;ADDRESS(ROW(),COLUMN(NOTA[ID]))),-1)))</f>
        <v>DUTA BUANA</v>
      </c>
      <c r="AK151" s="38" t="str">
        <f ca="1">IF(NOTA[[#This Row],[ID_H]]="","",IF(NOTA[[#This Row],[FAKTUR]]="",INDIRECT(ADDRESS(ROW()-1,COLUMN())),NOTA[[#This Row],[FAKTUR]]))</f>
        <v>UNTANA</v>
      </c>
      <c r="AL151" s="35" t="str">
        <f ca="1">IF(NOTA[[#This Row],[ID]]="","",COUNTIF(NOTA[ID_H],NOTA[[#This Row],[ID_H]]))</f>
        <v/>
      </c>
      <c r="AM151" s="35">
        <f ca="1">IF(NOTA[[#This Row],[TGL.NOTA]]="",IF(NOTA[[#This Row],[SUPPLIER_H]]="","",AM150),MONTH(NOTA[[#This Row],[TGL.NOTA]]))</f>
        <v>7</v>
      </c>
      <c r="AN151" s="35" t="str">
        <f>LOWER(SUBSTITUTE(SUBSTITUTE(SUBSTITUTE(SUBSTITUTE(SUBSTITUTE(SUBSTITUTE(SUBSTITUTE(SUBSTITUTE(SUBSTITUTE(NOTA[[#This Row],[NAMA BARANG]]," ",),".",""),"-",""),"(",""),")",""),",",""),"/",""),"""",""),"+",""))</f>
        <v>acryliccolourtfac005p12x6mlpastel</v>
      </c>
      <c r="AO1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acryliccolourtfac005p12x6mlpastel11520000,03</v>
      </c>
      <c r="AP1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acryliccolourtfac005p12x6mlpastel11520000,03</v>
      </c>
      <c r="AQ1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1" s="35">
        <f>IF(NOTA[[#This Row],[CONCAT1]]="","",MATCH(NOTA[[#This Row],[CONCAT1]],[3]!db[NB NOTA_C],0))</f>
        <v>33</v>
      </c>
      <c r="AS151" s="35" t="b">
        <f>IF(NOTA[[#This Row],[Column5]]="","",TRUE)</f>
        <v>1</v>
      </c>
      <c r="AT151" s="35" t="str">
        <f ca="1">IF(NOTA[[#This Row],[ID_H]]="","",IF(NOTA[[#This Row],[Column3]]=TRUE,NOTA[[#This Row],[Column5]],INDEX([3]!db[QTY/ CTN],NOTA[[#This Row],[//DB]])))</f>
        <v>72 SET</v>
      </c>
      <c r="AU1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acryliccolourtfac005p12x6mlpastel72setuntana</v>
      </c>
      <c r="AV151" s="35">
        <f ca="1">IF(NOTA[[#This Row],[ID_H]]="","",MATCH(NOTA[[#This Row],[NB NOTA_C_QTY]],[3]!db[NB NOTA_C_QTY+F],0))</f>
        <v>33</v>
      </c>
      <c r="AW151" s="43">
        <f ca="1">IF(NOTA[[#This Row],[NB NOTA_C_QTY]]="","",ROW()-2)</f>
        <v>149</v>
      </c>
    </row>
    <row r="152" spans="1:49" ht="20.100000000000001" customHeight="1">
      <c r="A1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5">
        <f ca="1">IF(NOTA[[#This Row],[NAMA BARANG]]="","",INDEX(NOTA[ID],MATCH(,INDIRECT(ADDRESS(ROW(NOTA[ID]),COLUMN(NOTA[ID]))&amp;":"&amp;ADDRESS(ROW(),COLUMN(NOTA[ID]))),-1)))</f>
        <v>39</v>
      </c>
      <c r="C152" s="45"/>
      <c r="F152" s="46"/>
      <c r="G152" s="35"/>
      <c r="H152" s="36"/>
      <c r="I152" s="35"/>
      <c r="J152" s="50" t="s">
        <v>335</v>
      </c>
      <c r="K152" s="37">
        <v>3</v>
      </c>
      <c r="L152" s="35">
        <v>216</v>
      </c>
      <c r="M152" s="35" t="s">
        <v>122</v>
      </c>
      <c r="N152" s="38">
        <v>16000</v>
      </c>
      <c r="O152" s="39"/>
      <c r="P152" s="47" t="s">
        <v>319</v>
      </c>
      <c r="Q152" s="48">
        <v>0.03</v>
      </c>
      <c r="R152" s="41"/>
      <c r="T152" s="42"/>
      <c r="U152" s="44"/>
      <c r="V152" s="42">
        <f>IF(NOTA[[#This Row],[HARGA/ CTN]]="",NOTA[[#This Row],[JUMLAH_H]],NOTA[[#This Row],[HARGA/ CTN]]*IF(NOTA[[#This Row],[C]]="",0,NOTA[[#This Row],[C]]))</f>
        <v>3456000</v>
      </c>
      <c r="W152" s="42">
        <f>IF(NOTA[[#This Row],[JUMLAH]]="","",NOTA[[#This Row],[JUMLAH]]*NOTA[[#This Row],[Column6]])</f>
        <v>103680</v>
      </c>
      <c r="X152" s="42">
        <f>IF(NOTA[[#This Row],[JUMLAH]]="","",(NOTA[[#This Row],[JUMLAH]]-NOTA[[#This Row],[DISC 1-]])*NOTA[[#This Row],[Column7]])</f>
        <v>0</v>
      </c>
      <c r="Y152" s="42">
        <f>IF(NOTA[[#This Row],[JUMLAH]]="","",(NOTA[[#This Row],[JUMLAH]]-NOTA[[#This Row],[DISC 1-]]-NOTA[[#This Row],[DISC 2-]])*NOTA[[#This Row],[Column8]])</f>
        <v>0</v>
      </c>
      <c r="Z152" s="42">
        <f>IF(NOTA[[#This Row],[JUMLAH]]="","",NOTA[[#This Row],[DISC 1-]]+NOTA[[#This Row],[DISC 2-]]+NOTA[[#This Row],[DISC 3-]])</f>
        <v>103680</v>
      </c>
      <c r="AA152" s="42">
        <f>IF(NOTA[[#This Row],[JUMLAH]]="","",NOTA[[#This Row],[JUMLAH]]-NOTA[[#This Row],[DISC]])</f>
        <v>3352320</v>
      </c>
      <c r="AB152" s="42"/>
      <c r="AC1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2" s="38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152" s="42">
        <f>IF(OR(NOTA[[#This Row],[QTY]]="",NOTA[[#This Row],[HARGA SATUAN]]="",),"",NOTA[[#This Row],[QTY]]*NOTA[[#This Row],[HARGA SATUAN]])</f>
        <v>3456000</v>
      </c>
      <c r="AG152" s="36">
        <f ca="1">IF(NOTA[[#This Row],[ID_H]]="","",INDEX(NOTA[TANGGAL],MATCH(,INDIRECT(ADDRESS(ROW(NOTA[TANGGAL]),COLUMN(NOTA[TANGGAL]))&amp;":"&amp;ADDRESS(ROW(),COLUMN(NOTA[TANGGAL]))),-1)))</f>
        <v>45485</v>
      </c>
      <c r="AH152" s="36">
        <f ca="1">IF(NOTA[[#This Row],[ID_H]]="","",INDEX(NOTA[TGL.NOTA],MATCH(,INDIRECT(ADDRESS(ROW(NOTA[TGL.NOTA]),COLUMN(NOTA[TGL.NOTA]))&amp;":"&amp;ADDRESS(ROW(),COLUMN(NOTA[TGL.NOTA]))),-1)))</f>
        <v>45483</v>
      </c>
      <c r="AI152" s="36" t="str">
        <f ca="1">IF(NOTA[[#This Row],[ID_H]]="","",INDEX(NOTA[NO.NOTA],MATCH(NOTA[[#This Row],[ID_H]],NOTA[ID_H],0)))</f>
        <v>HM/136/07-24H</v>
      </c>
      <c r="AJ152" s="38" t="str">
        <f ca="1">IF(NOTA[[#This Row],[NAMA BARANG]]="","",INDEX(NOTA[SUPPLIER],MATCH(,INDIRECT(ADDRESS(ROW(NOTA[ID]),COLUMN(NOTA[ID]))&amp;":"&amp;ADDRESS(ROW(),COLUMN(NOTA[ID]))),-1)))</f>
        <v>DUTA BUANA</v>
      </c>
      <c r="AK152" s="38" t="str">
        <f ca="1">IF(NOTA[[#This Row],[ID_H]]="","",IF(NOTA[[#This Row],[FAKTUR]]="",INDIRECT(ADDRESS(ROW()-1,COLUMN())),NOTA[[#This Row],[FAKTUR]]))</f>
        <v>UNTANA</v>
      </c>
      <c r="AL152" s="35" t="str">
        <f ca="1">IF(NOTA[[#This Row],[ID]]="","",COUNTIF(NOTA[ID_H],NOTA[[#This Row],[ID_H]]))</f>
        <v/>
      </c>
      <c r="AM152" s="35">
        <f ca="1">IF(NOTA[[#This Row],[TGL.NOTA]]="",IF(NOTA[[#This Row],[SUPPLIER_H]]="","",AM151),MONTH(NOTA[[#This Row],[TGL.NOTA]]))</f>
        <v>7</v>
      </c>
      <c r="AN152" s="35" t="str">
        <f>LOWER(SUBSTITUTE(SUBSTITUTE(SUBSTITUTE(SUBSTITUTE(SUBSTITUTE(SUBSTITUTE(SUBSTITUTE(SUBSTITUTE(SUBSTITUTE(NOTA[[#This Row],[NAMA BARANG]]," ",),".",""),"-",""),"(",""),")",""),",",""),"/",""),"""",""),"+",""))</f>
        <v>acryliccolourtfac006m12x6mlmetalic</v>
      </c>
      <c r="AO1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acryliccolourtfac006m12x6mlmetalic11520000,03</v>
      </c>
      <c r="AP1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acryliccolourtfac006m12x6mlmetalic11520000,03</v>
      </c>
      <c r="AQ1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2" s="35">
        <f>IF(NOTA[[#This Row],[CONCAT1]]="","",MATCH(NOTA[[#This Row],[CONCAT1]],[3]!db[NB NOTA_C],0))</f>
        <v>34</v>
      </c>
      <c r="AS152" s="35" t="b">
        <f>IF(NOTA[[#This Row],[Column5]]="","",TRUE)</f>
        <v>1</v>
      </c>
      <c r="AT152" s="35" t="str">
        <f ca="1">IF(NOTA[[#This Row],[ID_H]]="","",IF(NOTA[[#This Row],[Column3]]=TRUE,NOTA[[#This Row],[Column5]],INDEX([3]!db[QTY/ CTN],NOTA[[#This Row],[//DB]])))</f>
        <v>72 SET</v>
      </c>
      <c r="AU1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acryliccolourtfac006m12x6mlmetalic72setuntana</v>
      </c>
      <c r="AV152" s="35">
        <f ca="1">IF(NOTA[[#This Row],[ID_H]]="","",MATCH(NOTA[[#This Row],[NB NOTA_C_QTY]],[3]!db[NB NOTA_C_QTY+F],0))</f>
        <v>34</v>
      </c>
      <c r="AW152" s="43">
        <f ca="1">IF(NOTA[[#This Row],[NB NOTA_C_QTY]]="","",ROW()-2)</f>
        <v>150</v>
      </c>
    </row>
    <row r="153" spans="1:49" ht="20.100000000000001" customHeight="1">
      <c r="A1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5">
        <f ca="1">IF(NOTA[[#This Row],[NAMA BARANG]]="","",INDEX(NOTA[ID],MATCH(,INDIRECT(ADDRESS(ROW(NOTA[ID]),COLUMN(NOTA[ID]))&amp;":"&amp;ADDRESS(ROW(),COLUMN(NOTA[ID]))),-1)))</f>
        <v>39</v>
      </c>
      <c r="C153" s="45"/>
      <c r="F153" s="46"/>
      <c r="G153" s="35"/>
      <c r="H153" s="36"/>
      <c r="I153" s="35"/>
      <c r="J153" s="50" t="s">
        <v>321</v>
      </c>
      <c r="K153" s="37">
        <v>2</v>
      </c>
      <c r="L153" s="35">
        <v>288</v>
      </c>
      <c r="M153" s="35" t="s">
        <v>122</v>
      </c>
      <c r="N153" s="38">
        <v>14000</v>
      </c>
      <c r="O153" s="39"/>
      <c r="P153" s="47" t="s">
        <v>322</v>
      </c>
      <c r="Q153" s="48">
        <v>0.03</v>
      </c>
      <c r="R153" s="41"/>
      <c r="T153" s="42"/>
      <c r="U153" s="44"/>
      <c r="V153" s="42">
        <f>IF(NOTA[[#This Row],[HARGA/ CTN]]="",NOTA[[#This Row],[JUMLAH_H]],NOTA[[#This Row],[HARGA/ CTN]]*IF(NOTA[[#This Row],[C]]="",0,NOTA[[#This Row],[C]]))</f>
        <v>4032000</v>
      </c>
      <c r="W153" s="42">
        <f>IF(NOTA[[#This Row],[JUMLAH]]="","",NOTA[[#This Row],[JUMLAH]]*NOTA[[#This Row],[Column6]])</f>
        <v>120960</v>
      </c>
      <c r="X153" s="42">
        <f>IF(NOTA[[#This Row],[JUMLAH]]="","",(NOTA[[#This Row],[JUMLAH]]-NOTA[[#This Row],[DISC 1-]])*NOTA[[#This Row],[Column7]])</f>
        <v>0</v>
      </c>
      <c r="Y153" s="42">
        <f>IF(NOTA[[#This Row],[JUMLAH]]="","",(NOTA[[#This Row],[JUMLAH]]-NOTA[[#This Row],[DISC 1-]]-NOTA[[#This Row],[DISC 2-]])*NOTA[[#This Row],[Column8]])</f>
        <v>0</v>
      </c>
      <c r="Z153" s="42">
        <f>IF(NOTA[[#This Row],[JUMLAH]]="","",NOTA[[#This Row],[DISC 1-]]+NOTA[[#This Row],[DISC 2-]]+NOTA[[#This Row],[DISC 3-]])</f>
        <v>120960</v>
      </c>
      <c r="AA153" s="42">
        <f>IF(NOTA[[#This Row],[JUMLAH]]="","",NOTA[[#This Row],[JUMLAH]]-NOTA[[#This Row],[DISC]])</f>
        <v>3911040</v>
      </c>
      <c r="AB153" s="42"/>
      <c r="AC1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3" s="3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53" s="42">
        <f>IF(OR(NOTA[[#This Row],[QTY]]="",NOTA[[#This Row],[HARGA SATUAN]]="",),"",NOTA[[#This Row],[QTY]]*NOTA[[#This Row],[HARGA SATUAN]])</f>
        <v>4032000</v>
      </c>
      <c r="AG153" s="36">
        <f ca="1">IF(NOTA[[#This Row],[ID_H]]="","",INDEX(NOTA[TANGGAL],MATCH(,INDIRECT(ADDRESS(ROW(NOTA[TANGGAL]),COLUMN(NOTA[TANGGAL]))&amp;":"&amp;ADDRESS(ROW(),COLUMN(NOTA[TANGGAL]))),-1)))</f>
        <v>45485</v>
      </c>
      <c r="AH153" s="36">
        <f ca="1">IF(NOTA[[#This Row],[ID_H]]="","",INDEX(NOTA[TGL.NOTA],MATCH(,INDIRECT(ADDRESS(ROW(NOTA[TGL.NOTA]),COLUMN(NOTA[TGL.NOTA]))&amp;":"&amp;ADDRESS(ROW(),COLUMN(NOTA[TGL.NOTA]))),-1)))</f>
        <v>45483</v>
      </c>
      <c r="AI153" s="36" t="str">
        <f ca="1">IF(NOTA[[#This Row],[ID_H]]="","",INDEX(NOTA[NO.NOTA],MATCH(NOTA[[#This Row],[ID_H]],NOTA[ID_H],0)))</f>
        <v>HM/136/07-24H</v>
      </c>
      <c r="AJ153" s="38" t="str">
        <f ca="1">IF(NOTA[[#This Row],[NAMA BARANG]]="","",INDEX(NOTA[SUPPLIER],MATCH(,INDIRECT(ADDRESS(ROW(NOTA[ID]),COLUMN(NOTA[ID]))&amp;":"&amp;ADDRESS(ROW(),COLUMN(NOTA[ID]))),-1)))</f>
        <v>DUTA BUANA</v>
      </c>
      <c r="AK153" s="38" t="str">
        <f ca="1">IF(NOTA[[#This Row],[ID_H]]="","",IF(NOTA[[#This Row],[FAKTUR]]="",INDIRECT(ADDRESS(ROW()-1,COLUMN())),NOTA[[#This Row],[FAKTUR]]))</f>
        <v>UNTANA</v>
      </c>
      <c r="AL153" s="35" t="str">
        <f ca="1">IF(NOTA[[#This Row],[ID]]="","",COUNTIF(NOTA[ID_H],NOTA[[#This Row],[ID_H]]))</f>
        <v/>
      </c>
      <c r="AM153" s="35">
        <f ca="1">IF(NOTA[[#This Row],[TGL.NOTA]]="",IF(NOTA[[#This Row],[SUPPLIER_H]]="","",AM152),MONTH(NOTA[[#This Row],[TGL.NOTA]]))</f>
        <v>7</v>
      </c>
      <c r="AN153" s="35" t="str">
        <f>LOWER(SUBSTITUTE(SUBSTITUTE(SUBSTITUTE(SUBSTITUTE(SUBSTITUTE(SUBSTITUTE(SUBSTITUTE(SUBSTITUTE(SUBSTITUTE(NOTA[[#This Row],[NAMA BARANG]]," ",),".",""),"-",""),"(",""),")",""),",",""),"/",""),"""",""),"+",""))</f>
        <v>acrylicmarkertfam30112</v>
      </c>
      <c r="AO1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acrylicmarkertfam3011220160000,03</v>
      </c>
      <c r="AP1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acrylicmarkertfam3011220160000,03</v>
      </c>
      <c r="AQ1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3" s="35">
        <f>IF(NOTA[[#This Row],[CONCAT1]]="","",MATCH(NOTA[[#This Row],[CONCAT1]],[3]!db[NB NOTA_C],0))</f>
        <v>3464</v>
      </c>
      <c r="AS153" s="35" t="b">
        <f>IF(NOTA[[#This Row],[Column5]]="","",TRUE)</f>
        <v>1</v>
      </c>
      <c r="AT153" s="35" t="str">
        <f ca="1">IF(NOTA[[#This Row],[ID_H]]="","",IF(NOTA[[#This Row],[Column3]]=TRUE,NOTA[[#This Row],[Column5]],INDEX([3]!db[QTY/ CTN],NOTA[[#This Row],[//DB]])))</f>
        <v>144 SET</v>
      </c>
      <c r="AU1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acrylicmarkertfam30112144setuntana</v>
      </c>
      <c r="AV153" s="35">
        <f ca="1">IF(NOTA[[#This Row],[ID_H]]="","",MATCH(NOTA[[#This Row],[NB NOTA_C_QTY]],[3]!db[NB NOTA_C_QTY+F],0))</f>
        <v>3464</v>
      </c>
      <c r="AW153" s="43">
        <f ca="1">IF(NOTA[[#This Row],[NB NOTA_C_QTY]]="","",ROW()-2)</f>
        <v>151</v>
      </c>
    </row>
    <row r="154" spans="1:49" ht="20.100000000000001" customHeight="1">
      <c r="A1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5">
        <f ca="1">IF(NOTA[[#This Row],[NAMA BARANG]]="","",INDEX(NOTA[ID],MATCH(,INDIRECT(ADDRESS(ROW(NOTA[ID]),COLUMN(NOTA[ID]))&amp;":"&amp;ADDRESS(ROW(),COLUMN(NOTA[ID]))),-1)))</f>
        <v>39</v>
      </c>
      <c r="C154" s="45"/>
      <c r="F154" s="46"/>
      <c r="G154" s="35"/>
      <c r="H154" s="36"/>
      <c r="I154" s="35"/>
      <c r="J154" s="51" t="s">
        <v>336</v>
      </c>
      <c r="K154" s="37">
        <v>1</v>
      </c>
      <c r="L154" s="35">
        <v>144</v>
      </c>
      <c r="M154" s="35" t="s">
        <v>50</v>
      </c>
      <c r="N154" s="38"/>
      <c r="O154" s="39"/>
      <c r="P154" s="47" t="s">
        <v>203</v>
      </c>
      <c r="Q154" s="48">
        <v>0.03</v>
      </c>
      <c r="R154" s="41"/>
      <c r="T154" s="42"/>
      <c r="U154" s="44" t="s">
        <v>71</v>
      </c>
      <c r="V154" s="42" t="str">
        <f>IF(NOTA[[#This Row],[HARGA/ CTN]]="",NOTA[[#This Row],[JUMLAH_H]],NOTA[[#This Row],[HARGA/ CTN]]*IF(NOTA[[#This Row],[C]]="",0,NOTA[[#This Row],[C]]))</f>
        <v/>
      </c>
      <c r="W154" s="42" t="str">
        <f>IF(NOTA[[#This Row],[JUMLAH]]="","",NOTA[[#This Row],[JUMLAH]]*NOTA[[#This Row],[Column6]])</f>
        <v/>
      </c>
      <c r="X154" s="42" t="str">
        <f>IF(NOTA[[#This Row],[JUMLAH]]="","",(NOTA[[#This Row],[JUMLAH]]-NOTA[[#This Row],[DISC 1-]])*NOTA[[#This Row],[Column7]])</f>
        <v/>
      </c>
      <c r="Y154" s="42" t="str">
        <f>IF(NOTA[[#This Row],[JUMLAH]]="","",(NOTA[[#This Row],[JUMLAH]]-NOTA[[#This Row],[DISC 1-]]-NOTA[[#This Row],[DISC 2-]])*NOTA[[#This Row],[Column8]])</f>
        <v/>
      </c>
      <c r="Z154" s="42" t="str">
        <f>IF(NOTA[[#This Row],[JUMLAH]]="","",NOTA[[#This Row],[DISC 1-]]+NOTA[[#This Row],[DISC 2-]]+NOTA[[#This Row],[DISC 3-]])</f>
        <v/>
      </c>
      <c r="AA154" s="42" t="str">
        <f>IF(NOTA[[#This Row],[JUMLAH]]="","",NOTA[[#This Row],[JUMLAH]]-NOTA[[#This Row],[DISC]])</f>
        <v/>
      </c>
      <c r="AB154" s="42"/>
      <c r="AC1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4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4" s="42" t="str">
        <f>IF(OR(NOTA[[#This Row],[QTY]]="",NOTA[[#This Row],[HARGA SATUAN]]="",),"",NOTA[[#This Row],[QTY]]*NOTA[[#This Row],[HARGA SATUAN]])</f>
        <v/>
      </c>
      <c r="AG154" s="36">
        <f ca="1">IF(NOTA[[#This Row],[ID_H]]="","",INDEX(NOTA[TANGGAL],MATCH(,INDIRECT(ADDRESS(ROW(NOTA[TANGGAL]),COLUMN(NOTA[TANGGAL]))&amp;":"&amp;ADDRESS(ROW(),COLUMN(NOTA[TANGGAL]))),-1)))</f>
        <v>45485</v>
      </c>
      <c r="AH154" s="36">
        <f ca="1">IF(NOTA[[#This Row],[ID_H]]="","",INDEX(NOTA[TGL.NOTA],MATCH(,INDIRECT(ADDRESS(ROW(NOTA[TGL.NOTA]),COLUMN(NOTA[TGL.NOTA]))&amp;":"&amp;ADDRESS(ROW(),COLUMN(NOTA[TGL.NOTA]))),-1)))</f>
        <v>45483</v>
      </c>
      <c r="AI154" s="36" t="str">
        <f ca="1">IF(NOTA[[#This Row],[ID_H]]="","",INDEX(NOTA[NO.NOTA],MATCH(NOTA[[#This Row],[ID_H]],NOTA[ID_H],0)))</f>
        <v>HM/136/07-24H</v>
      </c>
      <c r="AJ154" s="38" t="str">
        <f ca="1">IF(NOTA[[#This Row],[NAMA BARANG]]="","",INDEX(NOTA[SUPPLIER],MATCH(,INDIRECT(ADDRESS(ROW(NOTA[ID]),COLUMN(NOTA[ID]))&amp;":"&amp;ADDRESS(ROW(),COLUMN(NOTA[ID]))),-1)))</f>
        <v>DUTA BUANA</v>
      </c>
      <c r="AK154" s="38" t="str">
        <f ca="1">IF(NOTA[[#This Row],[ID_H]]="","",IF(NOTA[[#This Row],[FAKTUR]]="",INDIRECT(ADDRESS(ROW()-1,COLUMN())),NOTA[[#This Row],[FAKTUR]]))</f>
        <v>UNTANA</v>
      </c>
      <c r="AL154" s="35" t="str">
        <f ca="1">IF(NOTA[[#This Row],[ID]]="","",COUNTIF(NOTA[ID_H],NOTA[[#This Row],[ID_H]]))</f>
        <v/>
      </c>
      <c r="AM154" s="35">
        <f ca="1">IF(NOTA[[#This Row],[TGL.NOTA]]="",IF(NOTA[[#This Row],[SUPPLIER_H]]="","",AM153),MONTH(NOTA[[#This Row],[TGL.NOTA]]))</f>
        <v>7</v>
      </c>
      <c r="AN154" s="35" t="str">
        <f>LOWER(SUBSTITUTE(SUBSTITUTE(SUBSTITUTE(SUBSTITUTE(SUBSTITUTE(SUBSTITUTE(SUBSTITUTE(SUBSTITUTE(SUBSTITUTE(NOTA[[#This Row],[NAMA BARANG]]," ",),".",""),"-",""),"(",""),")",""),",",""),"/",""),"""",""),"+",""))</f>
        <v>ballpenpromosiwy851a4wr</v>
      </c>
      <c r="AO1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ballpenpromosiwy851a4wr00,03</v>
      </c>
      <c r="AP1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ballpenpromosiwy851a4wr00,03</v>
      </c>
      <c r="AQ1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4" s="35">
        <f>IF(NOTA[[#This Row],[CONCAT1]]="","",MATCH(NOTA[[#This Row],[CONCAT1]],[3]!db[NB NOTA_C],0))</f>
        <v>3427</v>
      </c>
      <c r="AS154" s="35" t="b">
        <f>IF(NOTA[[#This Row],[Column5]]="","",TRUE)</f>
        <v>1</v>
      </c>
      <c r="AT154" s="35" t="str">
        <f ca="1">IF(NOTA[[#This Row],[ID_H]]="","",IF(NOTA[[#This Row],[Column3]]=TRUE,NOTA[[#This Row],[Column5]],INDEX([3]!db[QTY/ CTN],NOTA[[#This Row],[//DB]])))</f>
        <v>144 LSN</v>
      </c>
      <c r="AU1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ballpenpromosiwy851a4wr144lsnuntana</v>
      </c>
      <c r="AV154" s="35">
        <f ca="1">IF(NOTA[[#This Row],[ID_H]]="","",MATCH(NOTA[[#This Row],[NB NOTA_C_QTY]],[3]!db[NB NOTA_C_QTY+F],0))</f>
        <v>3427</v>
      </c>
      <c r="AW154" s="43">
        <f ca="1">IF(NOTA[[#This Row],[NB NOTA_C_QTY]]="","",ROW()-2)</f>
        <v>152</v>
      </c>
    </row>
    <row r="155" spans="1:49" ht="20.100000000000001" customHeight="1">
      <c r="A1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5">
        <f ca="1">IF(NOTA[[#This Row],[NAMA BARANG]]="","",INDEX(NOTA[ID],MATCH(,INDIRECT(ADDRESS(ROW(NOTA[ID]),COLUMN(NOTA[ID]))&amp;":"&amp;ADDRESS(ROW(),COLUMN(NOTA[ID]))),-1)))</f>
        <v>39</v>
      </c>
      <c r="C155" s="45"/>
      <c r="F155" s="46"/>
      <c r="G155" s="35"/>
      <c r="H155" s="36"/>
      <c r="I155" s="35"/>
      <c r="J155" s="51" t="s">
        <v>336</v>
      </c>
      <c r="K155" s="37"/>
      <c r="L155" s="35">
        <v>36</v>
      </c>
      <c r="M155" s="35" t="s">
        <v>50</v>
      </c>
      <c r="N155" s="38"/>
      <c r="O155" s="39"/>
      <c r="P155" s="47" t="s">
        <v>203</v>
      </c>
      <c r="Q155" s="48">
        <v>0.03</v>
      </c>
      <c r="R155" s="41"/>
      <c r="T155" s="42"/>
      <c r="U155" s="44" t="s">
        <v>71</v>
      </c>
      <c r="V155" s="42" t="str">
        <f>IF(NOTA[[#This Row],[HARGA/ CTN]]="",NOTA[[#This Row],[JUMLAH_H]],NOTA[[#This Row],[HARGA/ CTN]]*IF(NOTA[[#This Row],[C]]="",0,NOTA[[#This Row],[C]]))</f>
        <v/>
      </c>
      <c r="W155" s="42" t="str">
        <f>IF(NOTA[[#This Row],[JUMLAH]]="","",NOTA[[#This Row],[JUMLAH]]*NOTA[[#This Row],[Column6]])</f>
        <v/>
      </c>
      <c r="X155" s="42" t="str">
        <f>IF(NOTA[[#This Row],[JUMLAH]]="","",(NOTA[[#This Row],[JUMLAH]]-NOTA[[#This Row],[DISC 1-]])*NOTA[[#This Row],[Column7]])</f>
        <v/>
      </c>
      <c r="Y155" s="42" t="str">
        <f>IF(NOTA[[#This Row],[JUMLAH]]="","",(NOTA[[#This Row],[JUMLAH]]-NOTA[[#This Row],[DISC 1-]]-NOTA[[#This Row],[DISC 2-]])*NOTA[[#This Row],[Column8]])</f>
        <v/>
      </c>
      <c r="Z155" s="42" t="str">
        <f>IF(NOTA[[#This Row],[JUMLAH]]="","",NOTA[[#This Row],[DISC 1-]]+NOTA[[#This Row],[DISC 2-]]+NOTA[[#This Row],[DISC 3-]])</f>
        <v/>
      </c>
      <c r="AA155" s="42" t="str">
        <f>IF(NOTA[[#This Row],[JUMLAH]]="","",NOTA[[#This Row],[JUMLAH]]-NOTA[[#This Row],[DISC]])</f>
        <v/>
      </c>
      <c r="AB155" s="42"/>
      <c r="AC1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5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5" s="42" t="str">
        <f>IF(OR(NOTA[[#This Row],[QTY]]="",NOTA[[#This Row],[HARGA SATUAN]]="",),"",NOTA[[#This Row],[QTY]]*NOTA[[#This Row],[HARGA SATUAN]])</f>
        <v/>
      </c>
      <c r="AG155" s="36">
        <f ca="1">IF(NOTA[[#This Row],[ID_H]]="","",INDEX(NOTA[TANGGAL],MATCH(,INDIRECT(ADDRESS(ROW(NOTA[TANGGAL]),COLUMN(NOTA[TANGGAL]))&amp;":"&amp;ADDRESS(ROW(),COLUMN(NOTA[TANGGAL]))),-1)))</f>
        <v>45485</v>
      </c>
      <c r="AH155" s="36">
        <f ca="1">IF(NOTA[[#This Row],[ID_H]]="","",INDEX(NOTA[TGL.NOTA],MATCH(,INDIRECT(ADDRESS(ROW(NOTA[TGL.NOTA]),COLUMN(NOTA[TGL.NOTA]))&amp;":"&amp;ADDRESS(ROW(),COLUMN(NOTA[TGL.NOTA]))),-1)))</f>
        <v>45483</v>
      </c>
      <c r="AI155" s="36" t="str">
        <f ca="1">IF(NOTA[[#This Row],[ID_H]]="","",INDEX(NOTA[NO.NOTA],MATCH(NOTA[[#This Row],[ID_H]],NOTA[ID_H],0)))</f>
        <v>HM/136/07-24H</v>
      </c>
      <c r="AJ155" s="38" t="str">
        <f ca="1">IF(NOTA[[#This Row],[NAMA BARANG]]="","",INDEX(NOTA[SUPPLIER],MATCH(,INDIRECT(ADDRESS(ROW(NOTA[ID]),COLUMN(NOTA[ID]))&amp;":"&amp;ADDRESS(ROW(),COLUMN(NOTA[ID]))),-1)))</f>
        <v>DUTA BUANA</v>
      </c>
      <c r="AK155" s="38" t="str">
        <f ca="1">IF(NOTA[[#This Row],[ID_H]]="","",IF(NOTA[[#This Row],[FAKTUR]]="",INDIRECT(ADDRESS(ROW()-1,COLUMN())),NOTA[[#This Row],[FAKTUR]]))</f>
        <v>UNTANA</v>
      </c>
      <c r="AL155" s="35" t="str">
        <f ca="1">IF(NOTA[[#This Row],[ID]]="","",COUNTIF(NOTA[ID_H],NOTA[[#This Row],[ID_H]]))</f>
        <v/>
      </c>
      <c r="AM155" s="35">
        <f ca="1">IF(NOTA[[#This Row],[TGL.NOTA]]="",IF(NOTA[[#This Row],[SUPPLIER_H]]="","",AM154),MONTH(NOTA[[#This Row],[TGL.NOTA]]))</f>
        <v>7</v>
      </c>
      <c r="AN155" s="35" t="str">
        <f>LOWER(SUBSTITUTE(SUBSTITUTE(SUBSTITUTE(SUBSTITUTE(SUBSTITUTE(SUBSTITUTE(SUBSTITUTE(SUBSTITUTE(SUBSTITUTE(NOTA[[#This Row],[NAMA BARANG]]," ",),".",""),"-",""),"(",""),")",""),",",""),"/",""),"""",""),"+",""))</f>
        <v>ballpenpromosiwy851a4wr</v>
      </c>
      <c r="AO1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ballpenpromosiwy851a4wr00,03</v>
      </c>
      <c r="AP1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ballpenpromosiwy851a4wr00,03</v>
      </c>
      <c r="AQ1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5" s="35">
        <f>IF(NOTA[[#This Row],[CONCAT1]]="","",MATCH(NOTA[[#This Row],[CONCAT1]],[3]!db[NB NOTA_C],0))</f>
        <v>3427</v>
      </c>
      <c r="AS155" s="35" t="b">
        <f>IF(NOTA[[#This Row],[Column5]]="","",TRUE)</f>
        <v>1</v>
      </c>
      <c r="AT155" s="35" t="str">
        <f ca="1">IF(NOTA[[#This Row],[ID_H]]="","",IF(NOTA[[#This Row],[Column3]]=TRUE,NOTA[[#This Row],[Column5]],INDEX([3]!db[QTY/ CTN],NOTA[[#This Row],[//DB]])))</f>
        <v>144 LSN</v>
      </c>
      <c r="AU1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ballpenpromosiwy851a4wr144lsnuntana</v>
      </c>
      <c r="AV155" s="35">
        <f ca="1">IF(NOTA[[#This Row],[ID_H]]="","",MATCH(NOTA[[#This Row],[NB NOTA_C_QTY]],[3]!db[NB NOTA_C_QTY+F],0))</f>
        <v>3427</v>
      </c>
      <c r="AW155" s="43">
        <f ca="1">IF(NOTA[[#This Row],[NB NOTA_C_QTY]]="","",ROW()-2)</f>
        <v>153</v>
      </c>
    </row>
    <row r="156" spans="1:49" ht="20.100000000000001" customHeight="1">
      <c r="A1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5">
        <f ca="1">IF(NOTA[[#This Row],[NAMA BARANG]]="","",INDEX(NOTA[ID],MATCH(,INDIRECT(ADDRESS(ROW(NOTA[ID]),COLUMN(NOTA[ID]))&amp;":"&amp;ADDRESS(ROW(),COLUMN(NOTA[ID]))),-1)))</f>
        <v>39</v>
      </c>
      <c r="C156" s="45"/>
      <c r="F156" s="46"/>
      <c r="G156" s="35"/>
      <c r="H156" s="36"/>
      <c r="I156" s="35"/>
      <c r="J156" s="35" t="s">
        <v>323</v>
      </c>
      <c r="K156" s="37">
        <v>1</v>
      </c>
      <c r="L156" s="35">
        <v>144</v>
      </c>
      <c r="M156" s="35" t="s">
        <v>50</v>
      </c>
      <c r="N156" s="38">
        <v>12500</v>
      </c>
      <c r="O156" s="39"/>
      <c r="P156" s="47" t="s">
        <v>203</v>
      </c>
      <c r="Q156" s="48">
        <v>0.03</v>
      </c>
      <c r="R156" s="41"/>
      <c r="T156" s="42"/>
      <c r="U156" s="44"/>
      <c r="V156" s="42">
        <f>IF(NOTA[[#This Row],[HARGA/ CTN]]="",NOTA[[#This Row],[JUMLAH_H]],NOTA[[#This Row],[HARGA/ CTN]]*IF(NOTA[[#This Row],[C]]="",0,NOTA[[#This Row],[C]]))</f>
        <v>1800000</v>
      </c>
      <c r="W156" s="42">
        <f>IF(NOTA[[#This Row],[JUMLAH]]="","",NOTA[[#This Row],[JUMLAH]]*NOTA[[#This Row],[Column6]])</f>
        <v>54000</v>
      </c>
      <c r="X156" s="42">
        <f>IF(NOTA[[#This Row],[JUMLAH]]="","",(NOTA[[#This Row],[JUMLAH]]-NOTA[[#This Row],[DISC 1-]])*NOTA[[#This Row],[Column7]])</f>
        <v>0</v>
      </c>
      <c r="Y156" s="42">
        <f>IF(NOTA[[#This Row],[JUMLAH]]="","",(NOTA[[#This Row],[JUMLAH]]-NOTA[[#This Row],[DISC 1-]]-NOTA[[#This Row],[DISC 2-]])*NOTA[[#This Row],[Column8]])</f>
        <v>0</v>
      </c>
      <c r="Z156" s="42">
        <f>IF(NOTA[[#This Row],[JUMLAH]]="","",NOTA[[#This Row],[DISC 1-]]+NOTA[[#This Row],[DISC 2-]]+NOTA[[#This Row],[DISC 3-]])</f>
        <v>54000</v>
      </c>
      <c r="AA156" s="42">
        <f>IF(NOTA[[#This Row],[JUMLAH]]="","",NOTA[[#This Row],[JUMLAH]]-NOTA[[#This Row],[DISC]])</f>
        <v>1746000</v>
      </c>
      <c r="AB156" s="42"/>
      <c r="AC15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1204560</v>
      </c>
      <c r="AD15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38947440</v>
      </c>
      <c r="AE156" s="3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156" s="42">
        <f>IF(OR(NOTA[[#This Row],[QTY]]="",NOTA[[#This Row],[HARGA SATUAN]]="",),"",NOTA[[#This Row],[QTY]]*NOTA[[#This Row],[HARGA SATUAN]])</f>
        <v>1800000</v>
      </c>
      <c r="AG156" s="36">
        <f ca="1">IF(NOTA[[#This Row],[ID_H]]="","",INDEX(NOTA[TANGGAL],MATCH(,INDIRECT(ADDRESS(ROW(NOTA[TANGGAL]),COLUMN(NOTA[TANGGAL]))&amp;":"&amp;ADDRESS(ROW(),COLUMN(NOTA[TANGGAL]))),-1)))</f>
        <v>45485</v>
      </c>
      <c r="AH156" s="36">
        <f ca="1">IF(NOTA[[#This Row],[ID_H]]="","",INDEX(NOTA[TGL.NOTA],MATCH(,INDIRECT(ADDRESS(ROW(NOTA[TGL.NOTA]),COLUMN(NOTA[TGL.NOTA]))&amp;":"&amp;ADDRESS(ROW(),COLUMN(NOTA[TGL.NOTA]))),-1)))</f>
        <v>45483</v>
      </c>
      <c r="AI156" s="36" t="str">
        <f ca="1">IF(NOTA[[#This Row],[ID_H]]="","",INDEX(NOTA[NO.NOTA],MATCH(NOTA[[#This Row],[ID_H]],NOTA[ID_H],0)))</f>
        <v>HM/136/07-24H</v>
      </c>
      <c r="AJ156" s="38" t="str">
        <f ca="1">IF(NOTA[[#This Row],[NAMA BARANG]]="","",INDEX(NOTA[SUPPLIER],MATCH(,INDIRECT(ADDRESS(ROW(NOTA[ID]),COLUMN(NOTA[ID]))&amp;":"&amp;ADDRESS(ROW(),COLUMN(NOTA[ID]))),-1)))</f>
        <v>DUTA BUANA</v>
      </c>
      <c r="AK156" s="38" t="str">
        <f ca="1">IF(NOTA[[#This Row],[ID_H]]="","",IF(NOTA[[#This Row],[FAKTUR]]="",INDIRECT(ADDRESS(ROW()-1,COLUMN())),NOTA[[#This Row],[FAKTUR]]))</f>
        <v>UNTANA</v>
      </c>
      <c r="AL156" s="35" t="str">
        <f ca="1">IF(NOTA[[#This Row],[ID]]="","",COUNTIF(NOTA[ID_H],NOTA[[#This Row],[ID_H]]))</f>
        <v/>
      </c>
      <c r="AM156" s="35">
        <f ca="1">IF(NOTA[[#This Row],[TGL.NOTA]]="",IF(NOTA[[#This Row],[SUPPLIER_H]]="","",AM155),MONTH(NOTA[[#This Row],[TGL.NOTA]]))</f>
        <v>7</v>
      </c>
      <c r="AN156" s="35" t="str">
        <f>LOWER(SUBSTITUTE(SUBSTITUTE(SUBSTITUTE(SUBSTITUTE(SUBSTITUTE(SUBSTITUTE(SUBSTITUTE(SUBSTITUTE(SUBSTITUTE(NOTA[[#This Row],[NAMA BARANG]]," ",),".",""),"-",""),"(",""),")",""),",",""),"/",""),"""",""),"+",""))</f>
        <v>ballpengelcsg8905mm</v>
      </c>
      <c r="AO1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ballpengelcsg8905mm18000000,03</v>
      </c>
      <c r="AP1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ballpengelcsg8905mm18000000,03</v>
      </c>
      <c r="AQ1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6" s="35">
        <f>IF(NOTA[[#This Row],[CONCAT1]]="","",MATCH(NOTA[[#This Row],[CONCAT1]],[3]!db[NB NOTA_C],0))</f>
        <v>3466</v>
      </c>
      <c r="AS156" s="35" t="b">
        <f>IF(NOTA[[#This Row],[Column5]]="","",TRUE)</f>
        <v>1</v>
      </c>
      <c r="AT156" s="35" t="str">
        <f ca="1">IF(NOTA[[#This Row],[ID_H]]="","",IF(NOTA[[#This Row],[Column3]]=TRUE,NOTA[[#This Row],[Column5]],INDEX([3]!db[QTY/ CTN],NOTA[[#This Row],[//DB]])))</f>
        <v>144 LSN</v>
      </c>
      <c r="AU1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ballpengelcsg8905mm144lsnuntana</v>
      </c>
      <c r="AV156" s="35">
        <f ca="1">IF(NOTA[[#This Row],[ID_H]]="","",MATCH(NOTA[[#This Row],[NB NOTA_C_QTY]],[3]!db[NB NOTA_C_QTY+F],0))</f>
        <v>3466</v>
      </c>
      <c r="AW156" s="43">
        <f ca="1">IF(NOTA[[#This Row],[NB NOTA_C_QTY]]="","",ROW()-2)</f>
        <v>154</v>
      </c>
    </row>
    <row r="157" spans="1:49" ht="20.100000000000001" customHeight="1">
      <c r="A1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5" t="str">
        <f ca="1">IF(NOTA[[#This Row],[NAMA BARANG]]="","",INDEX(NOTA[ID],MATCH(,INDIRECT(ADDRESS(ROW(NOTA[ID]),COLUMN(NOTA[ID]))&amp;":"&amp;ADDRESS(ROW(),COLUMN(NOTA[ID]))),-1)))</f>
        <v/>
      </c>
      <c r="C157" s="45"/>
      <c r="F157" s="46"/>
      <c r="G157" s="35"/>
      <c r="H157" s="36"/>
      <c r="I157" s="35"/>
      <c r="K157" s="37"/>
      <c r="L157" s="35"/>
      <c r="N157" s="38"/>
      <c r="O157" s="39"/>
      <c r="P157" s="47"/>
      <c r="Q157" s="48"/>
      <c r="R157" s="41"/>
      <c r="T157" s="42"/>
      <c r="U157" s="44"/>
      <c r="V157" s="42" t="str">
        <f>IF(NOTA[[#This Row],[HARGA/ CTN]]="",NOTA[[#This Row],[JUMLAH_H]],NOTA[[#This Row],[HARGA/ CTN]]*IF(NOTA[[#This Row],[C]]="",0,NOTA[[#This Row],[C]]))</f>
        <v/>
      </c>
      <c r="W157" s="42" t="str">
        <f>IF(NOTA[[#This Row],[JUMLAH]]="","",NOTA[[#This Row],[JUMLAH]]*NOTA[[#This Row],[Column6]])</f>
        <v/>
      </c>
      <c r="X157" s="42" t="str">
        <f>IF(NOTA[[#This Row],[JUMLAH]]="","",(NOTA[[#This Row],[JUMLAH]]-NOTA[[#This Row],[DISC 1-]])*NOTA[[#This Row],[Column7]])</f>
        <v/>
      </c>
      <c r="Y157" s="42" t="str">
        <f>IF(NOTA[[#This Row],[JUMLAH]]="","",(NOTA[[#This Row],[JUMLAH]]-NOTA[[#This Row],[DISC 1-]]-NOTA[[#This Row],[DISC 2-]])*NOTA[[#This Row],[Column8]])</f>
        <v/>
      </c>
      <c r="Z157" s="42" t="str">
        <f>IF(NOTA[[#This Row],[JUMLAH]]="","",NOTA[[#This Row],[DISC 1-]]+NOTA[[#This Row],[DISC 2-]]+NOTA[[#This Row],[DISC 3-]])</f>
        <v/>
      </c>
      <c r="AA157" s="42" t="str">
        <f>IF(NOTA[[#This Row],[JUMLAH]]="","",NOTA[[#This Row],[JUMLAH]]-NOTA[[#This Row],[DISC]])</f>
        <v/>
      </c>
      <c r="AB157" s="42"/>
      <c r="AC1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42" t="str">
        <f>IF(OR(NOTA[[#This Row],[QTY]]="",NOTA[[#This Row],[HARGA SATUAN]]="",),"",NOTA[[#This Row],[QTY]]*NOTA[[#This Row],[HARGA SATUAN]])</f>
        <v/>
      </c>
      <c r="AG157" s="36" t="str">
        <f ca="1">IF(NOTA[[#This Row],[ID_H]]="","",INDEX(NOTA[TANGGAL],MATCH(,INDIRECT(ADDRESS(ROW(NOTA[TANGGAL]),COLUMN(NOTA[TANGGAL]))&amp;":"&amp;ADDRESS(ROW(),COLUMN(NOTA[TANGGAL]))),-1)))</f>
        <v/>
      </c>
      <c r="AH157" s="36" t="str">
        <f ca="1">IF(NOTA[[#This Row],[ID_H]]="","",INDEX(NOTA[TGL.NOTA],MATCH(,INDIRECT(ADDRESS(ROW(NOTA[TGL.NOTA]),COLUMN(NOTA[TGL.NOTA]))&amp;":"&amp;ADDRESS(ROW(),COLUMN(NOTA[TGL.NOTA]))),-1)))</f>
        <v/>
      </c>
      <c r="AI157" s="36" t="str">
        <f ca="1">IF(NOTA[[#This Row],[ID_H]]="","",INDEX(NOTA[NO.NOTA],MATCH(NOTA[[#This Row],[ID_H]],NOTA[ID_H],0)))</f>
        <v/>
      </c>
      <c r="AJ157" s="38" t="str">
        <f ca="1">IF(NOTA[[#This Row],[NAMA BARANG]]="","",INDEX(NOTA[SUPPLIER],MATCH(,INDIRECT(ADDRESS(ROW(NOTA[ID]),COLUMN(NOTA[ID]))&amp;":"&amp;ADDRESS(ROW(),COLUMN(NOTA[ID]))),-1)))</f>
        <v/>
      </c>
      <c r="AK157" s="38" t="str">
        <f ca="1">IF(NOTA[[#This Row],[ID_H]]="","",IF(NOTA[[#This Row],[FAKTUR]]="",INDIRECT(ADDRESS(ROW()-1,COLUMN())),NOTA[[#This Row],[FAKTUR]]))</f>
        <v/>
      </c>
      <c r="AL157" s="35" t="str">
        <f ca="1">IF(NOTA[[#This Row],[ID]]="","",COUNTIF(NOTA[ID_H],NOTA[[#This Row],[ID_H]]))</f>
        <v/>
      </c>
      <c r="AM157" s="35" t="str">
        <f ca="1">IF(NOTA[[#This Row],[TGL.NOTA]]="",IF(NOTA[[#This Row],[SUPPLIER_H]]="","",AM156),MONTH(NOTA[[#This Row],[TGL.NOTA]]))</f>
        <v/>
      </c>
      <c r="AN1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7" s="35" t="str">
        <f>IF(NOTA[[#This Row],[CONCAT1]]="","",MATCH(NOTA[[#This Row],[CONCAT1]],[3]!db[NB NOTA_C],0))</f>
        <v/>
      </c>
      <c r="AS157" s="35" t="str">
        <f>IF(NOTA[[#This Row],[Column5]]="","",TRUE)</f>
        <v/>
      </c>
      <c r="AT157" s="35" t="str">
        <f ca="1">IF(NOTA[[#This Row],[ID_H]]="","",IF(NOTA[[#This Row],[Column3]]=TRUE,NOTA[[#This Row],[Column5]],INDEX([3]!db[QTY/ CTN],NOTA[[#This Row],[//DB]])))</f>
        <v/>
      </c>
      <c r="AU1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7" s="35" t="str">
        <f ca="1">IF(NOTA[[#This Row],[ID_H]]="","",MATCH(NOTA[[#This Row],[NB NOTA_C_QTY]],[3]!db[NB NOTA_C_QTY+F],0))</f>
        <v/>
      </c>
      <c r="AW157" s="43" t="str">
        <f ca="1">IF(NOTA[[#This Row],[NB NOTA_C_QTY]]="","",ROW()-2)</f>
        <v/>
      </c>
    </row>
    <row r="158" spans="1:49" ht="20.100000000000001" customHeight="1">
      <c r="A158" s="38">
        <f ca="1">IF(INDIRECT(ADDRESS(ROW()-1,COLUMN(NOTA[[#Headers],[ID]])))="ID",1,IF(NOTA[[#This Row],[FAKTUR]]="","",COUNT(INDIRECT(ADDRESS(ROW(NOTA[ID]),COLUMN(NOTA[ID]))&amp;":"&amp;ADDRESS(ROW()-1,COLUMN(NOTA[ID]))))+1))</f>
        <v>40</v>
      </c>
      <c r="B158" s="35">
        <f ca="1">IF(NOTA[[#This Row],[NAMA BARANG]]="","",INDEX(NOTA[ID],MATCH(,INDIRECT(ADDRESS(ROW(NOTA[ID]),COLUMN(NOTA[ID]))&amp;":"&amp;ADDRESS(ROW(),COLUMN(NOTA[ID]))),-1)))</f>
        <v>40</v>
      </c>
      <c r="C158" s="45"/>
      <c r="D158" s="35" t="s">
        <v>74</v>
      </c>
      <c r="E158" s="35" t="s">
        <v>49</v>
      </c>
      <c r="F158" s="46" t="s">
        <v>324</v>
      </c>
      <c r="G158" s="35"/>
      <c r="H158" s="36">
        <v>45489</v>
      </c>
      <c r="I158" s="35"/>
      <c r="J158" s="50" t="s">
        <v>75</v>
      </c>
      <c r="K158" s="37">
        <v>20</v>
      </c>
      <c r="L158" s="35">
        <v>1920</v>
      </c>
      <c r="M158" s="35" t="s">
        <v>50</v>
      </c>
      <c r="N158" s="38">
        <v>26500</v>
      </c>
      <c r="O158" s="39"/>
      <c r="P158" s="47" t="s">
        <v>76</v>
      </c>
      <c r="Q158" s="48">
        <v>0.03</v>
      </c>
      <c r="R158" s="41"/>
      <c r="T158" s="42"/>
      <c r="U158" s="44"/>
      <c r="V158" s="42">
        <f>IF(NOTA[[#This Row],[HARGA/ CTN]]="",NOTA[[#This Row],[JUMLAH_H]],NOTA[[#This Row],[HARGA/ CTN]]*IF(NOTA[[#This Row],[C]]="",0,NOTA[[#This Row],[C]]))</f>
        <v>50880000</v>
      </c>
      <c r="W158" s="42">
        <f>IF(NOTA[[#This Row],[JUMLAH]]="","",NOTA[[#This Row],[JUMLAH]]*NOTA[[#This Row],[Column6]])</f>
        <v>1526400</v>
      </c>
      <c r="X158" s="42">
        <f>IF(NOTA[[#This Row],[JUMLAH]]="","",(NOTA[[#This Row],[JUMLAH]]-NOTA[[#This Row],[DISC 1-]])*NOTA[[#This Row],[Column7]])</f>
        <v>0</v>
      </c>
      <c r="Y158" s="42">
        <f>IF(NOTA[[#This Row],[JUMLAH]]="","",(NOTA[[#This Row],[JUMLAH]]-NOTA[[#This Row],[DISC 1-]]-NOTA[[#This Row],[DISC 2-]])*NOTA[[#This Row],[Column8]])</f>
        <v>0</v>
      </c>
      <c r="Z158" s="42">
        <f>IF(NOTA[[#This Row],[JUMLAH]]="","",NOTA[[#This Row],[DISC 1-]]+NOTA[[#This Row],[DISC 2-]]+NOTA[[#This Row],[DISC 3-]])</f>
        <v>1526400</v>
      </c>
      <c r="AA158" s="42">
        <f>IF(NOTA[[#This Row],[JUMLAH]]="","",NOTA[[#This Row],[JUMLAH]]-NOTA[[#This Row],[DISC]])</f>
        <v>49353600</v>
      </c>
      <c r="AB158" s="42"/>
      <c r="AC158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1526400</v>
      </c>
      <c r="AD158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49353600</v>
      </c>
      <c r="AE158" s="3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58" s="42">
        <f>IF(OR(NOTA[[#This Row],[QTY]]="",NOTA[[#This Row],[HARGA SATUAN]]="",),"",NOTA[[#This Row],[QTY]]*NOTA[[#This Row],[HARGA SATUAN]])</f>
        <v>50880000</v>
      </c>
      <c r="AG158" s="36">
        <f ca="1">IF(NOTA[[#This Row],[ID_H]]="","",INDEX(NOTA[TANGGAL],MATCH(,INDIRECT(ADDRESS(ROW(NOTA[TANGGAL]),COLUMN(NOTA[TANGGAL]))&amp;":"&amp;ADDRESS(ROW(),COLUMN(NOTA[TANGGAL]))),-1)))</f>
        <v>45485</v>
      </c>
      <c r="AH158" s="36">
        <f ca="1">IF(NOTA[[#This Row],[ID_H]]="","",INDEX(NOTA[TGL.NOTA],MATCH(,INDIRECT(ADDRESS(ROW(NOTA[TGL.NOTA]),COLUMN(NOTA[TGL.NOTA]))&amp;":"&amp;ADDRESS(ROW(),COLUMN(NOTA[TGL.NOTA]))),-1)))</f>
        <v>45489</v>
      </c>
      <c r="AI158" s="36" t="str">
        <f ca="1">IF(NOTA[[#This Row],[ID_H]]="","",INDEX(NOTA[NO.NOTA],MATCH(NOTA[[#This Row],[ID_H]],NOTA[ID_H],0)))</f>
        <v>HM/134/07-24H</v>
      </c>
      <c r="AJ158" s="38" t="str">
        <f ca="1">IF(NOTA[[#This Row],[NAMA BARANG]]="","",INDEX(NOTA[SUPPLIER],MATCH(,INDIRECT(ADDRESS(ROW(NOTA[ID]),COLUMN(NOTA[ID]))&amp;":"&amp;ADDRESS(ROW(),COLUMN(NOTA[ID]))),-1)))</f>
        <v>DUTA BUANA</v>
      </c>
      <c r="AK158" s="38" t="str">
        <f ca="1">IF(NOTA[[#This Row],[ID_H]]="","",IF(NOTA[[#This Row],[FAKTUR]]="",INDIRECT(ADDRESS(ROW()-1,COLUMN())),NOTA[[#This Row],[FAKTUR]]))</f>
        <v>UNTANA</v>
      </c>
      <c r="AL158" s="35">
        <f ca="1">IF(NOTA[[#This Row],[ID]]="","",COUNTIF(NOTA[ID_H],NOTA[[#This Row],[ID_H]]))</f>
        <v>1</v>
      </c>
      <c r="AM158" s="35">
        <f>IF(NOTA[[#This Row],[TGL.NOTA]]="",IF(NOTA[[#This Row],[SUPPLIER_H]]="","",AM157),MONTH(NOTA[[#This Row],[TGL.NOTA]]))</f>
        <v>7</v>
      </c>
      <c r="AN158" s="3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O1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P1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ballpengeltf1190htm03mmhightech25440000,03</v>
      </c>
      <c r="AQ158" s="3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BUANAUNTANAHM/134/07-24H45489ballpengeltf1190htm03mmhightech</v>
      </c>
      <c r="AR158" s="35">
        <f>IF(NOTA[[#This Row],[CONCAT1]]="","",MATCH(NOTA[[#This Row],[CONCAT1]],[3]!db[NB NOTA_C],0))</f>
        <v>150</v>
      </c>
      <c r="AS158" s="35" t="b">
        <f>IF(NOTA[[#This Row],[Column5]]="","",TRUE)</f>
        <v>1</v>
      </c>
      <c r="AT158" s="35" t="str">
        <f ca="1">IF(NOTA[[#This Row],[ID_H]]="","",IF(NOTA[[#This Row],[Column3]]=TRUE,NOTA[[#This Row],[Column5]],INDEX([3]!db[QTY/ CTN],NOTA[[#This Row],[//DB]])))</f>
        <v>96 LSN</v>
      </c>
      <c r="AU1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V158" s="35">
        <f ca="1">IF(NOTA[[#This Row],[ID_H]]="","",MATCH(NOTA[[#This Row],[NB NOTA_C_QTY]],[3]!db[NB NOTA_C_QTY+F],0))</f>
        <v>151</v>
      </c>
      <c r="AW158" s="43">
        <f ca="1">IF(NOTA[[#This Row],[NB NOTA_C_QTY]]="","",ROW()-2)</f>
        <v>156</v>
      </c>
    </row>
    <row r="159" spans="1:49" ht="20.100000000000001" customHeight="1">
      <c r="A1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5" t="str">
        <f ca="1">IF(NOTA[[#This Row],[NAMA BARANG]]="","",INDEX(NOTA[ID],MATCH(,INDIRECT(ADDRESS(ROW(NOTA[ID]),COLUMN(NOTA[ID]))&amp;":"&amp;ADDRESS(ROW(),COLUMN(NOTA[ID]))),-1)))</f>
        <v/>
      </c>
      <c r="C159" s="45"/>
      <c r="F159" s="46"/>
      <c r="G159" s="35"/>
      <c r="H159" s="36"/>
      <c r="I159" s="35"/>
      <c r="K159" s="37"/>
      <c r="L159" s="35"/>
      <c r="N159" s="38"/>
      <c r="O159" s="39"/>
      <c r="P159" s="47"/>
      <c r="Q159" s="48"/>
      <c r="R159" s="41"/>
      <c r="T159" s="42"/>
      <c r="U159" s="44"/>
      <c r="V159" s="42" t="str">
        <f>IF(NOTA[[#This Row],[HARGA/ CTN]]="",NOTA[[#This Row],[JUMLAH_H]],NOTA[[#This Row],[HARGA/ CTN]]*IF(NOTA[[#This Row],[C]]="",0,NOTA[[#This Row],[C]]))</f>
        <v/>
      </c>
      <c r="W159" s="42" t="str">
        <f>IF(NOTA[[#This Row],[JUMLAH]]="","",NOTA[[#This Row],[JUMLAH]]*NOTA[[#This Row],[Column6]])</f>
        <v/>
      </c>
      <c r="X159" s="42" t="str">
        <f>IF(NOTA[[#This Row],[JUMLAH]]="","",(NOTA[[#This Row],[JUMLAH]]-NOTA[[#This Row],[DISC 1-]])*NOTA[[#This Row],[Column7]])</f>
        <v/>
      </c>
      <c r="Y159" s="42" t="str">
        <f>IF(NOTA[[#This Row],[JUMLAH]]="","",(NOTA[[#This Row],[JUMLAH]]-NOTA[[#This Row],[DISC 1-]]-NOTA[[#This Row],[DISC 2-]])*NOTA[[#This Row],[Column8]])</f>
        <v/>
      </c>
      <c r="Z159" s="42" t="str">
        <f>IF(NOTA[[#This Row],[JUMLAH]]="","",NOTA[[#This Row],[DISC 1-]]+NOTA[[#This Row],[DISC 2-]]+NOTA[[#This Row],[DISC 3-]])</f>
        <v/>
      </c>
      <c r="AA159" s="42" t="str">
        <f>IF(NOTA[[#This Row],[JUMLAH]]="","",NOTA[[#This Row],[JUMLAH]]-NOTA[[#This Row],[DISC]])</f>
        <v/>
      </c>
      <c r="AB159" s="42"/>
      <c r="AC1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9" s="42" t="str">
        <f>IF(OR(NOTA[[#This Row],[QTY]]="",NOTA[[#This Row],[HARGA SATUAN]]="",),"",NOTA[[#This Row],[QTY]]*NOTA[[#This Row],[HARGA SATUAN]])</f>
        <v/>
      </c>
      <c r="AG159" s="36" t="str">
        <f ca="1">IF(NOTA[[#This Row],[ID_H]]="","",INDEX(NOTA[TANGGAL],MATCH(,INDIRECT(ADDRESS(ROW(NOTA[TANGGAL]),COLUMN(NOTA[TANGGAL]))&amp;":"&amp;ADDRESS(ROW(),COLUMN(NOTA[TANGGAL]))),-1)))</f>
        <v/>
      </c>
      <c r="AH159" s="36" t="str">
        <f ca="1">IF(NOTA[[#This Row],[ID_H]]="","",INDEX(NOTA[TGL.NOTA],MATCH(,INDIRECT(ADDRESS(ROW(NOTA[TGL.NOTA]),COLUMN(NOTA[TGL.NOTA]))&amp;":"&amp;ADDRESS(ROW(),COLUMN(NOTA[TGL.NOTA]))),-1)))</f>
        <v/>
      </c>
      <c r="AI159" s="36" t="str">
        <f ca="1">IF(NOTA[[#This Row],[ID_H]]="","",INDEX(NOTA[NO.NOTA],MATCH(NOTA[[#This Row],[ID_H]],NOTA[ID_H],0)))</f>
        <v/>
      </c>
      <c r="AJ159" s="38" t="str">
        <f ca="1">IF(NOTA[[#This Row],[NAMA BARANG]]="","",INDEX(NOTA[SUPPLIER],MATCH(,INDIRECT(ADDRESS(ROW(NOTA[ID]),COLUMN(NOTA[ID]))&amp;":"&amp;ADDRESS(ROW(),COLUMN(NOTA[ID]))),-1)))</f>
        <v/>
      </c>
      <c r="AK159" s="38" t="str">
        <f ca="1">IF(NOTA[[#This Row],[ID_H]]="","",IF(NOTA[[#This Row],[FAKTUR]]="",INDIRECT(ADDRESS(ROW()-1,COLUMN())),NOTA[[#This Row],[FAKTUR]]))</f>
        <v/>
      </c>
      <c r="AL159" s="35" t="str">
        <f ca="1">IF(NOTA[[#This Row],[ID]]="","",COUNTIF(NOTA[ID_H],NOTA[[#This Row],[ID_H]]))</f>
        <v/>
      </c>
      <c r="AM159" s="35" t="str">
        <f ca="1">IF(NOTA[[#This Row],[TGL.NOTA]]="",IF(NOTA[[#This Row],[SUPPLIER_H]]="","",AM158),MONTH(NOTA[[#This Row],[TGL.NOTA]]))</f>
        <v/>
      </c>
      <c r="AN1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9" s="35" t="str">
        <f>IF(NOTA[[#This Row],[CONCAT1]]="","",MATCH(NOTA[[#This Row],[CONCAT1]],[3]!db[NB NOTA_C],0))</f>
        <v/>
      </c>
      <c r="AS159" s="35" t="str">
        <f>IF(NOTA[[#This Row],[Column5]]="","",TRUE)</f>
        <v/>
      </c>
      <c r="AT159" s="35" t="str">
        <f ca="1">IF(NOTA[[#This Row],[ID_H]]="","",IF(NOTA[[#This Row],[Column3]]=TRUE,NOTA[[#This Row],[Column5]],INDEX([3]!db[QTY/ CTN],NOTA[[#This Row],[//DB]])))</f>
        <v/>
      </c>
      <c r="AU1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59" s="35" t="str">
        <f ca="1">IF(NOTA[[#This Row],[ID_H]]="","",MATCH(NOTA[[#This Row],[NB NOTA_C_QTY]],[3]!db[NB NOTA_C_QTY+F],0))</f>
        <v/>
      </c>
      <c r="AW159" s="43" t="str">
        <f ca="1">IF(NOTA[[#This Row],[NB NOTA_C_QTY]]="","",ROW()-2)</f>
        <v/>
      </c>
    </row>
    <row r="160" spans="1:49" ht="20.100000000000001" customHeight="1">
      <c r="A160" s="38">
        <f ca="1">IF(INDIRECT(ADDRESS(ROW()-1,COLUMN(NOTA[[#Headers],[ID]])))="ID",1,IF(NOTA[[#This Row],[FAKTUR]]="","",COUNT(INDIRECT(ADDRESS(ROW(NOTA[ID]),COLUMN(NOTA[ID]))&amp;":"&amp;ADDRESS(ROW()-1,COLUMN(NOTA[ID]))))+1))</f>
        <v>41</v>
      </c>
      <c r="B160" s="35">
        <f ca="1">IF(NOTA[[#This Row],[NAMA BARANG]]="","",INDEX(NOTA[ID],MATCH(,INDIRECT(ADDRESS(ROW(NOTA[ID]),COLUMN(NOTA[ID]))&amp;":"&amp;ADDRESS(ROW(),COLUMN(NOTA[ID]))),-1)))</f>
        <v>41</v>
      </c>
      <c r="C160" s="45">
        <v>45490</v>
      </c>
      <c r="D160" s="35" t="s">
        <v>240</v>
      </c>
      <c r="E160" s="35" t="s">
        <v>49</v>
      </c>
      <c r="F160" s="46"/>
      <c r="G160" s="35"/>
      <c r="H160" s="36">
        <v>45488</v>
      </c>
      <c r="I160" s="35"/>
      <c r="J160" s="35" t="s">
        <v>337</v>
      </c>
      <c r="K160" s="37">
        <v>18</v>
      </c>
      <c r="L160" s="35">
        <f>235*18</f>
        <v>4230</v>
      </c>
      <c r="M160" s="35" t="s">
        <v>145</v>
      </c>
      <c r="N160" s="38">
        <v>5750</v>
      </c>
      <c r="O160" s="39"/>
      <c r="P160" s="47" t="s">
        <v>242</v>
      </c>
      <c r="Q160" s="48"/>
      <c r="R160" s="41"/>
      <c r="T160" s="42"/>
      <c r="U160" s="44"/>
      <c r="V160" s="42">
        <f>IF(NOTA[[#This Row],[HARGA/ CTN]]="",NOTA[[#This Row],[JUMLAH_H]],NOTA[[#This Row],[HARGA/ CTN]]*IF(NOTA[[#This Row],[C]]="",0,NOTA[[#This Row],[C]]))</f>
        <v>24322500</v>
      </c>
      <c r="W160" s="42">
        <f>IF(NOTA[[#This Row],[JUMLAH]]="","",NOTA[[#This Row],[JUMLAH]]*NOTA[[#This Row],[Column6]])</f>
        <v>0</v>
      </c>
      <c r="X160" s="42">
        <f>IF(NOTA[[#This Row],[JUMLAH]]="","",(NOTA[[#This Row],[JUMLAH]]-NOTA[[#This Row],[DISC 1-]])*NOTA[[#This Row],[Column7]])</f>
        <v>0</v>
      </c>
      <c r="Y160" s="42">
        <f>IF(NOTA[[#This Row],[JUMLAH]]="","",(NOTA[[#This Row],[JUMLAH]]-NOTA[[#This Row],[DISC 1-]]-NOTA[[#This Row],[DISC 2-]])*NOTA[[#This Row],[Column8]])</f>
        <v>0</v>
      </c>
      <c r="Z160" s="42">
        <f>IF(NOTA[[#This Row],[JUMLAH]]="","",NOTA[[#This Row],[DISC 1-]]+NOTA[[#This Row],[DISC 2-]]+NOTA[[#This Row],[DISC 3-]])</f>
        <v>0</v>
      </c>
      <c r="AA160" s="42">
        <f>IF(NOTA[[#This Row],[JUMLAH]]="","",NOTA[[#This Row],[JUMLAH]]-NOTA[[#This Row],[DISC]])</f>
        <v>24322500</v>
      </c>
      <c r="AB160" s="42"/>
      <c r="AC1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0" s="3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F160" s="42">
        <f>IF(OR(NOTA[[#This Row],[QTY]]="",NOTA[[#This Row],[HARGA SATUAN]]="",),"",NOTA[[#This Row],[QTY]]*NOTA[[#This Row],[HARGA SATUAN]])</f>
        <v>24322500</v>
      </c>
      <c r="AG160" s="36">
        <f ca="1">IF(NOTA[[#This Row],[ID_H]]="","",INDEX(NOTA[TANGGAL],MATCH(,INDIRECT(ADDRESS(ROW(NOTA[TANGGAL]),COLUMN(NOTA[TANGGAL]))&amp;":"&amp;ADDRESS(ROW(),COLUMN(NOTA[TANGGAL]))),-1)))</f>
        <v>45490</v>
      </c>
      <c r="AH160" s="36">
        <f ca="1">IF(NOTA[[#This Row],[ID_H]]="","",INDEX(NOTA[TGL.NOTA],MATCH(,INDIRECT(ADDRESS(ROW(NOTA[TGL.NOTA]),COLUMN(NOTA[TGL.NOTA]))&amp;":"&amp;ADDRESS(ROW(),COLUMN(NOTA[TGL.NOTA]))),-1)))</f>
        <v>45488</v>
      </c>
      <c r="AI160" s="36">
        <f ca="1">IF(NOTA[[#This Row],[ID_H]]="","",INDEX(NOTA[NO.NOTA],MATCH(NOTA[[#This Row],[ID_H]],NOTA[ID_H],0)))</f>
        <v>0</v>
      </c>
      <c r="AJ160" s="38" t="str">
        <f ca="1">IF(NOTA[[#This Row],[NAMA BARANG]]="","",INDEX(NOTA[SUPPLIER],MATCH(,INDIRECT(ADDRESS(ROW(NOTA[ID]),COLUMN(NOTA[ID]))&amp;":"&amp;ADDRESS(ROW(),COLUMN(NOTA[ID]))),-1)))</f>
        <v>MIRACLE ABADI</v>
      </c>
      <c r="AK160" s="38" t="str">
        <f ca="1">IF(NOTA[[#This Row],[ID_H]]="","",IF(NOTA[[#This Row],[FAKTUR]]="",INDIRECT(ADDRESS(ROW()-1,COLUMN())),NOTA[[#This Row],[FAKTUR]]))</f>
        <v>UNTANA</v>
      </c>
      <c r="AL160" s="35">
        <f ca="1">IF(NOTA[[#This Row],[ID]]="","",COUNTIF(NOTA[ID_H],NOTA[[#This Row],[ID_H]]))</f>
        <v>2</v>
      </c>
      <c r="AM160" s="35">
        <f>IF(NOTA[[#This Row],[TGL.NOTA]]="",IF(NOTA[[#This Row],[SUPPLIER_H]]="","",AM159),MONTH(NOTA[[#This Row],[TGL.NOTA]]))</f>
        <v>7</v>
      </c>
      <c r="AN160" s="35" t="str">
        <f>LOWER(SUBSTITUTE(SUBSTITUTE(SUBSTITUTE(SUBSTITUTE(SUBSTITUTE(SUBSTITUTE(SUBSTITUTE(SUBSTITUTE(SUBSTITUTE(NOTA[[#This Row],[NAMA BARANG]]," ",),".",""),"-",""),"(",""),")",""),",",""),"/",""),"""",""),"+",""))</f>
        <v>kertascrepesmalljersymp</v>
      </c>
      <c r="AO1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kertascrepesmalljersymp1351250</v>
      </c>
      <c r="AP1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kertascrepesmalljersymp1351250</v>
      </c>
      <c r="AQ160" s="35" t="str">
        <f>IF(NOTA[[#This Row],[SUPPLIER]]="","",NOTA[[#This Row],[SUPPLIER]]&amp;NOTA[[#This Row],[FAKTUR]]&amp;NOTA[[#This Row],[NO.NOTA]]&amp;NOTA[[#This Row],[NO.SJ]]&amp;NOTA[[#This Row],[TGL.NOTA]]&amp;NOTA[[#This Row],[CONCAT1]])</f>
        <v>MIRACLE ABADIUNTANA45488kertascrepesmalljersymp</v>
      </c>
      <c r="AR160" s="35">
        <f>IF(NOTA[[#This Row],[CONCAT1]]="","",MATCH(NOTA[[#This Row],[CONCAT1]],[3]!db[NB NOTA_C],0))</f>
        <v>1883</v>
      </c>
      <c r="AS160" s="35" t="b">
        <f>IF(NOTA[[#This Row],[Column5]]="","",TRUE)</f>
        <v>1</v>
      </c>
      <c r="AT160" s="35" t="str">
        <f ca="1">IF(NOTA[[#This Row],[ID_H]]="","",IF(NOTA[[#This Row],[Column3]]=TRUE,NOTA[[#This Row],[Column5]],INDEX([3]!db[QTY/ CTN],NOTA[[#This Row],[//DB]])))</f>
        <v>235 PAK</v>
      </c>
      <c r="AU1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kertascrepesmalljersymp235pakuntana</v>
      </c>
      <c r="AV160" s="35">
        <f ca="1">IF(NOTA[[#This Row],[ID_H]]="","",MATCH(NOTA[[#This Row],[NB NOTA_C_QTY]],[3]!db[NB NOTA_C_QTY+F],0))</f>
        <v>1883</v>
      </c>
      <c r="AW160" s="43">
        <f ca="1">IF(NOTA[[#This Row],[NB NOTA_C_QTY]]="","",ROW()-2)</f>
        <v>158</v>
      </c>
    </row>
    <row r="161" spans="1:49" ht="20.100000000000001" customHeight="1">
      <c r="A1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5">
        <f ca="1">IF(NOTA[[#This Row],[NAMA BARANG]]="","",INDEX(NOTA[ID],MATCH(,INDIRECT(ADDRESS(ROW(NOTA[ID]),COLUMN(NOTA[ID]))&amp;":"&amp;ADDRESS(ROW(),COLUMN(NOTA[ID]))),-1)))</f>
        <v>41</v>
      </c>
      <c r="C161" s="45"/>
      <c r="F161" s="46"/>
      <c r="G161" s="35"/>
      <c r="H161" s="36"/>
      <c r="I161" s="35"/>
      <c r="J161" s="50" t="s">
        <v>338</v>
      </c>
      <c r="K161" s="37">
        <v>6</v>
      </c>
      <c r="L161" s="35">
        <f>235*6</f>
        <v>1410</v>
      </c>
      <c r="M161" s="35" t="s">
        <v>145</v>
      </c>
      <c r="N161" s="38">
        <v>5750</v>
      </c>
      <c r="O161" s="39"/>
      <c r="P161" s="47" t="s">
        <v>242</v>
      </c>
      <c r="Q161" s="48"/>
      <c r="R161" s="41"/>
      <c r="T161" s="42"/>
      <c r="U161" s="44"/>
      <c r="V161" s="42">
        <f>IF(NOTA[[#This Row],[HARGA/ CTN]]="",NOTA[[#This Row],[JUMLAH_H]],NOTA[[#This Row],[HARGA/ CTN]]*IF(NOTA[[#This Row],[C]]="",0,NOTA[[#This Row],[C]]))</f>
        <v>8107500</v>
      </c>
      <c r="W161" s="42">
        <f>IF(NOTA[[#This Row],[JUMLAH]]="","",NOTA[[#This Row],[JUMLAH]]*NOTA[[#This Row],[Column6]])</f>
        <v>0</v>
      </c>
      <c r="X161" s="42">
        <f>IF(NOTA[[#This Row],[JUMLAH]]="","",(NOTA[[#This Row],[JUMLAH]]-NOTA[[#This Row],[DISC 1-]])*NOTA[[#This Row],[Column7]])</f>
        <v>0</v>
      </c>
      <c r="Y161" s="42">
        <f>IF(NOTA[[#This Row],[JUMLAH]]="","",(NOTA[[#This Row],[JUMLAH]]-NOTA[[#This Row],[DISC 1-]]-NOTA[[#This Row],[DISC 2-]])*NOTA[[#This Row],[Column8]])</f>
        <v>0</v>
      </c>
      <c r="Z161" s="42">
        <f>IF(NOTA[[#This Row],[JUMLAH]]="","",NOTA[[#This Row],[DISC 1-]]+NOTA[[#This Row],[DISC 2-]]+NOTA[[#This Row],[DISC 3-]])</f>
        <v>0</v>
      </c>
      <c r="AA161" s="42">
        <f>IF(NOTA[[#This Row],[JUMLAH]]="","",NOTA[[#This Row],[JUMLAH]]-NOTA[[#This Row],[DISC]])</f>
        <v>8107500</v>
      </c>
      <c r="AB161" s="42"/>
      <c r="AC16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6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32430000</v>
      </c>
      <c r="AE161" s="3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F161" s="42">
        <f>IF(OR(NOTA[[#This Row],[QTY]]="",NOTA[[#This Row],[HARGA SATUAN]]="",),"",NOTA[[#This Row],[QTY]]*NOTA[[#This Row],[HARGA SATUAN]])</f>
        <v>8107500</v>
      </c>
      <c r="AG161" s="36">
        <f ca="1">IF(NOTA[[#This Row],[ID_H]]="","",INDEX(NOTA[TANGGAL],MATCH(,INDIRECT(ADDRESS(ROW(NOTA[TANGGAL]),COLUMN(NOTA[TANGGAL]))&amp;":"&amp;ADDRESS(ROW(),COLUMN(NOTA[TANGGAL]))),-1)))</f>
        <v>45490</v>
      </c>
      <c r="AH161" s="36">
        <f ca="1">IF(NOTA[[#This Row],[ID_H]]="","",INDEX(NOTA[TGL.NOTA],MATCH(,INDIRECT(ADDRESS(ROW(NOTA[TGL.NOTA]),COLUMN(NOTA[TGL.NOTA]))&amp;":"&amp;ADDRESS(ROW(),COLUMN(NOTA[TGL.NOTA]))),-1)))</f>
        <v>45488</v>
      </c>
      <c r="AI161" s="36">
        <f ca="1">IF(NOTA[[#This Row],[ID_H]]="","",INDEX(NOTA[NO.NOTA],MATCH(NOTA[[#This Row],[ID_H]],NOTA[ID_H],0)))</f>
        <v>0</v>
      </c>
      <c r="AJ161" s="38" t="str">
        <f ca="1">IF(NOTA[[#This Row],[NAMA BARANG]]="","",INDEX(NOTA[SUPPLIER],MATCH(,INDIRECT(ADDRESS(ROW(NOTA[ID]),COLUMN(NOTA[ID]))&amp;":"&amp;ADDRESS(ROW(),COLUMN(NOTA[ID]))),-1)))</f>
        <v>MIRACLE ABADI</v>
      </c>
      <c r="AK161" s="38" t="str">
        <f ca="1">IF(NOTA[[#This Row],[ID_H]]="","",IF(NOTA[[#This Row],[FAKTUR]]="",INDIRECT(ADDRESS(ROW()-1,COLUMN())),NOTA[[#This Row],[FAKTUR]]))</f>
        <v>UNTANA</v>
      </c>
      <c r="AL161" s="35" t="str">
        <f ca="1">IF(NOTA[[#This Row],[ID]]="","",COUNTIF(NOTA[ID_H],NOTA[[#This Row],[ID_H]]))</f>
        <v/>
      </c>
      <c r="AM161" s="35">
        <f ca="1">IF(NOTA[[#This Row],[TGL.NOTA]]="",IF(NOTA[[#This Row],[SUPPLIER_H]]="","",AM160),MONTH(NOTA[[#This Row],[TGL.NOTA]]))</f>
        <v>7</v>
      </c>
      <c r="AN161" s="35" t="str">
        <f>LOWER(SUBSTITUTE(SUBSTITUTE(SUBSTITUTE(SUBSTITUTE(SUBSTITUTE(SUBSTITUTE(SUBSTITUTE(SUBSTITUTE(SUBSTITUTE(NOTA[[#This Row],[NAMA BARANG]]," ",),".",""),"-",""),"(",""),")",""),",",""),"/",""),"""",""),"+",""))</f>
        <v>kertascrepesmalljersywarna</v>
      </c>
      <c r="AO1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kertascrepesmalljersywarna1351250</v>
      </c>
      <c r="AP1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kertascrepesmalljersywarna1351250</v>
      </c>
      <c r="AQ1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1" s="35">
        <f>IF(NOTA[[#This Row],[CONCAT1]]="","",MATCH(NOTA[[#This Row],[CONCAT1]],[3]!db[NB NOTA_C],0))</f>
        <v>1881</v>
      </c>
      <c r="AS161" s="35" t="b">
        <f>IF(NOTA[[#This Row],[Column5]]="","",TRUE)</f>
        <v>1</v>
      </c>
      <c r="AT161" s="35" t="str">
        <f ca="1">IF(NOTA[[#This Row],[ID_H]]="","",IF(NOTA[[#This Row],[Column3]]=TRUE,NOTA[[#This Row],[Column5]],INDEX([3]!db[QTY/ CTN],NOTA[[#This Row],[//DB]])))</f>
        <v>235 PAK</v>
      </c>
      <c r="AU1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kertascrepesmalljersywarna235pakuntana</v>
      </c>
      <c r="AV161" s="35">
        <f ca="1">IF(NOTA[[#This Row],[ID_H]]="","",MATCH(NOTA[[#This Row],[NB NOTA_C_QTY]],[3]!db[NB NOTA_C_QTY+F],0))</f>
        <v>1881</v>
      </c>
      <c r="AW161" s="43">
        <f ca="1">IF(NOTA[[#This Row],[NB NOTA_C_QTY]]="","",ROW()-2)</f>
        <v>159</v>
      </c>
    </row>
    <row r="162" spans="1:49" ht="20.100000000000001" customHeight="1">
      <c r="A1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5" t="str">
        <f ca="1">IF(NOTA[[#This Row],[NAMA BARANG]]="","",INDEX(NOTA[ID],MATCH(,INDIRECT(ADDRESS(ROW(NOTA[ID]),COLUMN(NOTA[ID]))&amp;":"&amp;ADDRESS(ROW(),COLUMN(NOTA[ID]))),-1)))</f>
        <v/>
      </c>
      <c r="C162" s="45"/>
      <c r="F162" s="46"/>
      <c r="G162" s="35"/>
      <c r="H162" s="36"/>
      <c r="I162" s="35"/>
      <c r="K162" s="37"/>
      <c r="L162" s="35"/>
      <c r="N162" s="38"/>
      <c r="O162" s="39"/>
      <c r="P162" s="47"/>
      <c r="Q162" s="48"/>
      <c r="R162" s="41"/>
      <c r="T162" s="42"/>
      <c r="U162" s="44"/>
      <c r="V162" s="42" t="str">
        <f>IF(NOTA[[#This Row],[HARGA/ CTN]]="",NOTA[[#This Row],[JUMLAH_H]],NOTA[[#This Row],[HARGA/ CTN]]*IF(NOTA[[#This Row],[C]]="",0,NOTA[[#This Row],[C]]))</f>
        <v/>
      </c>
      <c r="W162" s="42" t="str">
        <f>IF(NOTA[[#This Row],[JUMLAH]]="","",NOTA[[#This Row],[JUMLAH]]*NOTA[[#This Row],[Column6]])</f>
        <v/>
      </c>
      <c r="X162" s="42" t="str">
        <f>IF(NOTA[[#This Row],[JUMLAH]]="","",(NOTA[[#This Row],[JUMLAH]]-NOTA[[#This Row],[DISC 1-]])*NOTA[[#This Row],[Column7]])</f>
        <v/>
      </c>
      <c r="Y162" s="42" t="str">
        <f>IF(NOTA[[#This Row],[JUMLAH]]="","",(NOTA[[#This Row],[JUMLAH]]-NOTA[[#This Row],[DISC 1-]]-NOTA[[#This Row],[DISC 2-]])*NOTA[[#This Row],[Column8]])</f>
        <v/>
      </c>
      <c r="Z162" s="42" t="str">
        <f>IF(NOTA[[#This Row],[JUMLAH]]="","",NOTA[[#This Row],[DISC 1-]]+NOTA[[#This Row],[DISC 2-]]+NOTA[[#This Row],[DISC 3-]])</f>
        <v/>
      </c>
      <c r="AA162" s="42" t="str">
        <f>IF(NOTA[[#This Row],[JUMLAH]]="","",NOTA[[#This Row],[JUMLAH]]-NOTA[[#This Row],[DISC]])</f>
        <v/>
      </c>
      <c r="AB162" s="42"/>
      <c r="AC1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2" s="42" t="str">
        <f>IF(OR(NOTA[[#This Row],[QTY]]="",NOTA[[#This Row],[HARGA SATUAN]]="",),"",NOTA[[#This Row],[QTY]]*NOTA[[#This Row],[HARGA SATUAN]])</f>
        <v/>
      </c>
      <c r="AG162" s="36" t="str">
        <f ca="1">IF(NOTA[[#This Row],[ID_H]]="","",INDEX(NOTA[TANGGAL],MATCH(,INDIRECT(ADDRESS(ROW(NOTA[TANGGAL]),COLUMN(NOTA[TANGGAL]))&amp;":"&amp;ADDRESS(ROW(),COLUMN(NOTA[TANGGAL]))),-1)))</f>
        <v/>
      </c>
      <c r="AH162" s="36" t="str">
        <f ca="1">IF(NOTA[[#This Row],[ID_H]]="","",INDEX(NOTA[TGL.NOTA],MATCH(,INDIRECT(ADDRESS(ROW(NOTA[TGL.NOTA]),COLUMN(NOTA[TGL.NOTA]))&amp;":"&amp;ADDRESS(ROW(),COLUMN(NOTA[TGL.NOTA]))),-1)))</f>
        <v/>
      </c>
      <c r="AI162" s="36" t="str">
        <f ca="1">IF(NOTA[[#This Row],[ID_H]]="","",INDEX(NOTA[NO.NOTA],MATCH(NOTA[[#This Row],[ID_H]],NOTA[ID_H],0)))</f>
        <v/>
      </c>
      <c r="AJ162" s="38" t="str">
        <f ca="1">IF(NOTA[[#This Row],[NAMA BARANG]]="","",INDEX(NOTA[SUPPLIER],MATCH(,INDIRECT(ADDRESS(ROW(NOTA[ID]),COLUMN(NOTA[ID]))&amp;":"&amp;ADDRESS(ROW(),COLUMN(NOTA[ID]))),-1)))</f>
        <v/>
      </c>
      <c r="AK162" s="38" t="str">
        <f ca="1">IF(NOTA[[#This Row],[ID_H]]="","",IF(NOTA[[#This Row],[FAKTUR]]="",INDIRECT(ADDRESS(ROW()-1,COLUMN())),NOTA[[#This Row],[FAKTUR]]))</f>
        <v/>
      </c>
      <c r="AL162" s="35" t="str">
        <f ca="1">IF(NOTA[[#This Row],[ID]]="","",COUNTIF(NOTA[ID_H],NOTA[[#This Row],[ID_H]]))</f>
        <v/>
      </c>
      <c r="AM162" s="35" t="str">
        <f ca="1">IF(NOTA[[#This Row],[TGL.NOTA]]="",IF(NOTA[[#This Row],[SUPPLIER_H]]="","",AM161),MONTH(NOTA[[#This Row],[TGL.NOTA]]))</f>
        <v/>
      </c>
      <c r="AN1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2" s="35" t="str">
        <f>IF(NOTA[[#This Row],[CONCAT1]]="","",MATCH(NOTA[[#This Row],[CONCAT1]],[3]!db[NB NOTA_C],0))</f>
        <v/>
      </c>
      <c r="AS162" s="35" t="str">
        <f>IF(NOTA[[#This Row],[Column5]]="","",TRUE)</f>
        <v/>
      </c>
      <c r="AT162" s="35" t="str">
        <f ca="1">IF(NOTA[[#This Row],[ID_H]]="","",IF(NOTA[[#This Row],[Column3]]=TRUE,NOTA[[#This Row],[Column5]],INDEX([3]!db[QTY/ CTN],NOTA[[#This Row],[//DB]])))</f>
        <v/>
      </c>
      <c r="AU1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2" s="35" t="str">
        <f ca="1">IF(NOTA[[#This Row],[ID_H]]="","",MATCH(NOTA[[#This Row],[NB NOTA_C_QTY]],[3]!db[NB NOTA_C_QTY+F],0))</f>
        <v/>
      </c>
      <c r="AW162" s="43" t="str">
        <f ca="1">IF(NOTA[[#This Row],[NB NOTA_C_QTY]]="","",ROW()-2)</f>
        <v/>
      </c>
    </row>
    <row r="163" spans="1:49" ht="20.100000000000001" customHeight="1">
      <c r="A163" s="38">
        <f ca="1">IF(INDIRECT(ADDRESS(ROW()-1,COLUMN(NOTA[[#Headers],[ID]])))="ID",1,IF(NOTA[[#This Row],[FAKTUR]]="","",COUNT(INDIRECT(ADDRESS(ROW(NOTA[ID]),COLUMN(NOTA[ID]))&amp;":"&amp;ADDRESS(ROW()-1,COLUMN(NOTA[ID]))))+1))</f>
        <v>42</v>
      </c>
      <c r="B163" s="35">
        <f ca="1">IF(NOTA[[#This Row],[NAMA BARANG]]="","",INDEX(NOTA[ID],MATCH(,INDIRECT(ADDRESS(ROW(NOTA[ID]),COLUMN(NOTA[ID]))&amp;":"&amp;ADDRESS(ROW(),COLUMN(NOTA[ID]))),-1)))</f>
        <v>42</v>
      </c>
      <c r="C163" s="45">
        <v>45489</v>
      </c>
      <c r="D163" s="35" t="s">
        <v>339</v>
      </c>
      <c r="E163" s="35" t="s">
        <v>49</v>
      </c>
      <c r="F163" s="46"/>
      <c r="G163" s="35"/>
      <c r="H163" s="36">
        <v>45486</v>
      </c>
      <c r="I163" s="35"/>
      <c r="J163" s="50" t="s">
        <v>340</v>
      </c>
      <c r="K163" s="37">
        <v>20</v>
      </c>
      <c r="L163" s="35">
        <v>200</v>
      </c>
      <c r="M163" s="35" t="s">
        <v>51</v>
      </c>
      <c r="N163" s="38">
        <v>55000</v>
      </c>
      <c r="O163" s="39"/>
      <c r="P163" s="47" t="s">
        <v>341</v>
      </c>
      <c r="Q163" s="48"/>
      <c r="R163" s="41"/>
      <c r="T163" s="42"/>
      <c r="U163" s="44"/>
      <c r="V163" s="42">
        <f>IF(NOTA[[#This Row],[HARGA/ CTN]]="",NOTA[[#This Row],[JUMLAH_H]],NOTA[[#This Row],[HARGA/ CTN]]*IF(NOTA[[#This Row],[C]]="",0,NOTA[[#This Row],[C]]))</f>
        <v>11000000</v>
      </c>
      <c r="W163" s="42">
        <f>IF(NOTA[[#This Row],[JUMLAH]]="","",NOTA[[#This Row],[JUMLAH]]*NOTA[[#This Row],[Column6]])</f>
        <v>0</v>
      </c>
      <c r="X163" s="42">
        <f>IF(NOTA[[#This Row],[JUMLAH]]="","",(NOTA[[#This Row],[JUMLAH]]-NOTA[[#This Row],[DISC 1-]])*NOTA[[#This Row],[Column7]])</f>
        <v>0</v>
      </c>
      <c r="Y163" s="42">
        <f>IF(NOTA[[#This Row],[JUMLAH]]="","",(NOTA[[#This Row],[JUMLAH]]-NOTA[[#This Row],[DISC 1-]]-NOTA[[#This Row],[DISC 2-]])*NOTA[[#This Row],[Column8]])</f>
        <v>0</v>
      </c>
      <c r="Z163" s="42">
        <f>IF(NOTA[[#This Row],[JUMLAH]]="","",NOTA[[#This Row],[DISC 1-]]+NOTA[[#This Row],[DISC 2-]]+NOTA[[#This Row],[DISC 3-]])</f>
        <v>0</v>
      </c>
      <c r="AA163" s="42">
        <f>IF(NOTA[[#This Row],[JUMLAH]]="","",NOTA[[#This Row],[JUMLAH]]-NOTA[[#This Row],[DISC]])</f>
        <v>11000000</v>
      </c>
      <c r="AB163" s="42"/>
      <c r="AC1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3" s="3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F163" s="42">
        <f>IF(OR(NOTA[[#This Row],[QTY]]="",NOTA[[#This Row],[HARGA SATUAN]]="",),"",NOTA[[#This Row],[QTY]]*NOTA[[#This Row],[HARGA SATUAN]])</f>
        <v>11000000</v>
      </c>
      <c r="AG163" s="36">
        <f ca="1">IF(NOTA[[#This Row],[ID_H]]="","",INDEX(NOTA[TANGGAL],MATCH(,INDIRECT(ADDRESS(ROW(NOTA[TANGGAL]),COLUMN(NOTA[TANGGAL]))&amp;":"&amp;ADDRESS(ROW(),COLUMN(NOTA[TANGGAL]))),-1)))</f>
        <v>45489</v>
      </c>
      <c r="AH163" s="36">
        <f ca="1">IF(NOTA[[#This Row],[ID_H]]="","",INDEX(NOTA[TGL.NOTA],MATCH(,INDIRECT(ADDRESS(ROW(NOTA[TGL.NOTA]),COLUMN(NOTA[TGL.NOTA]))&amp;":"&amp;ADDRESS(ROW(),COLUMN(NOTA[TGL.NOTA]))),-1)))</f>
        <v>45486</v>
      </c>
      <c r="AI163" s="36">
        <f ca="1">IF(NOTA[[#This Row],[ID_H]]="","",INDEX(NOTA[NO.NOTA],MATCH(NOTA[[#This Row],[ID_H]],NOTA[ID_H],0)))</f>
        <v>0</v>
      </c>
      <c r="AJ163" s="38" t="str">
        <f ca="1">IF(NOTA[[#This Row],[NAMA BARANG]]="","",INDEX(NOTA[SUPPLIER],MATCH(,INDIRECT(ADDRESS(ROW(NOTA[ID]),COLUMN(NOTA[ID]))&amp;":"&amp;ADDRESS(ROW(),COLUMN(NOTA[ID]))),-1)))</f>
        <v>PELNA</v>
      </c>
      <c r="AK163" s="38" t="str">
        <f ca="1">IF(NOTA[[#This Row],[ID_H]]="","",IF(NOTA[[#This Row],[FAKTUR]]="",INDIRECT(ADDRESS(ROW()-1,COLUMN())),NOTA[[#This Row],[FAKTUR]]))</f>
        <v>UNTANA</v>
      </c>
      <c r="AL163" s="35">
        <f ca="1">IF(NOTA[[#This Row],[ID]]="","",COUNTIF(NOTA[ID_H],NOTA[[#This Row],[ID_H]]))</f>
        <v>2</v>
      </c>
      <c r="AM163" s="35">
        <f>IF(NOTA[[#This Row],[TGL.NOTA]]="",IF(NOTA[[#This Row],[SUPPLIER_H]]="","",AM162),MONTH(NOTA[[#This Row],[TGL.NOTA]]))</f>
        <v>7</v>
      </c>
      <c r="AN163" s="35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O1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pelnalaptoptable550000</v>
      </c>
      <c r="AP1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pelnalaptoptable550000</v>
      </c>
      <c r="AQ163" s="35" t="str">
        <f>IF(NOTA[[#This Row],[SUPPLIER]]="","",NOTA[[#This Row],[SUPPLIER]]&amp;NOTA[[#This Row],[FAKTUR]]&amp;NOTA[[#This Row],[NO.NOTA]]&amp;NOTA[[#This Row],[NO.SJ]]&amp;NOTA[[#This Row],[TGL.NOTA]]&amp;NOTA[[#This Row],[CONCAT1]])</f>
        <v>PELNAUNTANA45486pelnalaptoptable</v>
      </c>
      <c r="AR163" s="35">
        <f>IF(NOTA[[#This Row],[CONCAT1]]="","",MATCH(NOTA[[#This Row],[CONCAT1]],[3]!db[NB NOTA_C],0))</f>
        <v>2503</v>
      </c>
      <c r="AS163" s="35" t="b">
        <f>IF(NOTA[[#This Row],[Column5]]="","",TRUE)</f>
        <v>1</v>
      </c>
      <c r="AT163" s="35" t="str">
        <f ca="1">IF(NOTA[[#This Row],[ID_H]]="","",IF(NOTA[[#This Row],[Column3]]=TRUE,NOTA[[#This Row],[Column5]],INDEX([3]!db[QTY/ CTN],NOTA[[#This Row],[//DB]])))</f>
        <v>10 PCS</v>
      </c>
      <c r="AU1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V163" s="35">
        <f ca="1">IF(NOTA[[#This Row],[ID_H]]="","",MATCH(NOTA[[#This Row],[NB NOTA_C_QTY]],[3]!db[NB NOTA_C_QTY+F],0))</f>
        <v>2503</v>
      </c>
      <c r="AW163" s="43">
        <f ca="1">IF(NOTA[[#This Row],[NB NOTA_C_QTY]]="","",ROW()-2)</f>
        <v>161</v>
      </c>
    </row>
    <row r="164" spans="1:49" ht="20.100000000000001" customHeight="1">
      <c r="A1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5">
        <f ca="1">IF(NOTA[[#This Row],[NAMA BARANG]]="","",INDEX(NOTA[ID],MATCH(,INDIRECT(ADDRESS(ROW(NOTA[ID]),COLUMN(NOTA[ID]))&amp;":"&amp;ADDRESS(ROW(),COLUMN(NOTA[ID]))),-1)))</f>
        <v>42</v>
      </c>
      <c r="C164" s="45"/>
      <c r="F164" s="46"/>
      <c r="G164" s="35"/>
      <c r="H164" s="36"/>
      <c r="I164" s="35"/>
      <c r="J164" s="50" t="s">
        <v>340</v>
      </c>
      <c r="K164" s="37">
        <v>1</v>
      </c>
      <c r="L164" s="35">
        <v>10</v>
      </c>
      <c r="M164" s="35" t="s">
        <v>51</v>
      </c>
      <c r="N164" s="38"/>
      <c r="O164" s="39"/>
      <c r="P164" s="47" t="s">
        <v>341</v>
      </c>
      <c r="Q164" s="48"/>
      <c r="R164" s="41"/>
      <c r="T164" s="42"/>
      <c r="U164" s="44" t="s">
        <v>71</v>
      </c>
      <c r="V164" s="42" t="str">
        <f>IF(NOTA[[#This Row],[HARGA/ CTN]]="",NOTA[[#This Row],[JUMLAH_H]],NOTA[[#This Row],[HARGA/ CTN]]*IF(NOTA[[#This Row],[C]]="",0,NOTA[[#This Row],[C]]))</f>
        <v/>
      </c>
      <c r="W164" s="42" t="str">
        <f>IF(NOTA[[#This Row],[JUMLAH]]="","",NOTA[[#This Row],[JUMLAH]]*NOTA[[#This Row],[Column6]])</f>
        <v/>
      </c>
      <c r="X164" s="42" t="str">
        <f>IF(NOTA[[#This Row],[JUMLAH]]="","",(NOTA[[#This Row],[JUMLAH]]-NOTA[[#This Row],[DISC 1-]])*NOTA[[#This Row],[Column7]])</f>
        <v/>
      </c>
      <c r="Y164" s="42" t="str">
        <f>IF(NOTA[[#This Row],[JUMLAH]]="","",(NOTA[[#This Row],[JUMLAH]]-NOTA[[#This Row],[DISC 1-]]-NOTA[[#This Row],[DISC 2-]])*NOTA[[#This Row],[Column8]])</f>
        <v/>
      </c>
      <c r="Z164" s="42" t="str">
        <f>IF(NOTA[[#This Row],[JUMLAH]]="","",NOTA[[#This Row],[DISC 1-]]+NOTA[[#This Row],[DISC 2-]]+NOTA[[#This Row],[DISC 3-]])</f>
        <v/>
      </c>
      <c r="AA164" s="42" t="str">
        <f>IF(NOTA[[#This Row],[JUMLAH]]="","",NOTA[[#This Row],[JUMLAH]]-NOTA[[#This Row],[DISC]])</f>
        <v/>
      </c>
      <c r="AB164" s="42"/>
      <c r="AC16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64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11000000</v>
      </c>
      <c r="AE164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64" s="42" t="str">
        <f>IF(OR(NOTA[[#This Row],[QTY]]="",NOTA[[#This Row],[HARGA SATUAN]]="",),"",NOTA[[#This Row],[QTY]]*NOTA[[#This Row],[HARGA SATUAN]])</f>
        <v/>
      </c>
      <c r="AG164" s="36">
        <f ca="1">IF(NOTA[[#This Row],[ID_H]]="","",INDEX(NOTA[TANGGAL],MATCH(,INDIRECT(ADDRESS(ROW(NOTA[TANGGAL]),COLUMN(NOTA[TANGGAL]))&amp;":"&amp;ADDRESS(ROW(),COLUMN(NOTA[TANGGAL]))),-1)))</f>
        <v>45489</v>
      </c>
      <c r="AH164" s="36">
        <f ca="1">IF(NOTA[[#This Row],[ID_H]]="","",INDEX(NOTA[TGL.NOTA],MATCH(,INDIRECT(ADDRESS(ROW(NOTA[TGL.NOTA]),COLUMN(NOTA[TGL.NOTA]))&amp;":"&amp;ADDRESS(ROW(),COLUMN(NOTA[TGL.NOTA]))),-1)))</f>
        <v>45486</v>
      </c>
      <c r="AI164" s="36">
        <f ca="1">IF(NOTA[[#This Row],[ID_H]]="","",INDEX(NOTA[NO.NOTA],MATCH(NOTA[[#This Row],[ID_H]],NOTA[ID_H],0)))</f>
        <v>0</v>
      </c>
      <c r="AJ164" s="38" t="str">
        <f ca="1">IF(NOTA[[#This Row],[NAMA BARANG]]="","",INDEX(NOTA[SUPPLIER],MATCH(,INDIRECT(ADDRESS(ROW(NOTA[ID]),COLUMN(NOTA[ID]))&amp;":"&amp;ADDRESS(ROW(),COLUMN(NOTA[ID]))),-1)))</f>
        <v>PELNA</v>
      </c>
      <c r="AK164" s="38" t="str">
        <f ca="1">IF(NOTA[[#This Row],[ID_H]]="","",IF(NOTA[[#This Row],[FAKTUR]]="",INDIRECT(ADDRESS(ROW()-1,COLUMN())),NOTA[[#This Row],[FAKTUR]]))</f>
        <v>UNTANA</v>
      </c>
      <c r="AL164" s="35" t="str">
        <f ca="1">IF(NOTA[[#This Row],[ID]]="","",COUNTIF(NOTA[ID_H],NOTA[[#This Row],[ID_H]]))</f>
        <v/>
      </c>
      <c r="AM164" s="35">
        <f ca="1">IF(NOTA[[#This Row],[TGL.NOTA]]="",IF(NOTA[[#This Row],[SUPPLIER_H]]="","",AM163),MONTH(NOTA[[#This Row],[TGL.NOTA]]))</f>
        <v>7</v>
      </c>
      <c r="AN164" s="35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O1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pelnalaptoptable0</v>
      </c>
      <c r="AP1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pelnalaptoptable0</v>
      </c>
      <c r="AQ1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4" s="35">
        <f>IF(NOTA[[#This Row],[CONCAT1]]="","",MATCH(NOTA[[#This Row],[CONCAT1]],[3]!db[NB NOTA_C],0))</f>
        <v>2503</v>
      </c>
      <c r="AS164" s="35" t="b">
        <f>IF(NOTA[[#This Row],[Column5]]="","",TRUE)</f>
        <v>1</v>
      </c>
      <c r="AT164" s="35" t="str">
        <f ca="1">IF(NOTA[[#This Row],[ID_H]]="","",IF(NOTA[[#This Row],[Column3]]=TRUE,NOTA[[#This Row],[Column5]],INDEX([3]!db[QTY/ CTN],NOTA[[#This Row],[//DB]])))</f>
        <v>10 PCS</v>
      </c>
      <c r="AU1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V164" s="35">
        <f ca="1">IF(NOTA[[#This Row],[ID_H]]="","",MATCH(NOTA[[#This Row],[NB NOTA_C_QTY]],[3]!db[NB NOTA_C_QTY+F],0))</f>
        <v>2503</v>
      </c>
      <c r="AW164" s="43">
        <f ca="1">IF(NOTA[[#This Row],[NB NOTA_C_QTY]]="","",ROW()-2)</f>
        <v>162</v>
      </c>
    </row>
    <row r="165" spans="1:49" ht="20.100000000000001" customHeight="1">
      <c r="A1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5" t="str">
        <f ca="1">IF(NOTA[[#This Row],[NAMA BARANG]]="","",INDEX(NOTA[ID],MATCH(,INDIRECT(ADDRESS(ROW(NOTA[ID]),COLUMN(NOTA[ID]))&amp;":"&amp;ADDRESS(ROW(),COLUMN(NOTA[ID]))),-1)))</f>
        <v/>
      </c>
      <c r="C165" s="45"/>
      <c r="F165" s="46"/>
      <c r="G165" s="35"/>
      <c r="H165" s="36"/>
      <c r="I165" s="35"/>
      <c r="K165" s="37"/>
      <c r="L165" s="35"/>
      <c r="N165" s="38"/>
      <c r="O165" s="39"/>
      <c r="P165" s="47"/>
      <c r="Q165" s="48"/>
      <c r="R165" s="41"/>
      <c r="T165" s="42"/>
      <c r="U165" s="44"/>
      <c r="V165" s="42" t="str">
        <f>IF(NOTA[[#This Row],[HARGA/ CTN]]="",NOTA[[#This Row],[JUMLAH_H]],NOTA[[#This Row],[HARGA/ CTN]]*IF(NOTA[[#This Row],[C]]="",0,NOTA[[#This Row],[C]]))</f>
        <v/>
      </c>
      <c r="W165" s="42" t="str">
        <f>IF(NOTA[[#This Row],[JUMLAH]]="","",NOTA[[#This Row],[JUMLAH]]*NOTA[[#This Row],[Column6]])</f>
        <v/>
      </c>
      <c r="X165" s="42" t="str">
        <f>IF(NOTA[[#This Row],[JUMLAH]]="","",(NOTA[[#This Row],[JUMLAH]]-NOTA[[#This Row],[DISC 1-]])*NOTA[[#This Row],[Column7]])</f>
        <v/>
      </c>
      <c r="Y165" s="42" t="str">
        <f>IF(NOTA[[#This Row],[JUMLAH]]="","",(NOTA[[#This Row],[JUMLAH]]-NOTA[[#This Row],[DISC 1-]]-NOTA[[#This Row],[DISC 2-]])*NOTA[[#This Row],[Column8]])</f>
        <v/>
      </c>
      <c r="Z165" s="42" t="str">
        <f>IF(NOTA[[#This Row],[JUMLAH]]="","",NOTA[[#This Row],[DISC 1-]]+NOTA[[#This Row],[DISC 2-]]+NOTA[[#This Row],[DISC 3-]])</f>
        <v/>
      </c>
      <c r="AA165" s="42" t="str">
        <f>IF(NOTA[[#This Row],[JUMLAH]]="","",NOTA[[#This Row],[JUMLAH]]-NOTA[[#This Row],[DISC]])</f>
        <v/>
      </c>
      <c r="AB165" s="42"/>
      <c r="AC1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5" s="42" t="str">
        <f>IF(OR(NOTA[[#This Row],[QTY]]="",NOTA[[#This Row],[HARGA SATUAN]]="",),"",NOTA[[#This Row],[QTY]]*NOTA[[#This Row],[HARGA SATUAN]])</f>
        <v/>
      </c>
      <c r="AG165" s="36" t="str">
        <f ca="1">IF(NOTA[[#This Row],[ID_H]]="","",INDEX(NOTA[TANGGAL],MATCH(,INDIRECT(ADDRESS(ROW(NOTA[TANGGAL]),COLUMN(NOTA[TANGGAL]))&amp;":"&amp;ADDRESS(ROW(),COLUMN(NOTA[TANGGAL]))),-1)))</f>
        <v/>
      </c>
      <c r="AH165" s="36" t="str">
        <f ca="1">IF(NOTA[[#This Row],[ID_H]]="","",INDEX(NOTA[TGL.NOTA],MATCH(,INDIRECT(ADDRESS(ROW(NOTA[TGL.NOTA]),COLUMN(NOTA[TGL.NOTA]))&amp;":"&amp;ADDRESS(ROW(),COLUMN(NOTA[TGL.NOTA]))),-1)))</f>
        <v/>
      </c>
      <c r="AI165" s="36" t="str">
        <f ca="1">IF(NOTA[[#This Row],[ID_H]]="","",INDEX(NOTA[NO.NOTA],MATCH(NOTA[[#This Row],[ID_H]],NOTA[ID_H],0)))</f>
        <v/>
      </c>
      <c r="AJ165" s="38" t="str">
        <f ca="1">IF(NOTA[[#This Row],[NAMA BARANG]]="","",INDEX(NOTA[SUPPLIER],MATCH(,INDIRECT(ADDRESS(ROW(NOTA[ID]),COLUMN(NOTA[ID]))&amp;":"&amp;ADDRESS(ROW(),COLUMN(NOTA[ID]))),-1)))</f>
        <v/>
      </c>
      <c r="AK165" s="38" t="str">
        <f ca="1">IF(NOTA[[#This Row],[ID_H]]="","",IF(NOTA[[#This Row],[FAKTUR]]="",INDIRECT(ADDRESS(ROW()-1,COLUMN())),NOTA[[#This Row],[FAKTUR]]))</f>
        <v/>
      </c>
      <c r="AL165" s="35" t="str">
        <f ca="1">IF(NOTA[[#This Row],[ID]]="","",COUNTIF(NOTA[ID_H],NOTA[[#This Row],[ID_H]]))</f>
        <v/>
      </c>
      <c r="AM165" s="35" t="str">
        <f ca="1">IF(NOTA[[#This Row],[TGL.NOTA]]="",IF(NOTA[[#This Row],[SUPPLIER_H]]="","",AM164),MONTH(NOTA[[#This Row],[TGL.NOTA]]))</f>
        <v/>
      </c>
      <c r="AN1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5" s="35" t="str">
        <f>IF(NOTA[[#This Row],[CONCAT1]]="","",MATCH(NOTA[[#This Row],[CONCAT1]],[3]!db[NB NOTA_C],0))</f>
        <v/>
      </c>
      <c r="AS165" s="35" t="str">
        <f>IF(NOTA[[#This Row],[Column5]]="","",TRUE)</f>
        <v/>
      </c>
      <c r="AT165" s="35" t="str">
        <f ca="1">IF(NOTA[[#This Row],[ID_H]]="","",IF(NOTA[[#This Row],[Column3]]=TRUE,NOTA[[#This Row],[Column5]],INDEX([3]!db[QTY/ CTN],NOTA[[#This Row],[//DB]])))</f>
        <v/>
      </c>
      <c r="AU1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5" s="35" t="str">
        <f ca="1">IF(NOTA[[#This Row],[ID_H]]="","",MATCH(NOTA[[#This Row],[NB NOTA_C_QTY]],[3]!db[NB NOTA_C_QTY+F],0))</f>
        <v/>
      </c>
      <c r="AW165" s="43" t="str">
        <f ca="1">IF(NOTA[[#This Row],[NB NOTA_C_QTY]]="","",ROW()-2)</f>
        <v/>
      </c>
    </row>
    <row r="166" spans="1:49" ht="20.100000000000001" customHeight="1">
      <c r="A166" s="38">
        <f ca="1">IF(INDIRECT(ADDRESS(ROW()-1,COLUMN(NOTA[[#Headers],[ID]])))="ID",1,IF(NOTA[[#This Row],[FAKTUR]]="","",COUNT(INDIRECT(ADDRESS(ROW(NOTA[ID]),COLUMN(NOTA[ID]))&amp;":"&amp;ADDRESS(ROW()-1,COLUMN(NOTA[ID]))))+1))</f>
        <v>43</v>
      </c>
      <c r="B166" s="35">
        <f ca="1">IF(NOTA[[#This Row],[NAMA BARANG]]="","",INDEX(NOTA[ID],MATCH(,INDIRECT(ADDRESS(ROW(NOTA[ID]),COLUMN(NOTA[ID]))&amp;":"&amp;ADDRESS(ROW(),COLUMN(NOTA[ID]))),-1)))</f>
        <v>43</v>
      </c>
      <c r="C166" s="45">
        <v>45488</v>
      </c>
      <c r="D166" s="35" t="s">
        <v>199</v>
      </c>
      <c r="E166" s="35" t="s">
        <v>49</v>
      </c>
      <c r="F166" s="46" t="s">
        <v>342</v>
      </c>
      <c r="G166" s="35"/>
      <c r="H166" s="36">
        <v>45485</v>
      </c>
      <c r="I166" s="35"/>
      <c r="J166" s="50" t="s">
        <v>412</v>
      </c>
      <c r="K166" s="37">
        <v>1</v>
      </c>
      <c r="L166" s="35">
        <v>144</v>
      </c>
      <c r="M166" s="35" t="s">
        <v>122</v>
      </c>
      <c r="N166" s="38">
        <v>18500</v>
      </c>
      <c r="O166" s="39"/>
      <c r="P166" s="47" t="s">
        <v>322</v>
      </c>
      <c r="Q166" s="48"/>
      <c r="R166" s="41"/>
      <c r="T166" s="42"/>
      <c r="U166" s="44"/>
      <c r="V166" s="42">
        <f>IF(NOTA[[#This Row],[HARGA/ CTN]]="",NOTA[[#This Row],[JUMLAH_H]],NOTA[[#This Row],[HARGA/ CTN]]*IF(NOTA[[#This Row],[C]]="",0,NOTA[[#This Row],[C]]))</f>
        <v>2664000</v>
      </c>
      <c r="W166" s="42">
        <f>IF(NOTA[[#This Row],[JUMLAH]]="","",NOTA[[#This Row],[JUMLAH]]*NOTA[[#This Row],[Column6]])</f>
        <v>0</v>
      </c>
      <c r="X166" s="42">
        <f>IF(NOTA[[#This Row],[JUMLAH]]="","",(NOTA[[#This Row],[JUMLAH]]-NOTA[[#This Row],[DISC 1-]])*NOTA[[#This Row],[Column7]])</f>
        <v>0</v>
      </c>
      <c r="Y166" s="42">
        <f>IF(NOTA[[#This Row],[JUMLAH]]="","",(NOTA[[#This Row],[JUMLAH]]-NOTA[[#This Row],[DISC 1-]]-NOTA[[#This Row],[DISC 2-]])*NOTA[[#This Row],[Column8]])</f>
        <v>0</v>
      </c>
      <c r="Z166" s="42">
        <f>IF(NOTA[[#This Row],[JUMLAH]]="","",NOTA[[#This Row],[DISC 1-]]+NOTA[[#This Row],[DISC 2-]]+NOTA[[#This Row],[DISC 3-]])</f>
        <v>0</v>
      </c>
      <c r="AA166" s="42">
        <f>IF(NOTA[[#This Row],[JUMLAH]]="","",NOTA[[#This Row],[JUMLAH]]-NOTA[[#This Row],[DISC]])</f>
        <v>2664000</v>
      </c>
      <c r="AB166" s="42"/>
      <c r="AC1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6" s="38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F166" s="42">
        <f>IF(OR(NOTA[[#This Row],[QTY]]="",NOTA[[#This Row],[HARGA SATUAN]]="",),"",NOTA[[#This Row],[QTY]]*NOTA[[#This Row],[HARGA SATUAN]])</f>
        <v>2664000</v>
      </c>
      <c r="AG166" s="36">
        <f ca="1">IF(NOTA[[#This Row],[ID_H]]="","",INDEX(NOTA[TANGGAL],MATCH(,INDIRECT(ADDRESS(ROW(NOTA[TANGGAL]),COLUMN(NOTA[TANGGAL]))&amp;":"&amp;ADDRESS(ROW(),COLUMN(NOTA[TANGGAL]))),-1)))</f>
        <v>45488</v>
      </c>
      <c r="AH166" s="36">
        <f ca="1">IF(NOTA[[#This Row],[ID_H]]="","",INDEX(NOTA[TGL.NOTA],MATCH(,INDIRECT(ADDRESS(ROW(NOTA[TGL.NOTA]),COLUMN(NOTA[TGL.NOTA]))&amp;":"&amp;ADDRESS(ROW(),COLUMN(NOTA[TGL.NOTA]))),-1)))</f>
        <v>45485</v>
      </c>
      <c r="AI166" s="36" t="str">
        <f ca="1">IF(NOTA[[#This Row],[ID_H]]="","",INDEX(NOTA[NO.NOTA],MATCH(NOTA[[#This Row],[ID_H]],NOTA[ID_H],0)))</f>
        <v>JUG329/24</v>
      </c>
      <c r="AJ166" s="38" t="str">
        <f ca="1">IF(NOTA[[#This Row],[NAMA BARANG]]="","",INDEX(NOTA[SUPPLIER],MATCH(,INDIRECT(ADDRESS(ROW(NOTA[ID]),COLUMN(NOTA[ID]))&amp;":"&amp;ADDRESS(ROW(),COLUMN(NOTA[ID]))),-1)))</f>
        <v>DB STATIONERY</v>
      </c>
      <c r="AK166" s="38" t="str">
        <f ca="1">IF(NOTA[[#This Row],[ID_H]]="","",IF(NOTA[[#This Row],[FAKTUR]]="",INDIRECT(ADDRESS(ROW()-1,COLUMN())),NOTA[[#This Row],[FAKTUR]]))</f>
        <v>UNTANA</v>
      </c>
      <c r="AL166" s="35">
        <f ca="1">IF(NOTA[[#This Row],[ID]]="","",COUNTIF(NOTA[ID_H],NOTA[[#This Row],[ID_H]]))</f>
        <v>3</v>
      </c>
      <c r="AM166" s="35">
        <f>IF(NOTA[[#This Row],[TGL.NOTA]]="",IF(NOTA[[#This Row],[SUPPLIER_H]]="","",AM165),MONTH(NOTA[[#This Row],[TGL.NOTA]]))</f>
        <v>7</v>
      </c>
      <c r="AN166" s="35" t="str">
        <f>LOWER(SUBSTITUTE(SUBSTITUTE(SUBSTITUTE(SUBSTITUTE(SUBSTITUTE(SUBSTITUTE(SUBSTITUTE(SUBSTITUTE(SUBSTITUTE(NOTA[[#This Row],[NAMA BARANG]]," ",),".",""),"-",""),"(",""),")",""),",",""),"/",""),"""",""),"+",""))</f>
        <v>pwarnakayagi24wkycp0724</v>
      </c>
      <c r="AO1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pwarnakayagi24wkycp07242664000</v>
      </c>
      <c r="AP1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pwarnakayagi24wkycp07242664000</v>
      </c>
      <c r="AQ166" s="3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STATIONERYUNTANAJUG329/2445485pwarnakayagi24wkycp0724</v>
      </c>
      <c r="AR166" s="35">
        <f>IF(NOTA[[#This Row],[CONCAT1]]="","",MATCH(NOTA[[#This Row],[CONCAT1]],[3]!db[NB NOTA_C],0))</f>
        <v>2312</v>
      </c>
      <c r="AS166" s="35" t="b">
        <f>IF(NOTA[[#This Row],[Column5]]="","",TRUE)</f>
        <v>1</v>
      </c>
      <c r="AT166" s="35" t="str">
        <f ca="1">IF(NOTA[[#This Row],[ID_H]]="","",IF(NOTA[[#This Row],[Column3]]=TRUE,NOTA[[#This Row],[Column5]],INDEX([3]!db[QTY/ CTN],NOTA[[#This Row],[//DB]])))</f>
        <v>144 SET</v>
      </c>
      <c r="AU1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pwarnakayagi24wkycp0724144setuntana</v>
      </c>
      <c r="AV166" s="35">
        <f ca="1">IF(NOTA[[#This Row],[ID_H]]="","",MATCH(NOTA[[#This Row],[NB NOTA_C_QTY]],[3]!db[NB NOTA_C_QTY+F],0))</f>
        <v>2313</v>
      </c>
      <c r="AW166" s="43">
        <f ca="1">IF(NOTA[[#This Row],[NB NOTA_C_QTY]]="","",ROW()-2)</f>
        <v>164</v>
      </c>
    </row>
    <row r="167" spans="1:49" ht="20.100000000000001" customHeight="1">
      <c r="A1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5">
        <f ca="1">IF(NOTA[[#This Row],[NAMA BARANG]]="","",INDEX(NOTA[ID],MATCH(,INDIRECT(ADDRESS(ROW(NOTA[ID]),COLUMN(NOTA[ID]))&amp;":"&amp;ADDRESS(ROW(),COLUMN(NOTA[ID]))),-1)))</f>
        <v>43</v>
      </c>
      <c r="C167" s="45"/>
      <c r="F167" s="46"/>
      <c r="G167" s="35"/>
      <c r="H167" s="36"/>
      <c r="I167" s="35"/>
      <c r="J167" s="50" t="s">
        <v>292</v>
      </c>
      <c r="K167" s="37">
        <v>1</v>
      </c>
      <c r="L167" s="35">
        <v>72</v>
      </c>
      <c r="M167" s="35" t="s">
        <v>50</v>
      </c>
      <c r="N167" s="38">
        <v>43500</v>
      </c>
      <c r="O167" s="39"/>
      <c r="P167" s="47" t="s">
        <v>345</v>
      </c>
      <c r="Q167" s="48"/>
      <c r="R167" s="41"/>
      <c r="T167" s="42"/>
      <c r="U167" s="44"/>
      <c r="V167" s="42">
        <f>IF(NOTA[[#This Row],[HARGA/ CTN]]="",NOTA[[#This Row],[JUMLAH_H]],NOTA[[#This Row],[HARGA/ CTN]]*IF(NOTA[[#This Row],[C]]="",0,NOTA[[#This Row],[C]]))</f>
        <v>3132000</v>
      </c>
      <c r="W167" s="42">
        <f>IF(NOTA[[#This Row],[JUMLAH]]="","",NOTA[[#This Row],[JUMLAH]]*NOTA[[#This Row],[Column6]])</f>
        <v>0</v>
      </c>
      <c r="X167" s="42">
        <f>IF(NOTA[[#This Row],[JUMLAH]]="","",(NOTA[[#This Row],[JUMLAH]]-NOTA[[#This Row],[DISC 1-]])*NOTA[[#This Row],[Column7]])</f>
        <v>0</v>
      </c>
      <c r="Y167" s="42">
        <f>IF(NOTA[[#This Row],[JUMLAH]]="","",(NOTA[[#This Row],[JUMLAH]]-NOTA[[#This Row],[DISC 1-]]-NOTA[[#This Row],[DISC 2-]])*NOTA[[#This Row],[Column8]])</f>
        <v>0</v>
      </c>
      <c r="Z167" s="42">
        <f>IF(NOTA[[#This Row],[JUMLAH]]="","",NOTA[[#This Row],[DISC 1-]]+NOTA[[#This Row],[DISC 2-]]+NOTA[[#This Row],[DISC 3-]])</f>
        <v>0</v>
      </c>
      <c r="AA167" s="42">
        <f>IF(NOTA[[#This Row],[JUMLAH]]="","",NOTA[[#This Row],[JUMLAH]]-NOTA[[#This Row],[DISC]])</f>
        <v>3132000</v>
      </c>
      <c r="AB167" s="42"/>
      <c r="AC1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7" s="3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67" s="42">
        <f>IF(OR(NOTA[[#This Row],[QTY]]="",NOTA[[#This Row],[HARGA SATUAN]]="",),"",NOTA[[#This Row],[QTY]]*NOTA[[#This Row],[HARGA SATUAN]])</f>
        <v>3132000</v>
      </c>
      <c r="AG167" s="36">
        <f ca="1">IF(NOTA[[#This Row],[ID_H]]="","",INDEX(NOTA[TANGGAL],MATCH(,INDIRECT(ADDRESS(ROW(NOTA[TANGGAL]),COLUMN(NOTA[TANGGAL]))&amp;":"&amp;ADDRESS(ROW(),COLUMN(NOTA[TANGGAL]))),-1)))</f>
        <v>45488</v>
      </c>
      <c r="AH167" s="36">
        <f ca="1">IF(NOTA[[#This Row],[ID_H]]="","",INDEX(NOTA[TGL.NOTA],MATCH(,INDIRECT(ADDRESS(ROW(NOTA[TGL.NOTA]),COLUMN(NOTA[TGL.NOTA]))&amp;":"&amp;ADDRESS(ROW(),COLUMN(NOTA[TGL.NOTA]))),-1)))</f>
        <v>45485</v>
      </c>
      <c r="AI167" s="36" t="str">
        <f ca="1">IF(NOTA[[#This Row],[ID_H]]="","",INDEX(NOTA[NO.NOTA],MATCH(NOTA[[#This Row],[ID_H]],NOTA[ID_H],0)))</f>
        <v>JUG329/24</v>
      </c>
      <c r="AJ167" s="38" t="str">
        <f ca="1">IF(NOTA[[#This Row],[NAMA BARANG]]="","",INDEX(NOTA[SUPPLIER],MATCH(,INDIRECT(ADDRESS(ROW(NOTA[ID]),COLUMN(NOTA[ID]))&amp;":"&amp;ADDRESS(ROW(),COLUMN(NOTA[ID]))),-1)))</f>
        <v>DB STATIONERY</v>
      </c>
      <c r="AK167" s="38" t="str">
        <f ca="1">IF(NOTA[[#This Row],[ID_H]]="","",IF(NOTA[[#This Row],[FAKTUR]]="",INDIRECT(ADDRESS(ROW()-1,COLUMN())),NOTA[[#This Row],[FAKTUR]]))</f>
        <v>UNTANA</v>
      </c>
      <c r="AL167" s="35" t="str">
        <f ca="1">IF(NOTA[[#This Row],[ID]]="","",COUNTIF(NOTA[ID_H],NOTA[[#This Row],[ID_H]]))</f>
        <v/>
      </c>
      <c r="AM167" s="35">
        <f ca="1">IF(NOTA[[#This Row],[TGL.NOTA]]="",IF(NOTA[[#This Row],[SUPPLIER_H]]="","",AM166),MONTH(NOTA[[#This Row],[TGL.NOTA]]))</f>
        <v>7</v>
      </c>
      <c r="AN167" s="35" t="str">
        <f>LOWER(SUBSTITUTE(SUBSTITUTE(SUBSTITUTE(SUBSTITUTE(SUBSTITUTE(SUBSTITUTE(SUBSTITUTE(SUBSTITUTE(SUBSTITUTE(NOTA[[#This Row],[NAMA BARANG]]," ",),".",""),"-",""),"(",""),")",""),",",""),"/",""),"""",""),"+",""))</f>
        <v>geltizo10tg630a</v>
      </c>
      <c r="AO1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geltizo10tg630a3132000</v>
      </c>
      <c r="AP1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geltizo10tg630a3132000</v>
      </c>
      <c r="AQ1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7" s="35">
        <f>IF(NOTA[[#This Row],[CONCAT1]]="","",MATCH(NOTA[[#This Row],[CONCAT1]],[3]!db[NB NOTA_C],0))</f>
        <v>1252</v>
      </c>
      <c r="AS167" s="35" t="b">
        <f>IF(NOTA[[#This Row],[Column5]]="","",TRUE)</f>
        <v>1</v>
      </c>
      <c r="AT167" s="35" t="str">
        <f ca="1">IF(NOTA[[#This Row],[ID_H]]="","",IF(NOTA[[#This Row],[Column3]]=TRUE,NOTA[[#This Row],[Column5]],INDEX([3]!db[QTY/ CTN],NOTA[[#This Row],[//DB]])))</f>
        <v>72 LSN</v>
      </c>
      <c r="AU1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geltizo10tg630a72lsnuntana</v>
      </c>
      <c r="AV167" s="35">
        <f ca="1">IF(NOTA[[#This Row],[ID_H]]="","",MATCH(NOTA[[#This Row],[NB NOTA_C_QTY]],[3]!db[NB NOTA_C_QTY+F],0))</f>
        <v>1252</v>
      </c>
      <c r="AW167" s="43">
        <f ca="1">IF(NOTA[[#This Row],[NB NOTA_C_QTY]]="","",ROW()-2)</f>
        <v>165</v>
      </c>
    </row>
    <row r="168" spans="1:49" ht="20.100000000000001" customHeight="1">
      <c r="A1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5">
        <f ca="1">IF(NOTA[[#This Row],[NAMA BARANG]]="","",INDEX(NOTA[ID],MATCH(,INDIRECT(ADDRESS(ROW(NOTA[ID]),COLUMN(NOTA[ID]))&amp;":"&amp;ADDRESS(ROW(),COLUMN(NOTA[ID]))),-1)))</f>
        <v>43</v>
      </c>
      <c r="C168" s="45"/>
      <c r="F168" s="46"/>
      <c r="G168" s="35"/>
      <c r="H168" s="36"/>
      <c r="I168" s="35"/>
      <c r="J168" s="50" t="s">
        <v>343</v>
      </c>
      <c r="K168" s="37">
        <v>5</v>
      </c>
      <c r="L168" s="35">
        <v>1800</v>
      </c>
      <c r="M168" s="35" t="s">
        <v>50</v>
      </c>
      <c r="N168" s="38">
        <v>8100</v>
      </c>
      <c r="O168" s="39"/>
      <c r="P168" s="47" t="s">
        <v>344</v>
      </c>
      <c r="Q168" s="48"/>
      <c r="R168" s="41"/>
      <c r="T168" s="42"/>
      <c r="U168" s="44"/>
      <c r="V168" s="42">
        <f>IF(NOTA[[#This Row],[HARGA/ CTN]]="",NOTA[[#This Row],[JUMLAH_H]],NOTA[[#This Row],[HARGA/ CTN]]*IF(NOTA[[#This Row],[C]]="",0,NOTA[[#This Row],[C]]))</f>
        <v>14580000</v>
      </c>
      <c r="W168" s="42">
        <f>IF(NOTA[[#This Row],[JUMLAH]]="","",NOTA[[#This Row],[JUMLAH]]*NOTA[[#This Row],[Column6]])</f>
        <v>0</v>
      </c>
      <c r="X168" s="42">
        <f>IF(NOTA[[#This Row],[JUMLAH]]="","",(NOTA[[#This Row],[JUMLAH]]-NOTA[[#This Row],[DISC 1-]])*NOTA[[#This Row],[Column7]])</f>
        <v>0</v>
      </c>
      <c r="Y168" s="42">
        <f>IF(NOTA[[#This Row],[JUMLAH]]="","",(NOTA[[#This Row],[JUMLAH]]-NOTA[[#This Row],[DISC 1-]]-NOTA[[#This Row],[DISC 2-]])*NOTA[[#This Row],[Column8]])</f>
        <v>0</v>
      </c>
      <c r="Z168" s="42">
        <f>IF(NOTA[[#This Row],[JUMLAH]]="","",NOTA[[#This Row],[DISC 1-]]+NOTA[[#This Row],[DISC 2-]]+NOTA[[#This Row],[DISC 3-]])</f>
        <v>0</v>
      </c>
      <c r="AA168" s="42">
        <f>IF(NOTA[[#This Row],[JUMLAH]]="","",NOTA[[#This Row],[JUMLAH]]-NOTA[[#This Row],[DISC]])</f>
        <v>14580000</v>
      </c>
      <c r="AB168" s="42"/>
      <c r="AC168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68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20376000</v>
      </c>
      <c r="AE168" s="38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168" s="42">
        <f>IF(OR(NOTA[[#This Row],[QTY]]="",NOTA[[#This Row],[HARGA SATUAN]]="",),"",NOTA[[#This Row],[QTY]]*NOTA[[#This Row],[HARGA SATUAN]])</f>
        <v>14580000</v>
      </c>
      <c r="AG168" s="36">
        <f ca="1">IF(NOTA[[#This Row],[ID_H]]="","",INDEX(NOTA[TANGGAL],MATCH(,INDIRECT(ADDRESS(ROW(NOTA[TANGGAL]),COLUMN(NOTA[TANGGAL]))&amp;":"&amp;ADDRESS(ROW(),COLUMN(NOTA[TANGGAL]))),-1)))</f>
        <v>45488</v>
      </c>
      <c r="AH168" s="36">
        <f ca="1">IF(NOTA[[#This Row],[ID_H]]="","",INDEX(NOTA[TGL.NOTA],MATCH(,INDIRECT(ADDRESS(ROW(NOTA[TGL.NOTA]),COLUMN(NOTA[TGL.NOTA]))&amp;":"&amp;ADDRESS(ROW(),COLUMN(NOTA[TGL.NOTA]))),-1)))</f>
        <v>45485</v>
      </c>
      <c r="AI168" s="36" t="str">
        <f ca="1">IF(NOTA[[#This Row],[ID_H]]="","",INDEX(NOTA[NO.NOTA],MATCH(NOTA[[#This Row],[ID_H]],NOTA[ID_H],0)))</f>
        <v>JUG329/24</v>
      </c>
      <c r="AJ168" s="38" t="str">
        <f ca="1">IF(NOTA[[#This Row],[NAMA BARANG]]="","",INDEX(NOTA[SUPPLIER],MATCH(,INDIRECT(ADDRESS(ROW(NOTA[ID]),COLUMN(NOTA[ID]))&amp;":"&amp;ADDRESS(ROW(),COLUMN(NOTA[ID]))),-1)))</f>
        <v>DB STATIONERY</v>
      </c>
      <c r="AK168" s="38" t="str">
        <f ca="1">IF(NOTA[[#This Row],[ID_H]]="","",IF(NOTA[[#This Row],[FAKTUR]]="",INDIRECT(ADDRESS(ROW()-1,COLUMN())),NOTA[[#This Row],[FAKTUR]]))</f>
        <v>UNTANA</v>
      </c>
      <c r="AL168" s="35" t="str">
        <f ca="1">IF(NOTA[[#This Row],[ID]]="","",COUNTIF(NOTA[ID_H],NOTA[[#This Row],[ID_H]]))</f>
        <v/>
      </c>
      <c r="AM168" s="35">
        <f ca="1">IF(NOTA[[#This Row],[TGL.NOTA]]="",IF(NOTA[[#This Row],[SUPPLIER_H]]="","",AM167),MONTH(NOTA[[#This Row],[TGL.NOTA]]))</f>
        <v>7</v>
      </c>
      <c r="AN168" s="35" t="str">
        <f>LOWER(SUBSTITUTE(SUBSTITUTE(SUBSTITUTE(SUBSTITUTE(SUBSTITUTE(SUBSTITUTE(SUBSTITUTE(SUBSTITUTE(SUBSTITUTE(NOTA[[#This Row],[NAMA BARANG]]," ",),".",""),"-",""),"(",""),")",""),",",""),"/",""),"""",""),"+",""))</f>
        <v>pensilkayagi2bcoklatkyof122b2</v>
      </c>
      <c r="AO1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pensilkayagi2bcoklatkyof122b22916000</v>
      </c>
      <c r="AP1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pensilkayagi2bcoklatkyof122b22916000</v>
      </c>
      <c r="AQ1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8" s="35">
        <f>IF(NOTA[[#This Row],[CONCAT1]]="","",MATCH(NOTA[[#This Row],[CONCAT1]],[3]!db[NB NOTA_C],0))</f>
        <v>2695</v>
      </c>
      <c r="AS168" s="35" t="b">
        <f>IF(NOTA[[#This Row],[Column5]]="","",TRUE)</f>
        <v>1</v>
      </c>
      <c r="AT168" s="35" t="str">
        <f ca="1">IF(NOTA[[#This Row],[ID_H]]="","",IF(NOTA[[#This Row],[Column3]]=TRUE,NOTA[[#This Row],[Column5]],INDEX([3]!db[QTY/ CTN],NOTA[[#This Row],[//DB]])))</f>
        <v>360 LSN</v>
      </c>
      <c r="AU1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pensilkayagi2bcoklatkyof122b2360lsnuntana</v>
      </c>
      <c r="AV168" s="35">
        <f ca="1">IF(NOTA[[#This Row],[ID_H]]="","",MATCH(NOTA[[#This Row],[NB NOTA_C_QTY]],[3]!db[NB NOTA_C_QTY+F],0))</f>
        <v>2695</v>
      </c>
      <c r="AW168" s="43">
        <f ca="1">IF(NOTA[[#This Row],[NB NOTA_C_QTY]]="","",ROW()-2)</f>
        <v>166</v>
      </c>
    </row>
    <row r="169" spans="1:49" ht="20.100000000000001" customHeight="1">
      <c r="A1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5" t="str">
        <f ca="1">IF(NOTA[[#This Row],[NAMA BARANG]]="","",INDEX(NOTA[ID],MATCH(,INDIRECT(ADDRESS(ROW(NOTA[ID]),COLUMN(NOTA[ID]))&amp;":"&amp;ADDRESS(ROW(),COLUMN(NOTA[ID]))),-1)))</f>
        <v/>
      </c>
      <c r="C169" s="45"/>
      <c r="F169" s="46"/>
      <c r="G169" s="35"/>
      <c r="H169" s="36"/>
      <c r="I169" s="35"/>
      <c r="K169" s="37"/>
      <c r="L169" s="35"/>
      <c r="N169" s="38"/>
      <c r="O169" s="39"/>
      <c r="P169" s="47"/>
      <c r="Q169" s="48"/>
      <c r="R169" s="41"/>
      <c r="T169" s="42"/>
      <c r="U169" s="44"/>
      <c r="V169" s="42" t="str">
        <f>IF(NOTA[[#This Row],[HARGA/ CTN]]="",NOTA[[#This Row],[JUMLAH_H]],NOTA[[#This Row],[HARGA/ CTN]]*IF(NOTA[[#This Row],[C]]="",0,NOTA[[#This Row],[C]]))</f>
        <v/>
      </c>
      <c r="W169" s="42" t="str">
        <f>IF(NOTA[[#This Row],[JUMLAH]]="","",NOTA[[#This Row],[JUMLAH]]*NOTA[[#This Row],[Column6]])</f>
        <v/>
      </c>
      <c r="X169" s="42" t="str">
        <f>IF(NOTA[[#This Row],[JUMLAH]]="","",(NOTA[[#This Row],[JUMLAH]]-NOTA[[#This Row],[DISC 1-]])*NOTA[[#This Row],[Column7]])</f>
        <v/>
      </c>
      <c r="Y169" s="42" t="str">
        <f>IF(NOTA[[#This Row],[JUMLAH]]="","",(NOTA[[#This Row],[JUMLAH]]-NOTA[[#This Row],[DISC 1-]]-NOTA[[#This Row],[DISC 2-]])*NOTA[[#This Row],[Column8]])</f>
        <v/>
      </c>
      <c r="Z169" s="42" t="str">
        <f>IF(NOTA[[#This Row],[JUMLAH]]="","",NOTA[[#This Row],[DISC 1-]]+NOTA[[#This Row],[DISC 2-]]+NOTA[[#This Row],[DISC 3-]])</f>
        <v/>
      </c>
      <c r="AA169" s="42" t="str">
        <f>IF(NOTA[[#This Row],[JUMLAH]]="","",NOTA[[#This Row],[JUMLAH]]-NOTA[[#This Row],[DISC]])</f>
        <v/>
      </c>
      <c r="AB169" s="42"/>
      <c r="AC1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42" t="str">
        <f>IF(OR(NOTA[[#This Row],[QTY]]="",NOTA[[#This Row],[HARGA SATUAN]]="",),"",NOTA[[#This Row],[QTY]]*NOTA[[#This Row],[HARGA SATUAN]])</f>
        <v/>
      </c>
      <c r="AG169" s="36" t="str">
        <f ca="1">IF(NOTA[[#This Row],[ID_H]]="","",INDEX(NOTA[TANGGAL],MATCH(,INDIRECT(ADDRESS(ROW(NOTA[TANGGAL]),COLUMN(NOTA[TANGGAL]))&amp;":"&amp;ADDRESS(ROW(),COLUMN(NOTA[TANGGAL]))),-1)))</f>
        <v/>
      </c>
      <c r="AH169" s="36" t="str">
        <f ca="1">IF(NOTA[[#This Row],[ID_H]]="","",INDEX(NOTA[TGL.NOTA],MATCH(,INDIRECT(ADDRESS(ROW(NOTA[TGL.NOTA]),COLUMN(NOTA[TGL.NOTA]))&amp;":"&amp;ADDRESS(ROW(),COLUMN(NOTA[TGL.NOTA]))),-1)))</f>
        <v/>
      </c>
      <c r="AI169" s="36" t="str">
        <f ca="1">IF(NOTA[[#This Row],[ID_H]]="","",INDEX(NOTA[NO.NOTA],MATCH(NOTA[[#This Row],[ID_H]],NOTA[ID_H],0)))</f>
        <v/>
      </c>
      <c r="AJ169" s="38" t="str">
        <f ca="1">IF(NOTA[[#This Row],[NAMA BARANG]]="","",INDEX(NOTA[SUPPLIER],MATCH(,INDIRECT(ADDRESS(ROW(NOTA[ID]),COLUMN(NOTA[ID]))&amp;":"&amp;ADDRESS(ROW(),COLUMN(NOTA[ID]))),-1)))</f>
        <v/>
      </c>
      <c r="AK169" s="38" t="str">
        <f ca="1">IF(NOTA[[#This Row],[ID_H]]="","",IF(NOTA[[#This Row],[FAKTUR]]="",INDIRECT(ADDRESS(ROW()-1,COLUMN())),NOTA[[#This Row],[FAKTUR]]))</f>
        <v/>
      </c>
      <c r="AL169" s="35" t="str">
        <f ca="1">IF(NOTA[[#This Row],[ID]]="","",COUNTIF(NOTA[ID_H],NOTA[[#This Row],[ID_H]]))</f>
        <v/>
      </c>
      <c r="AM169" s="35" t="str">
        <f ca="1">IF(NOTA[[#This Row],[TGL.NOTA]]="",IF(NOTA[[#This Row],[SUPPLIER_H]]="","",AM168),MONTH(NOTA[[#This Row],[TGL.NOTA]]))</f>
        <v/>
      </c>
      <c r="AN1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9" s="35" t="str">
        <f>IF(NOTA[[#This Row],[CONCAT1]]="","",MATCH(NOTA[[#This Row],[CONCAT1]],[3]!db[NB NOTA_C],0))</f>
        <v/>
      </c>
      <c r="AS169" s="35" t="str">
        <f>IF(NOTA[[#This Row],[Column5]]="","",TRUE)</f>
        <v/>
      </c>
      <c r="AT169" s="35" t="str">
        <f ca="1">IF(NOTA[[#This Row],[ID_H]]="","",IF(NOTA[[#This Row],[Column3]]=TRUE,NOTA[[#This Row],[Column5]],INDEX([3]!db[QTY/ CTN],NOTA[[#This Row],[//DB]])))</f>
        <v/>
      </c>
      <c r="AU1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69" s="35" t="str">
        <f ca="1">IF(NOTA[[#This Row],[ID_H]]="","",MATCH(NOTA[[#This Row],[NB NOTA_C_QTY]],[3]!db[NB NOTA_C_QTY+F],0))</f>
        <v/>
      </c>
      <c r="AW169" s="43" t="str">
        <f ca="1">IF(NOTA[[#This Row],[NB NOTA_C_QTY]]="","",ROW()-2)</f>
        <v/>
      </c>
    </row>
    <row r="170" spans="1:49" ht="20.100000000000001" customHeight="1">
      <c r="A170" s="38">
        <f ca="1">IF(INDIRECT(ADDRESS(ROW()-1,COLUMN(NOTA[[#Headers],[ID]])))="ID",1,IF(NOTA[[#This Row],[FAKTUR]]="","",COUNT(INDIRECT(ADDRESS(ROW(NOTA[ID]),COLUMN(NOTA[ID]))&amp;":"&amp;ADDRESS(ROW()-1,COLUMN(NOTA[ID]))))+1))</f>
        <v>44</v>
      </c>
      <c r="B170" s="35">
        <f ca="1">IF(NOTA[[#This Row],[NAMA BARANG]]="","",INDEX(NOTA[ID],MATCH(,INDIRECT(ADDRESS(ROW(NOTA[ID]),COLUMN(NOTA[ID]))&amp;":"&amp;ADDRESS(ROW(),COLUMN(NOTA[ID]))),-1)))</f>
        <v>44</v>
      </c>
      <c r="C170" s="45"/>
      <c r="D170" s="35" t="s">
        <v>245</v>
      </c>
      <c r="E170" s="35" t="s">
        <v>49</v>
      </c>
      <c r="F170" s="46" t="s">
        <v>346</v>
      </c>
      <c r="G170" s="35"/>
      <c r="H170" s="36">
        <v>45482</v>
      </c>
      <c r="I170" s="35"/>
      <c r="J170" s="35" t="s">
        <v>247</v>
      </c>
      <c r="K170" s="37">
        <v>5</v>
      </c>
      <c r="L170" s="35">
        <v>500</v>
      </c>
      <c r="M170" s="35" t="s">
        <v>50</v>
      </c>
      <c r="N170" s="38">
        <v>26780</v>
      </c>
      <c r="O170" s="39"/>
      <c r="P170" s="47" t="s">
        <v>248</v>
      </c>
      <c r="Q170" s="48">
        <v>0.2</v>
      </c>
      <c r="R170" s="41">
        <v>0.04</v>
      </c>
      <c r="T170" s="42"/>
      <c r="U170" s="44"/>
      <c r="V170" s="42">
        <f>IF(NOTA[[#This Row],[HARGA/ CTN]]="",NOTA[[#This Row],[JUMLAH_H]],NOTA[[#This Row],[HARGA/ CTN]]*IF(NOTA[[#This Row],[C]]="",0,NOTA[[#This Row],[C]]))</f>
        <v>13390000</v>
      </c>
      <c r="W170" s="42">
        <f>IF(NOTA[[#This Row],[JUMLAH]]="","",NOTA[[#This Row],[JUMLAH]]*NOTA[[#This Row],[Column6]])</f>
        <v>2678000</v>
      </c>
      <c r="X170" s="42">
        <f>IF(NOTA[[#This Row],[JUMLAH]]="","",(NOTA[[#This Row],[JUMLAH]]-NOTA[[#This Row],[DISC 1-]])*NOTA[[#This Row],[Column7]])</f>
        <v>428480</v>
      </c>
      <c r="Y170" s="42">
        <f>IF(NOTA[[#This Row],[JUMLAH]]="","",(NOTA[[#This Row],[JUMLAH]]-NOTA[[#This Row],[DISC 1-]]-NOTA[[#This Row],[DISC 2-]])*NOTA[[#This Row],[Column8]])</f>
        <v>0</v>
      </c>
      <c r="Z170" s="42">
        <f>IF(NOTA[[#This Row],[JUMLAH]]="","",NOTA[[#This Row],[DISC 1-]]+NOTA[[#This Row],[DISC 2-]]+NOTA[[#This Row],[DISC 3-]])</f>
        <v>3106480</v>
      </c>
      <c r="AA170" s="42">
        <f>IF(NOTA[[#This Row],[JUMLAH]]="","",NOTA[[#This Row],[JUMLAH]]-NOTA[[#This Row],[DISC]])</f>
        <v>10283520</v>
      </c>
      <c r="AB170" s="42"/>
      <c r="AC17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3106480</v>
      </c>
      <c r="AD17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10283520</v>
      </c>
      <c r="AE170" s="38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170" s="42">
        <f>IF(OR(NOTA[[#This Row],[QTY]]="",NOTA[[#This Row],[HARGA SATUAN]]="",),"",NOTA[[#This Row],[QTY]]*NOTA[[#This Row],[HARGA SATUAN]])</f>
        <v>13390000</v>
      </c>
      <c r="AG170" s="36">
        <f ca="1">IF(NOTA[[#This Row],[ID_H]]="","",INDEX(NOTA[TANGGAL],MATCH(,INDIRECT(ADDRESS(ROW(NOTA[TANGGAL]),COLUMN(NOTA[TANGGAL]))&amp;":"&amp;ADDRESS(ROW(),COLUMN(NOTA[TANGGAL]))),-1)))</f>
        <v>45488</v>
      </c>
      <c r="AH170" s="36">
        <f ca="1">IF(NOTA[[#This Row],[ID_H]]="","",INDEX(NOTA[TGL.NOTA],MATCH(,INDIRECT(ADDRESS(ROW(NOTA[TGL.NOTA]),COLUMN(NOTA[TGL.NOTA]))&amp;":"&amp;ADDRESS(ROW(),COLUMN(NOTA[TGL.NOTA]))),-1)))</f>
        <v>45482</v>
      </c>
      <c r="AI170" s="36" t="str">
        <f ca="1">IF(NOTA[[#This Row],[ID_H]]="","",INDEX(NOTA[NO.NOTA],MATCH(NOTA[[#This Row],[ID_H]],NOTA[ID_H],0)))</f>
        <v>0149/HW/VII/24</v>
      </c>
      <c r="AJ170" s="38" t="str">
        <f ca="1">IF(NOTA[[#This Row],[NAMA BARANG]]="","",INDEX(NOTA[SUPPLIER],MATCH(,INDIRECT(ADDRESS(ROW(NOTA[ID]),COLUMN(NOTA[ID]))&amp;":"&amp;ADDRESS(ROW(),COLUMN(NOTA[ID]))),-1)))</f>
        <v>PPW</v>
      </c>
      <c r="AK170" s="38" t="str">
        <f ca="1">IF(NOTA[[#This Row],[ID_H]]="","",IF(NOTA[[#This Row],[FAKTUR]]="",INDIRECT(ADDRESS(ROW()-1,COLUMN())),NOTA[[#This Row],[FAKTUR]]))</f>
        <v>UNTANA</v>
      </c>
      <c r="AL170" s="35">
        <f ca="1">IF(NOTA[[#This Row],[ID]]="","",COUNTIF(NOTA[ID_H],NOTA[[#This Row],[ID_H]]))</f>
        <v>1</v>
      </c>
      <c r="AM170" s="35">
        <f>IF(NOTA[[#This Row],[TGL.NOTA]]="",IF(NOTA[[#This Row],[SUPPLIER_H]]="","",AM169),MONTH(NOTA[[#This Row],[TGL.NOTA]]))</f>
        <v>7</v>
      </c>
      <c r="AN170" s="3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1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1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170" s="35" t="str">
        <f>IF(NOTA[[#This Row],[SUPPLIER]]="","",NOTA[[#This Row],[SUPPLIER]]&amp;NOTA[[#This Row],[FAKTUR]]&amp;NOTA[[#This Row],[NO.NOTA]]&amp;NOTA[[#This Row],[NO.SJ]]&amp;NOTA[[#This Row],[TGL.NOTA]]&amp;NOTA[[#This Row],[CONCAT1]])</f>
        <v>PPWUNTANA0149/HW/VII/2445482bt30cm</v>
      </c>
      <c r="AR170" s="35">
        <f>IF(NOTA[[#This Row],[CONCAT1]]="","",MATCH(NOTA[[#This Row],[CONCAT1]],[3]!db[NB NOTA_C],0))</f>
        <v>515</v>
      </c>
      <c r="AS170" s="35" t="b">
        <f>IF(NOTA[[#This Row],[Column5]]="","",TRUE)</f>
        <v>1</v>
      </c>
      <c r="AT170" s="35" t="str">
        <f ca="1">IF(NOTA[[#This Row],[ID_H]]="","",IF(NOTA[[#This Row],[Column3]]=TRUE,NOTA[[#This Row],[Column5]],INDEX([3]!db[QTY/ CTN],NOTA[[#This Row],[//DB]])))</f>
        <v>100 LSN</v>
      </c>
      <c r="AU1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170" s="35">
        <f ca="1">IF(NOTA[[#This Row],[ID_H]]="","",MATCH(NOTA[[#This Row],[NB NOTA_C_QTY]],[3]!db[NB NOTA_C_QTY+F],0))</f>
        <v>515</v>
      </c>
      <c r="AW170" s="43">
        <f ca="1">IF(NOTA[[#This Row],[NB NOTA_C_QTY]]="","",ROW()-2)</f>
        <v>168</v>
      </c>
    </row>
    <row r="171" spans="1:49" ht="20.100000000000001" customHeight="1">
      <c r="A1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5" t="str">
        <f ca="1">IF(NOTA[[#This Row],[NAMA BARANG]]="","",INDEX(NOTA[ID],MATCH(,INDIRECT(ADDRESS(ROW(NOTA[ID]),COLUMN(NOTA[ID]))&amp;":"&amp;ADDRESS(ROW(),COLUMN(NOTA[ID]))),-1)))</f>
        <v/>
      </c>
      <c r="C171" s="45"/>
      <c r="F171" s="46"/>
      <c r="G171" s="35"/>
      <c r="H171" s="36"/>
      <c r="I171" s="35"/>
      <c r="K171" s="37"/>
      <c r="L171" s="35"/>
      <c r="N171" s="38"/>
      <c r="O171" s="39"/>
      <c r="P171" s="47"/>
      <c r="Q171" s="48"/>
      <c r="R171" s="41"/>
      <c r="T171" s="42"/>
      <c r="U171" s="44"/>
      <c r="V171" s="42" t="str">
        <f>IF(NOTA[[#This Row],[HARGA/ CTN]]="",NOTA[[#This Row],[JUMLAH_H]],NOTA[[#This Row],[HARGA/ CTN]]*IF(NOTA[[#This Row],[C]]="",0,NOTA[[#This Row],[C]]))</f>
        <v/>
      </c>
      <c r="W171" s="42" t="str">
        <f>IF(NOTA[[#This Row],[JUMLAH]]="","",NOTA[[#This Row],[JUMLAH]]*NOTA[[#This Row],[Column6]])</f>
        <v/>
      </c>
      <c r="X171" s="42" t="str">
        <f>IF(NOTA[[#This Row],[JUMLAH]]="","",(NOTA[[#This Row],[JUMLAH]]-NOTA[[#This Row],[DISC 1-]])*NOTA[[#This Row],[Column7]])</f>
        <v/>
      </c>
      <c r="Y171" s="42" t="str">
        <f>IF(NOTA[[#This Row],[JUMLAH]]="","",(NOTA[[#This Row],[JUMLAH]]-NOTA[[#This Row],[DISC 1-]]-NOTA[[#This Row],[DISC 2-]])*NOTA[[#This Row],[Column8]])</f>
        <v/>
      </c>
      <c r="Z171" s="42" t="str">
        <f>IF(NOTA[[#This Row],[JUMLAH]]="","",NOTA[[#This Row],[DISC 1-]]+NOTA[[#This Row],[DISC 2-]]+NOTA[[#This Row],[DISC 3-]])</f>
        <v/>
      </c>
      <c r="AA171" s="42" t="str">
        <f>IF(NOTA[[#This Row],[JUMLAH]]="","",NOTA[[#This Row],[JUMLAH]]-NOTA[[#This Row],[DISC]])</f>
        <v/>
      </c>
      <c r="AB171" s="42"/>
      <c r="AC1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1" s="42" t="str">
        <f>IF(OR(NOTA[[#This Row],[QTY]]="",NOTA[[#This Row],[HARGA SATUAN]]="",),"",NOTA[[#This Row],[QTY]]*NOTA[[#This Row],[HARGA SATUAN]])</f>
        <v/>
      </c>
      <c r="AG171" s="36" t="str">
        <f ca="1">IF(NOTA[[#This Row],[ID_H]]="","",INDEX(NOTA[TANGGAL],MATCH(,INDIRECT(ADDRESS(ROW(NOTA[TANGGAL]),COLUMN(NOTA[TANGGAL]))&amp;":"&amp;ADDRESS(ROW(),COLUMN(NOTA[TANGGAL]))),-1)))</f>
        <v/>
      </c>
      <c r="AH171" s="36" t="str">
        <f ca="1">IF(NOTA[[#This Row],[ID_H]]="","",INDEX(NOTA[TGL.NOTA],MATCH(,INDIRECT(ADDRESS(ROW(NOTA[TGL.NOTA]),COLUMN(NOTA[TGL.NOTA]))&amp;":"&amp;ADDRESS(ROW(),COLUMN(NOTA[TGL.NOTA]))),-1)))</f>
        <v/>
      </c>
      <c r="AI171" s="36" t="str">
        <f ca="1">IF(NOTA[[#This Row],[ID_H]]="","",INDEX(NOTA[NO.NOTA],MATCH(NOTA[[#This Row],[ID_H]],NOTA[ID_H],0)))</f>
        <v/>
      </c>
      <c r="AJ171" s="38" t="str">
        <f ca="1">IF(NOTA[[#This Row],[NAMA BARANG]]="","",INDEX(NOTA[SUPPLIER],MATCH(,INDIRECT(ADDRESS(ROW(NOTA[ID]),COLUMN(NOTA[ID]))&amp;":"&amp;ADDRESS(ROW(),COLUMN(NOTA[ID]))),-1)))</f>
        <v/>
      </c>
      <c r="AK171" s="38" t="str">
        <f ca="1">IF(NOTA[[#This Row],[ID_H]]="","",IF(NOTA[[#This Row],[FAKTUR]]="",INDIRECT(ADDRESS(ROW()-1,COLUMN())),NOTA[[#This Row],[FAKTUR]]))</f>
        <v/>
      </c>
      <c r="AL171" s="35" t="str">
        <f ca="1">IF(NOTA[[#This Row],[ID]]="","",COUNTIF(NOTA[ID_H],NOTA[[#This Row],[ID_H]]))</f>
        <v/>
      </c>
      <c r="AM171" s="35" t="str">
        <f ca="1">IF(NOTA[[#This Row],[TGL.NOTA]]="",IF(NOTA[[#This Row],[SUPPLIER_H]]="","",AM170),MONTH(NOTA[[#This Row],[TGL.NOTA]]))</f>
        <v/>
      </c>
      <c r="AN1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1" s="35" t="str">
        <f>IF(NOTA[[#This Row],[CONCAT1]]="","",MATCH(NOTA[[#This Row],[CONCAT1]],[3]!db[NB NOTA_C],0))</f>
        <v/>
      </c>
      <c r="AS171" s="35" t="str">
        <f>IF(NOTA[[#This Row],[Column5]]="","",TRUE)</f>
        <v/>
      </c>
      <c r="AT171" s="35" t="str">
        <f ca="1">IF(NOTA[[#This Row],[ID_H]]="","",IF(NOTA[[#This Row],[Column3]]=TRUE,NOTA[[#This Row],[Column5]],INDEX([3]!db[QTY/ CTN],NOTA[[#This Row],[//DB]])))</f>
        <v/>
      </c>
      <c r="AU1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71" s="35" t="str">
        <f ca="1">IF(NOTA[[#This Row],[ID_H]]="","",MATCH(NOTA[[#This Row],[NB NOTA_C_QTY]],[3]!db[NB NOTA_C_QTY+F],0))</f>
        <v/>
      </c>
      <c r="AW171" s="43" t="str">
        <f ca="1">IF(NOTA[[#This Row],[NB NOTA_C_QTY]]="","",ROW()-2)</f>
        <v/>
      </c>
    </row>
    <row r="172" spans="1:49" ht="20.100000000000001" customHeight="1">
      <c r="A172" s="38">
        <f ca="1">IF(INDIRECT(ADDRESS(ROW()-1,COLUMN(NOTA[[#Headers],[ID]])))="ID",1,IF(NOTA[[#This Row],[FAKTUR]]="","",COUNT(INDIRECT(ADDRESS(ROW(NOTA[ID]),COLUMN(NOTA[ID]))&amp;":"&amp;ADDRESS(ROW()-1,COLUMN(NOTA[ID]))))+1))</f>
        <v>45</v>
      </c>
      <c r="B172" s="35">
        <f ca="1">IF(NOTA[[#This Row],[NAMA BARANG]]="","",INDEX(NOTA[ID],MATCH(,INDIRECT(ADDRESS(ROW(NOTA[ID]),COLUMN(NOTA[ID]))&amp;":"&amp;ADDRESS(ROW(),COLUMN(NOTA[ID]))),-1)))</f>
        <v>45</v>
      </c>
      <c r="C172" s="45"/>
      <c r="D172" s="35" t="s">
        <v>347</v>
      </c>
      <c r="E172" s="35" t="s">
        <v>49</v>
      </c>
      <c r="F172" s="46" t="s">
        <v>348</v>
      </c>
      <c r="G172" s="35"/>
      <c r="H172" s="36">
        <v>45485</v>
      </c>
      <c r="I172" s="35"/>
      <c r="J172" s="50" t="s">
        <v>349</v>
      </c>
      <c r="K172" s="37"/>
      <c r="L172" s="35">
        <v>30</v>
      </c>
      <c r="M172" s="35" t="s">
        <v>51</v>
      </c>
      <c r="N172" s="38">
        <v>23000</v>
      </c>
      <c r="O172" s="39"/>
      <c r="P172" s="47" t="s">
        <v>414</v>
      </c>
      <c r="Q172" s="48"/>
      <c r="R172" s="41"/>
      <c r="T172" s="42"/>
      <c r="U172" s="44"/>
      <c r="V172" s="42">
        <f>IF(NOTA[[#This Row],[HARGA/ CTN]]="",NOTA[[#This Row],[JUMLAH_H]],NOTA[[#This Row],[HARGA/ CTN]]*IF(NOTA[[#This Row],[C]]="",0,NOTA[[#This Row],[C]]))</f>
        <v>690000</v>
      </c>
      <c r="W172" s="42">
        <f>IF(NOTA[[#This Row],[JUMLAH]]="","",NOTA[[#This Row],[JUMLAH]]*NOTA[[#This Row],[Column6]])</f>
        <v>0</v>
      </c>
      <c r="X172" s="42">
        <f>IF(NOTA[[#This Row],[JUMLAH]]="","",(NOTA[[#This Row],[JUMLAH]]-NOTA[[#This Row],[DISC 1-]])*NOTA[[#This Row],[Column7]])</f>
        <v>0</v>
      </c>
      <c r="Y172" s="42">
        <f>IF(NOTA[[#This Row],[JUMLAH]]="","",(NOTA[[#This Row],[JUMLAH]]-NOTA[[#This Row],[DISC 1-]]-NOTA[[#This Row],[DISC 2-]])*NOTA[[#This Row],[Column8]])</f>
        <v>0</v>
      </c>
      <c r="Z172" s="42">
        <f>IF(NOTA[[#This Row],[JUMLAH]]="","",NOTA[[#This Row],[DISC 1-]]+NOTA[[#This Row],[DISC 2-]]+NOTA[[#This Row],[DISC 3-]])</f>
        <v>0</v>
      </c>
      <c r="AA172" s="42">
        <f>IF(NOTA[[#This Row],[JUMLAH]]="","",NOTA[[#This Row],[JUMLAH]]-NOTA[[#This Row],[DISC]])</f>
        <v>690000</v>
      </c>
      <c r="AB172" s="42"/>
      <c r="AC1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2" s="3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F172" s="42">
        <f>IF(OR(NOTA[[#This Row],[QTY]]="",NOTA[[#This Row],[HARGA SATUAN]]="",),"",NOTA[[#This Row],[QTY]]*NOTA[[#This Row],[HARGA SATUAN]])</f>
        <v>690000</v>
      </c>
      <c r="AG172" s="36">
        <f ca="1">IF(NOTA[[#This Row],[ID_H]]="","",INDEX(NOTA[TANGGAL],MATCH(,INDIRECT(ADDRESS(ROW(NOTA[TANGGAL]),COLUMN(NOTA[TANGGAL]))&amp;":"&amp;ADDRESS(ROW(),COLUMN(NOTA[TANGGAL]))),-1)))</f>
        <v>45488</v>
      </c>
      <c r="AH172" s="36">
        <f ca="1">IF(NOTA[[#This Row],[ID_H]]="","",INDEX(NOTA[TGL.NOTA],MATCH(,INDIRECT(ADDRESS(ROW(NOTA[TGL.NOTA]),COLUMN(NOTA[TGL.NOTA]))&amp;":"&amp;ADDRESS(ROW(),COLUMN(NOTA[TGL.NOTA]))),-1)))</f>
        <v>45485</v>
      </c>
      <c r="AI172" s="36" t="str">
        <f ca="1">IF(NOTA[[#This Row],[ID_H]]="","",INDEX(NOTA[NO.NOTA],MATCH(NOTA[[#This Row],[ID_H]],NOTA[ID_H],0)))</f>
        <v>PK-240700068</v>
      </c>
      <c r="AJ172" s="38" t="str">
        <f ca="1">IF(NOTA[[#This Row],[NAMA BARANG]]="","",INDEX(NOTA[SUPPLIER],MATCH(,INDIRECT(ADDRESS(ROW(NOTA[ID]),COLUMN(NOTA[ID]))&amp;":"&amp;ADDRESS(ROW(),COLUMN(NOTA[ID]))),-1)))</f>
        <v>TOPLA</v>
      </c>
      <c r="AK172" s="38" t="str">
        <f ca="1">IF(NOTA[[#This Row],[ID_H]]="","",IF(NOTA[[#This Row],[FAKTUR]]="",INDIRECT(ADDRESS(ROW()-1,COLUMN())),NOTA[[#This Row],[FAKTUR]]))</f>
        <v>UNTANA</v>
      </c>
      <c r="AL172" s="35">
        <f ca="1">IF(NOTA[[#This Row],[ID]]="","",COUNTIF(NOTA[ID_H],NOTA[[#This Row],[ID_H]]))</f>
        <v>12</v>
      </c>
      <c r="AM172" s="35">
        <f>IF(NOTA[[#This Row],[TGL.NOTA]]="",IF(NOTA[[#This Row],[SUPPLIER_H]]="","",AM171),MONTH(NOTA[[#This Row],[TGL.NOTA]]))</f>
        <v>7</v>
      </c>
      <c r="AN172" s="35" t="str">
        <f>LOWER(SUBSTITUTE(SUBSTITUTE(SUBSTITUTE(SUBSTITUTE(SUBSTITUTE(SUBSTITUTE(SUBSTITUTE(SUBSTITUTE(SUBSTITUTE(NOTA[[#This Row],[NAMA BARANG]]," ",),".",""),"-",""),"(",""),")",""),",",""),"/",""),"""",""),"+",""))</f>
        <v>zipperfileclearholder55520filegreen</v>
      </c>
      <c r="AO1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zipperfileclearholder55520filegreen690000</v>
      </c>
      <c r="AP1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zipperfileclearholder55520filegreen23000</v>
      </c>
      <c r="AQ172" s="35" t="str">
        <f>IF(NOTA[[#This Row],[SUPPLIER]]="","",NOTA[[#This Row],[SUPPLIER]]&amp;NOTA[[#This Row],[FAKTUR]]&amp;NOTA[[#This Row],[NO.NOTA]]&amp;NOTA[[#This Row],[NO.SJ]]&amp;NOTA[[#This Row],[TGL.NOTA]]&amp;NOTA[[#This Row],[CONCAT1]])</f>
        <v>TOPLAUNTANAPK-24070006845485zipperfileclearholder55520filegreen</v>
      </c>
      <c r="AR172" s="35">
        <f>IF(NOTA[[#This Row],[CONCAT1]]="","",MATCH(NOTA[[#This Row],[CONCAT1]],[3]!db[NB NOTA_C],0))</f>
        <v>3181</v>
      </c>
      <c r="AS172" s="35" t="b">
        <f>IF(NOTA[[#This Row],[Column5]]="","",TRUE)</f>
        <v>1</v>
      </c>
      <c r="AT172" s="35" t="str">
        <f ca="1">IF(NOTA[[#This Row],[ID_H]]="","",IF(NOTA[[#This Row],[Column3]]=TRUE,NOTA[[#This Row],[Column5]],INDEX([3]!db[QTY/ CTN],NOTA[[#This Row],[//DB]])))</f>
        <v>60 PCS</v>
      </c>
      <c r="AU1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zipperfileclearholder55520filegreen60pcsuntana</v>
      </c>
      <c r="AV172" s="35">
        <f ca="1">IF(NOTA[[#This Row],[ID_H]]="","",MATCH(NOTA[[#This Row],[NB NOTA_C_QTY]],[3]!db[NB NOTA_C_QTY+F],0))</f>
        <v>3181</v>
      </c>
      <c r="AW172" s="43">
        <f ca="1">IF(NOTA[[#This Row],[NB NOTA_C_QTY]]="","",ROW()-2)</f>
        <v>170</v>
      </c>
    </row>
    <row r="173" spans="1:49" ht="20.100000000000001" customHeight="1">
      <c r="A1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5">
        <f ca="1">IF(NOTA[[#This Row],[NAMA BARANG]]="","",INDEX(NOTA[ID],MATCH(,INDIRECT(ADDRESS(ROW(NOTA[ID]),COLUMN(NOTA[ID]))&amp;":"&amp;ADDRESS(ROW(),COLUMN(NOTA[ID]))),-1)))</f>
        <v>45</v>
      </c>
      <c r="C173" s="45"/>
      <c r="F173" s="46"/>
      <c r="G173" s="35"/>
      <c r="H173" s="36"/>
      <c r="I173" s="35"/>
      <c r="J173" s="50" t="s">
        <v>350</v>
      </c>
      <c r="K173" s="37"/>
      <c r="L173" s="35">
        <v>30</v>
      </c>
      <c r="M173" s="35" t="s">
        <v>51</v>
      </c>
      <c r="N173" s="38">
        <v>23000</v>
      </c>
      <c r="O173" s="39"/>
      <c r="P173" s="47" t="s">
        <v>414</v>
      </c>
      <c r="Q173" s="48"/>
      <c r="R173" s="41"/>
      <c r="T173" s="42"/>
      <c r="U173" s="44"/>
      <c r="V173" s="42">
        <f>IF(NOTA[[#This Row],[HARGA/ CTN]]="",NOTA[[#This Row],[JUMLAH_H]],NOTA[[#This Row],[HARGA/ CTN]]*IF(NOTA[[#This Row],[C]]="",0,NOTA[[#This Row],[C]]))</f>
        <v>690000</v>
      </c>
      <c r="W173" s="42">
        <f>IF(NOTA[[#This Row],[JUMLAH]]="","",NOTA[[#This Row],[JUMLAH]]*NOTA[[#This Row],[Column6]])</f>
        <v>0</v>
      </c>
      <c r="X173" s="42">
        <f>IF(NOTA[[#This Row],[JUMLAH]]="","",(NOTA[[#This Row],[JUMLAH]]-NOTA[[#This Row],[DISC 1-]])*NOTA[[#This Row],[Column7]])</f>
        <v>0</v>
      </c>
      <c r="Y173" s="42">
        <f>IF(NOTA[[#This Row],[JUMLAH]]="","",(NOTA[[#This Row],[JUMLAH]]-NOTA[[#This Row],[DISC 1-]]-NOTA[[#This Row],[DISC 2-]])*NOTA[[#This Row],[Column8]])</f>
        <v>0</v>
      </c>
      <c r="Z173" s="42">
        <f>IF(NOTA[[#This Row],[JUMLAH]]="","",NOTA[[#This Row],[DISC 1-]]+NOTA[[#This Row],[DISC 2-]]+NOTA[[#This Row],[DISC 3-]])</f>
        <v>0</v>
      </c>
      <c r="AA173" s="42">
        <f>IF(NOTA[[#This Row],[JUMLAH]]="","",NOTA[[#This Row],[JUMLAH]]-NOTA[[#This Row],[DISC]])</f>
        <v>690000</v>
      </c>
      <c r="AB173" s="42"/>
      <c r="AC1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3" s="3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F173" s="42">
        <f>IF(OR(NOTA[[#This Row],[QTY]]="",NOTA[[#This Row],[HARGA SATUAN]]="",),"",NOTA[[#This Row],[QTY]]*NOTA[[#This Row],[HARGA SATUAN]])</f>
        <v>690000</v>
      </c>
      <c r="AG173" s="36">
        <f ca="1">IF(NOTA[[#This Row],[ID_H]]="","",INDEX(NOTA[TANGGAL],MATCH(,INDIRECT(ADDRESS(ROW(NOTA[TANGGAL]),COLUMN(NOTA[TANGGAL]))&amp;":"&amp;ADDRESS(ROW(),COLUMN(NOTA[TANGGAL]))),-1)))</f>
        <v>45488</v>
      </c>
      <c r="AH173" s="36">
        <f ca="1">IF(NOTA[[#This Row],[ID_H]]="","",INDEX(NOTA[TGL.NOTA],MATCH(,INDIRECT(ADDRESS(ROW(NOTA[TGL.NOTA]),COLUMN(NOTA[TGL.NOTA]))&amp;":"&amp;ADDRESS(ROW(),COLUMN(NOTA[TGL.NOTA]))),-1)))</f>
        <v>45485</v>
      </c>
      <c r="AI173" s="36" t="str">
        <f ca="1">IF(NOTA[[#This Row],[ID_H]]="","",INDEX(NOTA[NO.NOTA],MATCH(NOTA[[#This Row],[ID_H]],NOTA[ID_H],0)))</f>
        <v>PK-240700068</v>
      </c>
      <c r="AJ173" s="38" t="str">
        <f ca="1">IF(NOTA[[#This Row],[NAMA BARANG]]="","",INDEX(NOTA[SUPPLIER],MATCH(,INDIRECT(ADDRESS(ROW(NOTA[ID]),COLUMN(NOTA[ID]))&amp;":"&amp;ADDRESS(ROW(),COLUMN(NOTA[ID]))),-1)))</f>
        <v>TOPLA</v>
      </c>
      <c r="AK173" s="38" t="str">
        <f ca="1">IF(NOTA[[#This Row],[ID_H]]="","",IF(NOTA[[#This Row],[FAKTUR]]="",INDIRECT(ADDRESS(ROW()-1,COLUMN())),NOTA[[#This Row],[FAKTUR]]))</f>
        <v>UNTANA</v>
      </c>
      <c r="AL173" s="35" t="str">
        <f ca="1">IF(NOTA[[#This Row],[ID]]="","",COUNTIF(NOTA[ID_H],NOTA[[#This Row],[ID_H]]))</f>
        <v/>
      </c>
      <c r="AM173" s="35">
        <f ca="1">IF(NOTA[[#This Row],[TGL.NOTA]]="",IF(NOTA[[#This Row],[SUPPLIER_H]]="","",AM172),MONTH(NOTA[[#This Row],[TGL.NOTA]]))</f>
        <v>7</v>
      </c>
      <c r="AN173" s="35" t="str">
        <f>LOWER(SUBSTITUTE(SUBSTITUTE(SUBSTITUTE(SUBSTITUTE(SUBSTITUTE(SUBSTITUTE(SUBSTITUTE(SUBSTITUTE(SUBSTITUTE(NOTA[[#This Row],[NAMA BARANG]]," ",),".",""),"-",""),"(",""),")",""),",",""),"/",""),"""",""),"+",""))</f>
        <v>zipperfileclearholder55520filered</v>
      </c>
      <c r="AO1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zipperfileclearholder55520filered690000</v>
      </c>
      <c r="AP1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zipperfileclearholder55520filered23000</v>
      </c>
      <c r="AQ1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3" s="35">
        <f>IF(NOTA[[#This Row],[CONCAT1]]="","",MATCH(NOTA[[#This Row],[CONCAT1]],[3]!db[NB NOTA_C],0))</f>
        <v>3182</v>
      </c>
      <c r="AS173" s="35" t="b">
        <f>IF(NOTA[[#This Row],[Column5]]="","",TRUE)</f>
        <v>1</v>
      </c>
      <c r="AT173" s="35" t="str">
        <f ca="1">IF(NOTA[[#This Row],[ID_H]]="","",IF(NOTA[[#This Row],[Column3]]=TRUE,NOTA[[#This Row],[Column5]],INDEX([3]!db[QTY/ CTN],NOTA[[#This Row],[//DB]])))</f>
        <v>60 PCS</v>
      </c>
      <c r="AU1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zipperfileclearholder55520filered60pcsuntana</v>
      </c>
      <c r="AV173" s="35">
        <f ca="1">IF(NOTA[[#This Row],[ID_H]]="","",MATCH(NOTA[[#This Row],[NB NOTA_C_QTY]],[3]!db[NB NOTA_C_QTY+F],0))</f>
        <v>3182</v>
      </c>
      <c r="AW173" s="43">
        <f ca="1">IF(NOTA[[#This Row],[NB NOTA_C_QTY]]="","",ROW()-2)</f>
        <v>171</v>
      </c>
    </row>
    <row r="174" spans="1:49" ht="20.100000000000001" customHeight="1">
      <c r="A1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5">
        <f ca="1">IF(NOTA[[#This Row],[NAMA BARANG]]="","",INDEX(NOTA[ID],MATCH(,INDIRECT(ADDRESS(ROW(NOTA[ID]),COLUMN(NOTA[ID]))&amp;":"&amp;ADDRESS(ROW(),COLUMN(NOTA[ID]))),-1)))</f>
        <v>45</v>
      </c>
      <c r="C174" s="45"/>
      <c r="F174" s="46"/>
      <c r="G174" s="35"/>
      <c r="H174" s="36"/>
      <c r="I174" s="35"/>
      <c r="J174" s="50" t="s">
        <v>351</v>
      </c>
      <c r="K174" s="37"/>
      <c r="L174" s="35">
        <v>30</v>
      </c>
      <c r="M174" s="35" t="s">
        <v>51</v>
      </c>
      <c r="N174" s="38">
        <v>23000</v>
      </c>
      <c r="O174" s="39"/>
      <c r="P174" s="47" t="s">
        <v>414</v>
      </c>
      <c r="Q174" s="48"/>
      <c r="R174" s="41"/>
      <c r="T174" s="42"/>
      <c r="U174" s="44"/>
      <c r="V174" s="42">
        <f>IF(NOTA[[#This Row],[HARGA/ CTN]]="",NOTA[[#This Row],[JUMLAH_H]],NOTA[[#This Row],[HARGA/ CTN]]*IF(NOTA[[#This Row],[C]]="",0,NOTA[[#This Row],[C]]))</f>
        <v>690000</v>
      </c>
      <c r="W174" s="42">
        <f>IF(NOTA[[#This Row],[JUMLAH]]="","",NOTA[[#This Row],[JUMLAH]]*NOTA[[#This Row],[Column6]])</f>
        <v>0</v>
      </c>
      <c r="X174" s="42">
        <f>IF(NOTA[[#This Row],[JUMLAH]]="","",(NOTA[[#This Row],[JUMLAH]]-NOTA[[#This Row],[DISC 1-]])*NOTA[[#This Row],[Column7]])</f>
        <v>0</v>
      </c>
      <c r="Y174" s="42">
        <f>IF(NOTA[[#This Row],[JUMLAH]]="","",(NOTA[[#This Row],[JUMLAH]]-NOTA[[#This Row],[DISC 1-]]-NOTA[[#This Row],[DISC 2-]])*NOTA[[#This Row],[Column8]])</f>
        <v>0</v>
      </c>
      <c r="Z174" s="42">
        <f>IF(NOTA[[#This Row],[JUMLAH]]="","",NOTA[[#This Row],[DISC 1-]]+NOTA[[#This Row],[DISC 2-]]+NOTA[[#This Row],[DISC 3-]])</f>
        <v>0</v>
      </c>
      <c r="AA174" s="42">
        <f>IF(NOTA[[#This Row],[JUMLAH]]="","",NOTA[[#This Row],[JUMLAH]]-NOTA[[#This Row],[DISC]])</f>
        <v>690000</v>
      </c>
      <c r="AB174" s="42"/>
      <c r="AC1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4" s="3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F174" s="42">
        <f>IF(OR(NOTA[[#This Row],[QTY]]="",NOTA[[#This Row],[HARGA SATUAN]]="",),"",NOTA[[#This Row],[QTY]]*NOTA[[#This Row],[HARGA SATUAN]])</f>
        <v>690000</v>
      </c>
      <c r="AG174" s="36">
        <f ca="1">IF(NOTA[[#This Row],[ID_H]]="","",INDEX(NOTA[TANGGAL],MATCH(,INDIRECT(ADDRESS(ROW(NOTA[TANGGAL]),COLUMN(NOTA[TANGGAL]))&amp;":"&amp;ADDRESS(ROW(),COLUMN(NOTA[TANGGAL]))),-1)))</f>
        <v>45488</v>
      </c>
      <c r="AH174" s="36">
        <f ca="1">IF(NOTA[[#This Row],[ID_H]]="","",INDEX(NOTA[TGL.NOTA],MATCH(,INDIRECT(ADDRESS(ROW(NOTA[TGL.NOTA]),COLUMN(NOTA[TGL.NOTA]))&amp;":"&amp;ADDRESS(ROW(),COLUMN(NOTA[TGL.NOTA]))),-1)))</f>
        <v>45485</v>
      </c>
      <c r="AI174" s="36" t="str">
        <f ca="1">IF(NOTA[[#This Row],[ID_H]]="","",INDEX(NOTA[NO.NOTA],MATCH(NOTA[[#This Row],[ID_H]],NOTA[ID_H],0)))</f>
        <v>PK-240700068</v>
      </c>
      <c r="AJ174" s="38" t="str">
        <f ca="1">IF(NOTA[[#This Row],[NAMA BARANG]]="","",INDEX(NOTA[SUPPLIER],MATCH(,INDIRECT(ADDRESS(ROW(NOTA[ID]),COLUMN(NOTA[ID]))&amp;":"&amp;ADDRESS(ROW(),COLUMN(NOTA[ID]))),-1)))</f>
        <v>TOPLA</v>
      </c>
      <c r="AK174" s="38" t="str">
        <f ca="1">IF(NOTA[[#This Row],[ID_H]]="","",IF(NOTA[[#This Row],[FAKTUR]]="",INDIRECT(ADDRESS(ROW()-1,COLUMN())),NOTA[[#This Row],[FAKTUR]]))</f>
        <v>UNTANA</v>
      </c>
      <c r="AL174" s="35" t="str">
        <f ca="1">IF(NOTA[[#This Row],[ID]]="","",COUNTIF(NOTA[ID_H],NOTA[[#This Row],[ID_H]]))</f>
        <v/>
      </c>
      <c r="AM174" s="35">
        <f ca="1">IF(NOTA[[#This Row],[TGL.NOTA]]="",IF(NOTA[[#This Row],[SUPPLIER_H]]="","",AM173),MONTH(NOTA[[#This Row],[TGL.NOTA]]))</f>
        <v>7</v>
      </c>
      <c r="AN174" s="35" t="str">
        <f>LOWER(SUBSTITUTE(SUBSTITUTE(SUBSTITUTE(SUBSTITUTE(SUBSTITUTE(SUBSTITUTE(SUBSTITUTE(SUBSTITUTE(SUBSTITUTE(NOTA[[#This Row],[NAMA BARANG]]," ",),".",""),"-",""),"(",""),")",""),",",""),"/",""),"""",""),"+",""))</f>
        <v>zipperfileclearholder55520fileyellow</v>
      </c>
      <c r="AO1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zipperfileclearholder55520fileyellow690000</v>
      </c>
      <c r="AP1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zipperfileclearholder55520fileyellow23000</v>
      </c>
      <c r="AQ1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4" s="35">
        <f>IF(NOTA[[#This Row],[CONCAT1]]="","",MATCH(NOTA[[#This Row],[CONCAT1]],[3]!db[NB NOTA_C],0))</f>
        <v>3183</v>
      </c>
      <c r="AS174" s="35" t="b">
        <f>IF(NOTA[[#This Row],[Column5]]="","",TRUE)</f>
        <v>1</v>
      </c>
      <c r="AT174" s="35" t="str">
        <f ca="1">IF(NOTA[[#This Row],[ID_H]]="","",IF(NOTA[[#This Row],[Column3]]=TRUE,NOTA[[#This Row],[Column5]],INDEX([3]!db[QTY/ CTN],NOTA[[#This Row],[//DB]])))</f>
        <v>60 PCS</v>
      </c>
      <c r="AU1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zipperfileclearholder55520fileyellow60pcsuntana</v>
      </c>
      <c r="AV174" s="35">
        <f ca="1">IF(NOTA[[#This Row],[ID_H]]="","",MATCH(NOTA[[#This Row],[NB NOTA_C_QTY]],[3]!db[NB NOTA_C_QTY+F],0))</f>
        <v>3183</v>
      </c>
      <c r="AW174" s="43">
        <f ca="1">IF(NOTA[[#This Row],[NB NOTA_C_QTY]]="","",ROW()-2)</f>
        <v>172</v>
      </c>
    </row>
    <row r="175" spans="1:49" ht="20.100000000000001" customHeight="1">
      <c r="A1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5">
        <f ca="1">IF(NOTA[[#This Row],[NAMA BARANG]]="","",INDEX(NOTA[ID],MATCH(,INDIRECT(ADDRESS(ROW(NOTA[ID]),COLUMN(NOTA[ID]))&amp;":"&amp;ADDRESS(ROW(),COLUMN(NOTA[ID]))),-1)))</f>
        <v>45</v>
      </c>
      <c r="C175" s="45"/>
      <c r="F175" s="46"/>
      <c r="G175" s="35"/>
      <c r="H175" s="36"/>
      <c r="I175" s="35"/>
      <c r="J175" s="50" t="s">
        <v>352</v>
      </c>
      <c r="K175" s="37"/>
      <c r="L175" s="35">
        <v>30</v>
      </c>
      <c r="M175" s="35" t="s">
        <v>51</v>
      </c>
      <c r="N175" s="38">
        <v>23000</v>
      </c>
      <c r="O175" s="39"/>
      <c r="P175" s="47" t="s">
        <v>414</v>
      </c>
      <c r="Q175" s="48"/>
      <c r="R175" s="41"/>
      <c r="T175" s="42"/>
      <c r="U175" s="44"/>
      <c r="V175" s="42">
        <f>IF(NOTA[[#This Row],[HARGA/ CTN]]="",NOTA[[#This Row],[JUMLAH_H]],NOTA[[#This Row],[HARGA/ CTN]]*IF(NOTA[[#This Row],[C]]="",0,NOTA[[#This Row],[C]]))</f>
        <v>690000</v>
      </c>
      <c r="W175" s="42">
        <f>IF(NOTA[[#This Row],[JUMLAH]]="","",NOTA[[#This Row],[JUMLAH]]*NOTA[[#This Row],[Column6]])</f>
        <v>0</v>
      </c>
      <c r="X175" s="42">
        <f>IF(NOTA[[#This Row],[JUMLAH]]="","",(NOTA[[#This Row],[JUMLAH]]-NOTA[[#This Row],[DISC 1-]])*NOTA[[#This Row],[Column7]])</f>
        <v>0</v>
      </c>
      <c r="Y175" s="42">
        <f>IF(NOTA[[#This Row],[JUMLAH]]="","",(NOTA[[#This Row],[JUMLAH]]-NOTA[[#This Row],[DISC 1-]]-NOTA[[#This Row],[DISC 2-]])*NOTA[[#This Row],[Column8]])</f>
        <v>0</v>
      </c>
      <c r="Z175" s="42">
        <f>IF(NOTA[[#This Row],[JUMLAH]]="","",NOTA[[#This Row],[DISC 1-]]+NOTA[[#This Row],[DISC 2-]]+NOTA[[#This Row],[DISC 3-]])</f>
        <v>0</v>
      </c>
      <c r="AA175" s="42">
        <f>IF(NOTA[[#This Row],[JUMLAH]]="","",NOTA[[#This Row],[JUMLAH]]-NOTA[[#This Row],[DISC]])</f>
        <v>690000</v>
      </c>
      <c r="AB175" s="42"/>
      <c r="AC1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5" s="3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F175" s="42">
        <f>IF(OR(NOTA[[#This Row],[QTY]]="",NOTA[[#This Row],[HARGA SATUAN]]="",),"",NOTA[[#This Row],[QTY]]*NOTA[[#This Row],[HARGA SATUAN]])</f>
        <v>690000</v>
      </c>
      <c r="AG175" s="36">
        <f ca="1">IF(NOTA[[#This Row],[ID_H]]="","",INDEX(NOTA[TANGGAL],MATCH(,INDIRECT(ADDRESS(ROW(NOTA[TANGGAL]),COLUMN(NOTA[TANGGAL]))&amp;":"&amp;ADDRESS(ROW(),COLUMN(NOTA[TANGGAL]))),-1)))</f>
        <v>45488</v>
      </c>
      <c r="AH175" s="36">
        <f ca="1">IF(NOTA[[#This Row],[ID_H]]="","",INDEX(NOTA[TGL.NOTA],MATCH(,INDIRECT(ADDRESS(ROW(NOTA[TGL.NOTA]),COLUMN(NOTA[TGL.NOTA]))&amp;":"&amp;ADDRESS(ROW(),COLUMN(NOTA[TGL.NOTA]))),-1)))</f>
        <v>45485</v>
      </c>
      <c r="AI175" s="36" t="str">
        <f ca="1">IF(NOTA[[#This Row],[ID_H]]="","",INDEX(NOTA[NO.NOTA],MATCH(NOTA[[#This Row],[ID_H]],NOTA[ID_H],0)))</f>
        <v>PK-240700068</v>
      </c>
      <c r="AJ175" s="38" t="str">
        <f ca="1">IF(NOTA[[#This Row],[NAMA BARANG]]="","",INDEX(NOTA[SUPPLIER],MATCH(,INDIRECT(ADDRESS(ROW(NOTA[ID]),COLUMN(NOTA[ID]))&amp;":"&amp;ADDRESS(ROW(),COLUMN(NOTA[ID]))),-1)))</f>
        <v>TOPLA</v>
      </c>
      <c r="AK175" s="38" t="str">
        <f ca="1">IF(NOTA[[#This Row],[ID_H]]="","",IF(NOTA[[#This Row],[FAKTUR]]="",INDIRECT(ADDRESS(ROW()-1,COLUMN())),NOTA[[#This Row],[FAKTUR]]))</f>
        <v>UNTANA</v>
      </c>
      <c r="AL175" s="35" t="str">
        <f ca="1">IF(NOTA[[#This Row],[ID]]="","",COUNTIF(NOTA[ID_H],NOTA[[#This Row],[ID_H]]))</f>
        <v/>
      </c>
      <c r="AM175" s="35">
        <f ca="1">IF(NOTA[[#This Row],[TGL.NOTA]]="",IF(NOTA[[#This Row],[SUPPLIER_H]]="","",AM174),MONTH(NOTA[[#This Row],[TGL.NOTA]]))</f>
        <v>7</v>
      </c>
      <c r="AN175" s="35" t="str">
        <f>LOWER(SUBSTITUTE(SUBSTITUTE(SUBSTITUTE(SUBSTITUTE(SUBSTITUTE(SUBSTITUTE(SUBSTITUTE(SUBSTITUTE(SUBSTITUTE(NOTA[[#This Row],[NAMA BARANG]]," ",),".",""),"-",""),"(",""),")",""),",",""),"/",""),"""",""),"+",""))</f>
        <v>zipperfileclearholder55520fileblue</v>
      </c>
      <c r="AO1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zipperfileclearholder55520fileblue690000</v>
      </c>
      <c r="AP1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zipperfileclearholder55520fileblue23000</v>
      </c>
      <c r="AQ1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5" s="35">
        <f>IF(NOTA[[#This Row],[CONCAT1]]="","",MATCH(NOTA[[#This Row],[CONCAT1]],[3]!db[NB NOTA_C],0))</f>
        <v>3180</v>
      </c>
      <c r="AS175" s="35" t="b">
        <f>IF(NOTA[[#This Row],[Column5]]="","",TRUE)</f>
        <v>1</v>
      </c>
      <c r="AT175" s="35" t="str">
        <f ca="1">IF(NOTA[[#This Row],[ID_H]]="","",IF(NOTA[[#This Row],[Column3]]=TRUE,NOTA[[#This Row],[Column5]],INDEX([3]!db[QTY/ CTN],NOTA[[#This Row],[//DB]])))</f>
        <v>60 PCS</v>
      </c>
      <c r="AU1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zipperfileclearholder55520fileblue60pcsuntana</v>
      </c>
      <c r="AV175" s="35">
        <f ca="1">IF(NOTA[[#This Row],[ID_H]]="","",MATCH(NOTA[[#This Row],[NB NOTA_C_QTY]],[3]!db[NB NOTA_C_QTY+F],0))</f>
        <v>3180</v>
      </c>
      <c r="AW175" s="43">
        <f ca="1">IF(NOTA[[#This Row],[NB NOTA_C_QTY]]="","",ROW()-2)</f>
        <v>173</v>
      </c>
    </row>
    <row r="176" spans="1:49" ht="20.100000000000001" customHeight="1">
      <c r="A1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5">
        <f ca="1">IF(NOTA[[#This Row],[NAMA BARANG]]="","",INDEX(NOTA[ID],MATCH(,INDIRECT(ADDRESS(ROW(NOTA[ID]),COLUMN(NOTA[ID]))&amp;":"&amp;ADDRESS(ROW(),COLUMN(NOTA[ID]))),-1)))</f>
        <v>45</v>
      </c>
      <c r="C176" s="45"/>
      <c r="F176" s="46"/>
      <c r="G176" s="35"/>
      <c r="H176" s="36"/>
      <c r="I176" s="35"/>
      <c r="J176" s="50" t="s">
        <v>353</v>
      </c>
      <c r="K176" s="37"/>
      <c r="L176" s="35">
        <v>30</v>
      </c>
      <c r="M176" s="35" t="s">
        <v>51</v>
      </c>
      <c r="N176" s="38">
        <v>29500</v>
      </c>
      <c r="O176" s="39"/>
      <c r="P176" s="47" t="s">
        <v>414</v>
      </c>
      <c r="Q176" s="48"/>
      <c r="R176" s="41"/>
      <c r="T176" s="42"/>
      <c r="U176" s="44"/>
      <c r="V176" s="42">
        <f>IF(NOTA[[#This Row],[HARGA/ CTN]]="",NOTA[[#This Row],[JUMLAH_H]],NOTA[[#This Row],[HARGA/ CTN]]*IF(NOTA[[#This Row],[C]]="",0,NOTA[[#This Row],[C]]))</f>
        <v>885000</v>
      </c>
      <c r="W176" s="42">
        <f>IF(NOTA[[#This Row],[JUMLAH]]="","",NOTA[[#This Row],[JUMLAH]]*NOTA[[#This Row],[Column6]])</f>
        <v>0</v>
      </c>
      <c r="X176" s="42">
        <f>IF(NOTA[[#This Row],[JUMLAH]]="","",(NOTA[[#This Row],[JUMLAH]]-NOTA[[#This Row],[DISC 1-]])*NOTA[[#This Row],[Column7]])</f>
        <v>0</v>
      </c>
      <c r="Y176" s="42">
        <f>IF(NOTA[[#This Row],[JUMLAH]]="","",(NOTA[[#This Row],[JUMLAH]]-NOTA[[#This Row],[DISC 1-]]-NOTA[[#This Row],[DISC 2-]])*NOTA[[#This Row],[Column8]])</f>
        <v>0</v>
      </c>
      <c r="Z176" s="42">
        <f>IF(NOTA[[#This Row],[JUMLAH]]="","",NOTA[[#This Row],[DISC 1-]]+NOTA[[#This Row],[DISC 2-]]+NOTA[[#This Row],[DISC 3-]])</f>
        <v>0</v>
      </c>
      <c r="AA176" s="42">
        <f>IF(NOTA[[#This Row],[JUMLAH]]="","",NOTA[[#This Row],[JUMLAH]]-NOTA[[#This Row],[DISC]])</f>
        <v>885000</v>
      </c>
      <c r="AB176" s="42"/>
      <c r="AC1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6" s="3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176" s="42">
        <f>IF(OR(NOTA[[#This Row],[QTY]]="",NOTA[[#This Row],[HARGA SATUAN]]="",),"",NOTA[[#This Row],[QTY]]*NOTA[[#This Row],[HARGA SATUAN]])</f>
        <v>885000</v>
      </c>
      <c r="AG176" s="36">
        <f ca="1">IF(NOTA[[#This Row],[ID_H]]="","",INDEX(NOTA[TANGGAL],MATCH(,INDIRECT(ADDRESS(ROW(NOTA[TANGGAL]),COLUMN(NOTA[TANGGAL]))&amp;":"&amp;ADDRESS(ROW(),COLUMN(NOTA[TANGGAL]))),-1)))</f>
        <v>45488</v>
      </c>
      <c r="AH176" s="36">
        <f ca="1">IF(NOTA[[#This Row],[ID_H]]="","",INDEX(NOTA[TGL.NOTA],MATCH(,INDIRECT(ADDRESS(ROW(NOTA[TGL.NOTA]),COLUMN(NOTA[TGL.NOTA]))&amp;":"&amp;ADDRESS(ROW(),COLUMN(NOTA[TGL.NOTA]))),-1)))</f>
        <v>45485</v>
      </c>
      <c r="AI176" s="36" t="str">
        <f ca="1">IF(NOTA[[#This Row],[ID_H]]="","",INDEX(NOTA[NO.NOTA],MATCH(NOTA[[#This Row],[ID_H]],NOTA[ID_H],0)))</f>
        <v>PK-240700068</v>
      </c>
      <c r="AJ176" s="38" t="str">
        <f ca="1">IF(NOTA[[#This Row],[NAMA BARANG]]="","",INDEX(NOTA[SUPPLIER],MATCH(,INDIRECT(ADDRESS(ROW(NOTA[ID]),COLUMN(NOTA[ID]))&amp;":"&amp;ADDRESS(ROW(),COLUMN(NOTA[ID]))),-1)))</f>
        <v>TOPLA</v>
      </c>
      <c r="AK176" s="38" t="str">
        <f ca="1">IF(NOTA[[#This Row],[ID_H]]="","",IF(NOTA[[#This Row],[FAKTUR]]="",INDIRECT(ADDRESS(ROW()-1,COLUMN())),NOTA[[#This Row],[FAKTUR]]))</f>
        <v>UNTANA</v>
      </c>
      <c r="AL176" s="35" t="str">
        <f ca="1">IF(NOTA[[#This Row],[ID]]="","",COUNTIF(NOTA[ID_H],NOTA[[#This Row],[ID_H]]))</f>
        <v/>
      </c>
      <c r="AM176" s="35">
        <f ca="1">IF(NOTA[[#This Row],[TGL.NOTA]]="",IF(NOTA[[#This Row],[SUPPLIER_H]]="","",AM175),MONTH(NOTA[[#This Row],[TGL.NOTA]]))</f>
        <v>7</v>
      </c>
      <c r="AN176" s="35" t="str">
        <f>LOWER(SUBSTITUTE(SUBSTITUTE(SUBSTITUTE(SUBSTITUTE(SUBSTITUTE(SUBSTITUTE(SUBSTITUTE(SUBSTITUTE(SUBSTITUTE(NOTA[[#This Row],[NAMA BARANG]]," ",),".",""),"-",""),"(",""),")",""),",",""),"/",""),"""",""),"+",""))</f>
        <v>zipperfileclearholder55540filegreen</v>
      </c>
      <c r="AO1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zipperfileclearholder55540filegreen885000</v>
      </c>
      <c r="AP1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zipperfileclearholder55540filegreen29500</v>
      </c>
      <c r="AQ1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6" s="35">
        <f>IF(NOTA[[#This Row],[CONCAT1]]="","",MATCH(NOTA[[#This Row],[CONCAT1]],[3]!db[NB NOTA_C],0))</f>
        <v>3185</v>
      </c>
      <c r="AS176" s="35" t="b">
        <f>IF(NOTA[[#This Row],[Column5]]="","",TRUE)</f>
        <v>1</v>
      </c>
      <c r="AT176" s="35" t="str">
        <f ca="1">IF(NOTA[[#This Row],[ID_H]]="","",IF(NOTA[[#This Row],[Column3]]=TRUE,NOTA[[#This Row],[Column5]],INDEX([3]!db[QTY/ CTN],NOTA[[#This Row],[//DB]])))</f>
        <v>60 PCS</v>
      </c>
      <c r="AU1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zipperfileclearholder55540filegreen60pcsuntana</v>
      </c>
      <c r="AV176" s="35">
        <f ca="1">IF(NOTA[[#This Row],[ID_H]]="","",MATCH(NOTA[[#This Row],[NB NOTA_C_QTY]],[3]!db[NB NOTA_C_QTY+F],0))</f>
        <v>3185</v>
      </c>
      <c r="AW176" s="43">
        <f ca="1">IF(NOTA[[#This Row],[NB NOTA_C_QTY]]="","",ROW()-2)</f>
        <v>174</v>
      </c>
    </row>
    <row r="177" spans="1:49" ht="20.100000000000001" customHeight="1">
      <c r="A1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47">
        <f ca="1">IF(NOTA[[#This Row],[NAMA BARANG]]="","",INDEX(NOTA[ID],MATCH(,INDIRECT(ADDRESS(ROW(NOTA[ID]),COLUMN(NOTA[ID]))&amp;":"&amp;ADDRESS(ROW(),COLUMN(NOTA[ID]))),-1)))</f>
        <v>45</v>
      </c>
      <c r="C177" s="47"/>
      <c r="D177" s="47"/>
      <c r="E177" s="47"/>
      <c r="F177" s="47"/>
      <c r="G177" s="47"/>
      <c r="H177" s="47"/>
      <c r="I177" s="47"/>
      <c r="J177" s="50" t="s">
        <v>354</v>
      </c>
      <c r="K177" s="47"/>
      <c r="L177" s="35">
        <v>30</v>
      </c>
      <c r="M177" s="35" t="s">
        <v>51</v>
      </c>
      <c r="N177" s="38">
        <v>29500</v>
      </c>
      <c r="O177" s="47"/>
      <c r="P177" s="47" t="s">
        <v>414</v>
      </c>
      <c r="Q177" s="48"/>
      <c r="R177" s="41"/>
      <c r="T177" s="42"/>
      <c r="U177" s="44"/>
      <c r="V177" s="42">
        <f>IF(NOTA[[#This Row],[HARGA/ CTN]]="",NOTA[[#This Row],[JUMLAH_H]],NOTA[[#This Row],[HARGA/ CTN]]*IF(NOTA[[#This Row],[C]]="",0,NOTA[[#This Row],[C]]))</f>
        <v>885000</v>
      </c>
      <c r="W177" s="42">
        <f>IF(NOTA[[#This Row],[JUMLAH]]="","",NOTA[[#This Row],[JUMLAH]]*NOTA[[#This Row],[Column6]])</f>
        <v>0</v>
      </c>
      <c r="X177" s="42">
        <f>IF(NOTA[[#This Row],[JUMLAH]]="","",(NOTA[[#This Row],[JUMLAH]]-NOTA[[#This Row],[DISC 1-]])*NOTA[[#This Row],[Column7]])</f>
        <v>0</v>
      </c>
      <c r="Y177" s="42">
        <f>IF(NOTA[[#This Row],[JUMLAH]]="","",(NOTA[[#This Row],[JUMLAH]]-NOTA[[#This Row],[DISC 1-]]-NOTA[[#This Row],[DISC 2-]])*NOTA[[#This Row],[Column8]])</f>
        <v>0</v>
      </c>
      <c r="Z177" s="42">
        <f>IF(NOTA[[#This Row],[JUMLAH]]="","",NOTA[[#This Row],[DISC 1-]]+NOTA[[#This Row],[DISC 2-]]+NOTA[[#This Row],[DISC 3-]])</f>
        <v>0</v>
      </c>
      <c r="AA177" s="42">
        <f>IF(NOTA[[#This Row],[JUMLAH]]="","",NOTA[[#This Row],[JUMLAH]]-NOTA[[#This Row],[DISC]])</f>
        <v>885000</v>
      </c>
      <c r="AB177" s="42"/>
      <c r="AC1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7" s="3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177" s="42">
        <f>IF(OR(NOTA[[#This Row],[QTY]]="",NOTA[[#This Row],[HARGA SATUAN]]="",),"",NOTA[[#This Row],[QTY]]*NOTA[[#This Row],[HARGA SATUAN]])</f>
        <v>885000</v>
      </c>
      <c r="AG177" s="36">
        <f ca="1">IF(NOTA[[#This Row],[ID_H]]="","",INDEX(NOTA[TANGGAL],MATCH(,INDIRECT(ADDRESS(ROW(NOTA[TANGGAL]),COLUMN(NOTA[TANGGAL]))&amp;":"&amp;ADDRESS(ROW(),COLUMN(NOTA[TANGGAL]))),-1)))</f>
        <v>45488</v>
      </c>
      <c r="AH177" s="36">
        <f ca="1">IF(NOTA[[#This Row],[ID_H]]="","",INDEX(NOTA[TGL.NOTA],MATCH(,INDIRECT(ADDRESS(ROW(NOTA[TGL.NOTA]),COLUMN(NOTA[TGL.NOTA]))&amp;":"&amp;ADDRESS(ROW(),COLUMN(NOTA[TGL.NOTA]))),-1)))</f>
        <v>45485</v>
      </c>
      <c r="AI177" s="36" t="str">
        <f ca="1">IF(NOTA[[#This Row],[ID_H]]="","",INDEX(NOTA[NO.NOTA],MATCH(NOTA[[#This Row],[ID_H]],NOTA[ID_H],0)))</f>
        <v>PK-240700068</v>
      </c>
      <c r="AJ177" s="38" t="str">
        <f ca="1">IF(NOTA[[#This Row],[NAMA BARANG]]="","",INDEX(NOTA[SUPPLIER],MATCH(,INDIRECT(ADDRESS(ROW(NOTA[ID]),COLUMN(NOTA[ID]))&amp;":"&amp;ADDRESS(ROW(),COLUMN(NOTA[ID]))),-1)))</f>
        <v>TOPLA</v>
      </c>
      <c r="AK177" s="38" t="str">
        <f ca="1">IF(NOTA[[#This Row],[ID_H]]="","",IF(NOTA[[#This Row],[FAKTUR]]="",INDIRECT(ADDRESS(ROW()-1,COLUMN())),NOTA[[#This Row],[FAKTUR]]))</f>
        <v>UNTANA</v>
      </c>
      <c r="AL177" s="35" t="str">
        <f ca="1">IF(NOTA[[#This Row],[ID]]="","",COUNTIF(NOTA[ID_H],NOTA[[#This Row],[ID_H]]))</f>
        <v/>
      </c>
      <c r="AM177" s="35">
        <f ca="1">IF(NOTA[[#This Row],[TGL.NOTA]]="",IF(NOTA[[#This Row],[SUPPLIER_H]]="","",AM176),MONTH(NOTA[[#This Row],[TGL.NOTA]]))</f>
        <v>7</v>
      </c>
      <c r="AN177" s="35" t="str">
        <f>LOWER(SUBSTITUTE(SUBSTITUTE(SUBSTITUTE(SUBSTITUTE(SUBSTITUTE(SUBSTITUTE(SUBSTITUTE(SUBSTITUTE(SUBSTITUTE(NOTA[[#This Row],[NAMA BARANG]]," ",),".",""),"-",""),"(",""),")",""),",",""),"/",""),"""",""),"+",""))</f>
        <v>zipperfileclearholder55540filered</v>
      </c>
      <c r="AO1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zipperfileclearholder55540filered885000</v>
      </c>
      <c r="AP1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zipperfileclearholder55540filered29500</v>
      </c>
      <c r="AQ1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7" s="35">
        <f>IF(NOTA[[#This Row],[CONCAT1]]="","",MATCH(NOTA[[#This Row],[CONCAT1]],[3]!db[NB NOTA_C],0))</f>
        <v>3186</v>
      </c>
      <c r="AS177" s="35" t="b">
        <f>IF(NOTA[[#This Row],[Column5]]="","",TRUE)</f>
        <v>1</v>
      </c>
      <c r="AT177" s="35" t="str">
        <f ca="1">IF(NOTA[[#This Row],[ID_H]]="","",IF(NOTA[[#This Row],[Column3]]=TRUE,NOTA[[#This Row],[Column5]],INDEX([3]!db[QTY/ CTN],NOTA[[#This Row],[//DB]])))</f>
        <v>60 PCS</v>
      </c>
      <c r="AU1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zipperfileclearholder55540filered60pcsuntana</v>
      </c>
      <c r="AV177" s="35">
        <f ca="1">IF(NOTA[[#This Row],[ID_H]]="","",MATCH(NOTA[[#This Row],[NB NOTA_C_QTY]],[3]!db[NB NOTA_C_QTY+F],0))</f>
        <v>3186</v>
      </c>
      <c r="AW177" s="43">
        <f ca="1">IF(NOTA[[#This Row],[NB NOTA_C_QTY]]="","",ROW()-2)</f>
        <v>175</v>
      </c>
    </row>
    <row r="178" spans="1:49" ht="20.100000000000001" customHeight="1">
      <c r="A1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5">
        <f ca="1">IF(NOTA[[#This Row],[NAMA BARANG]]="","",INDEX(NOTA[ID],MATCH(,INDIRECT(ADDRESS(ROW(NOTA[ID]),COLUMN(NOTA[ID]))&amp;":"&amp;ADDRESS(ROW(),COLUMN(NOTA[ID]))),-1)))</f>
        <v>45</v>
      </c>
      <c r="C178" s="45"/>
      <c r="F178" s="46"/>
      <c r="G178" s="35"/>
      <c r="H178" s="36"/>
      <c r="I178" s="35"/>
      <c r="J178" s="50" t="s">
        <v>355</v>
      </c>
      <c r="K178" s="37"/>
      <c r="L178" s="35">
        <v>30</v>
      </c>
      <c r="M178" s="35" t="s">
        <v>51</v>
      </c>
      <c r="N178" s="38">
        <v>29500</v>
      </c>
      <c r="O178" s="39"/>
      <c r="P178" s="47" t="s">
        <v>414</v>
      </c>
      <c r="Q178" s="48"/>
      <c r="R178" s="41"/>
      <c r="T178" s="42"/>
      <c r="U178" s="44"/>
      <c r="V178" s="42">
        <f>IF(NOTA[[#This Row],[HARGA/ CTN]]="",NOTA[[#This Row],[JUMLAH_H]],NOTA[[#This Row],[HARGA/ CTN]]*IF(NOTA[[#This Row],[C]]="",0,NOTA[[#This Row],[C]]))</f>
        <v>885000</v>
      </c>
      <c r="W178" s="42">
        <f>IF(NOTA[[#This Row],[JUMLAH]]="","",NOTA[[#This Row],[JUMLAH]]*NOTA[[#This Row],[Column6]])</f>
        <v>0</v>
      </c>
      <c r="X178" s="42">
        <f>IF(NOTA[[#This Row],[JUMLAH]]="","",(NOTA[[#This Row],[JUMLAH]]-NOTA[[#This Row],[DISC 1-]])*NOTA[[#This Row],[Column7]])</f>
        <v>0</v>
      </c>
      <c r="Y178" s="42">
        <f>IF(NOTA[[#This Row],[JUMLAH]]="","",(NOTA[[#This Row],[JUMLAH]]-NOTA[[#This Row],[DISC 1-]]-NOTA[[#This Row],[DISC 2-]])*NOTA[[#This Row],[Column8]])</f>
        <v>0</v>
      </c>
      <c r="Z178" s="42">
        <f>IF(NOTA[[#This Row],[JUMLAH]]="","",NOTA[[#This Row],[DISC 1-]]+NOTA[[#This Row],[DISC 2-]]+NOTA[[#This Row],[DISC 3-]])</f>
        <v>0</v>
      </c>
      <c r="AA178" s="42">
        <f>IF(NOTA[[#This Row],[JUMLAH]]="","",NOTA[[#This Row],[JUMLAH]]-NOTA[[#This Row],[DISC]])</f>
        <v>885000</v>
      </c>
      <c r="AB178" s="42"/>
      <c r="AC1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8" s="3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178" s="42">
        <f>IF(OR(NOTA[[#This Row],[QTY]]="",NOTA[[#This Row],[HARGA SATUAN]]="",),"",NOTA[[#This Row],[QTY]]*NOTA[[#This Row],[HARGA SATUAN]])</f>
        <v>885000</v>
      </c>
      <c r="AG178" s="36">
        <f ca="1">IF(NOTA[[#This Row],[ID_H]]="","",INDEX(NOTA[TANGGAL],MATCH(,INDIRECT(ADDRESS(ROW(NOTA[TANGGAL]),COLUMN(NOTA[TANGGAL]))&amp;":"&amp;ADDRESS(ROW(),COLUMN(NOTA[TANGGAL]))),-1)))</f>
        <v>45488</v>
      </c>
      <c r="AH178" s="36">
        <f ca="1">IF(NOTA[[#This Row],[ID_H]]="","",INDEX(NOTA[TGL.NOTA],MATCH(,INDIRECT(ADDRESS(ROW(NOTA[TGL.NOTA]),COLUMN(NOTA[TGL.NOTA]))&amp;":"&amp;ADDRESS(ROW(),COLUMN(NOTA[TGL.NOTA]))),-1)))</f>
        <v>45485</v>
      </c>
      <c r="AI178" s="36" t="str">
        <f ca="1">IF(NOTA[[#This Row],[ID_H]]="","",INDEX(NOTA[NO.NOTA],MATCH(NOTA[[#This Row],[ID_H]],NOTA[ID_H],0)))</f>
        <v>PK-240700068</v>
      </c>
      <c r="AJ178" s="38" t="str">
        <f ca="1">IF(NOTA[[#This Row],[NAMA BARANG]]="","",INDEX(NOTA[SUPPLIER],MATCH(,INDIRECT(ADDRESS(ROW(NOTA[ID]),COLUMN(NOTA[ID]))&amp;":"&amp;ADDRESS(ROW(),COLUMN(NOTA[ID]))),-1)))</f>
        <v>TOPLA</v>
      </c>
      <c r="AK178" s="38" t="str">
        <f ca="1">IF(NOTA[[#This Row],[ID_H]]="","",IF(NOTA[[#This Row],[FAKTUR]]="",INDIRECT(ADDRESS(ROW()-1,COLUMN())),NOTA[[#This Row],[FAKTUR]]))</f>
        <v>UNTANA</v>
      </c>
      <c r="AL178" s="35" t="str">
        <f ca="1">IF(NOTA[[#This Row],[ID]]="","",COUNTIF(NOTA[ID_H],NOTA[[#This Row],[ID_H]]))</f>
        <v/>
      </c>
      <c r="AM178" s="35">
        <f ca="1">IF(NOTA[[#This Row],[TGL.NOTA]]="",IF(NOTA[[#This Row],[SUPPLIER_H]]="","",AM177),MONTH(NOTA[[#This Row],[TGL.NOTA]]))</f>
        <v>7</v>
      </c>
      <c r="AN178" s="35" t="str">
        <f>LOWER(SUBSTITUTE(SUBSTITUTE(SUBSTITUTE(SUBSTITUTE(SUBSTITUTE(SUBSTITUTE(SUBSTITUTE(SUBSTITUTE(SUBSTITUTE(NOTA[[#This Row],[NAMA BARANG]]," ",),".",""),"-",""),"(",""),")",""),",",""),"/",""),"""",""),"+",""))</f>
        <v>zipperfileclearholder55540fileyellow</v>
      </c>
      <c r="AO1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zipperfileclearholder55540fileyellow885000</v>
      </c>
      <c r="AP1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zipperfileclearholder55540fileyellow29500</v>
      </c>
      <c r="AQ1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8" s="35">
        <f>IF(NOTA[[#This Row],[CONCAT1]]="","",MATCH(NOTA[[#This Row],[CONCAT1]],[3]!db[NB NOTA_C],0))</f>
        <v>3187</v>
      </c>
      <c r="AS178" s="35" t="b">
        <f>IF(NOTA[[#This Row],[Column5]]="","",TRUE)</f>
        <v>1</v>
      </c>
      <c r="AT178" s="35" t="str">
        <f ca="1">IF(NOTA[[#This Row],[ID_H]]="","",IF(NOTA[[#This Row],[Column3]]=TRUE,NOTA[[#This Row],[Column5]],INDEX([3]!db[QTY/ CTN],NOTA[[#This Row],[//DB]])))</f>
        <v>60 PCS</v>
      </c>
      <c r="AU1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zipperfileclearholder55540fileyellow60pcsuntana</v>
      </c>
      <c r="AV178" s="35">
        <f ca="1">IF(NOTA[[#This Row],[ID_H]]="","",MATCH(NOTA[[#This Row],[NB NOTA_C_QTY]],[3]!db[NB NOTA_C_QTY+F],0))</f>
        <v>3187</v>
      </c>
      <c r="AW178" s="43">
        <f ca="1">IF(NOTA[[#This Row],[NB NOTA_C_QTY]]="","",ROW()-2)</f>
        <v>176</v>
      </c>
    </row>
    <row r="179" spans="1:49" ht="20.100000000000001" customHeight="1">
      <c r="A1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5">
        <f ca="1">IF(NOTA[[#This Row],[NAMA BARANG]]="","",INDEX(NOTA[ID],MATCH(,INDIRECT(ADDRESS(ROW(NOTA[ID]),COLUMN(NOTA[ID]))&amp;":"&amp;ADDRESS(ROW(),COLUMN(NOTA[ID]))),-1)))</f>
        <v>45</v>
      </c>
      <c r="C179" s="45"/>
      <c r="F179" s="46"/>
      <c r="G179" s="35"/>
      <c r="H179" s="36"/>
      <c r="I179" s="35"/>
      <c r="J179" s="50" t="s">
        <v>356</v>
      </c>
      <c r="K179" s="37"/>
      <c r="L179" s="35">
        <v>30</v>
      </c>
      <c r="M179" s="35" t="s">
        <v>51</v>
      </c>
      <c r="N179" s="38">
        <v>29500</v>
      </c>
      <c r="O179" s="39"/>
      <c r="P179" s="47" t="s">
        <v>414</v>
      </c>
      <c r="Q179" s="48"/>
      <c r="R179" s="41"/>
      <c r="T179" s="42"/>
      <c r="U179" s="44"/>
      <c r="V179" s="42">
        <f>IF(NOTA[[#This Row],[HARGA/ CTN]]="",NOTA[[#This Row],[JUMLAH_H]],NOTA[[#This Row],[HARGA/ CTN]]*IF(NOTA[[#This Row],[C]]="",0,NOTA[[#This Row],[C]]))</f>
        <v>885000</v>
      </c>
      <c r="W179" s="42">
        <f>IF(NOTA[[#This Row],[JUMLAH]]="","",NOTA[[#This Row],[JUMLAH]]*NOTA[[#This Row],[Column6]])</f>
        <v>0</v>
      </c>
      <c r="X179" s="42">
        <f>IF(NOTA[[#This Row],[JUMLAH]]="","",(NOTA[[#This Row],[JUMLAH]]-NOTA[[#This Row],[DISC 1-]])*NOTA[[#This Row],[Column7]])</f>
        <v>0</v>
      </c>
      <c r="Y179" s="42">
        <f>IF(NOTA[[#This Row],[JUMLAH]]="","",(NOTA[[#This Row],[JUMLAH]]-NOTA[[#This Row],[DISC 1-]]-NOTA[[#This Row],[DISC 2-]])*NOTA[[#This Row],[Column8]])</f>
        <v>0</v>
      </c>
      <c r="Z179" s="42">
        <f>IF(NOTA[[#This Row],[JUMLAH]]="","",NOTA[[#This Row],[DISC 1-]]+NOTA[[#This Row],[DISC 2-]]+NOTA[[#This Row],[DISC 3-]])</f>
        <v>0</v>
      </c>
      <c r="AA179" s="42">
        <f>IF(NOTA[[#This Row],[JUMLAH]]="","",NOTA[[#This Row],[JUMLAH]]-NOTA[[#This Row],[DISC]])</f>
        <v>885000</v>
      </c>
      <c r="AB179" s="42"/>
      <c r="AC1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79" s="3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179" s="42">
        <f>IF(OR(NOTA[[#This Row],[QTY]]="",NOTA[[#This Row],[HARGA SATUAN]]="",),"",NOTA[[#This Row],[QTY]]*NOTA[[#This Row],[HARGA SATUAN]])</f>
        <v>885000</v>
      </c>
      <c r="AG179" s="36">
        <f ca="1">IF(NOTA[[#This Row],[ID_H]]="","",INDEX(NOTA[TANGGAL],MATCH(,INDIRECT(ADDRESS(ROW(NOTA[TANGGAL]),COLUMN(NOTA[TANGGAL]))&amp;":"&amp;ADDRESS(ROW(),COLUMN(NOTA[TANGGAL]))),-1)))</f>
        <v>45488</v>
      </c>
      <c r="AH179" s="36">
        <f ca="1">IF(NOTA[[#This Row],[ID_H]]="","",INDEX(NOTA[TGL.NOTA],MATCH(,INDIRECT(ADDRESS(ROW(NOTA[TGL.NOTA]),COLUMN(NOTA[TGL.NOTA]))&amp;":"&amp;ADDRESS(ROW(),COLUMN(NOTA[TGL.NOTA]))),-1)))</f>
        <v>45485</v>
      </c>
      <c r="AI179" s="36" t="str">
        <f ca="1">IF(NOTA[[#This Row],[ID_H]]="","",INDEX(NOTA[NO.NOTA],MATCH(NOTA[[#This Row],[ID_H]],NOTA[ID_H],0)))</f>
        <v>PK-240700068</v>
      </c>
      <c r="AJ179" s="38" t="str">
        <f ca="1">IF(NOTA[[#This Row],[NAMA BARANG]]="","",INDEX(NOTA[SUPPLIER],MATCH(,INDIRECT(ADDRESS(ROW(NOTA[ID]),COLUMN(NOTA[ID]))&amp;":"&amp;ADDRESS(ROW(),COLUMN(NOTA[ID]))),-1)))</f>
        <v>TOPLA</v>
      </c>
      <c r="AK179" s="38" t="str">
        <f ca="1">IF(NOTA[[#This Row],[ID_H]]="","",IF(NOTA[[#This Row],[FAKTUR]]="",INDIRECT(ADDRESS(ROW()-1,COLUMN())),NOTA[[#This Row],[FAKTUR]]))</f>
        <v>UNTANA</v>
      </c>
      <c r="AL179" s="35" t="str">
        <f ca="1">IF(NOTA[[#This Row],[ID]]="","",COUNTIF(NOTA[ID_H],NOTA[[#This Row],[ID_H]]))</f>
        <v/>
      </c>
      <c r="AM179" s="35">
        <f ca="1">IF(NOTA[[#This Row],[TGL.NOTA]]="",IF(NOTA[[#This Row],[SUPPLIER_H]]="","",AM178),MONTH(NOTA[[#This Row],[TGL.NOTA]]))</f>
        <v>7</v>
      </c>
      <c r="AN179" s="35" t="str">
        <f>LOWER(SUBSTITUTE(SUBSTITUTE(SUBSTITUTE(SUBSTITUTE(SUBSTITUTE(SUBSTITUTE(SUBSTITUTE(SUBSTITUTE(SUBSTITUTE(NOTA[[#This Row],[NAMA BARANG]]," ",),".",""),"-",""),"(",""),")",""),",",""),"/",""),"""",""),"+",""))</f>
        <v>zipperfileclearholder55540fileblue</v>
      </c>
      <c r="AO1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zipperfileclearholder55540fileblue885000</v>
      </c>
      <c r="AP1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zipperfileclearholder55540fileblue29500</v>
      </c>
      <c r="AQ1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9" s="35">
        <f>IF(NOTA[[#This Row],[CONCAT1]]="","",MATCH(NOTA[[#This Row],[CONCAT1]],[3]!db[NB NOTA_C],0))</f>
        <v>3184</v>
      </c>
      <c r="AS179" s="35" t="b">
        <f>IF(NOTA[[#This Row],[Column5]]="","",TRUE)</f>
        <v>1</v>
      </c>
      <c r="AT179" s="35" t="str">
        <f ca="1">IF(NOTA[[#This Row],[ID_H]]="","",IF(NOTA[[#This Row],[Column3]]=TRUE,NOTA[[#This Row],[Column5]],INDEX([3]!db[QTY/ CTN],NOTA[[#This Row],[//DB]])))</f>
        <v>60 PCS</v>
      </c>
      <c r="AU1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zipperfileclearholder55540fileblue60pcsuntana</v>
      </c>
      <c r="AV179" s="35">
        <f ca="1">IF(NOTA[[#This Row],[ID_H]]="","",MATCH(NOTA[[#This Row],[NB NOTA_C_QTY]],[3]!db[NB NOTA_C_QTY+F],0))</f>
        <v>3184</v>
      </c>
      <c r="AW179" s="43">
        <f ca="1">IF(NOTA[[#This Row],[NB NOTA_C_QTY]]="","",ROW()-2)</f>
        <v>177</v>
      </c>
    </row>
    <row r="180" spans="1:49" ht="20.100000000000001" customHeight="1">
      <c r="A1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5">
        <f ca="1">IF(NOTA[[#This Row],[NAMA BARANG]]="","",INDEX(NOTA[ID],MATCH(,INDIRECT(ADDRESS(ROW(NOTA[ID]),COLUMN(NOTA[ID]))&amp;":"&amp;ADDRESS(ROW(),COLUMN(NOTA[ID]))),-1)))</f>
        <v>45</v>
      </c>
      <c r="C180" s="45"/>
      <c r="F180" s="46"/>
      <c r="G180" s="35"/>
      <c r="H180" s="36"/>
      <c r="I180" s="35"/>
      <c r="J180" s="50" t="s">
        <v>357</v>
      </c>
      <c r="K180" s="37"/>
      <c r="L180" s="35">
        <v>30</v>
      </c>
      <c r="M180" s="35" t="s">
        <v>51</v>
      </c>
      <c r="N180" s="38">
        <v>35500</v>
      </c>
      <c r="O180" s="39"/>
      <c r="P180" s="47" t="s">
        <v>414</v>
      </c>
      <c r="Q180" s="48"/>
      <c r="R180" s="41"/>
      <c r="T180" s="42"/>
      <c r="U180" s="44"/>
      <c r="V180" s="42">
        <f>IF(NOTA[[#This Row],[HARGA/ CTN]]="",NOTA[[#This Row],[JUMLAH_H]],NOTA[[#This Row],[HARGA/ CTN]]*IF(NOTA[[#This Row],[C]]="",0,NOTA[[#This Row],[C]]))</f>
        <v>1065000</v>
      </c>
      <c r="W180" s="42">
        <f>IF(NOTA[[#This Row],[JUMLAH]]="","",NOTA[[#This Row],[JUMLAH]]*NOTA[[#This Row],[Column6]])</f>
        <v>0</v>
      </c>
      <c r="X180" s="42">
        <f>IF(NOTA[[#This Row],[JUMLAH]]="","",(NOTA[[#This Row],[JUMLAH]]-NOTA[[#This Row],[DISC 1-]])*NOTA[[#This Row],[Column7]])</f>
        <v>0</v>
      </c>
      <c r="Y180" s="42">
        <f>IF(NOTA[[#This Row],[JUMLAH]]="","",(NOTA[[#This Row],[JUMLAH]]-NOTA[[#This Row],[DISC 1-]]-NOTA[[#This Row],[DISC 2-]])*NOTA[[#This Row],[Column8]])</f>
        <v>0</v>
      </c>
      <c r="Z180" s="42">
        <f>IF(NOTA[[#This Row],[JUMLAH]]="","",NOTA[[#This Row],[DISC 1-]]+NOTA[[#This Row],[DISC 2-]]+NOTA[[#This Row],[DISC 3-]])</f>
        <v>0</v>
      </c>
      <c r="AA180" s="42">
        <f>IF(NOTA[[#This Row],[JUMLAH]]="","",NOTA[[#This Row],[JUMLAH]]-NOTA[[#This Row],[DISC]])</f>
        <v>1065000</v>
      </c>
      <c r="AB180" s="42"/>
      <c r="AC1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0" s="3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F180" s="42">
        <f>IF(OR(NOTA[[#This Row],[QTY]]="",NOTA[[#This Row],[HARGA SATUAN]]="",),"",NOTA[[#This Row],[QTY]]*NOTA[[#This Row],[HARGA SATUAN]])</f>
        <v>1065000</v>
      </c>
      <c r="AG180" s="36">
        <f ca="1">IF(NOTA[[#This Row],[ID_H]]="","",INDEX(NOTA[TANGGAL],MATCH(,INDIRECT(ADDRESS(ROW(NOTA[TANGGAL]),COLUMN(NOTA[TANGGAL]))&amp;":"&amp;ADDRESS(ROW(),COLUMN(NOTA[TANGGAL]))),-1)))</f>
        <v>45488</v>
      </c>
      <c r="AH180" s="36">
        <f ca="1">IF(NOTA[[#This Row],[ID_H]]="","",INDEX(NOTA[TGL.NOTA],MATCH(,INDIRECT(ADDRESS(ROW(NOTA[TGL.NOTA]),COLUMN(NOTA[TGL.NOTA]))&amp;":"&amp;ADDRESS(ROW(),COLUMN(NOTA[TGL.NOTA]))),-1)))</f>
        <v>45485</v>
      </c>
      <c r="AI180" s="36" t="str">
        <f ca="1">IF(NOTA[[#This Row],[ID_H]]="","",INDEX(NOTA[NO.NOTA],MATCH(NOTA[[#This Row],[ID_H]],NOTA[ID_H],0)))</f>
        <v>PK-240700068</v>
      </c>
      <c r="AJ180" s="38" t="str">
        <f ca="1">IF(NOTA[[#This Row],[NAMA BARANG]]="","",INDEX(NOTA[SUPPLIER],MATCH(,INDIRECT(ADDRESS(ROW(NOTA[ID]),COLUMN(NOTA[ID]))&amp;":"&amp;ADDRESS(ROW(),COLUMN(NOTA[ID]))),-1)))</f>
        <v>TOPLA</v>
      </c>
      <c r="AK180" s="38" t="str">
        <f ca="1">IF(NOTA[[#This Row],[ID_H]]="","",IF(NOTA[[#This Row],[FAKTUR]]="",INDIRECT(ADDRESS(ROW()-1,COLUMN())),NOTA[[#This Row],[FAKTUR]]))</f>
        <v>UNTANA</v>
      </c>
      <c r="AL180" s="35" t="str">
        <f ca="1">IF(NOTA[[#This Row],[ID]]="","",COUNTIF(NOTA[ID_H],NOTA[[#This Row],[ID_H]]))</f>
        <v/>
      </c>
      <c r="AM180" s="35">
        <f ca="1">IF(NOTA[[#This Row],[TGL.NOTA]]="",IF(NOTA[[#This Row],[SUPPLIER_H]]="","",AM179),MONTH(NOTA[[#This Row],[TGL.NOTA]]))</f>
        <v>7</v>
      </c>
      <c r="AN180" s="35" t="str">
        <f>LOWER(SUBSTITUTE(SUBSTITUTE(SUBSTITUTE(SUBSTITUTE(SUBSTITUTE(SUBSTITUTE(SUBSTITUTE(SUBSTITUTE(SUBSTITUTE(NOTA[[#This Row],[NAMA BARANG]]," ",),".",""),"-",""),"(",""),")",""),",",""),"/",""),"""",""),"+",""))</f>
        <v>zipperfileclearholder55560filegreen</v>
      </c>
      <c r="AO1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zipperfileclearholder55560filegreen1065000</v>
      </c>
      <c r="AP1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zipperfileclearholder55560filegreen35500</v>
      </c>
      <c r="AQ1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0" s="35">
        <f>IF(NOTA[[#This Row],[CONCAT1]]="","",MATCH(NOTA[[#This Row],[CONCAT1]],[3]!db[NB NOTA_C],0))</f>
        <v>3189</v>
      </c>
      <c r="AS180" s="35" t="b">
        <f>IF(NOTA[[#This Row],[Column5]]="","",TRUE)</f>
        <v>1</v>
      </c>
      <c r="AT180" s="35" t="str">
        <f ca="1">IF(NOTA[[#This Row],[ID_H]]="","",IF(NOTA[[#This Row],[Column3]]=TRUE,NOTA[[#This Row],[Column5]],INDEX([3]!db[QTY/ CTN],NOTA[[#This Row],[//DB]])))</f>
        <v>60 PCS</v>
      </c>
      <c r="AU1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zipperfileclearholder55560filegreen60pcsuntana</v>
      </c>
      <c r="AV180" s="35">
        <f ca="1">IF(NOTA[[#This Row],[ID_H]]="","",MATCH(NOTA[[#This Row],[NB NOTA_C_QTY]],[3]!db[NB NOTA_C_QTY+F],0))</f>
        <v>3189</v>
      </c>
      <c r="AW180" s="43">
        <f ca="1">IF(NOTA[[#This Row],[NB NOTA_C_QTY]]="","",ROW()-2)</f>
        <v>178</v>
      </c>
    </row>
    <row r="181" spans="1:49" ht="20.100000000000001" customHeight="1">
      <c r="A1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5">
        <f ca="1">IF(NOTA[[#This Row],[NAMA BARANG]]="","",INDEX(NOTA[ID],MATCH(,INDIRECT(ADDRESS(ROW(NOTA[ID]),COLUMN(NOTA[ID]))&amp;":"&amp;ADDRESS(ROW(),COLUMN(NOTA[ID]))),-1)))</f>
        <v>45</v>
      </c>
      <c r="C181" s="45"/>
      <c r="F181" s="46"/>
      <c r="G181" s="35"/>
      <c r="H181" s="36"/>
      <c r="I181" s="35"/>
      <c r="J181" s="50" t="s">
        <v>358</v>
      </c>
      <c r="K181" s="37"/>
      <c r="L181" s="35">
        <v>30</v>
      </c>
      <c r="M181" s="35" t="s">
        <v>51</v>
      </c>
      <c r="N181" s="38">
        <v>35500</v>
      </c>
      <c r="O181" s="39"/>
      <c r="P181" s="47" t="s">
        <v>414</v>
      </c>
      <c r="Q181" s="48"/>
      <c r="R181" s="41"/>
      <c r="T181" s="42"/>
      <c r="U181" s="44"/>
      <c r="V181" s="42">
        <f>IF(NOTA[[#This Row],[HARGA/ CTN]]="",NOTA[[#This Row],[JUMLAH_H]],NOTA[[#This Row],[HARGA/ CTN]]*IF(NOTA[[#This Row],[C]]="",0,NOTA[[#This Row],[C]]))</f>
        <v>1065000</v>
      </c>
      <c r="W181" s="42">
        <f>IF(NOTA[[#This Row],[JUMLAH]]="","",NOTA[[#This Row],[JUMLAH]]*NOTA[[#This Row],[Column6]])</f>
        <v>0</v>
      </c>
      <c r="X181" s="42">
        <f>IF(NOTA[[#This Row],[JUMLAH]]="","",(NOTA[[#This Row],[JUMLAH]]-NOTA[[#This Row],[DISC 1-]])*NOTA[[#This Row],[Column7]])</f>
        <v>0</v>
      </c>
      <c r="Y181" s="42">
        <f>IF(NOTA[[#This Row],[JUMLAH]]="","",(NOTA[[#This Row],[JUMLAH]]-NOTA[[#This Row],[DISC 1-]]-NOTA[[#This Row],[DISC 2-]])*NOTA[[#This Row],[Column8]])</f>
        <v>0</v>
      </c>
      <c r="Z181" s="42">
        <f>IF(NOTA[[#This Row],[JUMLAH]]="","",NOTA[[#This Row],[DISC 1-]]+NOTA[[#This Row],[DISC 2-]]+NOTA[[#This Row],[DISC 3-]])</f>
        <v>0</v>
      </c>
      <c r="AA181" s="42">
        <f>IF(NOTA[[#This Row],[JUMLAH]]="","",NOTA[[#This Row],[JUMLAH]]-NOTA[[#This Row],[DISC]])</f>
        <v>1065000</v>
      </c>
      <c r="AB181" s="42"/>
      <c r="AC1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1" s="3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F181" s="42">
        <f>IF(OR(NOTA[[#This Row],[QTY]]="",NOTA[[#This Row],[HARGA SATUAN]]="",),"",NOTA[[#This Row],[QTY]]*NOTA[[#This Row],[HARGA SATUAN]])</f>
        <v>1065000</v>
      </c>
      <c r="AG181" s="36">
        <f ca="1">IF(NOTA[[#This Row],[ID_H]]="","",INDEX(NOTA[TANGGAL],MATCH(,INDIRECT(ADDRESS(ROW(NOTA[TANGGAL]),COLUMN(NOTA[TANGGAL]))&amp;":"&amp;ADDRESS(ROW(),COLUMN(NOTA[TANGGAL]))),-1)))</f>
        <v>45488</v>
      </c>
      <c r="AH181" s="36">
        <f ca="1">IF(NOTA[[#This Row],[ID_H]]="","",INDEX(NOTA[TGL.NOTA],MATCH(,INDIRECT(ADDRESS(ROW(NOTA[TGL.NOTA]),COLUMN(NOTA[TGL.NOTA]))&amp;":"&amp;ADDRESS(ROW(),COLUMN(NOTA[TGL.NOTA]))),-1)))</f>
        <v>45485</v>
      </c>
      <c r="AI181" s="36" t="str">
        <f ca="1">IF(NOTA[[#This Row],[ID_H]]="","",INDEX(NOTA[NO.NOTA],MATCH(NOTA[[#This Row],[ID_H]],NOTA[ID_H],0)))</f>
        <v>PK-240700068</v>
      </c>
      <c r="AJ181" s="38" t="str">
        <f ca="1">IF(NOTA[[#This Row],[NAMA BARANG]]="","",INDEX(NOTA[SUPPLIER],MATCH(,INDIRECT(ADDRESS(ROW(NOTA[ID]),COLUMN(NOTA[ID]))&amp;":"&amp;ADDRESS(ROW(),COLUMN(NOTA[ID]))),-1)))</f>
        <v>TOPLA</v>
      </c>
      <c r="AK181" s="38" t="str">
        <f ca="1">IF(NOTA[[#This Row],[ID_H]]="","",IF(NOTA[[#This Row],[FAKTUR]]="",INDIRECT(ADDRESS(ROW()-1,COLUMN())),NOTA[[#This Row],[FAKTUR]]))</f>
        <v>UNTANA</v>
      </c>
      <c r="AL181" s="35" t="str">
        <f ca="1">IF(NOTA[[#This Row],[ID]]="","",COUNTIF(NOTA[ID_H],NOTA[[#This Row],[ID_H]]))</f>
        <v/>
      </c>
      <c r="AM181" s="35">
        <f ca="1">IF(NOTA[[#This Row],[TGL.NOTA]]="",IF(NOTA[[#This Row],[SUPPLIER_H]]="","",AM180),MONTH(NOTA[[#This Row],[TGL.NOTA]]))</f>
        <v>7</v>
      </c>
      <c r="AN181" s="35" t="str">
        <f>LOWER(SUBSTITUTE(SUBSTITUTE(SUBSTITUTE(SUBSTITUTE(SUBSTITUTE(SUBSTITUTE(SUBSTITUTE(SUBSTITUTE(SUBSTITUTE(NOTA[[#This Row],[NAMA BARANG]]," ",),".",""),"-",""),"(",""),")",""),",",""),"/",""),"""",""),"+",""))</f>
        <v>zipperfileclearholder55560filered</v>
      </c>
      <c r="AO1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zipperfileclearholder55560filered1065000</v>
      </c>
      <c r="AP1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zipperfileclearholder55560filered35500</v>
      </c>
      <c r="AQ1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1" s="35">
        <f>IF(NOTA[[#This Row],[CONCAT1]]="","",MATCH(NOTA[[#This Row],[CONCAT1]],[3]!db[NB NOTA_C],0))</f>
        <v>3190</v>
      </c>
      <c r="AS181" s="35" t="b">
        <f>IF(NOTA[[#This Row],[Column5]]="","",TRUE)</f>
        <v>1</v>
      </c>
      <c r="AT181" s="35" t="str">
        <f ca="1">IF(NOTA[[#This Row],[ID_H]]="","",IF(NOTA[[#This Row],[Column3]]=TRUE,NOTA[[#This Row],[Column5]],INDEX([3]!db[QTY/ CTN],NOTA[[#This Row],[//DB]])))</f>
        <v>60 PCS</v>
      </c>
      <c r="AU1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zipperfileclearholder55560filered60pcsuntana</v>
      </c>
      <c r="AV181" s="35">
        <f ca="1">IF(NOTA[[#This Row],[ID_H]]="","",MATCH(NOTA[[#This Row],[NB NOTA_C_QTY]],[3]!db[NB NOTA_C_QTY+F],0))</f>
        <v>3190</v>
      </c>
      <c r="AW181" s="43">
        <f ca="1">IF(NOTA[[#This Row],[NB NOTA_C_QTY]]="","",ROW()-2)</f>
        <v>179</v>
      </c>
    </row>
    <row r="182" spans="1:49" ht="20.100000000000001" customHeight="1">
      <c r="A1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5">
        <f ca="1">IF(NOTA[[#This Row],[NAMA BARANG]]="","",INDEX(NOTA[ID],MATCH(,INDIRECT(ADDRESS(ROW(NOTA[ID]),COLUMN(NOTA[ID]))&amp;":"&amp;ADDRESS(ROW(),COLUMN(NOTA[ID]))),-1)))</f>
        <v>45</v>
      </c>
      <c r="C182" s="45"/>
      <c r="F182" s="46"/>
      <c r="G182" s="35"/>
      <c r="H182" s="36"/>
      <c r="I182" s="35"/>
      <c r="J182" s="50" t="s">
        <v>359</v>
      </c>
      <c r="K182" s="37"/>
      <c r="L182" s="35">
        <v>30</v>
      </c>
      <c r="M182" s="35" t="s">
        <v>51</v>
      </c>
      <c r="N182" s="38">
        <v>35500</v>
      </c>
      <c r="O182" s="39"/>
      <c r="P182" s="47" t="s">
        <v>414</v>
      </c>
      <c r="Q182" s="48"/>
      <c r="R182" s="41"/>
      <c r="T182" s="42"/>
      <c r="U182" s="44"/>
      <c r="V182" s="42">
        <f>IF(NOTA[[#This Row],[HARGA/ CTN]]="",NOTA[[#This Row],[JUMLAH_H]],NOTA[[#This Row],[HARGA/ CTN]]*IF(NOTA[[#This Row],[C]]="",0,NOTA[[#This Row],[C]]))</f>
        <v>1065000</v>
      </c>
      <c r="W182" s="42">
        <f>IF(NOTA[[#This Row],[JUMLAH]]="","",NOTA[[#This Row],[JUMLAH]]*NOTA[[#This Row],[Column6]])</f>
        <v>0</v>
      </c>
      <c r="X182" s="42">
        <f>IF(NOTA[[#This Row],[JUMLAH]]="","",(NOTA[[#This Row],[JUMLAH]]-NOTA[[#This Row],[DISC 1-]])*NOTA[[#This Row],[Column7]])</f>
        <v>0</v>
      </c>
      <c r="Y182" s="42">
        <f>IF(NOTA[[#This Row],[JUMLAH]]="","",(NOTA[[#This Row],[JUMLAH]]-NOTA[[#This Row],[DISC 1-]]-NOTA[[#This Row],[DISC 2-]])*NOTA[[#This Row],[Column8]])</f>
        <v>0</v>
      </c>
      <c r="Z182" s="42">
        <f>IF(NOTA[[#This Row],[JUMLAH]]="","",NOTA[[#This Row],[DISC 1-]]+NOTA[[#This Row],[DISC 2-]]+NOTA[[#This Row],[DISC 3-]])</f>
        <v>0</v>
      </c>
      <c r="AA182" s="42">
        <f>IF(NOTA[[#This Row],[JUMLAH]]="","",NOTA[[#This Row],[JUMLAH]]-NOTA[[#This Row],[DISC]])</f>
        <v>1065000</v>
      </c>
      <c r="AB182" s="42"/>
      <c r="AC1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2" s="3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F182" s="42">
        <f>IF(OR(NOTA[[#This Row],[QTY]]="",NOTA[[#This Row],[HARGA SATUAN]]="",),"",NOTA[[#This Row],[QTY]]*NOTA[[#This Row],[HARGA SATUAN]])</f>
        <v>1065000</v>
      </c>
      <c r="AG182" s="36">
        <f ca="1">IF(NOTA[[#This Row],[ID_H]]="","",INDEX(NOTA[TANGGAL],MATCH(,INDIRECT(ADDRESS(ROW(NOTA[TANGGAL]),COLUMN(NOTA[TANGGAL]))&amp;":"&amp;ADDRESS(ROW(),COLUMN(NOTA[TANGGAL]))),-1)))</f>
        <v>45488</v>
      </c>
      <c r="AH182" s="36">
        <f ca="1">IF(NOTA[[#This Row],[ID_H]]="","",INDEX(NOTA[TGL.NOTA],MATCH(,INDIRECT(ADDRESS(ROW(NOTA[TGL.NOTA]),COLUMN(NOTA[TGL.NOTA]))&amp;":"&amp;ADDRESS(ROW(),COLUMN(NOTA[TGL.NOTA]))),-1)))</f>
        <v>45485</v>
      </c>
      <c r="AI182" s="36" t="str">
        <f ca="1">IF(NOTA[[#This Row],[ID_H]]="","",INDEX(NOTA[NO.NOTA],MATCH(NOTA[[#This Row],[ID_H]],NOTA[ID_H],0)))</f>
        <v>PK-240700068</v>
      </c>
      <c r="AJ182" s="38" t="str">
        <f ca="1">IF(NOTA[[#This Row],[NAMA BARANG]]="","",INDEX(NOTA[SUPPLIER],MATCH(,INDIRECT(ADDRESS(ROW(NOTA[ID]),COLUMN(NOTA[ID]))&amp;":"&amp;ADDRESS(ROW(),COLUMN(NOTA[ID]))),-1)))</f>
        <v>TOPLA</v>
      </c>
      <c r="AK182" s="38" t="str">
        <f ca="1">IF(NOTA[[#This Row],[ID_H]]="","",IF(NOTA[[#This Row],[FAKTUR]]="",INDIRECT(ADDRESS(ROW()-1,COLUMN())),NOTA[[#This Row],[FAKTUR]]))</f>
        <v>UNTANA</v>
      </c>
      <c r="AL182" s="35" t="str">
        <f ca="1">IF(NOTA[[#This Row],[ID]]="","",COUNTIF(NOTA[ID_H],NOTA[[#This Row],[ID_H]]))</f>
        <v/>
      </c>
      <c r="AM182" s="35">
        <f ca="1">IF(NOTA[[#This Row],[TGL.NOTA]]="",IF(NOTA[[#This Row],[SUPPLIER_H]]="","",AM181),MONTH(NOTA[[#This Row],[TGL.NOTA]]))</f>
        <v>7</v>
      </c>
      <c r="AN182" s="35" t="str">
        <f>LOWER(SUBSTITUTE(SUBSTITUTE(SUBSTITUTE(SUBSTITUTE(SUBSTITUTE(SUBSTITUTE(SUBSTITUTE(SUBSTITUTE(SUBSTITUTE(NOTA[[#This Row],[NAMA BARANG]]," ",),".",""),"-",""),"(",""),")",""),",",""),"/",""),"""",""),"+",""))</f>
        <v>zipperfileclearholder55560fileyellow</v>
      </c>
      <c r="AO1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zipperfileclearholder55560fileyellow1065000</v>
      </c>
      <c r="AP1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zipperfileclearholder55560fileyellow35500</v>
      </c>
      <c r="AQ1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2" s="35">
        <f>IF(NOTA[[#This Row],[CONCAT1]]="","",MATCH(NOTA[[#This Row],[CONCAT1]],[3]!db[NB NOTA_C],0))</f>
        <v>3191</v>
      </c>
      <c r="AS182" s="35" t="b">
        <f>IF(NOTA[[#This Row],[Column5]]="","",TRUE)</f>
        <v>1</v>
      </c>
      <c r="AT182" s="35" t="str">
        <f ca="1">IF(NOTA[[#This Row],[ID_H]]="","",IF(NOTA[[#This Row],[Column3]]=TRUE,NOTA[[#This Row],[Column5]],INDEX([3]!db[QTY/ CTN],NOTA[[#This Row],[//DB]])))</f>
        <v>60 PCS</v>
      </c>
      <c r="AU1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zipperfileclearholder55560fileyellow60pcsuntana</v>
      </c>
      <c r="AV182" s="35">
        <f ca="1">IF(NOTA[[#This Row],[ID_H]]="","",MATCH(NOTA[[#This Row],[NB NOTA_C_QTY]],[3]!db[NB NOTA_C_QTY+F],0))</f>
        <v>3191</v>
      </c>
      <c r="AW182" s="43">
        <f ca="1">IF(NOTA[[#This Row],[NB NOTA_C_QTY]]="","",ROW()-2)</f>
        <v>180</v>
      </c>
    </row>
    <row r="183" spans="1:49" ht="20.100000000000001" customHeight="1">
      <c r="A1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5">
        <f ca="1">IF(NOTA[[#This Row],[NAMA BARANG]]="","",INDEX(NOTA[ID],MATCH(,INDIRECT(ADDRESS(ROW(NOTA[ID]),COLUMN(NOTA[ID]))&amp;":"&amp;ADDRESS(ROW(),COLUMN(NOTA[ID]))),-1)))</f>
        <v>45</v>
      </c>
      <c r="C183" s="45"/>
      <c r="F183" s="46"/>
      <c r="G183" s="35"/>
      <c r="H183" s="36"/>
      <c r="I183" s="35"/>
      <c r="J183" s="50" t="s">
        <v>360</v>
      </c>
      <c r="K183" s="37"/>
      <c r="L183" s="35">
        <v>30</v>
      </c>
      <c r="M183" s="35" t="s">
        <v>51</v>
      </c>
      <c r="N183" s="38">
        <v>35500</v>
      </c>
      <c r="O183" s="39"/>
      <c r="P183" s="47" t="s">
        <v>414</v>
      </c>
      <c r="Q183" s="48"/>
      <c r="R183" s="41"/>
      <c r="T183" s="42"/>
      <c r="U183" s="44"/>
      <c r="V183" s="42">
        <f>IF(NOTA[[#This Row],[HARGA/ CTN]]="",NOTA[[#This Row],[JUMLAH_H]],NOTA[[#This Row],[HARGA/ CTN]]*IF(NOTA[[#This Row],[C]]="",0,NOTA[[#This Row],[C]]))</f>
        <v>1065000</v>
      </c>
      <c r="W183" s="42">
        <f>IF(NOTA[[#This Row],[JUMLAH]]="","",NOTA[[#This Row],[JUMLAH]]*NOTA[[#This Row],[Column6]])</f>
        <v>0</v>
      </c>
      <c r="X183" s="42">
        <f>IF(NOTA[[#This Row],[JUMLAH]]="","",(NOTA[[#This Row],[JUMLAH]]-NOTA[[#This Row],[DISC 1-]])*NOTA[[#This Row],[Column7]])</f>
        <v>0</v>
      </c>
      <c r="Y183" s="42">
        <f>IF(NOTA[[#This Row],[JUMLAH]]="","",(NOTA[[#This Row],[JUMLAH]]-NOTA[[#This Row],[DISC 1-]]-NOTA[[#This Row],[DISC 2-]])*NOTA[[#This Row],[Column8]])</f>
        <v>0</v>
      </c>
      <c r="Z183" s="42">
        <f>IF(NOTA[[#This Row],[JUMLAH]]="","",NOTA[[#This Row],[DISC 1-]]+NOTA[[#This Row],[DISC 2-]]+NOTA[[#This Row],[DISC 3-]])</f>
        <v>0</v>
      </c>
      <c r="AA183" s="42">
        <f>IF(NOTA[[#This Row],[JUMLAH]]="","",NOTA[[#This Row],[JUMLAH]]-NOTA[[#This Row],[DISC]])</f>
        <v>1065000</v>
      </c>
      <c r="AB183" s="42"/>
      <c r="AC18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10560000</v>
      </c>
      <c r="AE183" s="3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F183" s="42">
        <f>IF(OR(NOTA[[#This Row],[QTY]]="",NOTA[[#This Row],[HARGA SATUAN]]="",),"",NOTA[[#This Row],[QTY]]*NOTA[[#This Row],[HARGA SATUAN]])</f>
        <v>1065000</v>
      </c>
      <c r="AG183" s="36">
        <f ca="1">IF(NOTA[[#This Row],[ID_H]]="","",INDEX(NOTA[TANGGAL],MATCH(,INDIRECT(ADDRESS(ROW(NOTA[TANGGAL]),COLUMN(NOTA[TANGGAL]))&amp;":"&amp;ADDRESS(ROW(),COLUMN(NOTA[TANGGAL]))),-1)))</f>
        <v>45488</v>
      </c>
      <c r="AH183" s="36">
        <f ca="1">IF(NOTA[[#This Row],[ID_H]]="","",INDEX(NOTA[TGL.NOTA],MATCH(,INDIRECT(ADDRESS(ROW(NOTA[TGL.NOTA]),COLUMN(NOTA[TGL.NOTA]))&amp;":"&amp;ADDRESS(ROW(),COLUMN(NOTA[TGL.NOTA]))),-1)))</f>
        <v>45485</v>
      </c>
      <c r="AI183" s="36" t="str">
        <f ca="1">IF(NOTA[[#This Row],[ID_H]]="","",INDEX(NOTA[NO.NOTA],MATCH(NOTA[[#This Row],[ID_H]],NOTA[ID_H],0)))</f>
        <v>PK-240700068</v>
      </c>
      <c r="AJ183" s="38" t="str">
        <f ca="1">IF(NOTA[[#This Row],[NAMA BARANG]]="","",INDEX(NOTA[SUPPLIER],MATCH(,INDIRECT(ADDRESS(ROW(NOTA[ID]),COLUMN(NOTA[ID]))&amp;":"&amp;ADDRESS(ROW(),COLUMN(NOTA[ID]))),-1)))</f>
        <v>TOPLA</v>
      </c>
      <c r="AK183" s="38" t="str">
        <f ca="1">IF(NOTA[[#This Row],[ID_H]]="","",IF(NOTA[[#This Row],[FAKTUR]]="",INDIRECT(ADDRESS(ROW()-1,COLUMN())),NOTA[[#This Row],[FAKTUR]]))</f>
        <v>UNTANA</v>
      </c>
      <c r="AL183" s="35" t="str">
        <f ca="1">IF(NOTA[[#This Row],[ID]]="","",COUNTIF(NOTA[ID_H],NOTA[[#This Row],[ID_H]]))</f>
        <v/>
      </c>
      <c r="AM183" s="35">
        <f ca="1">IF(NOTA[[#This Row],[TGL.NOTA]]="",IF(NOTA[[#This Row],[SUPPLIER_H]]="","",AM182),MONTH(NOTA[[#This Row],[TGL.NOTA]]))</f>
        <v>7</v>
      </c>
      <c r="AN183" s="35" t="str">
        <f>LOWER(SUBSTITUTE(SUBSTITUTE(SUBSTITUTE(SUBSTITUTE(SUBSTITUTE(SUBSTITUTE(SUBSTITUTE(SUBSTITUTE(SUBSTITUTE(NOTA[[#This Row],[NAMA BARANG]]," ",),".",""),"-",""),"(",""),")",""),",",""),"/",""),"""",""),"+",""))</f>
        <v>zipperfileclearholder55560fileblue</v>
      </c>
      <c r="AO1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zipperfileclearholder55560fileblue1065000</v>
      </c>
      <c r="AP1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zipperfileclearholder55560fileblue35500</v>
      </c>
      <c r="AQ1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3" s="35">
        <f>IF(NOTA[[#This Row],[CONCAT1]]="","",MATCH(NOTA[[#This Row],[CONCAT1]],[3]!db[NB NOTA_C],0))</f>
        <v>3188</v>
      </c>
      <c r="AS183" s="35" t="b">
        <f>IF(NOTA[[#This Row],[Column5]]="","",TRUE)</f>
        <v>1</v>
      </c>
      <c r="AT183" s="35" t="str">
        <f ca="1">IF(NOTA[[#This Row],[ID_H]]="","",IF(NOTA[[#This Row],[Column3]]=TRUE,NOTA[[#This Row],[Column5]],INDEX([3]!db[QTY/ CTN],NOTA[[#This Row],[//DB]])))</f>
        <v>60 PCS</v>
      </c>
      <c r="AU1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zipperfileclearholder55560fileblue60pcsuntana</v>
      </c>
      <c r="AV183" s="35">
        <f ca="1">IF(NOTA[[#This Row],[ID_H]]="","",MATCH(NOTA[[#This Row],[NB NOTA_C_QTY]],[3]!db[NB NOTA_C_QTY+F],0))</f>
        <v>3188</v>
      </c>
      <c r="AW183" s="43">
        <f ca="1">IF(NOTA[[#This Row],[NB NOTA_C_QTY]]="","",ROW()-2)</f>
        <v>181</v>
      </c>
    </row>
    <row r="184" spans="1:49" ht="20.100000000000001" customHeight="1">
      <c r="A1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5" t="str">
        <f ca="1">IF(NOTA[[#This Row],[NAMA BARANG]]="","",INDEX(NOTA[ID],MATCH(,INDIRECT(ADDRESS(ROW(NOTA[ID]),COLUMN(NOTA[ID]))&amp;":"&amp;ADDRESS(ROW(),COLUMN(NOTA[ID]))),-1)))</f>
        <v/>
      </c>
      <c r="C184" s="45"/>
      <c r="F184" s="46"/>
      <c r="G184" s="35"/>
      <c r="H184" s="36"/>
      <c r="I184" s="35"/>
      <c r="K184" s="37"/>
      <c r="L184" s="35"/>
      <c r="N184" s="38"/>
      <c r="O184" s="39"/>
      <c r="P184" s="47"/>
      <c r="Q184" s="48"/>
      <c r="R184" s="41"/>
      <c r="T184" s="42"/>
      <c r="U184" s="44"/>
      <c r="V184" s="42" t="str">
        <f>IF(NOTA[[#This Row],[HARGA/ CTN]]="",NOTA[[#This Row],[JUMLAH_H]],NOTA[[#This Row],[HARGA/ CTN]]*IF(NOTA[[#This Row],[C]]="",0,NOTA[[#This Row],[C]]))</f>
        <v/>
      </c>
      <c r="W184" s="42" t="str">
        <f>IF(NOTA[[#This Row],[JUMLAH]]="","",NOTA[[#This Row],[JUMLAH]]*NOTA[[#This Row],[Column6]])</f>
        <v/>
      </c>
      <c r="X184" s="42" t="str">
        <f>IF(NOTA[[#This Row],[JUMLAH]]="","",(NOTA[[#This Row],[JUMLAH]]-NOTA[[#This Row],[DISC 1-]])*NOTA[[#This Row],[Column7]])</f>
        <v/>
      </c>
      <c r="Y184" s="42" t="str">
        <f>IF(NOTA[[#This Row],[JUMLAH]]="","",(NOTA[[#This Row],[JUMLAH]]-NOTA[[#This Row],[DISC 1-]]-NOTA[[#This Row],[DISC 2-]])*NOTA[[#This Row],[Column8]])</f>
        <v/>
      </c>
      <c r="Z184" s="42" t="str">
        <f>IF(NOTA[[#This Row],[JUMLAH]]="","",NOTA[[#This Row],[DISC 1-]]+NOTA[[#This Row],[DISC 2-]]+NOTA[[#This Row],[DISC 3-]])</f>
        <v/>
      </c>
      <c r="AA184" s="42" t="str">
        <f>IF(NOTA[[#This Row],[JUMLAH]]="","",NOTA[[#This Row],[JUMLAH]]-NOTA[[#This Row],[DISC]])</f>
        <v/>
      </c>
      <c r="AB184" s="42"/>
      <c r="AC1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4" s="42" t="str">
        <f>IF(OR(NOTA[[#This Row],[QTY]]="",NOTA[[#This Row],[HARGA SATUAN]]="",),"",NOTA[[#This Row],[QTY]]*NOTA[[#This Row],[HARGA SATUAN]])</f>
        <v/>
      </c>
      <c r="AG184" s="36" t="str">
        <f ca="1">IF(NOTA[[#This Row],[ID_H]]="","",INDEX(NOTA[TANGGAL],MATCH(,INDIRECT(ADDRESS(ROW(NOTA[TANGGAL]),COLUMN(NOTA[TANGGAL]))&amp;":"&amp;ADDRESS(ROW(),COLUMN(NOTA[TANGGAL]))),-1)))</f>
        <v/>
      </c>
      <c r="AH184" s="36" t="str">
        <f ca="1">IF(NOTA[[#This Row],[ID_H]]="","",INDEX(NOTA[TGL.NOTA],MATCH(,INDIRECT(ADDRESS(ROW(NOTA[TGL.NOTA]),COLUMN(NOTA[TGL.NOTA]))&amp;":"&amp;ADDRESS(ROW(),COLUMN(NOTA[TGL.NOTA]))),-1)))</f>
        <v/>
      </c>
      <c r="AI184" s="36" t="str">
        <f ca="1">IF(NOTA[[#This Row],[ID_H]]="","",INDEX(NOTA[NO.NOTA],MATCH(NOTA[[#This Row],[ID_H]],NOTA[ID_H],0)))</f>
        <v/>
      </c>
      <c r="AJ184" s="38" t="str">
        <f ca="1">IF(NOTA[[#This Row],[NAMA BARANG]]="","",INDEX(NOTA[SUPPLIER],MATCH(,INDIRECT(ADDRESS(ROW(NOTA[ID]),COLUMN(NOTA[ID]))&amp;":"&amp;ADDRESS(ROW(),COLUMN(NOTA[ID]))),-1)))</f>
        <v/>
      </c>
      <c r="AK184" s="38" t="str">
        <f ca="1">IF(NOTA[[#This Row],[ID_H]]="","",IF(NOTA[[#This Row],[FAKTUR]]="",INDIRECT(ADDRESS(ROW()-1,COLUMN())),NOTA[[#This Row],[FAKTUR]]))</f>
        <v/>
      </c>
      <c r="AL184" s="35" t="str">
        <f ca="1">IF(NOTA[[#This Row],[ID]]="","",COUNTIF(NOTA[ID_H],NOTA[[#This Row],[ID_H]]))</f>
        <v/>
      </c>
      <c r="AM184" s="35" t="str">
        <f ca="1">IF(NOTA[[#This Row],[TGL.NOTA]]="",IF(NOTA[[#This Row],[SUPPLIER_H]]="","",AM183),MONTH(NOTA[[#This Row],[TGL.NOTA]]))</f>
        <v/>
      </c>
      <c r="AN1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4" s="35" t="str">
        <f>IF(NOTA[[#This Row],[CONCAT1]]="","",MATCH(NOTA[[#This Row],[CONCAT1]],[3]!db[NB NOTA_C],0))</f>
        <v/>
      </c>
      <c r="AS184" s="35" t="str">
        <f>IF(NOTA[[#This Row],[Column5]]="","",TRUE)</f>
        <v/>
      </c>
      <c r="AT184" s="35" t="str">
        <f ca="1">IF(NOTA[[#This Row],[ID_H]]="","",IF(NOTA[[#This Row],[Column3]]=TRUE,NOTA[[#This Row],[Column5]],INDEX([3]!db[QTY/ CTN],NOTA[[#This Row],[//DB]])))</f>
        <v/>
      </c>
      <c r="AU1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4" s="35" t="str">
        <f ca="1">IF(NOTA[[#This Row],[ID_H]]="","",MATCH(NOTA[[#This Row],[NB NOTA_C_QTY]],[3]!db[NB NOTA_C_QTY+F],0))</f>
        <v/>
      </c>
      <c r="AW184" s="43" t="str">
        <f ca="1">IF(NOTA[[#This Row],[NB NOTA_C_QTY]]="","",ROW()-2)</f>
        <v/>
      </c>
    </row>
    <row r="185" spans="1:49" ht="20.100000000000001" customHeight="1">
      <c r="A185" s="38">
        <f ca="1">IF(INDIRECT(ADDRESS(ROW()-1,COLUMN(NOTA[[#Headers],[ID]])))="ID",1,IF(NOTA[[#This Row],[FAKTUR]]="","",COUNT(INDIRECT(ADDRESS(ROW(NOTA[ID]),COLUMN(NOTA[ID]))&amp;":"&amp;ADDRESS(ROW()-1,COLUMN(NOTA[ID]))))+1))</f>
        <v>46</v>
      </c>
      <c r="B185" s="35">
        <f ca="1">IF(NOTA[[#This Row],[NAMA BARANG]]="","",INDEX(NOTA[ID],MATCH(,INDIRECT(ADDRESS(ROW(NOTA[ID]),COLUMN(NOTA[ID]))&amp;":"&amp;ADDRESS(ROW(),COLUMN(NOTA[ID]))),-1)))</f>
        <v>46</v>
      </c>
      <c r="C185" s="45">
        <v>45491</v>
      </c>
      <c r="D185" s="35" t="s">
        <v>222</v>
      </c>
      <c r="E185" s="35" t="s">
        <v>49</v>
      </c>
      <c r="F185" s="46" t="s">
        <v>361</v>
      </c>
      <c r="G185" s="35"/>
      <c r="H185" s="36">
        <v>45488</v>
      </c>
      <c r="I185" s="35"/>
      <c r="J185" s="50" t="s">
        <v>362</v>
      </c>
      <c r="K185" s="37">
        <v>3</v>
      </c>
      <c r="L185" s="35">
        <v>12000</v>
      </c>
      <c r="M185" s="35" t="s">
        <v>51</v>
      </c>
      <c r="N185" s="38">
        <v>600</v>
      </c>
      <c r="O185" s="39"/>
      <c r="P185" s="47" t="s">
        <v>363</v>
      </c>
      <c r="Q185" s="48"/>
      <c r="R185" s="41"/>
      <c r="T185" s="42"/>
      <c r="U185" s="44"/>
      <c r="V185" s="42">
        <f>IF(NOTA[[#This Row],[HARGA/ CTN]]="",NOTA[[#This Row],[JUMLAH_H]],NOTA[[#This Row],[HARGA/ CTN]]*IF(NOTA[[#This Row],[C]]="",0,NOTA[[#This Row],[C]]))</f>
        <v>7200000</v>
      </c>
      <c r="W185" s="42">
        <f>IF(NOTA[[#This Row],[JUMLAH]]="","",NOTA[[#This Row],[JUMLAH]]*NOTA[[#This Row],[Column6]])</f>
        <v>0</v>
      </c>
      <c r="X185" s="42">
        <f>IF(NOTA[[#This Row],[JUMLAH]]="","",(NOTA[[#This Row],[JUMLAH]]-NOTA[[#This Row],[DISC 1-]])*NOTA[[#This Row],[Column7]])</f>
        <v>0</v>
      </c>
      <c r="Y185" s="42">
        <f>IF(NOTA[[#This Row],[JUMLAH]]="","",(NOTA[[#This Row],[JUMLAH]]-NOTA[[#This Row],[DISC 1-]]-NOTA[[#This Row],[DISC 2-]])*NOTA[[#This Row],[Column8]])</f>
        <v>0</v>
      </c>
      <c r="Z185" s="42">
        <f>IF(NOTA[[#This Row],[JUMLAH]]="","",NOTA[[#This Row],[DISC 1-]]+NOTA[[#This Row],[DISC 2-]]+NOTA[[#This Row],[DISC 3-]])</f>
        <v>0</v>
      </c>
      <c r="AA185" s="42">
        <f>IF(NOTA[[#This Row],[JUMLAH]]="","",NOTA[[#This Row],[JUMLAH]]-NOTA[[#This Row],[DISC]])</f>
        <v>7200000</v>
      </c>
      <c r="AB185" s="42"/>
      <c r="AC1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5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185" s="42">
        <f>IF(OR(NOTA[[#This Row],[QTY]]="",NOTA[[#This Row],[HARGA SATUAN]]="",),"",NOTA[[#This Row],[QTY]]*NOTA[[#This Row],[HARGA SATUAN]])</f>
        <v>7200000</v>
      </c>
      <c r="AG185" s="36">
        <f ca="1">IF(NOTA[[#This Row],[ID_H]]="","",INDEX(NOTA[TANGGAL],MATCH(,INDIRECT(ADDRESS(ROW(NOTA[TANGGAL]),COLUMN(NOTA[TANGGAL]))&amp;":"&amp;ADDRESS(ROW(),COLUMN(NOTA[TANGGAL]))),-1)))</f>
        <v>45491</v>
      </c>
      <c r="AH185" s="36">
        <f ca="1">IF(NOTA[[#This Row],[ID_H]]="","",INDEX(NOTA[TGL.NOTA],MATCH(,INDIRECT(ADDRESS(ROW(NOTA[TGL.NOTA]),COLUMN(NOTA[TGL.NOTA]))&amp;":"&amp;ADDRESS(ROW(),COLUMN(NOTA[TGL.NOTA]))),-1)))</f>
        <v>45488</v>
      </c>
      <c r="AI185" s="36" t="str">
        <f ca="1">IF(NOTA[[#This Row],[ID_H]]="","",INDEX(NOTA[NO.NOTA],MATCH(NOTA[[#This Row],[ID_H]],NOTA[ID_H],0)))</f>
        <v>K20,24</v>
      </c>
      <c r="AJ185" s="38" t="str">
        <f ca="1">IF(NOTA[[#This Row],[NAMA BARANG]]="","",INDEX(NOTA[SUPPLIER],MATCH(,INDIRECT(ADDRESS(ROW(NOTA[ID]),COLUMN(NOTA[ID]))&amp;":"&amp;ADDRESS(ROW(),COLUMN(NOTA[ID]))),-1)))</f>
        <v>ETJ</v>
      </c>
      <c r="AK185" s="38" t="str">
        <f ca="1">IF(NOTA[[#This Row],[ID_H]]="","",IF(NOTA[[#This Row],[FAKTUR]]="",INDIRECT(ADDRESS(ROW()-1,COLUMN())),NOTA[[#This Row],[FAKTUR]]))</f>
        <v>UNTANA</v>
      </c>
      <c r="AL185" s="35">
        <f ca="1">IF(NOTA[[#This Row],[ID]]="","",COUNTIF(NOTA[ID_H],NOTA[[#This Row],[ID_H]]))</f>
        <v>2</v>
      </c>
      <c r="AM185" s="35">
        <f>IF(NOTA[[#This Row],[TGL.NOTA]]="",IF(NOTA[[#This Row],[SUPPLIER_H]]="","",AM184),MONTH(NOTA[[#This Row],[TGL.NOTA]]))</f>
        <v>7</v>
      </c>
      <c r="AN185" s="35" t="str">
        <f>LOWER(SUBSTITUTE(SUBSTITUTE(SUBSTITUTE(SUBSTITUTE(SUBSTITUTE(SUBSTITUTE(SUBSTITUTE(SUBSTITUTE(SUBSTITUTE(NOTA[[#This Row],[NAMA BARANG]]," ",),".",""),"-",""),"(",""),")",""),",",""),"/",""),"""",""),"+",""))</f>
        <v>ntagdbiru300</v>
      </c>
      <c r="AO1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ntagdbiru3002400000</v>
      </c>
      <c r="AP1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ntagdbiru3002400000</v>
      </c>
      <c r="AQ185" s="35" t="str">
        <f>IF(NOTA[[#This Row],[SUPPLIER]]="","",NOTA[[#This Row],[SUPPLIER]]&amp;NOTA[[#This Row],[FAKTUR]]&amp;NOTA[[#This Row],[NO.NOTA]]&amp;NOTA[[#This Row],[NO.SJ]]&amp;NOTA[[#This Row],[TGL.NOTA]]&amp;NOTA[[#This Row],[CONCAT1]])</f>
        <v>ETJUNTANAK20,2445488ntagdbiru300</v>
      </c>
      <c r="AR185" s="35">
        <f>IF(NOTA[[#This Row],[CONCAT1]]="","",MATCH(NOTA[[#This Row],[CONCAT1]],[3]!db[NB NOTA_C],0))</f>
        <v>2224</v>
      </c>
      <c r="AS185" s="35" t="b">
        <f>IF(NOTA[[#This Row],[Column5]]="","",TRUE)</f>
        <v>1</v>
      </c>
      <c r="AT185" s="35" t="str">
        <f ca="1">IF(NOTA[[#This Row],[ID_H]]="","",IF(NOTA[[#This Row],[Column3]]=TRUE,NOTA[[#This Row],[Column5]],INDEX([3]!db[QTY/ CTN],NOTA[[#This Row],[//DB]])))</f>
        <v>4000 PCS</v>
      </c>
      <c r="AU1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ntagdbiru3004000pcsuntana</v>
      </c>
      <c r="AV185" s="35">
        <f ca="1">IF(NOTA[[#This Row],[ID_H]]="","",MATCH(NOTA[[#This Row],[NB NOTA_C_QTY]],[3]!db[NB NOTA_C_QTY+F],0))</f>
        <v>2224</v>
      </c>
      <c r="AW185" s="43">
        <f ca="1">IF(NOTA[[#This Row],[NB NOTA_C_QTY]]="","",ROW()-2)</f>
        <v>183</v>
      </c>
    </row>
    <row r="186" spans="1:49" ht="20.100000000000001" customHeight="1">
      <c r="A1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5">
        <f ca="1">IF(NOTA[[#This Row],[NAMA BARANG]]="","",INDEX(NOTA[ID],MATCH(,INDIRECT(ADDRESS(ROW(NOTA[ID]),COLUMN(NOTA[ID]))&amp;":"&amp;ADDRESS(ROW(),COLUMN(NOTA[ID]))),-1)))</f>
        <v>46</v>
      </c>
      <c r="C186" s="45"/>
      <c r="F186" s="46"/>
      <c r="G186" s="35"/>
      <c r="H186" s="36"/>
      <c r="I186" s="35"/>
      <c r="J186" s="50" t="s">
        <v>415</v>
      </c>
      <c r="K186" s="37">
        <v>2</v>
      </c>
      <c r="L186" s="35">
        <v>120</v>
      </c>
      <c r="M186" s="35" t="s">
        <v>50</v>
      </c>
      <c r="N186" s="38">
        <v>17500</v>
      </c>
      <c r="O186" s="39"/>
      <c r="P186" s="47" t="s">
        <v>70</v>
      </c>
      <c r="Q186" s="48"/>
      <c r="R186" s="41"/>
      <c r="T186" s="42"/>
      <c r="U186" s="44"/>
      <c r="V186" s="42">
        <f>IF(NOTA[[#This Row],[HARGA/ CTN]]="",NOTA[[#This Row],[JUMLAH_H]],NOTA[[#This Row],[HARGA/ CTN]]*IF(NOTA[[#This Row],[C]]="",0,NOTA[[#This Row],[C]]))</f>
        <v>2100000</v>
      </c>
      <c r="W186" s="42">
        <f>IF(NOTA[[#This Row],[JUMLAH]]="","",NOTA[[#This Row],[JUMLAH]]*NOTA[[#This Row],[Column6]])</f>
        <v>0</v>
      </c>
      <c r="X186" s="42">
        <f>IF(NOTA[[#This Row],[JUMLAH]]="","",(NOTA[[#This Row],[JUMLAH]]-NOTA[[#This Row],[DISC 1-]])*NOTA[[#This Row],[Column7]])</f>
        <v>0</v>
      </c>
      <c r="Y186" s="42">
        <f>IF(NOTA[[#This Row],[JUMLAH]]="","",(NOTA[[#This Row],[JUMLAH]]-NOTA[[#This Row],[DISC 1-]]-NOTA[[#This Row],[DISC 2-]])*NOTA[[#This Row],[Column8]])</f>
        <v>0</v>
      </c>
      <c r="Z186" s="42">
        <f>IF(NOTA[[#This Row],[JUMLAH]]="","",NOTA[[#This Row],[DISC 1-]]+NOTA[[#This Row],[DISC 2-]]+NOTA[[#This Row],[DISC 3-]])</f>
        <v>0</v>
      </c>
      <c r="AA186" s="42">
        <f>IF(NOTA[[#This Row],[JUMLAH]]="","",NOTA[[#This Row],[JUMLAH]]-NOTA[[#This Row],[DISC]])</f>
        <v>2100000</v>
      </c>
      <c r="AB186" s="42"/>
      <c r="AC18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9300000</v>
      </c>
      <c r="AE186" s="3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86" s="42">
        <f>IF(OR(NOTA[[#This Row],[QTY]]="",NOTA[[#This Row],[HARGA SATUAN]]="",),"",NOTA[[#This Row],[QTY]]*NOTA[[#This Row],[HARGA SATUAN]])</f>
        <v>2100000</v>
      </c>
      <c r="AG186" s="36">
        <f ca="1">IF(NOTA[[#This Row],[ID_H]]="","",INDEX(NOTA[TANGGAL],MATCH(,INDIRECT(ADDRESS(ROW(NOTA[TANGGAL]),COLUMN(NOTA[TANGGAL]))&amp;":"&amp;ADDRESS(ROW(),COLUMN(NOTA[TANGGAL]))),-1)))</f>
        <v>45491</v>
      </c>
      <c r="AH186" s="36">
        <f ca="1">IF(NOTA[[#This Row],[ID_H]]="","",INDEX(NOTA[TGL.NOTA],MATCH(,INDIRECT(ADDRESS(ROW(NOTA[TGL.NOTA]),COLUMN(NOTA[TGL.NOTA]))&amp;":"&amp;ADDRESS(ROW(),COLUMN(NOTA[TGL.NOTA]))),-1)))</f>
        <v>45488</v>
      </c>
      <c r="AI186" s="36" t="str">
        <f ca="1">IF(NOTA[[#This Row],[ID_H]]="","",INDEX(NOTA[NO.NOTA],MATCH(NOTA[[#This Row],[ID_H]],NOTA[ID_H],0)))</f>
        <v>K20,24</v>
      </c>
      <c r="AJ186" s="38" t="str">
        <f ca="1">IF(NOTA[[#This Row],[NAMA BARANG]]="","",INDEX(NOTA[SUPPLIER],MATCH(,INDIRECT(ADDRESS(ROW(NOTA[ID]),COLUMN(NOTA[ID]))&amp;":"&amp;ADDRESS(ROW(),COLUMN(NOTA[ID]))),-1)))</f>
        <v>ETJ</v>
      </c>
      <c r="AK186" s="38" t="str">
        <f ca="1">IF(NOTA[[#This Row],[ID_H]]="","",IF(NOTA[[#This Row],[FAKTUR]]="",INDIRECT(ADDRESS(ROW()-1,COLUMN())),NOTA[[#This Row],[FAKTUR]]))</f>
        <v>UNTANA</v>
      </c>
      <c r="AL186" s="35" t="str">
        <f ca="1">IF(NOTA[[#This Row],[ID]]="","",COUNTIF(NOTA[ID_H],NOTA[[#This Row],[ID_H]]))</f>
        <v/>
      </c>
      <c r="AM186" s="35">
        <f ca="1">IF(NOTA[[#This Row],[TGL.NOTA]]="",IF(NOTA[[#This Row],[SUPPLIER_H]]="","",AM185),MONTH(NOTA[[#This Row],[TGL.NOTA]]))</f>
        <v>7</v>
      </c>
      <c r="AN186" s="35" t="str">
        <f>LOWER(SUBSTITUTE(SUBSTITUTE(SUBSTITUTE(SUBSTITUTE(SUBSTITUTE(SUBSTITUTE(SUBSTITUTE(SUBSTITUTE(SUBSTITUTE(NOTA[[#This Row],[NAMA BARANG]]," ",),".",""),"-",""),"(",""),")",""),",",""),"/",""),"""",""),"+",""))</f>
        <v>enterwhiteboard802k</v>
      </c>
      <c r="AO1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enterwhiteboard802k1050000</v>
      </c>
      <c r="AP1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enterwhiteboard802k1050000</v>
      </c>
      <c r="AQ1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6" s="35">
        <f>IF(NOTA[[#This Row],[CONCAT1]]="","",MATCH(NOTA[[#This Row],[CONCAT1]],[3]!db[NB NOTA_C],0))</f>
        <v>971</v>
      </c>
      <c r="AS186" s="35" t="b">
        <f>IF(NOTA[[#This Row],[Column5]]="","",TRUE)</f>
        <v>1</v>
      </c>
      <c r="AT186" s="35" t="str">
        <f ca="1">IF(NOTA[[#This Row],[ID_H]]="","",IF(NOTA[[#This Row],[Column3]]=TRUE,NOTA[[#This Row],[Column5]],INDEX([3]!db[QTY/ CTN],NOTA[[#This Row],[//DB]])))</f>
        <v>60 LSN</v>
      </c>
      <c r="AU1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enterwhiteboard802k60lsnuntana</v>
      </c>
      <c r="AV186" s="35">
        <f ca="1">IF(NOTA[[#This Row],[ID_H]]="","",MATCH(NOTA[[#This Row],[NB NOTA_C_QTY]],[3]!db[NB NOTA_C_QTY+F],0))</f>
        <v>971</v>
      </c>
      <c r="AW186" s="43">
        <f ca="1">IF(NOTA[[#This Row],[NB NOTA_C_QTY]]="","",ROW()-2)</f>
        <v>184</v>
      </c>
    </row>
    <row r="187" spans="1:49" ht="20.100000000000001" customHeight="1">
      <c r="A1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5" t="str">
        <f ca="1">IF(NOTA[[#This Row],[NAMA BARANG]]="","",INDEX(NOTA[ID],MATCH(,INDIRECT(ADDRESS(ROW(NOTA[ID]),COLUMN(NOTA[ID]))&amp;":"&amp;ADDRESS(ROW(),COLUMN(NOTA[ID]))),-1)))</f>
        <v/>
      </c>
      <c r="C187" s="45"/>
      <c r="F187" s="46"/>
      <c r="G187" s="35"/>
      <c r="H187" s="36"/>
      <c r="I187" s="35"/>
      <c r="K187" s="37"/>
      <c r="L187" s="35"/>
      <c r="N187" s="38"/>
      <c r="O187" s="39"/>
      <c r="P187" s="47"/>
      <c r="Q187" s="48"/>
      <c r="R187" s="41"/>
      <c r="T187" s="42"/>
      <c r="U187" s="44"/>
      <c r="V187" s="42" t="str">
        <f>IF(NOTA[[#This Row],[HARGA/ CTN]]="",NOTA[[#This Row],[JUMLAH_H]],NOTA[[#This Row],[HARGA/ CTN]]*IF(NOTA[[#This Row],[C]]="",0,NOTA[[#This Row],[C]]))</f>
        <v/>
      </c>
      <c r="W187" s="42" t="str">
        <f>IF(NOTA[[#This Row],[JUMLAH]]="","",NOTA[[#This Row],[JUMLAH]]*NOTA[[#This Row],[Column6]])</f>
        <v/>
      </c>
      <c r="X187" s="42" t="str">
        <f>IF(NOTA[[#This Row],[JUMLAH]]="","",(NOTA[[#This Row],[JUMLAH]]-NOTA[[#This Row],[DISC 1-]])*NOTA[[#This Row],[Column7]])</f>
        <v/>
      </c>
      <c r="Y187" s="42" t="str">
        <f>IF(NOTA[[#This Row],[JUMLAH]]="","",(NOTA[[#This Row],[JUMLAH]]-NOTA[[#This Row],[DISC 1-]]-NOTA[[#This Row],[DISC 2-]])*NOTA[[#This Row],[Column8]])</f>
        <v/>
      </c>
      <c r="Z187" s="42" t="str">
        <f>IF(NOTA[[#This Row],[JUMLAH]]="","",NOTA[[#This Row],[DISC 1-]]+NOTA[[#This Row],[DISC 2-]]+NOTA[[#This Row],[DISC 3-]])</f>
        <v/>
      </c>
      <c r="AA187" s="42" t="str">
        <f>IF(NOTA[[#This Row],[JUMLAH]]="","",NOTA[[#This Row],[JUMLAH]]-NOTA[[#This Row],[DISC]])</f>
        <v/>
      </c>
      <c r="AB187" s="42"/>
      <c r="AC1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7" s="42" t="str">
        <f>IF(OR(NOTA[[#This Row],[QTY]]="",NOTA[[#This Row],[HARGA SATUAN]]="",),"",NOTA[[#This Row],[QTY]]*NOTA[[#This Row],[HARGA SATUAN]])</f>
        <v/>
      </c>
      <c r="AG187" s="36" t="str">
        <f ca="1">IF(NOTA[[#This Row],[ID_H]]="","",INDEX(NOTA[TANGGAL],MATCH(,INDIRECT(ADDRESS(ROW(NOTA[TANGGAL]),COLUMN(NOTA[TANGGAL]))&amp;":"&amp;ADDRESS(ROW(),COLUMN(NOTA[TANGGAL]))),-1)))</f>
        <v/>
      </c>
      <c r="AH187" s="36" t="str">
        <f ca="1">IF(NOTA[[#This Row],[ID_H]]="","",INDEX(NOTA[TGL.NOTA],MATCH(,INDIRECT(ADDRESS(ROW(NOTA[TGL.NOTA]),COLUMN(NOTA[TGL.NOTA]))&amp;":"&amp;ADDRESS(ROW(),COLUMN(NOTA[TGL.NOTA]))),-1)))</f>
        <v/>
      </c>
      <c r="AI187" s="36" t="str">
        <f ca="1">IF(NOTA[[#This Row],[ID_H]]="","",INDEX(NOTA[NO.NOTA],MATCH(NOTA[[#This Row],[ID_H]],NOTA[ID_H],0)))</f>
        <v/>
      </c>
      <c r="AJ187" s="38" t="str">
        <f ca="1">IF(NOTA[[#This Row],[NAMA BARANG]]="","",INDEX(NOTA[SUPPLIER],MATCH(,INDIRECT(ADDRESS(ROW(NOTA[ID]),COLUMN(NOTA[ID]))&amp;":"&amp;ADDRESS(ROW(),COLUMN(NOTA[ID]))),-1)))</f>
        <v/>
      </c>
      <c r="AK187" s="38" t="str">
        <f ca="1">IF(NOTA[[#This Row],[ID_H]]="","",IF(NOTA[[#This Row],[FAKTUR]]="",INDIRECT(ADDRESS(ROW()-1,COLUMN())),NOTA[[#This Row],[FAKTUR]]))</f>
        <v/>
      </c>
      <c r="AL187" s="35" t="str">
        <f ca="1">IF(NOTA[[#This Row],[ID]]="","",COUNTIF(NOTA[ID_H],NOTA[[#This Row],[ID_H]]))</f>
        <v/>
      </c>
      <c r="AM187" s="35" t="str">
        <f ca="1">IF(NOTA[[#This Row],[TGL.NOTA]]="",IF(NOTA[[#This Row],[SUPPLIER_H]]="","",AM186),MONTH(NOTA[[#This Row],[TGL.NOTA]]))</f>
        <v/>
      </c>
      <c r="AN1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7" s="35" t="str">
        <f>IF(NOTA[[#This Row],[CONCAT1]]="","",MATCH(NOTA[[#This Row],[CONCAT1]],[3]!db[NB NOTA_C],0))</f>
        <v/>
      </c>
      <c r="AS187" s="35" t="str">
        <f>IF(NOTA[[#This Row],[Column5]]="","",TRUE)</f>
        <v/>
      </c>
      <c r="AT187" s="35" t="str">
        <f ca="1">IF(NOTA[[#This Row],[ID_H]]="","",IF(NOTA[[#This Row],[Column3]]=TRUE,NOTA[[#This Row],[Column5]],INDEX([3]!db[QTY/ CTN],NOTA[[#This Row],[//DB]])))</f>
        <v/>
      </c>
      <c r="AU1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87" s="35" t="str">
        <f ca="1">IF(NOTA[[#This Row],[ID_H]]="","",MATCH(NOTA[[#This Row],[NB NOTA_C_QTY]],[3]!db[NB NOTA_C_QTY+F],0))</f>
        <v/>
      </c>
      <c r="AW187" s="43" t="str">
        <f ca="1">IF(NOTA[[#This Row],[NB NOTA_C_QTY]]="","",ROW()-2)</f>
        <v/>
      </c>
    </row>
    <row r="188" spans="1:49" ht="20.100000000000001" customHeight="1">
      <c r="A188" s="38">
        <f ca="1">IF(INDIRECT(ADDRESS(ROW()-1,COLUMN(NOTA[[#Headers],[ID]])))="ID",1,IF(NOTA[[#This Row],[FAKTUR]]="","",COUNT(INDIRECT(ADDRESS(ROW(NOTA[ID]),COLUMN(NOTA[ID]))&amp;":"&amp;ADDRESS(ROW()-1,COLUMN(NOTA[ID]))))+1))</f>
        <v>47</v>
      </c>
      <c r="B188" s="35">
        <f ca="1">IF(NOTA[[#This Row],[NAMA BARANG]]="","",INDEX(NOTA[ID],MATCH(,INDIRECT(ADDRESS(ROW(NOTA[ID]),COLUMN(NOTA[ID]))&amp;":"&amp;ADDRESS(ROW(),COLUMN(NOTA[ID]))),-1)))</f>
        <v>47</v>
      </c>
      <c r="C188" s="45">
        <v>45488</v>
      </c>
      <c r="D188" s="35" t="s">
        <v>364</v>
      </c>
      <c r="E188" s="35" t="s">
        <v>49</v>
      </c>
      <c r="F188" s="46" t="s">
        <v>365</v>
      </c>
      <c r="G188" s="35"/>
      <c r="H188" s="36">
        <v>45482</v>
      </c>
      <c r="I188" s="35"/>
      <c r="J188" s="35" t="s">
        <v>366</v>
      </c>
      <c r="K188" s="37">
        <v>10</v>
      </c>
      <c r="L188" s="35">
        <v>240</v>
      </c>
      <c r="M188" s="35" t="s">
        <v>51</v>
      </c>
      <c r="N188" s="38">
        <v>12500</v>
      </c>
      <c r="O188" s="39"/>
      <c r="P188" s="47" t="s">
        <v>367</v>
      </c>
      <c r="Q188" s="48"/>
      <c r="R188" s="41"/>
      <c r="T188" s="42"/>
      <c r="U188" s="44"/>
      <c r="V188" s="42">
        <f>IF(NOTA[[#This Row],[HARGA/ CTN]]="",NOTA[[#This Row],[JUMLAH_H]],NOTA[[#This Row],[HARGA/ CTN]]*IF(NOTA[[#This Row],[C]]="",0,NOTA[[#This Row],[C]]))</f>
        <v>3000000</v>
      </c>
      <c r="W188" s="42">
        <f>IF(NOTA[[#This Row],[JUMLAH]]="","",NOTA[[#This Row],[JUMLAH]]*NOTA[[#This Row],[Column6]])</f>
        <v>0</v>
      </c>
      <c r="X188" s="42">
        <f>IF(NOTA[[#This Row],[JUMLAH]]="","",(NOTA[[#This Row],[JUMLAH]]-NOTA[[#This Row],[DISC 1-]])*NOTA[[#This Row],[Column7]])</f>
        <v>0</v>
      </c>
      <c r="Y188" s="42">
        <f>IF(NOTA[[#This Row],[JUMLAH]]="","",(NOTA[[#This Row],[JUMLAH]]-NOTA[[#This Row],[DISC 1-]]-NOTA[[#This Row],[DISC 2-]])*NOTA[[#This Row],[Column8]])</f>
        <v>0</v>
      </c>
      <c r="Z188" s="42">
        <f>IF(NOTA[[#This Row],[JUMLAH]]="","",NOTA[[#This Row],[DISC 1-]]+NOTA[[#This Row],[DISC 2-]]+NOTA[[#This Row],[DISC 3-]])</f>
        <v>0</v>
      </c>
      <c r="AA188" s="42">
        <f>IF(NOTA[[#This Row],[JUMLAH]]="","",NOTA[[#This Row],[JUMLAH]]-NOTA[[#This Row],[DISC]])</f>
        <v>3000000</v>
      </c>
      <c r="AB188" s="42"/>
      <c r="AC1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88" s="38">
        <f>IF(NOTA[[#This Row],[NAMA BARANG]]="","",IF(NOTA[[#This Row],[JUMLAH_H]]="",NOTA[[#This Row],[HARGA/ CTN]],NOTA[[#This Row],[QTY]]*NOTA[[#This Row],[HARGA SATUAN]]/IF(ISNUMBER(NOTA[[#This Row],[C]]),NOTA[[#This Row],[C]],1)))</f>
        <v>300000</v>
      </c>
      <c r="AF188" s="42">
        <f>IF(OR(NOTA[[#This Row],[QTY]]="",NOTA[[#This Row],[HARGA SATUAN]]="",),"",NOTA[[#This Row],[QTY]]*NOTA[[#This Row],[HARGA SATUAN]])</f>
        <v>3000000</v>
      </c>
      <c r="AG188" s="36">
        <f ca="1">IF(NOTA[[#This Row],[ID_H]]="","",INDEX(NOTA[TANGGAL],MATCH(,INDIRECT(ADDRESS(ROW(NOTA[TANGGAL]),COLUMN(NOTA[TANGGAL]))&amp;":"&amp;ADDRESS(ROW(),COLUMN(NOTA[TANGGAL]))),-1)))</f>
        <v>45488</v>
      </c>
      <c r="AH188" s="36">
        <f ca="1">IF(NOTA[[#This Row],[ID_H]]="","",INDEX(NOTA[TGL.NOTA],MATCH(,INDIRECT(ADDRESS(ROW(NOTA[TGL.NOTA]),COLUMN(NOTA[TGL.NOTA]))&amp;":"&amp;ADDRESS(ROW(),COLUMN(NOTA[TGL.NOTA]))),-1)))</f>
        <v>45482</v>
      </c>
      <c r="AI188" s="36" t="str">
        <f ca="1">IF(NOTA[[#This Row],[ID_H]]="","",INDEX(NOTA[NO.NOTA],MATCH(NOTA[[#This Row],[ID_H]],NOTA[ID_H],0)))</f>
        <v>81175/JL/UTM/0724</v>
      </c>
      <c r="AJ188" s="38" t="str">
        <f ca="1">IF(NOTA[[#This Row],[NAMA BARANG]]="","",INDEX(NOTA[SUPPLIER],MATCH(,INDIRECT(ADDRESS(ROW(NOTA[ID]),COLUMN(NOTA[ID]))&amp;":"&amp;ADDRESS(ROW(),COLUMN(NOTA[ID]))),-1)))</f>
        <v>DAVIS MANDIRI GLOBALINDO</v>
      </c>
      <c r="AK188" s="38" t="str">
        <f ca="1">IF(NOTA[[#This Row],[ID_H]]="","",IF(NOTA[[#This Row],[FAKTUR]]="",INDIRECT(ADDRESS(ROW()-1,COLUMN())),NOTA[[#This Row],[FAKTUR]]))</f>
        <v>UNTANA</v>
      </c>
      <c r="AL188" s="35">
        <f ca="1">IF(NOTA[[#This Row],[ID]]="","",COUNTIF(NOTA[ID_H],NOTA[[#This Row],[ID_H]]))</f>
        <v>2</v>
      </c>
      <c r="AM188" s="35">
        <f>IF(NOTA[[#This Row],[TGL.NOTA]]="",IF(NOTA[[#This Row],[SUPPLIER_H]]="","",AM187),MONTH(NOTA[[#This Row],[TGL.NOTA]]))</f>
        <v>7</v>
      </c>
      <c r="AN188" s="35" t="str">
        <f>LOWER(SUBSTITUTE(SUBSTITUTE(SUBSTITUTE(SUBSTITUTE(SUBSTITUTE(SUBSTITUTE(SUBSTITUTE(SUBSTITUTE(SUBSTITUTE(NOTA[[#This Row],[NAMA BARANG]]," ",),".",""),"-",""),"(",""),")",""),",",""),"/",""),"""",""),"+",""))</f>
        <v>tapedispenserisolasits0032</v>
      </c>
      <c r="AO1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tapedispenserisolasits0032300000</v>
      </c>
      <c r="AP1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tapedispenserisolasits0032300000</v>
      </c>
      <c r="AQ188" s="35" t="str">
        <f>IF(NOTA[[#This Row],[SUPPLIER]]="","",NOTA[[#This Row],[SUPPLIER]]&amp;NOTA[[#This Row],[FAKTUR]]&amp;NOTA[[#This Row],[NO.NOTA]]&amp;NOTA[[#This Row],[NO.SJ]]&amp;NOTA[[#This Row],[TGL.NOTA]]&amp;NOTA[[#This Row],[CONCAT1]])</f>
        <v>DAVIS MANDIRI GLOBALINDOUNTANA81175/JL/UTM/072445482tapedispenserisolasits0032</v>
      </c>
      <c r="AR188" s="35">
        <f>IF(NOTA[[#This Row],[CONCAT1]]="","",MATCH(NOTA[[#This Row],[CONCAT1]],[3]!db[NB NOTA_C],0))</f>
        <v>3435</v>
      </c>
      <c r="AS188" s="35" t="b">
        <f>IF(NOTA[[#This Row],[Column5]]="","",TRUE)</f>
        <v>1</v>
      </c>
      <c r="AT188" s="35" t="str">
        <f ca="1">IF(NOTA[[#This Row],[ID_H]]="","",IF(NOTA[[#This Row],[Column3]]=TRUE,NOTA[[#This Row],[Column5]],INDEX([3]!db[QTY/ CTN],NOTA[[#This Row],[//DB]])))</f>
        <v>24 PCS</v>
      </c>
      <c r="AU1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tapedispenserisolasits003224pcsuntana</v>
      </c>
      <c r="AV188" s="35">
        <f ca="1">IF(NOTA[[#This Row],[ID_H]]="","",MATCH(NOTA[[#This Row],[NB NOTA_C_QTY]],[3]!db[NB NOTA_C_QTY+F],0))</f>
        <v>3435</v>
      </c>
      <c r="AW188" s="43">
        <f ca="1">IF(NOTA[[#This Row],[NB NOTA_C_QTY]]="","",ROW()-2)</f>
        <v>186</v>
      </c>
    </row>
    <row r="189" spans="1:49" ht="20.100000000000001" customHeight="1">
      <c r="A1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5">
        <f ca="1">IF(NOTA[[#This Row],[NAMA BARANG]]="","",INDEX(NOTA[ID],MATCH(,INDIRECT(ADDRESS(ROW(NOTA[ID]),COLUMN(NOTA[ID]))&amp;":"&amp;ADDRESS(ROW(),COLUMN(NOTA[ID]))),-1)))</f>
        <v>47</v>
      </c>
      <c r="C189" s="45"/>
      <c r="F189" s="46"/>
      <c r="G189" s="35"/>
      <c r="H189" s="36"/>
      <c r="I189" s="35"/>
      <c r="J189" s="35" t="s">
        <v>368</v>
      </c>
      <c r="K189" s="37">
        <v>5</v>
      </c>
      <c r="L189" s="35">
        <v>1200</v>
      </c>
      <c r="M189" s="35" t="s">
        <v>51</v>
      </c>
      <c r="N189" s="38">
        <v>5500</v>
      </c>
      <c r="O189" s="39"/>
      <c r="P189" s="47" t="s">
        <v>369</v>
      </c>
      <c r="Q189" s="48"/>
      <c r="R189" s="41"/>
      <c r="T189" s="42"/>
      <c r="U189" s="44"/>
      <c r="V189" s="42">
        <f>IF(NOTA[[#This Row],[HARGA/ CTN]]="",NOTA[[#This Row],[JUMLAH_H]],NOTA[[#This Row],[HARGA/ CTN]]*IF(NOTA[[#This Row],[C]]="",0,NOTA[[#This Row],[C]]))</f>
        <v>6600000</v>
      </c>
      <c r="W189" s="42">
        <f>IF(NOTA[[#This Row],[JUMLAH]]="","",NOTA[[#This Row],[JUMLAH]]*NOTA[[#This Row],[Column6]])</f>
        <v>0</v>
      </c>
      <c r="X189" s="42">
        <f>IF(NOTA[[#This Row],[JUMLAH]]="","",(NOTA[[#This Row],[JUMLAH]]-NOTA[[#This Row],[DISC 1-]])*NOTA[[#This Row],[Column7]])</f>
        <v>0</v>
      </c>
      <c r="Y189" s="42">
        <f>IF(NOTA[[#This Row],[JUMLAH]]="","",(NOTA[[#This Row],[JUMLAH]]-NOTA[[#This Row],[DISC 1-]]-NOTA[[#This Row],[DISC 2-]])*NOTA[[#This Row],[Column8]])</f>
        <v>0</v>
      </c>
      <c r="Z189" s="42">
        <f>IF(NOTA[[#This Row],[JUMLAH]]="","",NOTA[[#This Row],[DISC 1-]]+NOTA[[#This Row],[DISC 2-]]+NOTA[[#This Row],[DISC 3-]])</f>
        <v>0</v>
      </c>
      <c r="AA189" s="42">
        <f>IF(NOTA[[#This Row],[JUMLAH]]="","",NOTA[[#This Row],[JUMLAH]]-NOTA[[#This Row],[DISC]])</f>
        <v>6600000</v>
      </c>
      <c r="AB189" s="42"/>
      <c r="AC18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8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9600000</v>
      </c>
      <c r="AE189" s="3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189" s="42">
        <f>IF(OR(NOTA[[#This Row],[QTY]]="",NOTA[[#This Row],[HARGA SATUAN]]="",),"",NOTA[[#This Row],[QTY]]*NOTA[[#This Row],[HARGA SATUAN]])</f>
        <v>6600000</v>
      </c>
      <c r="AG189" s="36">
        <f ca="1">IF(NOTA[[#This Row],[ID_H]]="","",INDEX(NOTA[TANGGAL],MATCH(,INDIRECT(ADDRESS(ROW(NOTA[TANGGAL]),COLUMN(NOTA[TANGGAL]))&amp;":"&amp;ADDRESS(ROW(),COLUMN(NOTA[TANGGAL]))),-1)))</f>
        <v>45488</v>
      </c>
      <c r="AH189" s="36">
        <f ca="1">IF(NOTA[[#This Row],[ID_H]]="","",INDEX(NOTA[TGL.NOTA],MATCH(,INDIRECT(ADDRESS(ROW(NOTA[TGL.NOTA]),COLUMN(NOTA[TGL.NOTA]))&amp;":"&amp;ADDRESS(ROW(),COLUMN(NOTA[TGL.NOTA]))),-1)))</f>
        <v>45482</v>
      </c>
      <c r="AI189" s="36" t="str">
        <f ca="1">IF(NOTA[[#This Row],[ID_H]]="","",INDEX(NOTA[NO.NOTA],MATCH(NOTA[[#This Row],[ID_H]],NOTA[ID_H],0)))</f>
        <v>81175/JL/UTM/0724</v>
      </c>
      <c r="AJ189" s="38" t="str">
        <f ca="1">IF(NOTA[[#This Row],[NAMA BARANG]]="","",INDEX(NOTA[SUPPLIER],MATCH(,INDIRECT(ADDRESS(ROW(NOTA[ID]),COLUMN(NOTA[ID]))&amp;":"&amp;ADDRESS(ROW(),COLUMN(NOTA[ID]))),-1)))</f>
        <v>DAVIS MANDIRI GLOBALINDO</v>
      </c>
      <c r="AK189" s="38" t="str">
        <f ca="1">IF(NOTA[[#This Row],[ID_H]]="","",IF(NOTA[[#This Row],[FAKTUR]]="",INDIRECT(ADDRESS(ROW()-1,COLUMN())),NOTA[[#This Row],[FAKTUR]]))</f>
        <v>UNTANA</v>
      </c>
      <c r="AL189" s="35" t="str">
        <f ca="1">IF(NOTA[[#This Row],[ID]]="","",COUNTIF(NOTA[ID_H],NOTA[[#This Row],[ID_H]]))</f>
        <v/>
      </c>
      <c r="AM189" s="35">
        <f ca="1">IF(NOTA[[#This Row],[TGL.NOTA]]="",IF(NOTA[[#This Row],[SUPPLIER_H]]="","",AM188),MONTH(NOTA[[#This Row],[TGL.NOTA]]))</f>
        <v>7</v>
      </c>
      <c r="AN189" s="35" t="str">
        <f>LOWER(SUBSTITUTE(SUBSTITUTE(SUBSTITUTE(SUBSTITUTE(SUBSTITUTE(SUBSTITUTE(SUBSTITUTE(SUBSTITUTE(SUBSTITUTE(NOTA[[#This Row],[NAMA BARANG]]," ",),".",""),"-",""),"(",""),")",""),",",""),"/",""),"""",""),"+",""))</f>
        <v>cutterl500jz</v>
      </c>
      <c r="AO1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cutterl500jz1320000</v>
      </c>
      <c r="AP1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cutterl500jz1320000</v>
      </c>
      <c r="AQ1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9" s="35">
        <f>IF(NOTA[[#This Row],[CONCAT1]]="","",MATCH(NOTA[[#This Row],[CONCAT1]],[3]!db[NB NOTA_C],0))</f>
        <v>3437</v>
      </c>
      <c r="AS189" s="35" t="b">
        <f>IF(NOTA[[#This Row],[Column5]]="","",TRUE)</f>
        <v>1</v>
      </c>
      <c r="AT189" s="35" t="str">
        <f ca="1">IF(NOTA[[#This Row],[ID_H]]="","",IF(NOTA[[#This Row],[Column3]]=TRUE,NOTA[[#This Row],[Column5]],INDEX([3]!db[QTY/ CTN],NOTA[[#This Row],[//DB]])))</f>
        <v>240 PCS</v>
      </c>
      <c r="AU1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cutterl500jz240pcsuntana</v>
      </c>
      <c r="AV189" s="35">
        <f ca="1">IF(NOTA[[#This Row],[ID_H]]="","",MATCH(NOTA[[#This Row],[NB NOTA_C_QTY]],[3]!db[NB NOTA_C_QTY+F],0))</f>
        <v>3437</v>
      </c>
      <c r="AW189" s="43">
        <f ca="1">IF(NOTA[[#This Row],[NB NOTA_C_QTY]]="","",ROW()-2)</f>
        <v>187</v>
      </c>
    </row>
    <row r="190" spans="1:49" ht="20.100000000000001" customHeight="1">
      <c r="A1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5" t="str">
        <f ca="1">IF(NOTA[[#This Row],[NAMA BARANG]]="","",INDEX(NOTA[ID],MATCH(,INDIRECT(ADDRESS(ROW(NOTA[ID]),COLUMN(NOTA[ID]))&amp;":"&amp;ADDRESS(ROW(),COLUMN(NOTA[ID]))),-1)))</f>
        <v/>
      </c>
      <c r="C190" s="45"/>
      <c r="F190" s="46"/>
      <c r="G190" s="35"/>
      <c r="H190" s="36"/>
      <c r="I190" s="35"/>
      <c r="K190" s="37"/>
      <c r="L190" s="35"/>
      <c r="N190" s="38"/>
      <c r="O190" s="39"/>
      <c r="P190" s="47"/>
      <c r="Q190" s="48"/>
      <c r="R190" s="41"/>
      <c r="T190" s="42"/>
      <c r="U190" s="44"/>
      <c r="V190" s="42" t="str">
        <f>IF(NOTA[[#This Row],[HARGA/ CTN]]="",NOTA[[#This Row],[JUMLAH_H]],NOTA[[#This Row],[HARGA/ CTN]]*IF(NOTA[[#This Row],[C]]="",0,NOTA[[#This Row],[C]]))</f>
        <v/>
      </c>
      <c r="W190" s="42" t="str">
        <f>IF(NOTA[[#This Row],[JUMLAH]]="","",NOTA[[#This Row],[JUMLAH]]*NOTA[[#This Row],[Column6]])</f>
        <v/>
      </c>
      <c r="X190" s="42" t="str">
        <f>IF(NOTA[[#This Row],[JUMLAH]]="","",(NOTA[[#This Row],[JUMLAH]]-NOTA[[#This Row],[DISC 1-]])*NOTA[[#This Row],[Column7]])</f>
        <v/>
      </c>
      <c r="Y190" s="42" t="str">
        <f>IF(NOTA[[#This Row],[JUMLAH]]="","",(NOTA[[#This Row],[JUMLAH]]-NOTA[[#This Row],[DISC 1-]]-NOTA[[#This Row],[DISC 2-]])*NOTA[[#This Row],[Column8]])</f>
        <v/>
      </c>
      <c r="Z190" s="42" t="str">
        <f>IF(NOTA[[#This Row],[JUMLAH]]="","",NOTA[[#This Row],[DISC 1-]]+NOTA[[#This Row],[DISC 2-]]+NOTA[[#This Row],[DISC 3-]])</f>
        <v/>
      </c>
      <c r="AA190" s="42" t="str">
        <f>IF(NOTA[[#This Row],[JUMLAH]]="","",NOTA[[#This Row],[JUMLAH]]-NOTA[[#This Row],[DISC]])</f>
        <v/>
      </c>
      <c r="AB190" s="42"/>
      <c r="AC1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0" s="42" t="str">
        <f>IF(OR(NOTA[[#This Row],[QTY]]="",NOTA[[#This Row],[HARGA SATUAN]]="",),"",NOTA[[#This Row],[QTY]]*NOTA[[#This Row],[HARGA SATUAN]])</f>
        <v/>
      </c>
      <c r="AG190" s="36" t="str">
        <f ca="1">IF(NOTA[[#This Row],[ID_H]]="","",INDEX(NOTA[TANGGAL],MATCH(,INDIRECT(ADDRESS(ROW(NOTA[TANGGAL]),COLUMN(NOTA[TANGGAL]))&amp;":"&amp;ADDRESS(ROW(),COLUMN(NOTA[TANGGAL]))),-1)))</f>
        <v/>
      </c>
      <c r="AH190" s="36" t="str">
        <f ca="1">IF(NOTA[[#This Row],[ID_H]]="","",INDEX(NOTA[TGL.NOTA],MATCH(,INDIRECT(ADDRESS(ROW(NOTA[TGL.NOTA]),COLUMN(NOTA[TGL.NOTA]))&amp;":"&amp;ADDRESS(ROW(),COLUMN(NOTA[TGL.NOTA]))),-1)))</f>
        <v/>
      </c>
      <c r="AI190" s="36" t="str">
        <f ca="1">IF(NOTA[[#This Row],[ID_H]]="","",INDEX(NOTA[NO.NOTA],MATCH(NOTA[[#This Row],[ID_H]],NOTA[ID_H],0)))</f>
        <v/>
      </c>
      <c r="AJ190" s="38" t="str">
        <f ca="1">IF(NOTA[[#This Row],[NAMA BARANG]]="","",INDEX(NOTA[SUPPLIER],MATCH(,INDIRECT(ADDRESS(ROW(NOTA[ID]),COLUMN(NOTA[ID]))&amp;":"&amp;ADDRESS(ROW(),COLUMN(NOTA[ID]))),-1)))</f>
        <v/>
      </c>
      <c r="AK190" s="38" t="str">
        <f ca="1">IF(NOTA[[#This Row],[ID_H]]="","",IF(NOTA[[#This Row],[FAKTUR]]="",INDIRECT(ADDRESS(ROW()-1,COLUMN())),NOTA[[#This Row],[FAKTUR]]))</f>
        <v/>
      </c>
      <c r="AL190" s="35" t="str">
        <f ca="1">IF(NOTA[[#This Row],[ID]]="","",COUNTIF(NOTA[ID_H],NOTA[[#This Row],[ID_H]]))</f>
        <v/>
      </c>
      <c r="AM190" s="35" t="str">
        <f ca="1">IF(NOTA[[#This Row],[TGL.NOTA]]="",IF(NOTA[[#This Row],[SUPPLIER_H]]="","",AM189),MONTH(NOTA[[#This Row],[TGL.NOTA]]))</f>
        <v/>
      </c>
      <c r="AN1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0" s="35" t="str">
        <f>IF(NOTA[[#This Row],[CONCAT1]]="","",MATCH(NOTA[[#This Row],[CONCAT1]],[3]!db[NB NOTA_C],0))</f>
        <v/>
      </c>
      <c r="AS190" s="35" t="str">
        <f>IF(NOTA[[#This Row],[Column5]]="","",TRUE)</f>
        <v/>
      </c>
      <c r="AT190" s="35" t="str">
        <f ca="1">IF(NOTA[[#This Row],[ID_H]]="","",IF(NOTA[[#This Row],[Column3]]=TRUE,NOTA[[#This Row],[Column5]],INDEX([3]!db[QTY/ CTN],NOTA[[#This Row],[//DB]])))</f>
        <v/>
      </c>
      <c r="AU1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0" s="35" t="str">
        <f ca="1">IF(NOTA[[#This Row],[ID_H]]="","",MATCH(NOTA[[#This Row],[NB NOTA_C_QTY]],[3]!db[NB NOTA_C_QTY+F],0))</f>
        <v/>
      </c>
      <c r="AW190" s="43" t="str">
        <f ca="1">IF(NOTA[[#This Row],[NB NOTA_C_QTY]]="","",ROW()-2)</f>
        <v/>
      </c>
    </row>
    <row r="191" spans="1:49" ht="20.100000000000001" customHeight="1">
      <c r="A191" s="38">
        <f ca="1">IF(INDIRECT(ADDRESS(ROW()-1,COLUMN(NOTA[[#Headers],[ID]])))="ID",1,IF(NOTA[[#This Row],[FAKTUR]]="","",COUNT(INDIRECT(ADDRESS(ROW(NOTA[ID]),COLUMN(NOTA[ID]))&amp;":"&amp;ADDRESS(ROW()-1,COLUMN(NOTA[ID]))))+1))</f>
        <v>48</v>
      </c>
      <c r="B191" s="35">
        <f ca="1">IF(NOTA[[#This Row],[NAMA BARANG]]="","",INDEX(NOTA[ID],MATCH(,INDIRECT(ADDRESS(ROW(NOTA[ID]),COLUMN(NOTA[ID]))&amp;":"&amp;ADDRESS(ROW(),COLUMN(NOTA[ID]))),-1)))</f>
        <v>48</v>
      </c>
      <c r="C191" s="45"/>
      <c r="D191" s="35" t="s">
        <v>80</v>
      </c>
      <c r="E191" s="35" t="s">
        <v>49</v>
      </c>
      <c r="F191" s="46" t="s">
        <v>370</v>
      </c>
      <c r="G191" s="35"/>
      <c r="H191" s="36">
        <v>45488</v>
      </c>
      <c r="I191" s="35"/>
      <c r="J191" s="35" t="s">
        <v>259</v>
      </c>
      <c r="K191" s="37"/>
      <c r="L191" s="35">
        <v>10</v>
      </c>
      <c r="M191" s="35" t="s">
        <v>50</v>
      </c>
      <c r="N191" s="38">
        <v>39000</v>
      </c>
      <c r="O191" s="39"/>
      <c r="P191" s="47" t="s">
        <v>374</v>
      </c>
      <c r="Q191" s="48"/>
      <c r="R191" s="41"/>
      <c r="T191" s="42"/>
      <c r="U191" s="44"/>
      <c r="V191" s="42">
        <f>IF(NOTA[[#This Row],[HARGA/ CTN]]="",NOTA[[#This Row],[JUMLAH_H]],NOTA[[#This Row],[HARGA/ CTN]]*IF(NOTA[[#This Row],[C]]="",0,NOTA[[#This Row],[C]]))</f>
        <v>390000</v>
      </c>
      <c r="W191" s="42">
        <f>IF(NOTA[[#This Row],[JUMLAH]]="","",NOTA[[#This Row],[JUMLAH]]*NOTA[[#This Row],[Column6]])</f>
        <v>0</v>
      </c>
      <c r="X191" s="42">
        <f>IF(NOTA[[#This Row],[JUMLAH]]="","",(NOTA[[#This Row],[JUMLAH]]-NOTA[[#This Row],[DISC 1-]])*NOTA[[#This Row],[Column7]])</f>
        <v>0</v>
      </c>
      <c r="Y191" s="42">
        <f>IF(NOTA[[#This Row],[JUMLAH]]="","",(NOTA[[#This Row],[JUMLAH]]-NOTA[[#This Row],[DISC 1-]]-NOTA[[#This Row],[DISC 2-]])*NOTA[[#This Row],[Column8]])</f>
        <v>0</v>
      </c>
      <c r="Z191" s="42">
        <f>IF(NOTA[[#This Row],[JUMLAH]]="","",NOTA[[#This Row],[DISC 1-]]+NOTA[[#This Row],[DISC 2-]]+NOTA[[#This Row],[DISC 3-]])</f>
        <v>0</v>
      </c>
      <c r="AA191" s="42">
        <f>IF(NOTA[[#This Row],[JUMLAH]]="","",NOTA[[#This Row],[JUMLAH]]-NOTA[[#This Row],[DISC]])</f>
        <v>390000</v>
      </c>
      <c r="AB191" s="42"/>
      <c r="AC1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1" s="38">
        <f>IF(NOTA[[#This Row],[NAMA BARANG]]="","",IF(NOTA[[#This Row],[JUMLAH_H]]="",NOTA[[#This Row],[HARGA/ CTN]],NOTA[[#This Row],[QTY]]*NOTA[[#This Row],[HARGA SATUAN]]/IF(ISNUMBER(NOTA[[#This Row],[C]]),NOTA[[#This Row],[C]],1)))</f>
        <v>390000</v>
      </c>
      <c r="AF191" s="42">
        <f>IF(OR(NOTA[[#This Row],[QTY]]="",NOTA[[#This Row],[HARGA SATUAN]]="",),"",NOTA[[#This Row],[QTY]]*NOTA[[#This Row],[HARGA SATUAN]])</f>
        <v>390000</v>
      </c>
      <c r="AG191" s="36">
        <f ca="1">IF(NOTA[[#This Row],[ID_H]]="","",INDEX(NOTA[TANGGAL],MATCH(,INDIRECT(ADDRESS(ROW(NOTA[TANGGAL]),COLUMN(NOTA[TANGGAL]))&amp;":"&amp;ADDRESS(ROW(),COLUMN(NOTA[TANGGAL]))),-1)))</f>
        <v>45488</v>
      </c>
      <c r="AH191" s="36">
        <f ca="1">IF(NOTA[[#This Row],[ID_H]]="","",INDEX(NOTA[TGL.NOTA],MATCH(,INDIRECT(ADDRESS(ROW(NOTA[TGL.NOTA]),COLUMN(NOTA[TGL.NOTA]))&amp;":"&amp;ADDRESS(ROW(),COLUMN(NOTA[TGL.NOTA]))),-1)))</f>
        <v>45488</v>
      </c>
      <c r="AI191" s="36" t="str">
        <f ca="1">IF(NOTA[[#This Row],[ID_H]]="","",INDEX(NOTA[NO.NOTA],MATCH(NOTA[[#This Row],[ID_H]],NOTA[ID_H],0)))</f>
        <v>HN072024183</v>
      </c>
      <c r="AJ191" s="38" t="str">
        <f ca="1">IF(NOTA[[#This Row],[NAMA BARANG]]="","",INDEX(NOTA[SUPPLIER],MATCH(,INDIRECT(ADDRESS(ROW(NOTA[ID]),COLUMN(NOTA[ID]))&amp;":"&amp;ADDRESS(ROW(),COLUMN(NOTA[ID]))),-1)))</f>
        <v>HANSA</v>
      </c>
      <c r="AK191" s="38" t="str">
        <f ca="1">IF(NOTA[[#This Row],[ID_H]]="","",IF(NOTA[[#This Row],[FAKTUR]]="",INDIRECT(ADDRESS(ROW()-1,COLUMN())),NOTA[[#This Row],[FAKTUR]]))</f>
        <v>UNTANA</v>
      </c>
      <c r="AL191" s="35">
        <f ca="1">IF(NOTA[[#This Row],[ID]]="","",COUNTIF(NOTA[ID_H],NOTA[[#This Row],[ID_H]]))</f>
        <v>2</v>
      </c>
      <c r="AM191" s="35">
        <f>IF(NOTA[[#This Row],[TGL.NOTA]]="",IF(NOTA[[#This Row],[SUPPLIER_H]]="","",AM190),MONTH(NOTA[[#This Row],[TGL.NOTA]]))</f>
        <v>7</v>
      </c>
      <c r="AN191" s="35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O1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lilinshintoeng12btg390000</v>
      </c>
      <c r="AP1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lilinshintoeng12btg39000</v>
      </c>
      <c r="AQ191" s="35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HANSAUNTANAHN07202418345488lilinshintoeng12btg</v>
      </c>
      <c r="AR191" s="35">
        <f>IF(NOTA[[#This Row],[CONCAT1]]="","",MATCH(NOTA[[#This Row],[CONCAT1]],[3]!db[NB NOTA_C],0))</f>
        <v>1987</v>
      </c>
      <c r="AS191" s="35" t="b">
        <f>IF(NOTA[[#This Row],[Column5]]="","",TRUE)</f>
        <v>1</v>
      </c>
      <c r="AT191" s="35" t="str">
        <f ca="1">IF(NOTA[[#This Row],[ID_H]]="","",IF(NOTA[[#This Row],[Column3]]=TRUE,NOTA[[#This Row],[Column5]],INDEX([3]!db[QTY/ CTN],NOTA[[#This Row],[//DB]])))</f>
        <v>50 LSN</v>
      </c>
      <c r="AU1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V191" s="35">
        <f ca="1">IF(NOTA[[#This Row],[ID_H]]="","",MATCH(NOTA[[#This Row],[NB NOTA_C_QTY]],[3]!db[NB NOTA_C_QTY+F],0))</f>
        <v>1987</v>
      </c>
      <c r="AW191" s="43">
        <f ca="1">IF(NOTA[[#This Row],[NB NOTA_C_QTY]]="","",ROW()-2)</f>
        <v>189</v>
      </c>
    </row>
    <row r="192" spans="1:49" ht="20.100000000000001" customHeight="1">
      <c r="A1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5">
        <f ca="1">IF(NOTA[[#This Row],[NAMA BARANG]]="","",INDEX(NOTA[ID],MATCH(,INDIRECT(ADDRESS(ROW(NOTA[ID]),COLUMN(NOTA[ID]))&amp;":"&amp;ADDRESS(ROW(),COLUMN(NOTA[ID]))),-1)))</f>
        <v>48</v>
      </c>
      <c r="C192" s="45"/>
      <c r="F192" s="46"/>
      <c r="G192" s="35"/>
      <c r="H192" s="36"/>
      <c r="I192" s="35"/>
      <c r="J192" s="35" t="s">
        <v>260</v>
      </c>
      <c r="K192" s="37"/>
      <c r="L192" s="35">
        <v>10</v>
      </c>
      <c r="M192" s="35" t="s">
        <v>50</v>
      </c>
      <c r="N192" s="38">
        <v>41000</v>
      </c>
      <c r="O192" s="39"/>
      <c r="P192" s="47" t="s">
        <v>413</v>
      </c>
      <c r="Q192" s="48"/>
      <c r="R192" s="41"/>
      <c r="T192" s="42"/>
      <c r="U192" s="44"/>
      <c r="V192" s="42">
        <f>IF(NOTA[[#This Row],[HARGA/ CTN]]="",NOTA[[#This Row],[JUMLAH_H]],NOTA[[#This Row],[HARGA/ CTN]]*IF(NOTA[[#This Row],[C]]="",0,NOTA[[#This Row],[C]]))</f>
        <v>410000</v>
      </c>
      <c r="W192" s="42">
        <f>IF(NOTA[[#This Row],[JUMLAH]]="","",NOTA[[#This Row],[JUMLAH]]*NOTA[[#This Row],[Column6]])</f>
        <v>0</v>
      </c>
      <c r="X192" s="42">
        <f>IF(NOTA[[#This Row],[JUMLAH]]="","",(NOTA[[#This Row],[JUMLAH]]-NOTA[[#This Row],[DISC 1-]])*NOTA[[#This Row],[Column7]])</f>
        <v>0</v>
      </c>
      <c r="Y192" s="42">
        <f>IF(NOTA[[#This Row],[JUMLAH]]="","",(NOTA[[#This Row],[JUMLAH]]-NOTA[[#This Row],[DISC 1-]]-NOTA[[#This Row],[DISC 2-]])*NOTA[[#This Row],[Column8]])</f>
        <v>0</v>
      </c>
      <c r="Z192" s="42">
        <f>IF(NOTA[[#This Row],[JUMLAH]]="","",NOTA[[#This Row],[DISC 1-]]+NOTA[[#This Row],[DISC 2-]]+NOTA[[#This Row],[DISC 3-]])</f>
        <v>0</v>
      </c>
      <c r="AA192" s="42">
        <f>IF(NOTA[[#This Row],[JUMLAH]]="","",NOTA[[#This Row],[JUMLAH]]-NOTA[[#This Row],[DISC]])</f>
        <v>410000</v>
      </c>
      <c r="AB192" s="42"/>
      <c r="AC19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19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800000</v>
      </c>
      <c r="AE192" s="38">
        <f>IF(NOTA[[#This Row],[NAMA BARANG]]="","",IF(NOTA[[#This Row],[JUMLAH_H]]="",NOTA[[#This Row],[HARGA/ CTN]],NOTA[[#This Row],[QTY]]*NOTA[[#This Row],[HARGA SATUAN]]/IF(ISNUMBER(NOTA[[#This Row],[C]]),NOTA[[#This Row],[C]],1)))</f>
        <v>410000</v>
      </c>
      <c r="AF192" s="42">
        <f>IF(OR(NOTA[[#This Row],[QTY]]="",NOTA[[#This Row],[HARGA SATUAN]]="",),"",NOTA[[#This Row],[QTY]]*NOTA[[#This Row],[HARGA SATUAN]])</f>
        <v>410000</v>
      </c>
      <c r="AG192" s="36">
        <f ca="1">IF(NOTA[[#This Row],[ID_H]]="","",INDEX(NOTA[TANGGAL],MATCH(,INDIRECT(ADDRESS(ROW(NOTA[TANGGAL]),COLUMN(NOTA[TANGGAL]))&amp;":"&amp;ADDRESS(ROW(),COLUMN(NOTA[TANGGAL]))),-1)))</f>
        <v>45488</v>
      </c>
      <c r="AH192" s="36">
        <f ca="1">IF(NOTA[[#This Row],[ID_H]]="","",INDEX(NOTA[TGL.NOTA],MATCH(,INDIRECT(ADDRESS(ROW(NOTA[TGL.NOTA]),COLUMN(NOTA[TGL.NOTA]))&amp;":"&amp;ADDRESS(ROW(),COLUMN(NOTA[TGL.NOTA]))),-1)))</f>
        <v>45488</v>
      </c>
      <c r="AI192" s="36" t="str">
        <f ca="1">IF(NOTA[[#This Row],[ID_H]]="","",INDEX(NOTA[NO.NOTA],MATCH(NOTA[[#This Row],[ID_H]],NOTA[ID_H],0)))</f>
        <v>HN072024183</v>
      </c>
      <c r="AJ192" s="38" t="str">
        <f ca="1">IF(NOTA[[#This Row],[NAMA BARANG]]="","",INDEX(NOTA[SUPPLIER],MATCH(,INDIRECT(ADDRESS(ROW(NOTA[ID]),COLUMN(NOTA[ID]))&amp;":"&amp;ADDRESS(ROW(),COLUMN(NOTA[ID]))),-1)))</f>
        <v>HANSA</v>
      </c>
      <c r="AK192" s="38" t="str">
        <f ca="1">IF(NOTA[[#This Row],[ID_H]]="","",IF(NOTA[[#This Row],[FAKTUR]]="",INDIRECT(ADDRESS(ROW()-1,COLUMN())),NOTA[[#This Row],[FAKTUR]]))</f>
        <v>UNTANA</v>
      </c>
      <c r="AL192" s="35" t="str">
        <f ca="1">IF(NOTA[[#This Row],[ID]]="","",COUNTIF(NOTA[ID_H],NOTA[[#This Row],[ID_H]]))</f>
        <v/>
      </c>
      <c r="AM192" s="35">
        <f ca="1">IF(NOTA[[#This Row],[TGL.NOTA]]="",IF(NOTA[[#This Row],[SUPPLIER_H]]="","",AM191),MONTH(NOTA[[#This Row],[TGL.NOTA]]))</f>
        <v>7</v>
      </c>
      <c r="AN192" s="35" t="str">
        <f>LOWER(SUBSTITUTE(SUBSTITUTE(SUBSTITUTE(SUBSTITUTE(SUBSTITUTE(SUBSTITUTE(SUBSTITUTE(SUBSTITUTE(SUBSTITUTE(NOTA[[#This Row],[NAMA BARANG]]," ",),".",""),"-",""),"(",""),")",""),",",""),"/",""),"""",""),"+",""))</f>
        <v>lilinshintoeng24btg</v>
      </c>
      <c r="AO1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lilinshintoeng24btg410000</v>
      </c>
      <c r="AP1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lilinshintoeng24btg41000</v>
      </c>
      <c r="AQ1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2" s="35">
        <f>IF(NOTA[[#This Row],[CONCAT1]]="","",MATCH(NOTA[[#This Row],[CONCAT1]],[3]!db[NB NOTA_C],0))</f>
        <v>1988</v>
      </c>
      <c r="AS192" s="35" t="b">
        <f>IF(NOTA[[#This Row],[Column5]]="","",TRUE)</f>
        <v>1</v>
      </c>
      <c r="AT192" s="35" t="str">
        <f ca="1">IF(NOTA[[#This Row],[ID_H]]="","",IF(NOTA[[#This Row],[Column3]]=TRUE,NOTA[[#This Row],[Column5]],INDEX([3]!db[QTY/ CTN],NOTA[[#This Row],[//DB]])))</f>
        <v>40 LSN</v>
      </c>
      <c r="AU1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V192" s="35">
        <f ca="1">IF(NOTA[[#This Row],[ID_H]]="","",MATCH(NOTA[[#This Row],[NB NOTA_C_QTY]],[3]!db[NB NOTA_C_QTY+F],0))</f>
        <v>1988</v>
      </c>
      <c r="AW192" s="43">
        <f ca="1">IF(NOTA[[#This Row],[NB NOTA_C_QTY]]="","",ROW()-2)</f>
        <v>190</v>
      </c>
    </row>
    <row r="193" spans="1:49" ht="20.100000000000001" customHeight="1">
      <c r="A1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5" t="str">
        <f ca="1">IF(NOTA[[#This Row],[NAMA BARANG]]="","",INDEX(NOTA[ID],MATCH(,INDIRECT(ADDRESS(ROW(NOTA[ID]),COLUMN(NOTA[ID]))&amp;":"&amp;ADDRESS(ROW(),COLUMN(NOTA[ID]))),-1)))</f>
        <v/>
      </c>
      <c r="C193" s="45"/>
      <c r="F193" s="46"/>
      <c r="G193" s="35"/>
      <c r="H193" s="36"/>
      <c r="I193" s="35"/>
      <c r="K193" s="37"/>
      <c r="L193" s="35"/>
      <c r="N193" s="38"/>
      <c r="O193" s="39"/>
      <c r="P193" s="47"/>
      <c r="Q193" s="48"/>
      <c r="R193" s="41"/>
      <c r="T193" s="42"/>
      <c r="U193" s="44"/>
      <c r="V193" s="42" t="str">
        <f>IF(NOTA[[#This Row],[HARGA/ CTN]]="",NOTA[[#This Row],[JUMLAH_H]],NOTA[[#This Row],[HARGA/ CTN]]*IF(NOTA[[#This Row],[C]]="",0,NOTA[[#This Row],[C]]))</f>
        <v/>
      </c>
      <c r="W193" s="42" t="str">
        <f>IF(NOTA[[#This Row],[JUMLAH]]="","",NOTA[[#This Row],[JUMLAH]]*NOTA[[#This Row],[Column6]])</f>
        <v/>
      </c>
      <c r="X193" s="42" t="str">
        <f>IF(NOTA[[#This Row],[JUMLAH]]="","",(NOTA[[#This Row],[JUMLAH]]-NOTA[[#This Row],[DISC 1-]])*NOTA[[#This Row],[Column7]])</f>
        <v/>
      </c>
      <c r="Y193" s="42" t="str">
        <f>IF(NOTA[[#This Row],[JUMLAH]]="","",(NOTA[[#This Row],[JUMLAH]]-NOTA[[#This Row],[DISC 1-]]-NOTA[[#This Row],[DISC 2-]])*NOTA[[#This Row],[Column8]])</f>
        <v/>
      </c>
      <c r="Z193" s="42" t="str">
        <f>IF(NOTA[[#This Row],[JUMLAH]]="","",NOTA[[#This Row],[DISC 1-]]+NOTA[[#This Row],[DISC 2-]]+NOTA[[#This Row],[DISC 3-]])</f>
        <v/>
      </c>
      <c r="AA193" s="42" t="str">
        <f>IF(NOTA[[#This Row],[JUMLAH]]="","",NOTA[[#This Row],[JUMLAH]]-NOTA[[#This Row],[DISC]])</f>
        <v/>
      </c>
      <c r="AB193" s="42"/>
      <c r="AC1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3" s="42" t="str">
        <f>IF(OR(NOTA[[#This Row],[QTY]]="",NOTA[[#This Row],[HARGA SATUAN]]="",),"",NOTA[[#This Row],[QTY]]*NOTA[[#This Row],[HARGA SATUAN]])</f>
        <v/>
      </c>
      <c r="AG193" s="36" t="str">
        <f ca="1">IF(NOTA[[#This Row],[ID_H]]="","",INDEX(NOTA[TANGGAL],MATCH(,INDIRECT(ADDRESS(ROW(NOTA[TANGGAL]),COLUMN(NOTA[TANGGAL]))&amp;":"&amp;ADDRESS(ROW(),COLUMN(NOTA[TANGGAL]))),-1)))</f>
        <v/>
      </c>
      <c r="AH193" s="36" t="str">
        <f ca="1">IF(NOTA[[#This Row],[ID_H]]="","",INDEX(NOTA[TGL.NOTA],MATCH(,INDIRECT(ADDRESS(ROW(NOTA[TGL.NOTA]),COLUMN(NOTA[TGL.NOTA]))&amp;":"&amp;ADDRESS(ROW(),COLUMN(NOTA[TGL.NOTA]))),-1)))</f>
        <v/>
      </c>
      <c r="AI193" s="36" t="str">
        <f ca="1">IF(NOTA[[#This Row],[ID_H]]="","",INDEX(NOTA[NO.NOTA],MATCH(NOTA[[#This Row],[ID_H]],NOTA[ID_H],0)))</f>
        <v/>
      </c>
      <c r="AJ193" s="38" t="str">
        <f ca="1">IF(NOTA[[#This Row],[NAMA BARANG]]="","",INDEX(NOTA[SUPPLIER],MATCH(,INDIRECT(ADDRESS(ROW(NOTA[ID]),COLUMN(NOTA[ID]))&amp;":"&amp;ADDRESS(ROW(),COLUMN(NOTA[ID]))),-1)))</f>
        <v/>
      </c>
      <c r="AK193" s="38" t="str">
        <f ca="1">IF(NOTA[[#This Row],[ID_H]]="","",IF(NOTA[[#This Row],[FAKTUR]]="",INDIRECT(ADDRESS(ROW()-1,COLUMN())),NOTA[[#This Row],[FAKTUR]]))</f>
        <v/>
      </c>
      <c r="AL193" s="35" t="str">
        <f ca="1">IF(NOTA[[#This Row],[ID]]="","",COUNTIF(NOTA[ID_H],NOTA[[#This Row],[ID_H]]))</f>
        <v/>
      </c>
      <c r="AM193" s="35" t="str">
        <f ca="1">IF(NOTA[[#This Row],[TGL.NOTA]]="",IF(NOTA[[#This Row],[SUPPLIER_H]]="","",AM192),MONTH(NOTA[[#This Row],[TGL.NOTA]]))</f>
        <v/>
      </c>
      <c r="AN1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3" s="35" t="str">
        <f>IF(NOTA[[#This Row],[CONCAT1]]="","",MATCH(NOTA[[#This Row],[CONCAT1]],[3]!db[NB NOTA_C],0))</f>
        <v/>
      </c>
      <c r="AS193" s="35" t="str">
        <f>IF(NOTA[[#This Row],[Column5]]="","",TRUE)</f>
        <v/>
      </c>
      <c r="AT193" s="35" t="str">
        <f ca="1">IF(NOTA[[#This Row],[ID_H]]="","",IF(NOTA[[#This Row],[Column3]]=TRUE,NOTA[[#This Row],[Column5]],INDEX([3]!db[QTY/ CTN],NOTA[[#This Row],[//DB]])))</f>
        <v/>
      </c>
      <c r="AU1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3" s="35" t="str">
        <f ca="1">IF(NOTA[[#This Row],[ID_H]]="","",MATCH(NOTA[[#This Row],[NB NOTA_C_QTY]],[3]!db[NB NOTA_C_QTY+F],0))</f>
        <v/>
      </c>
      <c r="AW193" s="43" t="str">
        <f ca="1">IF(NOTA[[#This Row],[NB NOTA_C_QTY]]="","",ROW()-2)</f>
        <v/>
      </c>
    </row>
    <row r="194" spans="1:49" ht="20.100000000000001" customHeight="1">
      <c r="A194" s="38">
        <f ca="1">IF(INDIRECT(ADDRESS(ROW()-1,COLUMN(NOTA[[#Headers],[ID]])))="ID",1,IF(NOTA[[#This Row],[FAKTUR]]="","",COUNT(INDIRECT(ADDRESS(ROW(NOTA[ID]),COLUMN(NOTA[ID]))&amp;":"&amp;ADDRESS(ROW()-1,COLUMN(NOTA[ID]))))+1))</f>
        <v>49</v>
      </c>
      <c r="B194" s="35">
        <f ca="1">IF(NOTA[[#This Row],[NAMA BARANG]]="","",INDEX(NOTA[ID],MATCH(,INDIRECT(ADDRESS(ROW(NOTA[ID]),COLUMN(NOTA[ID]))&amp;":"&amp;ADDRESS(ROW(),COLUMN(NOTA[ID]))),-1)))</f>
        <v>49</v>
      </c>
      <c r="C194" s="45"/>
      <c r="D194" s="35" t="s">
        <v>195</v>
      </c>
      <c r="E194" s="35" t="s">
        <v>49</v>
      </c>
      <c r="F194" s="46" t="s">
        <v>371</v>
      </c>
      <c r="G194" s="35"/>
      <c r="H194" s="36">
        <v>45488</v>
      </c>
      <c r="I194" s="35"/>
      <c r="J194" s="50" t="s">
        <v>372</v>
      </c>
      <c r="K194" s="37">
        <v>5</v>
      </c>
      <c r="L194" s="35">
        <v>250</v>
      </c>
      <c r="M194" s="35" t="s">
        <v>50</v>
      </c>
      <c r="N194" s="38">
        <v>25000</v>
      </c>
      <c r="O194" s="39"/>
      <c r="P194" s="47" t="s">
        <v>374</v>
      </c>
      <c r="Q194" s="48">
        <v>0.1</v>
      </c>
      <c r="R194" s="41"/>
      <c r="T194" s="42"/>
      <c r="U194" s="44"/>
      <c r="V194" s="42">
        <f>IF(NOTA[[#This Row],[HARGA/ CTN]]="",NOTA[[#This Row],[JUMLAH_H]],NOTA[[#This Row],[HARGA/ CTN]]*IF(NOTA[[#This Row],[C]]="",0,NOTA[[#This Row],[C]]))</f>
        <v>6250000</v>
      </c>
      <c r="W194" s="42">
        <f>IF(NOTA[[#This Row],[JUMLAH]]="","",NOTA[[#This Row],[JUMLAH]]*NOTA[[#This Row],[Column6]])</f>
        <v>625000</v>
      </c>
      <c r="X194" s="42">
        <f>IF(NOTA[[#This Row],[JUMLAH]]="","",(NOTA[[#This Row],[JUMLAH]]-NOTA[[#This Row],[DISC 1-]])*NOTA[[#This Row],[Column7]])</f>
        <v>0</v>
      </c>
      <c r="Y194" s="42">
        <f>IF(NOTA[[#This Row],[JUMLAH]]="","",(NOTA[[#This Row],[JUMLAH]]-NOTA[[#This Row],[DISC 1-]]-NOTA[[#This Row],[DISC 2-]])*NOTA[[#This Row],[Column8]])</f>
        <v>0</v>
      </c>
      <c r="Z194" s="42">
        <f>IF(NOTA[[#This Row],[JUMLAH]]="","",NOTA[[#This Row],[DISC 1-]]+NOTA[[#This Row],[DISC 2-]]+NOTA[[#This Row],[DISC 3-]])</f>
        <v>625000</v>
      </c>
      <c r="AA194" s="42">
        <f>IF(NOTA[[#This Row],[JUMLAH]]="","",NOTA[[#This Row],[JUMLAH]]-NOTA[[#This Row],[DISC]])</f>
        <v>5625000</v>
      </c>
      <c r="AB194" s="42"/>
      <c r="AC1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4" s="3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194" s="42">
        <f>IF(OR(NOTA[[#This Row],[QTY]]="",NOTA[[#This Row],[HARGA SATUAN]]="",),"",NOTA[[#This Row],[QTY]]*NOTA[[#This Row],[HARGA SATUAN]])</f>
        <v>6250000</v>
      </c>
      <c r="AG194" s="36">
        <f ca="1">IF(NOTA[[#This Row],[ID_H]]="","",INDEX(NOTA[TANGGAL],MATCH(,INDIRECT(ADDRESS(ROW(NOTA[TANGGAL]),COLUMN(NOTA[TANGGAL]))&amp;":"&amp;ADDRESS(ROW(),COLUMN(NOTA[TANGGAL]))),-1)))</f>
        <v>45488</v>
      </c>
      <c r="AH194" s="36">
        <f ca="1">IF(NOTA[[#This Row],[ID_H]]="","",INDEX(NOTA[TGL.NOTA],MATCH(,INDIRECT(ADDRESS(ROW(NOTA[TGL.NOTA]),COLUMN(NOTA[TGL.NOTA]))&amp;":"&amp;ADDRESS(ROW(),COLUMN(NOTA[TGL.NOTA]))),-1)))</f>
        <v>45488</v>
      </c>
      <c r="AI194" s="36" t="str">
        <f ca="1">IF(NOTA[[#This Row],[ID_H]]="","",INDEX(NOTA[NO.NOTA],MATCH(NOTA[[#This Row],[ID_H]],NOTA[ID_H],0)))</f>
        <v>I13</v>
      </c>
      <c r="AJ194" s="38" t="str">
        <f ca="1">IF(NOTA[[#This Row],[NAMA BARANG]]="","",INDEX(NOTA[SUPPLIER],MATCH(,INDIRECT(ADDRESS(ROW(NOTA[ID]),COLUMN(NOTA[ID]))&amp;":"&amp;ADDRESS(ROW(),COLUMN(NOTA[ID]))),-1)))</f>
        <v>ALPINDO</v>
      </c>
      <c r="AK194" s="38" t="str">
        <f ca="1">IF(NOTA[[#This Row],[ID_H]]="","",IF(NOTA[[#This Row],[FAKTUR]]="",INDIRECT(ADDRESS(ROW()-1,COLUMN())),NOTA[[#This Row],[FAKTUR]]))</f>
        <v>UNTANA</v>
      </c>
      <c r="AL194" s="35">
        <f ca="1">IF(NOTA[[#This Row],[ID]]="","",COUNTIF(NOTA[ID_H],NOTA[[#This Row],[ID_H]]))</f>
        <v>2</v>
      </c>
      <c r="AM194" s="35">
        <f>IF(NOTA[[#This Row],[TGL.NOTA]]="",IF(NOTA[[#This Row],[SUPPLIER_H]]="","",AM193),MONTH(NOTA[[#This Row],[TGL.NOTA]]))</f>
        <v>7</v>
      </c>
      <c r="AN194" s="35" t="str">
        <f>LOWER(SUBSTITUTE(SUBSTITUTE(SUBSTITUTE(SUBSTITUTE(SUBSTITUTE(SUBSTITUTE(SUBSTITUTE(SUBSTITUTE(SUBSTITUTE(NOTA[[#This Row],[NAMA BARANG]]," ",),".",""),"-",""),"(",""),")",""),",",""),"/",""),"""",""),"+",""))</f>
        <v>pbagbatiktgtaliputih</v>
      </c>
      <c r="AO1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pbagbatiktgtaliputih12500000,1</v>
      </c>
      <c r="AP1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pbagbatiktgtaliputih12500000,1</v>
      </c>
      <c r="AQ194" s="35" t="str">
        <f>IF(NOTA[[#This Row],[SUPPLIER]]="","",NOTA[[#This Row],[SUPPLIER]]&amp;NOTA[[#This Row],[FAKTUR]]&amp;NOTA[[#This Row],[NO.NOTA]]&amp;NOTA[[#This Row],[NO.SJ]]&amp;NOTA[[#This Row],[TGL.NOTA]]&amp;NOTA[[#This Row],[CONCAT1]])</f>
        <v>ALPINDOUNTANAI1345488pbagbatiktgtaliputih</v>
      </c>
      <c r="AR194" s="35">
        <f>IF(NOTA[[#This Row],[CONCAT1]]="","",MATCH(NOTA[[#This Row],[CONCAT1]],[3]!db[NB NOTA_C],0))</f>
        <v>2295</v>
      </c>
      <c r="AS194" s="35" t="b">
        <f>IF(NOTA[[#This Row],[Column5]]="","",TRUE)</f>
        <v>1</v>
      </c>
      <c r="AT194" s="35" t="str">
        <f ca="1">IF(NOTA[[#This Row],[ID_H]]="","",IF(NOTA[[#This Row],[Column3]]=TRUE,NOTA[[#This Row],[Column5]],INDEX([3]!db[QTY/ CTN],NOTA[[#This Row],[//DB]])))</f>
        <v>50 LSN</v>
      </c>
      <c r="AU1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pbagbatiktgtaliputih50lsnuntana</v>
      </c>
      <c r="AV194" s="35">
        <f ca="1">IF(NOTA[[#This Row],[ID_H]]="","",MATCH(NOTA[[#This Row],[NB NOTA_C_QTY]],[3]!db[NB NOTA_C_QTY+F],0))</f>
        <v>2295</v>
      </c>
      <c r="AW194" s="43">
        <f ca="1">IF(NOTA[[#This Row],[NB NOTA_C_QTY]]="","",ROW()-2)</f>
        <v>192</v>
      </c>
    </row>
    <row r="195" spans="1:49" ht="20.100000000000001" customHeight="1">
      <c r="A1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5">
        <f ca="1">IF(NOTA[[#This Row],[NAMA BARANG]]="","",INDEX(NOTA[ID],MATCH(,INDIRECT(ADDRESS(ROW(NOTA[ID]),COLUMN(NOTA[ID]))&amp;":"&amp;ADDRESS(ROW(),COLUMN(NOTA[ID]))),-1)))</f>
        <v>49</v>
      </c>
      <c r="C195" s="45"/>
      <c r="F195" s="46"/>
      <c r="G195" s="35"/>
      <c r="H195" s="36"/>
      <c r="I195" s="35"/>
      <c r="J195" s="50" t="s">
        <v>373</v>
      </c>
      <c r="K195" s="37">
        <v>5</v>
      </c>
      <c r="L195" s="35">
        <v>250</v>
      </c>
      <c r="M195" s="35" t="s">
        <v>50</v>
      </c>
      <c r="N195" s="38">
        <v>29000</v>
      </c>
      <c r="O195" s="39"/>
      <c r="P195" s="47" t="s">
        <v>374</v>
      </c>
      <c r="Q195" s="48">
        <v>0.1</v>
      </c>
      <c r="R195" s="41"/>
      <c r="T195" s="42"/>
      <c r="U195" s="44"/>
      <c r="V195" s="42">
        <f>IF(NOTA[[#This Row],[HARGA/ CTN]]="",NOTA[[#This Row],[JUMLAH_H]],NOTA[[#This Row],[HARGA/ CTN]]*IF(NOTA[[#This Row],[C]]="",0,NOTA[[#This Row],[C]]))</f>
        <v>7250000</v>
      </c>
      <c r="W195" s="42">
        <f>IF(NOTA[[#This Row],[JUMLAH]]="","",NOTA[[#This Row],[JUMLAH]]*NOTA[[#This Row],[Column6]])</f>
        <v>725000</v>
      </c>
      <c r="X195" s="42">
        <f>IF(NOTA[[#This Row],[JUMLAH]]="","",(NOTA[[#This Row],[JUMLAH]]-NOTA[[#This Row],[DISC 1-]])*NOTA[[#This Row],[Column7]])</f>
        <v>0</v>
      </c>
      <c r="Y195" s="42">
        <f>IF(NOTA[[#This Row],[JUMLAH]]="","",(NOTA[[#This Row],[JUMLAH]]-NOTA[[#This Row],[DISC 1-]]-NOTA[[#This Row],[DISC 2-]])*NOTA[[#This Row],[Column8]])</f>
        <v>0</v>
      </c>
      <c r="Z195" s="42">
        <f>IF(NOTA[[#This Row],[JUMLAH]]="","",NOTA[[#This Row],[DISC 1-]]+NOTA[[#This Row],[DISC 2-]]+NOTA[[#This Row],[DISC 3-]])</f>
        <v>725000</v>
      </c>
      <c r="AA195" s="42">
        <f>IF(NOTA[[#This Row],[JUMLAH]]="","",NOTA[[#This Row],[JUMLAH]]-NOTA[[#This Row],[DISC]])</f>
        <v>6525000</v>
      </c>
      <c r="AB195" s="42"/>
      <c r="AC19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1350000</v>
      </c>
      <c r="AD19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12150000</v>
      </c>
      <c r="AE195" s="38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195" s="42">
        <f>IF(OR(NOTA[[#This Row],[QTY]]="",NOTA[[#This Row],[HARGA SATUAN]]="",),"",NOTA[[#This Row],[QTY]]*NOTA[[#This Row],[HARGA SATUAN]])</f>
        <v>7250000</v>
      </c>
      <c r="AG195" s="36">
        <f ca="1">IF(NOTA[[#This Row],[ID_H]]="","",INDEX(NOTA[TANGGAL],MATCH(,INDIRECT(ADDRESS(ROW(NOTA[TANGGAL]),COLUMN(NOTA[TANGGAL]))&amp;":"&amp;ADDRESS(ROW(),COLUMN(NOTA[TANGGAL]))),-1)))</f>
        <v>45488</v>
      </c>
      <c r="AH195" s="36">
        <f ca="1">IF(NOTA[[#This Row],[ID_H]]="","",INDEX(NOTA[TGL.NOTA],MATCH(,INDIRECT(ADDRESS(ROW(NOTA[TGL.NOTA]),COLUMN(NOTA[TGL.NOTA]))&amp;":"&amp;ADDRESS(ROW(),COLUMN(NOTA[TGL.NOTA]))),-1)))</f>
        <v>45488</v>
      </c>
      <c r="AI195" s="36" t="str">
        <f ca="1">IF(NOTA[[#This Row],[ID_H]]="","",INDEX(NOTA[NO.NOTA],MATCH(NOTA[[#This Row],[ID_H]],NOTA[ID_H],0)))</f>
        <v>I13</v>
      </c>
      <c r="AJ195" s="38" t="str">
        <f ca="1">IF(NOTA[[#This Row],[NAMA BARANG]]="","",INDEX(NOTA[SUPPLIER],MATCH(,INDIRECT(ADDRESS(ROW(NOTA[ID]),COLUMN(NOTA[ID]))&amp;":"&amp;ADDRESS(ROW(),COLUMN(NOTA[ID]))),-1)))</f>
        <v>ALPINDO</v>
      </c>
      <c r="AK195" s="38" t="str">
        <f ca="1">IF(NOTA[[#This Row],[ID_H]]="","",IF(NOTA[[#This Row],[FAKTUR]]="",INDIRECT(ADDRESS(ROW()-1,COLUMN())),NOTA[[#This Row],[FAKTUR]]))</f>
        <v>UNTANA</v>
      </c>
      <c r="AL195" s="35" t="str">
        <f ca="1">IF(NOTA[[#This Row],[ID]]="","",COUNTIF(NOTA[ID_H],NOTA[[#This Row],[ID_H]]))</f>
        <v/>
      </c>
      <c r="AM195" s="35">
        <f ca="1">IF(NOTA[[#This Row],[TGL.NOTA]]="",IF(NOTA[[#This Row],[SUPPLIER_H]]="","",AM194),MONTH(NOTA[[#This Row],[TGL.NOTA]]))</f>
        <v>7</v>
      </c>
      <c r="AN195" s="35" t="str">
        <f>LOWER(SUBSTITUTE(SUBSTITUTE(SUBSTITUTE(SUBSTITUTE(SUBSTITUTE(SUBSTITUTE(SUBSTITUTE(SUBSTITUTE(SUBSTITUTE(NOTA[[#This Row],[NAMA BARANG]]," ",),".",""),"-",""),"(",""),")",""),",",""),"/",""),"""",""),"+",""))</f>
        <v>pbagbatikbtaliputih</v>
      </c>
      <c r="AO1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pbagbatikbtaliputih14500000,1</v>
      </c>
      <c r="AP1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pbagbatikbtaliputih14500000,1</v>
      </c>
      <c r="AQ1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5" s="35">
        <f>IF(NOTA[[#This Row],[CONCAT1]]="","",MATCH(NOTA[[#This Row],[CONCAT1]],[3]!db[NB NOTA_C],0))</f>
        <v>2291</v>
      </c>
      <c r="AS195" s="35" t="b">
        <f>IF(NOTA[[#This Row],[Column5]]="","",TRUE)</f>
        <v>1</v>
      </c>
      <c r="AT195" s="35" t="str">
        <f ca="1">IF(NOTA[[#This Row],[ID_H]]="","",IF(NOTA[[#This Row],[Column3]]=TRUE,NOTA[[#This Row],[Column5]],INDEX([3]!db[QTY/ CTN],NOTA[[#This Row],[//DB]])))</f>
        <v>50 LSN</v>
      </c>
      <c r="AU1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pbagbatikbtaliputih50lsnuntana</v>
      </c>
      <c r="AV195" s="35">
        <f ca="1">IF(NOTA[[#This Row],[ID_H]]="","",MATCH(NOTA[[#This Row],[NB NOTA_C_QTY]],[3]!db[NB NOTA_C_QTY+F],0))</f>
        <v>2291</v>
      </c>
      <c r="AW195" s="43">
        <f ca="1">IF(NOTA[[#This Row],[NB NOTA_C_QTY]]="","",ROW()-2)</f>
        <v>193</v>
      </c>
    </row>
    <row r="196" spans="1:49" ht="20.100000000000001" customHeight="1">
      <c r="A1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5" t="str">
        <f ca="1">IF(NOTA[[#This Row],[NAMA BARANG]]="","",INDEX(NOTA[ID],MATCH(,INDIRECT(ADDRESS(ROW(NOTA[ID]),COLUMN(NOTA[ID]))&amp;":"&amp;ADDRESS(ROW(),COLUMN(NOTA[ID]))),-1)))</f>
        <v/>
      </c>
      <c r="C196" s="45"/>
      <c r="F196" s="46"/>
      <c r="G196" s="35"/>
      <c r="H196" s="36"/>
      <c r="I196" s="35"/>
      <c r="K196" s="37"/>
      <c r="L196" s="35"/>
      <c r="N196" s="38"/>
      <c r="O196" s="39"/>
      <c r="P196" s="47"/>
      <c r="Q196" s="48"/>
      <c r="R196" s="41"/>
      <c r="T196" s="42"/>
      <c r="U196" s="44"/>
      <c r="V196" s="42" t="str">
        <f>IF(NOTA[[#This Row],[HARGA/ CTN]]="",NOTA[[#This Row],[JUMLAH_H]],NOTA[[#This Row],[HARGA/ CTN]]*IF(NOTA[[#This Row],[C]]="",0,NOTA[[#This Row],[C]]))</f>
        <v/>
      </c>
      <c r="W196" s="42" t="str">
        <f>IF(NOTA[[#This Row],[JUMLAH]]="","",NOTA[[#This Row],[JUMLAH]]*NOTA[[#This Row],[Column6]])</f>
        <v/>
      </c>
      <c r="X196" s="42" t="str">
        <f>IF(NOTA[[#This Row],[JUMLAH]]="","",(NOTA[[#This Row],[JUMLAH]]-NOTA[[#This Row],[DISC 1-]])*NOTA[[#This Row],[Column7]])</f>
        <v/>
      </c>
      <c r="Y196" s="42" t="str">
        <f>IF(NOTA[[#This Row],[JUMLAH]]="","",(NOTA[[#This Row],[JUMLAH]]-NOTA[[#This Row],[DISC 1-]]-NOTA[[#This Row],[DISC 2-]])*NOTA[[#This Row],[Column8]])</f>
        <v/>
      </c>
      <c r="Z196" s="42" t="str">
        <f>IF(NOTA[[#This Row],[JUMLAH]]="","",NOTA[[#This Row],[DISC 1-]]+NOTA[[#This Row],[DISC 2-]]+NOTA[[#This Row],[DISC 3-]])</f>
        <v/>
      </c>
      <c r="AA196" s="42" t="str">
        <f>IF(NOTA[[#This Row],[JUMLAH]]="","",NOTA[[#This Row],[JUMLAH]]-NOTA[[#This Row],[DISC]])</f>
        <v/>
      </c>
      <c r="AB196" s="42"/>
      <c r="AC1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42" t="str">
        <f>IF(OR(NOTA[[#This Row],[QTY]]="",NOTA[[#This Row],[HARGA SATUAN]]="",),"",NOTA[[#This Row],[QTY]]*NOTA[[#This Row],[HARGA SATUAN]])</f>
        <v/>
      </c>
      <c r="AG196" s="36" t="str">
        <f ca="1">IF(NOTA[[#This Row],[ID_H]]="","",INDEX(NOTA[TANGGAL],MATCH(,INDIRECT(ADDRESS(ROW(NOTA[TANGGAL]),COLUMN(NOTA[TANGGAL]))&amp;":"&amp;ADDRESS(ROW(),COLUMN(NOTA[TANGGAL]))),-1)))</f>
        <v/>
      </c>
      <c r="AH196" s="36" t="str">
        <f ca="1">IF(NOTA[[#This Row],[ID_H]]="","",INDEX(NOTA[TGL.NOTA],MATCH(,INDIRECT(ADDRESS(ROW(NOTA[TGL.NOTA]),COLUMN(NOTA[TGL.NOTA]))&amp;":"&amp;ADDRESS(ROW(),COLUMN(NOTA[TGL.NOTA]))),-1)))</f>
        <v/>
      </c>
      <c r="AI196" s="36" t="str">
        <f ca="1">IF(NOTA[[#This Row],[ID_H]]="","",INDEX(NOTA[NO.NOTA],MATCH(NOTA[[#This Row],[ID_H]],NOTA[ID_H],0)))</f>
        <v/>
      </c>
      <c r="AJ196" s="38" t="str">
        <f ca="1">IF(NOTA[[#This Row],[NAMA BARANG]]="","",INDEX(NOTA[SUPPLIER],MATCH(,INDIRECT(ADDRESS(ROW(NOTA[ID]),COLUMN(NOTA[ID]))&amp;":"&amp;ADDRESS(ROW(),COLUMN(NOTA[ID]))),-1)))</f>
        <v/>
      </c>
      <c r="AK196" s="38" t="str">
        <f ca="1">IF(NOTA[[#This Row],[ID_H]]="","",IF(NOTA[[#This Row],[FAKTUR]]="",INDIRECT(ADDRESS(ROW()-1,COLUMN())),NOTA[[#This Row],[FAKTUR]]))</f>
        <v/>
      </c>
      <c r="AL196" s="35" t="str">
        <f ca="1">IF(NOTA[[#This Row],[ID]]="","",COUNTIF(NOTA[ID_H],NOTA[[#This Row],[ID_H]]))</f>
        <v/>
      </c>
      <c r="AM196" s="35" t="str">
        <f ca="1">IF(NOTA[[#This Row],[TGL.NOTA]]="",IF(NOTA[[#This Row],[SUPPLIER_H]]="","",AM195),MONTH(NOTA[[#This Row],[TGL.NOTA]]))</f>
        <v/>
      </c>
      <c r="AN1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6" s="35" t="str">
        <f>IF(NOTA[[#This Row],[CONCAT1]]="","",MATCH(NOTA[[#This Row],[CONCAT1]],[3]!db[NB NOTA_C],0))</f>
        <v/>
      </c>
      <c r="AS196" s="35" t="str">
        <f>IF(NOTA[[#This Row],[Column5]]="","",TRUE)</f>
        <v/>
      </c>
      <c r="AT196" s="35" t="str">
        <f ca="1">IF(NOTA[[#This Row],[ID_H]]="","",IF(NOTA[[#This Row],[Column3]]=TRUE,NOTA[[#This Row],[Column5]],INDEX([3]!db[QTY/ CTN],NOTA[[#This Row],[//DB]])))</f>
        <v/>
      </c>
      <c r="AU1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6" s="35" t="str">
        <f ca="1">IF(NOTA[[#This Row],[ID_H]]="","",MATCH(NOTA[[#This Row],[NB NOTA_C_QTY]],[3]!db[NB NOTA_C_QTY+F],0))</f>
        <v/>
      </c>
      <c r="AW196" s="43" t="str">
        <f ca="1">IF(NOTA[[#This Row],[NB NOTA_C_QTY]]="","",ROW()-2)</f>
        <v/>
      </c>
    </row>
    <row r="197" spans="1:49" ht="20.100000000000001" customHeight="1">
      <c r="A197" s="38">
        <f ca="1">IF(INDIRECT(ADDRESS(ROW()-1,COLUMN(NOTA[[#Headers],[ID]])))="ID",1,IF(NOTA[[#This Row],[FAKTUR]]="","",COUNT(INDIRECT(ADDRESS(ROW(NOTA[ID]),COLUMN(NOTA[ID]))&amp;":"&amp;ADDRESS(ROW()-1,COLUMN(NOTA[ID]))))+1))</f>
        <v>50</v>
      </c>
      <c r="B197" s="35">
        <f ca="1">IF(NOTA[[#This Row],[NAMA BARANG]]="","",INDEX(NOTA[ID],MATCH(,INDIRECT(ADDRESS(ROW(NOTA[ID]),COLUMN(NOTA[ID]))&amp;":"&amp;ADDRESS(ROW(),COLUMN(NOTA[ID]))),-1)))</f>
        <v>50</v>
      </c>
      <c r="C197" s="45">
        <v>45490</v>
      </c>
      <c r="D197" s="35" t="s">
        <v>245</v>
      </c>
      <c r="E197" s="35" t="s">
        <v>49</v>
      </c>
      <c r="F197" s="46" t="s">
        <v>375</v>
      </c>
      <c r="G197" s="35"/>
      <c r="H197" s="36">
        <v>45488</v>
      </c>
      <c r="I197" s="35"/>
      <c r="J197" s="35" t="s">
        <v>247</v>
      </c>
      <c r="K197" s="37">
        <v>10</v>
      </c>
      <c r="L197" s="35">
        <v>1000</v>
      </c>
      <c r="M197" s="35" t="s">
        <v>50</v>
      </c>
      <c r="N197" s="38">
        <v>26780</v>
      </c>
      <c r="O197" s="39"/>
      <c r="P197" s="47" t="s">
        <v>248</v>
      </c>
      <c r="Q197" s="48">
        <v>0.2</v>
      </c>
      <c r="R197" s="41">
        <v>0.04</v>
      </c>
      <c r="T197" s="42"/>
      <c r="U197" s="44"/>
      <c r="V197" s="42">
        <f>IF(NOTA[[#This Row],[HARGA/ CTN]]="",NOTA[[#This Row],[JUMLAH_H]],NOTA[[#This Row],[HARGA/ CTN]]*IF(NOTA[[#This Row],[C]]="",0,NOTA[[#This Row],[C]]))</f>
        <v>26780000</v>
      </c>
      <c r="W197" s="42">
        <f>IF(NOTA[[#This Row],[JUMLAH]]="","",NOTA[[#This Row],[JUMLAH]]*NOTA[[#This Row],[Column6]])</f>
        <v>5356000</v>
      </c>
      <c r="X197" s="42">
        <f>IF(NOTA[[#This Row],[JUMLAH]]="","",(NOTA[[#This Row],[JUMLAH]]-NOTA[[#This Row],[DISC 1-]])*NOTA[[#This Row],[Column7]])</f>
        <v>856960</v>
      </c>
      <c r="Y197" s="42">
        <f>IF(NOTA[[#This Row],[JUMLAH]]="","",(NOTA[[#This Row],[JUMLAH]]-NOTA[[#This Row],[DISC 1-]]-NOTA[[#This Row],[DISC 2-]])*NOTA[[#This Row],[Column8]])</f>
        <v>0</v>
      </c>
      <c r="Z197" s="42">
        <f>IF(NOTA[[#This Row],[JUMLAH]]="","",NOTA[[#This Row],[DISC 1-]]+NOTA[[#This Row],[DISC 2-]]+NOTA[[#This Row],[DISC 3-]])</f>
        <v>6212960</v>
      </c>
      <c r="AA197" s="42">
        <f>IF(NOTA[[#This Row],[JUMLAH]]="","",NOTA[[#This Row],[JUMLAH]]-NOTA[[#This Row],[DISC]])</f>
        <v>20567040</v>
      </c>
      <c r="AB197" s="42"/>
      <c r="AC19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6212960</v>
      </c>
      <c r="AD19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20567040</v>
      </c>
      <c r="AE197" s="38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197" s="42">
        <f>IF(OR(NOTA[[#This Row],[QTY]]="",NOTA[[#This Row],[HARGA SATUAN]]="",),"",NOTA[[#This Row],[QTY]]*NOTA[[#This Row],[HARGA SATUAN]])</f>
        <v>26780000</v>
      </c>
      <c r="AG197" s="36">
        <f ca="1">IF(NOTA[[#This Row],[ID_H]]="","",INDEX(NOTA[TANGGAL],MATCH(,INDIRECT(ADDRESS(ROW(NOTA[TANGGAL]),COLUMN(NOTA[TANGGAL]))&amp;":"&amp;ADDRESS(ROW(),COLUMN(NOTA[TANGGAL]))),-1)))</f>
        <v>45490</v>
      </c>
      <c r="AH197" s="36">
        <f ca="1">IF(NOTA[[#This Row],[ID_H]]="","",INDEX(NOTA[TGL.NOTA],MATCH(,INDIRECT(ADDRESS(ROW(NOTA[TGL.NOTA]),COLUMN(NOTA[TGL.NOTA]))&amp;":"&amp;ADDRESS(ROW(),COLUMN(NOTA[TGL.NOTA]))),-1)))</f>
        <v>45488</v>
      </c>
      <c r="AI197" s="36" t="str">
        <f ca="1">IF(NOTA[[#This Row],[ID_H]]="","",INDEX(NOTA[NO.NOTA],MATCH(NOTA[[#This Row],[ID_H]],NOTA[ID_H],0)))</f>
        <v>0264/HW/VII/24</v>
      </c>
      <c r="AJ197" s="38" t="str">
        <f ca="1">IF(NOTA[[#This Row],[NAMA BARANG]]="","",INDEX(NOTA[SUPPLIER],MATCH(,INDIRECT(ADDRESS(ROW(NOTA[ID]),COLUMN(NOTA[ID]))&amp;":"&amp;ADDRESS(ROW(),COLUMN(NOTA[ID]))),-1)))</f>
        <v>PPW</v>
      </c>
      <c r="AK197" s="38" t="str">
        <f ca="1">IF(NOTA[[#This Row],[ID_H]]="","",IF(NOTA[[#This Row],[FAKTUR]]="",INDIRECT(ADDRESS(ROW()-1,COLUMN())),NOTA[[#This Row],[FAKTUR]]))</f>
        <v>UNTANA</v>
      </c>
      <c r="AL197" s="35">
        <f ca="1">IF(NOTA[[#This Row],[ID]]="","",COUNTIF(NOTA[ID_H],NOTA[[#This Row],[ID_H]]))</f>
        <v>1</v>
      </c>
      <c r="AM197" s="35">
        <f>IF(NOTA[[#This Row],[TGL.NOTA]]="",IF(NOTA[[#This Row],[SUPPLIER_H]]="","",AM196),MONTH(NOTA[[#This Row],[TGL.NOTA]]))</f>
        <v>7</v>
      </c>
      <c r="AN197" s="3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O1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bt30cm26780000,20,04</v>
      </c>
      <c r="AP1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bt30cm26780000,20,04</v>
      </c>
      <c r="AQ197" s="35" t="str">
        <f>IF(NOTA[[#This Row],[SUPPLIER]]="","",NOTA[[#This Row],[SUPPLIER]]&amp;NOTA[[#This Row],[FAKTUR]]&amp;NOTA[[#This Row],[NO.NOTA]]&amp;NOTA[[#This Row],[NO.SJ]]&amp;NOTA[[#This Row],[TGL.NOTA]]&amp;NOTA[[#This Row],[CONCAT1]])</f>
        <v>PPWUNTANA0264/HW/VII/2445488bt30cm</v>
      </c>
      <c r="AR197" s="35">
        <f>IF(NOTA[[#This Row],[CONCAT1]]="","",MATCH(NOTA[[#This Row],[CONCAT1]],[3]!db[NB NOTA_C],0))</f>
        <v>515</v>
      </c>
      <c r="AS197" s="35" t="b">
        <f>IF(NOTA[[#This Row],[Column5]]="","",TRUE)</f>
        <v>1</v>
      </c>
      <c r="AT197" s="35" t="str">
        <f ca="1">IF(NOTA[[#This Row],[ID_H]]="","",IF(NOTA[[#This Row],[Column3]]=TRUE,NOTA[[#This Row],[Column5]],INDEX([3]!db[QTY/ CTN],NOTA[[#This Row],[//DB]])))</f>
        <v>100 LSN</v>
      </c>
      <c r="AU1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V197" s="35">
        <f ca="1">IF(NOTA[[#This Row],[ID_H]]="","",MATCH(NOTA[[#This Row],[NB NOTA_C_QTY]],[3]!db[NB NOTA_C_QTY+F],0))</f>
        <v>515</v>
      </c>
      <c r="AW197" s="43">
        <f ca="1">IF(NOTA[[#This Row],[NB NOTA_C_QTY]]="","",ROW()-2)</f>
        <v>195</v>
      </c>
    </row>
    <row r="198" spans="1:49" ht="20.100000000000001" customHeight="1">
      <c r="A1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5" t="str">
        <f ca="1">IF(NOTA[[#This Row],[NAMA BARANG]]="","",INDEX(NOTA[ID],MATCH(,INDIRECT(ADDRESS(ROW(NOTA[ID]),COLUMN(NOTA[ID]))&amp;":"&amp;ADDRESS(ROW(),COLUMN(NOTA[ID]))),-1)))</f>
        <v/>
      </c>
      <c r="C198" s="45"/>
      <c r="F198" s="46"/>
      <c r="G198" s="35"/>
      <c r="H198" s="36"/>
      <c r="I198" s="35"/>
      <c r="K198" s="37"/>
      <c r="L198" s="35"/>
      <c r="N198" s="38"/>
      <c r="O198" s="39"/>
      <c r="P198" s="47"/>
      <c r="Q198" s="48"/>
      <c r="R198" s="41"/>
      <c r="T198" s="42"/>
      <c r="U198" s="44"/>
      <c r="V198" s="42" t="str">
        <f>IF(NOTA[[#This Row],[HARGA/ CTN]]="",NOTA[[#This Row],[JUMLAH_H]],NOTA[[#This Row],[HARGA/ CTN]]*IF(NOTA[[#This Row],[C]]="",0,NOTA[[#This Row],[C]]))</f>
        <v/>
      </c>
      <c r="W198" s="42" t="str">
        <f>IF(NOTA[[#This Row],[JUMLAH]]="","",NOTA[[#This Row],[JUMLAH]]*NOTA[[#This Row],[Column6]])</f>
        <v/>
      </c>
      <c r="X198" s="42" t="str">
        <f>IF(NOTA[[#This Row],[JUMLAH]]="","",(NOTA[[#This Row],[JUMLAH]]-NOTA[[#This Row],[DISC 1-]])*NOTA[[#This Row],[Column7]])</f>
        <v/>
      </c>
      <c r="Y198" s="42" t="str">
        <f>IF(NOTA[[#This Row],[JUMLAH]]="","",(NOTA[[#This Row],[JUMLAH]]-NOTA[[#This Row],[DISC 1-]]-NOTA[[#This Row],[DISC 2-]])*NOTA[[#This Row],[Column8]])</f>
        <v/>
      </c>
      <c r="Z198" s="42" t="str">
        <f>IF(NOTA[[#This Row],[JUMLAH]]="","",NOTA[[#This Row],[DISC 1-]]+NOTA[[#This Row],[DISC 2-]]+NOTA[[#This Row],[DISC 3-]])</f>
        <v/>
      </c>
      <c r="AA198" s="42" t="str">
        <f>IF(NOTA[[#This Row],[JUMLAH]]="","",NOTA[[#This Row],[JUMLAH]]-NOTA[[#This Row],[DISC]])</f>
        <v/>
      </c>
      <c r="AB198" s="42"/>
      <c r="AC1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8" s="42" t="str">
        <f>IF(OR(NOTA[[#This Row],[QTY]]="",NOTA[[#This Row],[HARGA SATUAN]]="",),"",NOTA[[#This Row],[QTY]]*NOTA[[#This Row],[HARGA SATUAN]])</f>
        <v/>
      </c>
      <c r="AG198" s="36" t="str">
        <f ca="1">IF(NOTA[[#This Row],[ID_H]]="","",INDEX(NOTA[TANGGAL],MATCH(,INDIRECT(ADDRESS(ROW(NOTA[TANGGAL]),COLUMN(NOTA[TANGGAL]))&amp;":"&amp;ADDRESS(ROW(),COLUMN(NOTA[TANGGAL]))),-1)))</f>
        <v/>
      </c>
      <c r="AH198" s="36" t="str">
        <f ca="1">IF(NOTA[[#This Row],[ID_H]]="","",INDEX(NOTA[TGL.NOTA],MATCH(,INDIRECT(ADDRESS(ROW(NOTA[TGL.NOTA]),COLUMN(NOTA[TGL.NOTA]))&amp;":"&amp;ADDRESS(ROW(),COLUMN(NOTA[TGL.NOTA]))),-1)))</f>
        <v/>
      </c>
      <c r="AI198" s="36" t="str">
        <f ca="1">IF(NOTA[[#This Row],[ID_H]]="","",INDEX(NOTA[NO.NOTA],MATCH(NOTA[[#This Row],[ID_H]],NOTA[ID_H],0)))</f>
        <v/>
      </c>
      <c r="AJ198" s="38" t="str">
        <f ca="1">IF(NOTA[[#This Row],[NAMA BARANG]]="","",INDEX(NOTA[SUPPLIER],MATCH(,INDIRECT(ADDRESS(ROW(NOTA[ID]),COLUMN(NOTA[ID]))&amp;":"&amp;ADDRESS(ROW(),COLUMN(NOTA[ID]))),-1)))</f>
        <v/>
      </c>
      <c r="AK198" s="38" t="str">
        <f ca="1">IF(NOTA[[#This Row],[ID_H]]="","",IF(NOTA[[#This Row],[FAKTUR]]="",INDIRECT(ADDRESS(ROW()-1,COLUMN())),NOTA[[#This Row],[FAKTUR]]))</f>
        <v/>
      </c>
      <c r="AL198" s="35" t="str">
        <f ca="1">IF(NOTA[[#This Row],[ID]]="","",COUNTIF(NOTA[ID_H],NOTA[[#This Row],[ID_H]]))</f>
        <v/>
      </c>
      <c r="AM198" s="35" t="str">
        <f ca="1">IF(NOTA[[#This Row],[TGL.NOTA]]="",IF(NOTA[[#This Row],[SUPPLIER_H]]="","",AM197),MONTH(NOTA[[#This Row],[TGL.NOTA]]))</f>
        <v/>
      </c>
      <c r="AN1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8" s="35" t="str">
        <f>IF(NOTA[[#This Row],[CONCAT1]]="","",MATCH(NOTA[[#This Row],[CONCAT1]],[3]!db[NB NOTA_C],0))</f>
        <v/>
      </c>
      <c r="AS198" s="35" t="str">
        <f>IF(NOTA[[#This Row],[Column5]]="","",TRUE)</f>
        <v/>
      </c>
      <c r="AT198" s="35" t="str">
        <f ca="1">IF(NOTA[[#This Row],[ID_H]]="","",IF(NOTA[[#This Row],[Column3]]=TRUE,NOTA[[#This Row],[Column5]],INDEX([3]!db[QTY/ CTN],NOTA[[#This Row],[//DB]])))</f>
        <v/>
      </c>
      <c r="AU1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98" s="35" t="str">
        <f ca="1">IF(NOTA[[#This Row],[ID_H]]="","",MATCH(NOTA[[#This Row],[NB NOTA_C_QTY]],[3]!db[NB NOTA_C_QTY+F],0))</f>
        <v/>
      </c>
      <c r="AW198" s="43" t="str">
        <f ca="1">IF(NOTA[[#This Row],[NB NOTA_C_QTY]]="","",ROW()-2)</f>
        <v/>
      </c>
    </row>
    <row r="199" spans="1:49" ht="20.100000000000001" customHeight="1">
      <c r="A199" s="38">
        <f ca="1">IF(INDIRECT(ADDRESS(ROW()-1,COLUMN(NOTA[[#Headers],[ID]])))="ID",1,IF(NOTA[[#This Row],[FAKTUR]]="","",COUNT(INDIRECT(ADDRESS(ROW(NOTA[ID]),COLUMN(NOTA[ID]))&amp;":"&amp;ADDRESS(ROW()-1,COLUMN(NOTA[ID]))))+1))</f>
        <v>51</v>
      </c>
      <c r="B199" s="35">
        <f ca="1">IF(NOTA[[#This Row],[NAMA BARANG]]="","",INDEX(NOTA[ID],MATCH(,INDIRECT(ADDRESS(ROW(NOTA[ID]),COLUMN(NOTA[ID]))&amp;":"&amp;ADDRESS(ROW(),COLUMN(NOTA[ID]))),-1)))</f>
        <v>51</v>
      </c>
      <c r="C199" s="45"/>
      <c r="D199" s="35" t="s">
        <v>245</v>
      </c>
      <c r="E199" s="35" t="s">
        <v>49</v>
      </c>
      <c r="F199" s="46" t="s">
        <v>376</v>
      </c>
      <c r="G199" s="35"/>
      <c r="H199" s="36">
        <v>45488</v>
      </c>
      <c r="I199" s="35"/>
      <c r="J199" s="35" t="s">
        <v>377</v>
      </c>
      <c r="K199" s="37"/>
      <c r="L199" s="35">
        <v>12</v>
      </c>
      <c r="M199" s="35" t="s">
        <v>50</v>
      </c>
      <c r="N199" s="38">
        <v>279000</v>
      </c>
      <c r="O199" s="39"/>
      <c r="P199" s="47"/>
      <c r="Q199" s="48">
        <v>0.2</v>
      </c>
      <c r="R199" s="41">
        <v>0.04</v>
      </c>
      <c r="T199" s="42"/>
      <c r="U199" s="44"/>
      <c r="V199" s="42">
        <f>IF(NOTA[[#This Row],[HARGA/ CTN]]="",NOTA[[#This Row],[JUMLAH_H]],NOTA[[#This Row],[HARGA/ CTN]]*IF(NOTA[[#This Row],[C]]="",0,NOTA[[#This Row],[C]]))</f>
        <v>3348000</v>
      </c>
      <c r="W199" s="42">
        <f>IF(NOTA[[#This Row],[JUMLAH]]="","",NOTA[[#This Row],[JUMLAH]]*NOTA[[#This Row],[Column6]])</f>
        <v>669600</v>
      </c>
      <c r="X199" s="42">
        <f>IF(NOTA[[#This Row],[JUMLAH]]="","",(NOTA[[#This Row],[JUMLAH]]-NOTA[[#This Row],[DISC 1-]])*NOTA[[#This Row],[Column7]])</f>
        <v>107136</v>
      </c>
      <c r="Y199" s="42">
        <f>IF(NOTA[[#This Row],[JUMLAH]]="","",(NOTA[[#This Row],[JUMLAH]]-NOTA[[#This Row],[DISC 1-]]-NOTA[[#This Row],[DISC 2-]])*NOTA[[#This Row],[Column8]])</f>
        <v>0</v>
      </c>
      <c r="Z199" s="42">
        <f>IF(NOTA[[#This Row],[JUMLAH]]="","",NOTA[[#This Row],[DISC 1-]]+NOTA[[#This Row],[DISC 2-]]+NOTA[[#This Row],[DISC 3-]])</f>
        <v>776736</v>
      </c>
      <c r="AA199" s="42">
        <f>IF(NOTA[[#This Row],[JUMLAH]]="","",NOTA[[#This Row],[JUMLAH]]-NOTA[[#This Row],[DISC]])</f>
        <v>2571264</v>
      </c>
      <c r="AB199" s="42"/>
      <c r="AC1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99" s="38">
        <f>IF(NOTA[[#This Row],[NAMA BARANG]]="","",IF(NOTA[[#This Row],[JUMLAH_H]]="",NOTA[[#This Row],[HARGA/ CTN]],NOTA[[#This Row],[QTY]]*NOTA[[#This Row],[HARGA SATUAN]]/IF(ISNUMBER(NOTA[[#This Row],[C]]),NOTA[[#This Row],[C]],1)))</f>
        <v>3348000</v>
      </c>
      <c r="AF199" s="42">
        <f>IF(OR(NOTA[[#This Row],[QTY]]="",NOTA[[#This Row],[HARGA SATUAN]]="",),"",NOTA[[#This Row],[QTY]]*NOTA[[#This Row],[HARGA SATUAN]])</f>
        <v>3348000</v>
      </c>
      <c r="AG199" s="36">
        <f ca="1">IF(NOTA[[#This Row],[ID_H]]="","",INDEX(NOTA[TANGGAL],MATCH(,INDIRECT(ADDRESS(ROW(NOTA[TANGGAL]),COLUMN(NOTA[TANGGAL]))&amp;":"&amp;ADDRESS(ROW(),COLUMN(NOTA[TANGGAL]))),-1)))</f>
        <v>45490</v>
      </c>
      <c r="AH199" s="36">
        <f ca="1">IF(NOTA[[#This Row],[ID_H]]="","",INDEX(NOTA[TGL.NOTA],MATCH(,INDIRECT(ADDRESS(ROW(NOTA[TGL.NOTA]),COLUMN(NOTA[TGL.NOTA]))&amp;":"&amp;ADDRESS(ROW(),COLUMN(NOTA[TGL.NOTA]))),-1)))</f>
        <v>45488</v>
      </c>
      <c r="AI199" s="36" t="str">
        <f ca="1">IF(NOTA[[#This Row],[ID_H]]="","",INDEX(NOTA[NO.NOTA],MATCH(NOTA[[#This Row],[ID_H]],NOTA[ID_H],0)))</f>
        <v>085/EPW/VII/24</v>
      </c>
      <c r="AJ199" s="38" t="str">
        <f ca="1">IF(NOTA[[#This Row],[NAMA BARANG]]="","",INDEX(NOTA[SUPPLIER],MATCH(,INDIRECT(ADDRESS(ROW(NOTA[ID]),COLUMN(NOTA[ID]))&amp;":"&amp;ADDRESS(ROW(),COLUMN(NOTA[ID]))),-1)))</f>
        <v>PPW</v>
      </c>
      <c r="AK199" s="38" t="str">
        <f ca="1">IF(NOTA[[#This Row],[ID_H]]="","",IF(NOTA[[#This Row],[FAKTUR]]="",INDIRECT(ADDRESS(ROW()-1,COLUMN())),NOTA[[#This Row],[FAKTUR]]))</f>
        <v>UNTANA</v>
      </c>
      <c r="AL199" s="35">
        <f ca="1">IF(NOTA[[#This Row],[ID]]="","",COUNTIF(NOTA[ID_H],NOTA[[#This Row],[ID_H]]))</f>
        <v>2</v>
      </c>
      <c r="AM199" s="35">
        <f>IF(NOTA[[#This Row],[TGL.NOTA]]="",IF(NOTA[[#This Row],[SUPPLIER_H]]="","",AM198),MONTH(NOTA[[#This Row],[TGL.NOTA]]))</f>
        <v>7</v>
      </c>
      <c r="AN199" s="35" t="str">
        <f>LOWER(SUBSTITUTE(SUBSTITUTE(SUBSTITUTE(SUBSTITUTE(SUBSTITUTE(SUBSTITUTE(SUBSTITUTE(SUBSTITUTE(SUBSTITUTE(NOTA[[#This Row],[NAMA BARANG]]," ",),".",""),"-",""),"(",""),")",""),",",""),"/",""),"""",""),"+",""))</f>
        <v>btr5</v>
      </c>
      <c r="AO1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btr533480000,20,04</v>
      </c>
      <c r="AP1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btr52790000,20,04</v>
      </c>
      <c r="AQ199" s="35" t="str">
        <f>IF(NOTA[[#This Row],[SUPPLIER]]="","",NOTA[[#This Row],[SUPPLIER]]&amp;NOTA[[#This Row],[FAKTUR]]&amp;NOTA[[#This Row],[NO.NOTA]]&amp;NOTA[[#This Row],[NO.SJ]]&amp;NOTA[[#This Row],[TGL.NOTA]]&amp;NOTA[[#This Row],[CONCAT1]])</f>
        <v>PPWUNTANA085/EPW/VII/2445488btr5</v>
      </c>
      <c r="AR199" s="35">
        <f>IF(NOTA[[#This Row],[CONCAT1]]="","",MATCH(NOTA[[#This Row],[CONCAT1]],[3]!db[NB NOTA_C],0))</f>
        <v>521</v>
      </c>
      <c r="AS199" s="35" t="str">
        <f>IF(NOTA[[#This Row],[Column5]]="","",TRUE)</f>
        <v/>
      </c>
      <c r="AT199" s="35" t="str">
        <f ca="1">IF(NOTA[[#This Row],[ID_H]]="","",IF(NOTA[[#This Row],[Column3]]=TRUE,NOTA[[#This Row],[Column5]],INDEX([3]!db[QTY/ CTN],NOTA[[#This Row],[//DB]])))</f>
        <v>12 LSN</v>
      </c>
      <c r="AU1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btr512lsnuntana</v>
      </c>
      <c r="AV199" s="35">
        <f ca="1">IF(NOTA[[#This Row],[ID_H]]="","",MATCH(NOTA[[#This Row],[NB NOTA_C_QTY]],[3]!db[NB NOTA_C_QTY+F],0))</f>
        <v>521</v>
      </c>
      <c r="AW199" s="43">
        <f ca="1">IF(NOTA[[#This Row],[NB NOTA_C_QTY]]="","",ROW()-2)</f>
        <v>197</v>
      </c>
    </row>
    <row r="200" spans="1:49" ht="20.100000000000001" customHeight="1">
      <c r="A2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5">
        <f ca="1">IF(NOTA[[#This Row],[NAMA BARANG]]="","",INDEX(NOTA[ID],MATCH(,INDIRECT(ADDRESS(ROW(NOTA[ID]),COLUMN(NOTA[ID]))&amp;":"&amp;ADDRESS(ROW(),COLUMN(NOTA[ID]))),-1)))</f>
        <v>51</v>
      </c>
      <c r="C200" s="45"/>
      <c r="F200" s="46"/>
      <c r="G200" s="35"/>
      <c r="H200" s="36"/>
      <c r="I200" s="35"/>
      <c r="J200" s="35" t="s">
        <v>378</v>
      </c>
      <c r="K200" s="37"/>
      <c r="L200" s="35">
        <v>12</v>
      </c>
      <c r="M200" s="35" t="s">
        <v>50</v>
      </c>
      <c r="N200" s="38">
        <v>252300</v>
      </c>
      <c r="O200" s="39"/>
      <c r="P200" s="47"/>
      <c r="Q200" s="48">
        <v>0.2</v>
      </c>
      <c r="R200" s="41">
        <v>0.04</v>
      </c>
      <c r="T200" s="42"/>
      <c r="U200" s="44"/>
      <c r="V200" s="42">
        <f>IF(NOTA[[#This Row],[HARGA/ CTN]]="",NOTA[[#This Row],[JUMLAH_H]],NOTA[[#This Row],[HARGA/ CTN]]*IF(NOTA[[#This Row],[C]]="",0,NOTA[[#This Row],[C]]))</f>
        <v>3027600</v>
      </c>
      <c r="W200" s="42">
        <f>IF(NOTA[[#This Row],[JUMLAH]]="","",NOTA[[#This Row],[JUMLAH]]*NOTA[[#This Row],[Column6]])</f>
        <v>605520</v>
      </c>
      <c r="X200" s="42">
        <f>IF(NOTA[[#This Row],[JUMLAH]]="","",(NOTA[[#This Row],[JUMLAH]]-NOTA[[#This Row],[DISC 1-]])*NOTA[[#This Row],[Column7]])</f>
        <v>96883.199999999997</v>
      </c>
      <c r="Y200" s="42">
        <f>IF(NOTA[[#This Row],[JUMLAH]]="","",(NOTA[[#This Row],[JUMLAH]]-NOTA[[#This Row],[DISC 1-]]-NOTA[[#This Row],[DISC 2-]])*NOTA[[#This Row],[Column8]])</f>
        <v>0</v>
      </c>
      <c r="Z200" s="42">
        <f>IF(NOTA[[#This Row],[JUMLAH]]="","",NOTA[[#This Row],[DISC 1-]]+NOTA[[#This Row],[DISC 2-]]+NOTA[[#This Row],[DISC 3-]])</f>
        <v>702403.2</v>
      </c>
      <c r="AA200" s="42">
        <f>IF(NOTA[[#This Row],[JUMLAH]]="","",NOTA[[#This Row],[JUMLAH]]-NOTA[[#This Row],[DISC]])</f>
        <v>2325196.7999999998</v>
      </c>
      <c r="AB200" s="42"/>
      <c r="AC20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1479139.2</v>
      </c>
      <c r="AD200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4896460.7999999998</v>
      </c>
      <c r="AE200" s="38">
        <f>IF(NOTA[[#This Row],[NAMA BARANG]]="","",IF(NOTA[[#This Row],[JUMLAH_H]]="",NOTA[[#This Row],[HARGA/ CTN]],NOTA[[#This Row],[QTY]]*NOTA[[#This Row],[HARGA SATUAN]]/IF(ISNUMBER(NOTA[[#This Row],[C]]),NOTA[[#This Row],[C]],1)))</f>
        <v>3027600</v>
      </c>
      <c r="AF200" s="42">
        <f>IF(OR(NOTA[[#This Row],[QTY]]="",NOTA[[#This Row],[HARGA SATUAN]]="",),"",NOTA[[#This Row],[QTY]]*NOTA[[#This Row],[HARGA SATUAN]])</f>
        <v>3027600</v>
      </c>
      <c r="AG200" s="36">
        <f ca="1">IF(NOTA[[#This Row],[ID_H]]="","",INDEX(NOTA[TANGGAL],MATCH(,INDIRECT(ADDRESS(ROW(NOTA[TANGGAL]),COLUMN(NOTA[TANGGAL]))&amp;":"&amp;ADDRESS(ROW(),COLUMN(NOTA[TANGGAL]))),-1)))</f>
        <v>45490</v>
      </c>
      <c r="AH200" s="36">
        <f ca="1">IF(NOTA[[#This Row],[ID_H]]="","",INDEX(NOTA[TGL.NOTA],MATCH(,INDIRECT(ADDRESS(ROW(NOTA[TGL.NOTA]),COLUMN(NOTA[TGL.NOTA]))&amp;":"&amp;ADDRESS(ROW(),COLUMN(NOTA[TGL.NOTA]))),-1)))</f>
        <v>45488</v>
      </c>
      <c r="AI200" s="36" t="str">
        <f ca="1">IF(NOTA[[#This Row],[ID_H]]="","",INDEX(NOTA[NO.NOTA],MATCH(NOTA[[#This Row],[ID_H]],NOTA[ID_H],0)))</f>
        <v>085/EPW/VII/24</v>
      </c>
      <c r="AJ200" s="38" t="str">
        <f ca="1">IF(NOTA[[#This Row],[NAMA BARANG]]="","",INDEX(NOTA[SUPPLIER],MATCH(,INDIRECT(ADDRESS(ROW(NOTA[ID]),COLUMN(NOTA[ID]))&amp;":"&amp;ADDRESS(ROW(),COLUMN(NOTA[ID]))),-1)))</f>
        <v>PPW</v>
      </c>
      <c r="AK200" s="38" t="str">
        <f ca="1">IF(NOTA[[#This Row],[ID_H]]="","",IF(NOTA[[#This Row],[FAKTUR]]="",INDIRECT(ADDRESS(ROW()-1,COLUMN())),NOTA[[#This Row],[FAKTUR]]))</f>
        <v>UNTANA</v>
      </c>
      <c r="AL200" s="35" t="str">
        <f ca="1">IF(NOTA[[#This Row],[ID]]="","",COUNTIF(NOTA[ID_H],NOTA[[#This Row],[ID_H]]))</f>
        <v/>
      </c>
      <c r="AM200" s="35">
        <f ca="1">IF(NOTA[[#This Row],[TGL.NOTA]]="",IF(NOTA[[#This Row],[SUPPLIER_H]]="","",AM199),MONTH(NOTA[[#This Row],[TGL.NOTA]]))</f>
        <v>7</v>
      </c>
      <c r="AN200" s="35" t="str">
        <f>LOWER(SUBSTITUTE(SUBSTITUTE(SUBSTITUTE(SUBSTITUTE(SUBSTITUTE(SUBSTITUTE(SUBSTITUTE(SUBSTITUTE(SUBSTITUTE(NOTA[[#This Row],[NAMA BARANG]]," ",),".",""),"-",""),"(",""),")",""),",",""),"/",""),"""",""),"+",""))</f>
        <v>btr3</v>
      </c>
      <c r="AO2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btr330276000,20,04</v>
      </c>
      <c r="AP2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btr32523000,20,04</v>
      </c>
      <c r="AQ2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0" s="35">
        <f>IF(NOTA[[#This Row],[CONCAT1]]="","",MATCH(NOTA[[#This Row],[CONCAT1]],[3]!db[NB NOTA_C],0))</f>
        <v>520</v>
      </c>
      <c r="AS200" s="35" t="str">
        <f>IF(NOTA[[#This Row],[Column5]]="","",TRUE)</f>
        <v/>
      </c>
      <c r="AT200" s="35" t="str">
        <f ca="1">IF(NOTA[[#This Row],[ID_H]]="","",IF(NOTA[[#This Row],[Column3]]=TRUE,NOTA[[#This Row],[Column5]],INDEX([3]!db[QTY/ CTN],NOTA[[#This Row],[//DB]])))</f>
        <v>12 LSN</v>
      </c>
      <c r="AU2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btr312lsnuntana</v>
      </c>
      <c r="AV200" s="35">
        <f ca="1">IF(NOTA[[#This Row],[ID_H]]="","",MATCH(NOTA[[#This Row],[NB NOTA_C_QTY]],[3]!db[NB NOTA_C_QTY+F],0))</f>
        <v>520</v>
      </c>
      <c r="AW200" s="43">
        <f ca="1">IF(NOTA[[#This Row],[NB NOTA_C_QTY]]="","",ROW()-2)</f>
        <v>198</v>
      </c>
    </row>
    <row r="201" spans="1:49" ht="20.100000000000001" customHeight="1">
      <c r="A2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5" t="str">
        <f ca="1">IF(NOTA[[#This Row],[NAMA BARANG]]="","",INDEX(NOTA[ID],MATCH(,INDIRECT(ADDRESS(ROW(NOTA[ID]),COLUMN(NOTA[ID]))&amp;":"&amp;ADDRESS(ROW(),COLUMN(NOTA[ID]))),-1)))</f>
        <v/>
      </c>
      <c r="C201" s="45"/>
      <c r="F201" s="46"/>
      <c r="G201" s="35"/>
      <c r="H201" s="36"/>
      <c r="I201" s="35"/>
      <c r="K201" s="37"/>
      <c r="O201" s="39"/>
      <c r="P201" s="47"/>
      <c r="Q201" s="48"/>
      <c r="R201" s="41"/>
      <c r="T201" s="42"/>
      <c r="U201" s="44"/>
      <c r="V201" s="42" t="str">
        <f>IF(NOTA[[#This Row],[HARGA/ CTN]]="",NOTA[[#This Row],[JUMLAH_H]],NOTA[[#This Row],[HARGA/ CTN]]*IF(NOTA[[#This Row],[C]]="",0,NOTA[[#This Row],[C]]))</f>
        <v/>
      </c>
      <c r="W201" s="42" t="str">
        <f>IF(NOTA[[#This Row],[JUMLAH]]="","",NOTA[[#This Row],[JUMLAH]]*NOTA[[#This Row],[Column6]])</f>
        <v/>
      </c>
      <c r="X201" s="42" t="str">
        <f>IF(NOTA[[#This Row],[JUMLAH]]="","",(NOTA[[#This Row],[JUMLAH]]-NOTA[[#This Row],[DISC 1-]])*NOTA[[#This Row],[Column7]])</f>
        <v/>
      </c>
      <c r="Y201" s="42" t="str">
        <f>IF(NOTA[[#This Row],[JUMLAH]]="","",(NOTA[[#This Row],[JUMLAH]]-NOTA[[#This Row],[DISC 1-]]-NOTA[[#This Row],[DISC 2-]])*NOTA[[#This Row],[Column8]])</f>
        <v/>
      </c>
      <c r="Z201" s="42" t="str">
        <f>IF(NOTA[[#This Row],[JUMLAH]]="","",NOTA[[#This Row],[DISC 1-]]+NOTA[[#This Row],[DISC 2-]]+NOTA[[#This Row],[DISC 3-]])</f>
        <v/>
      </c>
      <c r="AA201" s="42" t="str">
        <f>IF(NOTA[[#This Row],[JUMLAH]]="","",NOTA[[#This Row],[JUMLAH]]-NOTA[[#This Row],[DISC]])</f>
        <v/>
      </c>
      <c r="AB201" s="42"/>
      <c r="AC2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1" s="42" t="str">
        <f>IF(OR(NOTA[[#This Row],[QTY]]="",NOTA[[#This Row],[HARGA SATUAN]]="",),"",NOTA[[#This Row],[QTY]]*NOTA[[#This Row],[HARGA SATUAN]])</f>
        <v/>
      </c>
      <c r="AG201" s="36" t="str">
        <f ca="1">IF(NOTA[[#This Row],[ID_H]]="","",INDEX(NOTA[TANGGAL],MATCH(,INDIRECT(ADDRESS(ROW(NOTA[TANGGAL]),COLUMN(NOTA[TANGGAL]))&amp;":"&amp;ADDRESS(ROW(),COLUMN(NOTA[TANGGAL]))),-1)))</f>
        <v/>
      </c>
      <c r="AH201" s="36" t="str">
        <f ca="1">IF(NOTA[[#This Row],[ID_H]]="","",INDEX(NOTA[TGL.NOTA],MATCH(,INDIRECT(ADDRESS(ROW(NOTA[TGL.NOTA]),COLUMN(NOTA[TGL.NOTA]))&amp;":"&amp;ADDRESS(ROW(),COLUMN(NOTA[TGL.NOTA]))),-1)))</f>
        <v/>
      </c>
      <c r="AI201" s="36" t="str">
        <f ca="1">IF(NOTA[[#This Row],[ID_H]]="","",INDEX(NOTA[NO.NOTA],MATCH(NOTA[[#This Row],[ID_H]],NOTA[ID_H],0)))</f>
        <v/>
      </c>
      <c r="AJ201" s="38" t="str">
        <f ca="1">IF(NOTA[[#This Row],[NAMA BARANG]]="","",INDEX(NOTA[SUPPLIER],MATCH(,INDIRECT(ADDRESS(ROW(NOTA[ID]),COLUMN(NOTA[ID]))&amp;":"&amp;ADDRESS(ROW(),COLUMN(NOTA[ID]))),-1)))</f>
        <v/>
      </c>
      <c r="AK201" s="38" t="str">
        <f ca="1">IF(NOTA[[#This Row],[ID_H]]="","",IF(NOTA[[#This Row],[FAKTUR]]="",INDIRECT(ADDRESS(ROW()-1,COLUMN())),NOTA[[#This Row],[FAKTUR]]))</f>
        <v/>
      </c>
      <c r="AL201" s="35" t="str">
        <f ca="1">IF(NOTA[[#This Row],[ID]]="","",COUNTIF(NOTA[ID_H],NOTA[[#This Row],[ID_H]]))</f>
        <v/>
      </c>
      <c r="AM201" s="35" t="str">
        <f ca="1">IF(NOTA[[#This Row],[TGL.NOTA]]="",IF(NOTA[[#This Row],[SUPPLIER_H]]="","",AM200),MONTH(NOTA[[#This Row],[TGL.NOTA]]))</f>
        <v/>
      </c>
      <c r="AN2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1" s="35" t="str">
        <f>IF(NOTA[[#This Row],[CONCAT1]]="","",MATCH(NOTA[[#This Row],[CONCAT1]],[3]!db[NB NOTA_C],0))</f>
        <v/>
      </c>
      <c r="AS201" s="35" t="str">
        <f>IF(NOTA[[#This Row],[Column5]]="","",TRUE)</f>
        <v/>
      </c>
      <c r="AT201" s="35" t="str">
        <f ca="1">IF(NOTA[[#This Row],[ID_H]]="","",IF(NOTA[[#This Row],[Column3]]=TRUE,NOTA[[#This Row],[Column5]],INDEX([3]!db[QTY/ CTN],NOTA[[#This Row],[//DB]])))</f>
        <v/>
      </c>
      <c r="AU2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1" s="35" t="str">
        <f ca="1">IF(NOTA[[#This Row],[ID_H]]="","",MATCH(NOTA[[#This Row],[NB NOTA_C_QTY]],[3]!db[NB NOTA_C_QTY+F],0))</f>
        <v/>
      </c>
      <c r="AW201" s="43" t="str">
        <f ca="1">IF(NOTA[[#This Row],[NB NOTA_C_QTY]]="","",ROW()-2)</f>
        <v/>
      </c>
    </row>
    <row r="202" spans="1:49" ht="20.100000000000001" customHeight="1">
      <c r="A202" s="38">
        <f ca="1">IF(INDIRECT(ADDRESS(ROW()-1,COLUMN(NOTA[[#Headers],[ID]])))="ID",1,IF(NOTA[[#This Row],[FAKTUR]]="","",COUNT(INDIRECT(ADDRESS(ROW(NOTA[ID]),COLUMN(NOTA[ID]))&amp;":"&amp;ADDRESS(ROW()-1,COLUMN(NOTA[ID]))))+1))</f>
        <v>52</v>
      </c>
      <c r="B202" s="35">
        <f ca="1">IF(NOTA[[#This Row],[NAMA BARANG]]="","",INDEX(NOTA[ID],MATCH(,INDIRECT(ADDRESS(ROW(NOTA[ID]),COLUMN(NOTA[ID]))&amp;":"&amp;ADDRESS(ROW(),COLUMN(NOTA[ID]))),-1)))</f>
        <v>52</v>
      </c>
      <c r="C202" s="45">
        <v>45492</v>
      </c>
      <c r="D202" s="35" t="s">
        <v>379</v>
      </c>
      <c r="E202" s="35" t="s">
        <v>49</v>
      </c>
      <c r="F202" s="46" t="s">
        <v>380</v>
      </c>
      <c r="G202" s="35"/>
      <c r="H202" s="36">
        <v>45491</v>
      </c>
      <c r="I202" s="35"/>
      <c r="J202" s="35" t="s">
        <v>381</v>
      </c>
      <c r="K202" s="37">
        <v>3</v>
      </c>
      <c r="L202" s="35">
        <v>300</v>
      </c>
      <c r="M202" s="35" t="s">
        <v>145</v>
      </c>
      <c r="N202" s="38">
        <v>68750</v>
      </c>
      <c r="O202" s="39"/>
      <c r="P202" s="47" t="s">
        <v>382</v>
      </c>
      <c r="Q202" s="48">
        <v>0.2</v>
      </c>
      <c r="R202" s="41">
        <v>0.05</v>
      </c>
      <c r="T202" s="42"/>
      <c r="U202" s="44"/>
      <c r="V202" s="42">
        <f>IF(NOTA[[#This Row],[HARGA/ CTN]]="",NOTA[[#This Row],[JUMLAH_H]],NOTA[[#This Row],[HARGA/ CTN]]*IF(NOTA[[#This Row],[C]]="",0,NOTA[[#This Row],[C]]))</f>
        <v>20625000</v>
      </c>
      <c r="W202" s="42">
        <f>IF(NOTA[[#This Row],[JUMLAH]]="","",NOTA[[#This Row],[JUMLAH]]*NOTA[[#This Row],[Column6]])</f>
        <v>4125000</v>
      </c>
      <c r="X202" s="42">
        <f>IF(NOTA[[#This Row],[JUMLAH]]="","",(NOTA[[#This Row],[JUMLAH]]-NOTA[[#This Row],[DISC 1-]])*NOTA[[#This Row],[Column7]])</f>
        <v>825000</v>
      </c>
      <c r="Y202" s="42">
        <f>IF(NOTA[[#This Row],[JUMLAH]]="","",(NOTA[[#This Row],[JUMLAH]]-NOTA[[#This Row],[DISC 1-]]-NOTA[[#This Row],[DISC 2-]])*NOTA[[#This Row],[Column8]])</f>
        <v>0</v>
      </c>
      <c r="Z202" s="42">
        <f>IF(NOTA[[#This Row],[JUMLAH]]="","",NOTA[[#This Row],[DISC 1-]]+NOTA[[#This Row],[DISC 2-]]+NOTA[[#This Row],[DISC 3-]])</f>
        <v>4950000</v>
      </c>
      <c r="AA202" s="42">
        <f>IF(NOTA[[#This Row],[JUMLAH]]="","",NOTA[[#This Row],[JUMLAH]]-NOTA[[#This Row],[DISC]])</f>
        <v>15675000</v>
      </c>
      <c r="AB202" s="42"/>
      <c r="AC20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4950000</v>
      </c>
      <c r="AD20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15675000</v>
      </c>
      <c r="AE202" s="38">
        <f>IF(NOTA[[#This Row],[NAMA BARANG]]="","",IF(NOTA[[#This Row],[JUMLAH_H]]="",NOTA[[#This Row],[HARGA/ CTN]],NOTA[[#This Row],[QTY]]*NOTA[[#This Row],[HARGA SATUAN]]/IF(ISNUMBER(NOTA[[#This Row],[C]]),NOTA[[#This Row],[C]],1)))</f>
        <v>6875000</v>
      </c>
      <c r="AF202" s="42">
        <f>IF(OR(NOTA[[#This Row],[QTY]]="",NOTA[[#This Row],[HARGA SATUAN]]="",),"",NOTA[[#This Row],[QTY]]*NOTA[[#This Row],[HARGA SATUAN]])</f>
        <v>20625000</v>
      </c>
      <c r="AG202" s="36">
        <f ca="1">IF(NOTA[[#This Row],[ID_H]]="","",INDEX(NOTA[TANGGAL],MATCH(,INDIRECT(ADDRESS(ROW(NOTA[TANGGAL]),COLUMN(NOTA[TANGGAL]))&amp;":"&amp;ADDRESS(ROW(),COLUMN(NOTA[TANGGAL]))),-1)))</f>
        <v>45492</v>
      </c>
      <c r="AH202" s="36">
        <f ca="1">IF(NOTA[[#This Row],[ID_H]]="","",INDEX(NOTA[TGL.NOTA],MATCH(,INDIRECT(ADDRESS(ROW(NOTA[TGL.NOTA]),COLUMN(NOTA[TGL.NOTA]))&amp;":"&amp;ADDRESS(ROW(),COLUMN(NOTA[TGL.NOTA]))),-1)))</f>
        <v>45491</v>
      </c>
      <c r="AI202" s="36" t="str">
        <f ca="1">IF(NOTA[[#This Row],[ID_H]]="","",INDEX(NOTA[NO.NOTA],MATCH(NOTA[[#This Row],[ID_H]],NOTA[ID_H],0)))</f>
        <v>EMMJ-2407-00887</v>
      </c>
      <c r="AJ202" s="38" t="str">
        <f ca="1">IF(NOTA[[#This Row],[NAMA BARANG]]="","",INDEX(NOTA[SUPPLIER],MATCH(,INDIRECT(ADDRESS(ROW(NOTA[ID]),COLUMN(NOTA[ID]))&amp;":"&amp;ADDRESS(ROW(),COLUMN(NOTA[ID]))),-1)))</f>
        <v>MAJU MAPAN JAYA</v>
      </c>
      <c r="AK202" s="38" t="str">
        <f ca="1">IF(NOTA[[#This Row],[ID_H]]="","",IF(NOTA[[#This Row],[FAKTUR]]="",INDIRECT(ADDRESS(ROW()-1,COLUMN())),NOTA[[#This Row],[FAKTUR]]))</f>
        <v>UNTANA</v>
      </c>
      <c r="AL202" s="35">
        <f ca="1">IF(NOTA[[#This Row],[ID]]="","",COUNTIF(NOTA[ID_H],NOTA[[#This Row],[ID_H]]))</f>
        <v>1</v>
      </c>
      <c r="AM202" s="35">
        <f>IF(NOTA[[#This Row],[TGL.NOTA]]="",IF(NOTA[[#This Row],[SUPPLIER_H]]="","",AM201),MONTH(NOTA[[#This Row],[TGL.NOTA]]))</f>
        <v>7</v>
      </c>
      <c r="AN202" s="35" t="str">
        <f>LOWER(SUBSTITUTE(SUBSTITUTE(SUBSTITUTE(SUBSTITUTE(SUBSTITUTE(SUBSTITUTE(SUBSTITUTE(SUBSTITUTE(SUBSTITUTE(NOTA[[#This Row],[NAMA BARANG]]," ",),".",""),"-",""),"(",""),")",""),",",""),"/",""),"""",""),"+",""))</f>
        <v>balonmerahputihbl10178</v>
      </c>
      <c r="AO2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balonmerahputihbl1017868750000,20,05</v>
      </c>
      <c r="AP2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balonmerahputihbl1017868750000,20,05</v>
      </c>
      <c r="AQ202" s="35" t="str">
        <f>IF(NOTA[[#This Row],[SUPPLIER]]="","",NOTA[[#This Row],[SUPPLIER]]&amp;NOTA[[#This Row],[FAKTUR]]&amp;NOTA[[#This Row],[NO.NOTA]]&amp;NOTA[[#This Row],[NO.SJ]]&amp;NOTA[[#This Row],[TGL.NOTA]]&amp;NOTA[[#This Row],[CONCAT1]])</f>
        <v>MAJU MAPAN JAYAUNTANAEMMJ-2407-0088745491balonmerahputihbl10178</v>
      </c>
      <c r="AR202" s="35">
        <f>IF(NOTA[[#This Row],[CONCAT1]]="","",MATCH(NOTA[[#This Row],[CONCAT1]],[3]!db[NB NOTA_C],0))</f>
        <v>171</v>
      </c>
      <c r="AS202" s="35" t="b">
        <f>IF(NOTA[[#This Row],[Column5]]="","",TRUE)</f>
        <v>1</v>
      </c>
      <c r="AT202" s="35" t="str">
        <f ca="1">IF(NOTA[[#This Row],[ID_H]]="","",IF(NOTA[[#This Row],[Column3]]=TRUE,NOTA[[#This Row],[Column5]],INDEX([3]!db[QTY/ CTN],NOTA[[#This Row],[//DB]])))</f>
        <v>100 PAK</v>
      </c>
      <c r="AU2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balonmerahputihbl10178100pakuntana</v>
      </c>
      <c r="AV202" s="35">
        <f ca="1">IF(NOTA[[#This Row],[ID_H]]="","",MATCH(NOTA[[#This Row],[NB NOTA_C_QTY]],[3]!db[NB NOTA_C_QTY+F],0))</f>
        <v>171</v>
      </c>
      <c r="AW202" s="43">
        <f ca="1">IF(NOTA[[#This Row],[NB NOTA_C_QTY]]="","",ROW()-2)</f>
        <v>200</v>
      </c>
    </row>
    <row r="203" spans="1:49" ht="20.100000000000001" customHeight="1">
      <c r="A2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5" t="str">
        <f ca="1">IF(NOTA[[#This Row],[NAMA BARANG]]="","",INDEX(NOTA[ID],MATCH(,INDIRECT(ADDRESS(ROW(NOTA[ID]),COLUMN(NOTA[ID]))&amp;":"&amp;ADDRESS(ROW(),COLUMN(NOTA[ID]))),-1)))</f>
        <v/>
      </c>
      <c r="C203" s="45"/>
      <c r="F203" s="46"/>
      <c r="G203" s="35"/>
      <c r="H203" s="36"/>
      <c r="I203" s="35"/>
      <c r="K203" s="37"/>
      <c r="L203" s="35"/>
      <c r="N203" s="38"/>
      <c r="O203" s="39"/>
      <c r="P203" s="47"/>
      <c r="Q203" s="48"/>
      <c r="R203" s="41"/>
      <c r="T203" s="42"/>
      <c r="U203" s="44"/>
      <c r="V203" s="42" t="str">
        <f>IF(NOTA[[#This Row],[HARGA/ CTN]]="",NOTA[[#This Row],[JUMLAH_H]],NOTA[[#This Row],[HARGA/ CTN]]*IF(NOTA[[#This Row],[C]]="",0,NOTA[[#This Row],[C]]))</f>
        <v/>
      </c>
      <c r="W203" s="42" t="str">
        <f>IF(NOTA[[#This Row],[JUMLAH]]="","",NOTA[[#This Row],[JUMLAH]]*NOTA[[#This Row],[Column6]])</f>
        <v/>
      </c>
      <c r="X203" s="42" t="str">
        <f>IF(NOTA[[#This Row],[JUMLAH]]="","",(NOTA[[#This Row],[JUMLAH]]-NOTA[[#This Row],[DISC 1-]])*NOTA[[#This Row],[Column7]])</f>
        <v/>
      </c>
      <c r="Y203" s="42" t="str">
        <f>IF(NOTA[[#This Row],[JUMLAH]]="","",(NOTA[[#This Row],[JUMLAH]]-NOTA[[#This Row],[DISC 1-]]-NOTA[[#This Row],[DISC 2-]])*NOTA[[#This Row],[Column8]])</f>
        <v/>
      </c>
      <c r="Z203" s="42" t="str">
        <f>IF(NOTA[[#This Row],[JUMLAH]]="","",NOTA[[#This Row],[DISC 1-]]+NOTA[[#This Row],[DISC 2-]]+NOTA[[#This Row],[DISC 3-]])</f>
        <v/>
      </c>
      <c r="AA203" s="42" t="str">
        <f>IF(NOTA[[#This Row],[JUMLAH]]="","",NOTA[[#This Row],[JUMLAH]]-NOTA[[#This Row],[DISC]])</f>
        <v/>
      </c>
      <c r="AB203" s="42"/>
      <c r="AC2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42" t="str">
        <f>IF(OR(NOTA[[#This Row],[QTY]]="",NOTA[[#This Row],[HARGA SATUAN]]="",),"",NOTA[[#This Row],[QTY]]*NOTA[[#This Row],[HARGA SATUAN]])</f>
        <v/>
      </c>
      <c r="AG203" s="36" t="str">
        <f ca="1">IF(NOTA[[#This Row],[ID_H]]="","",INDEX(NOTA[TANGGAL],MATCH(,INDIRECT(ADDRESS(ROW(NOTA[TANGGAL]),COLUMN(NOTA[TANGGAL]))&amp;":"&amp;ADDRESS(ROW(),COLUMN(NOTA[TANGGAL]))),-1)))</f>
        <v/>
      </c>
      <c r="AH203" s="36" t="str">
        <f ca="1">IF(NOTA[[#This Row],[ID_H]]="","",INDEX(NOTA[TGL.NOTA],MATCH(,INDIRECT(ADDRESS(ROW(NOTA[TGL.NOTA]),COLUMN(NOTA[TGL.NOTA]))&amp;":"&amp;ADDRESS(ROW(),COLUMN(NOTA[TGL.NOTA]))),-1)))</f>
        <v/>
      </c>
      <c r="AI203" s="36" t="str">
        <f ca="1">IF(NOTA[[#This Row],[ID_H]]="","",INDEX(NOTA[NO.NOTA],MATCH(NOTA[[#This Row],[ID_H]],NOTA[ID_H],0)))</f>
        <v/>
      </c>
      <c r="AJ203" s="38" t="str">
        <f ca="1">IF(NOTA[[#This Row],[NAMA BARANG]]="","",INDEX(NOTA[SUPPLIER],MATCH(,INDIRECT(ADDRESS(ROW(NOTA[ID]),COLUMN(NOTA[ID]))&amp;":"&amp;ADDRESS(ROW(),COLUMN(NOTA[ID]))),-1)))</f>
        <v/>
      </c>
      <c r="AK203" s="38" t="str">
        <f ca="1">IF(NOTA[[#This Row],[ID_H]]="","",IF(NOTA[[#This Row],[FAKTUR]]="",INDIRECT(ADDRESS(ROW()-1,COLUMN())),NOTA[[#This Row],[FAKTUR]]))</f>
        <v/>
      </c>
      <c r="AL203" s="35" t="str">
        <f ca="1">IF(NOTA[[#This Row],[ID]]="","",COUNTIF(NOTA[ID_H],NOTA[[#This Row],[ID_H]]))</f>
        <v/>
      </c>
      <c r="AM203" s="35" t="str">
        <f ca="1">IF(NOTA[[#This Row],[TGL.NOTA]]="",IF(NOTA[[#This Row],[SUPPLIER_H]]="","",AM202),MONTH(NOTA[[#This Row],[TGL.NOTA]]))</f>
        <v/>
      </c>
      <c r="AN2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3" s="35" t="str">
        <f>IF(NOTA[[#This Row],[CONCAT1]]="","",MATCH(NOTA[[#This Row],[CONCAT1]],[3]!db[NB NOTA_C],0))</f>
        <v/>
      </c>
      <c r="AS203" s="35" t="str">
        <f>IF(NOTA[[#This Row],[Column5]]="","",TRUE)</f>
        <v/>
      </c>
      <c r="AT203" s="35" t="str">
        <f ca="1">IF(NOTA[[#This Row],[ID_H]]="","",IF(NOTA[[#This Row],[Column3]]=TRUE,NOTA[[#This Row],[Column5]],INDEX([3]!db[QTY/ CTN],NOTA[[#This Row],[//DB]])))</f>
        <v/>
      </c>
      <c r="AU2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3" s="35" t="str">
        <f ca="1">IF(NOTA[[#This Row],[ID_H]]="","",MATCH(NOTA[[#This Row],[NB NOTA_C_QTY]],[3]!db[NB NOTA_C_QTY+F],0))</f>
        <v/>
      </c>
      <c r="AW203" s="43" t="str">
        <f ca="1">IF(NOTA[[#This Row],[NB NOTA_C_QTY]]="","",ROW()-2)</f>
        <v/>
      </c>
    </row>
    <row r="204" spans="1:49" ht="20.100000000000001" customHeight="1">
      <c r="A204" s="38">
        <f ca="1">IF(INDIRECT(ADDRESS(ROW()-1,COLUMN(NOTA[[#Headers],[ID]])))="ID",1,IF(NOTA[[#This Row],[FAKTUR]]="","",COUNT(INDIRECT(ADDRESS(ROW(NOTA[ID]),COLUMN(NOTA[ID]))&amp;":"&amp;ADDRESS(ROW()-1,COLUMN(NOTA[ID]))))+1))</f>
        <v>53</v>
      </c>
      <c r="B204" s="35">
        <f ca="1">IF(NOTA[[#This Row],[NAMA BARANG]]="","",INDEX(NOTA[ID],MATCH(,INDIRECT(ADDRESS(ROW(NOTA[ID]),COLUMN(NOTA[ID]))&amp;":"&amp;ADDRESS(ROW(),COLUMN(NOTA[ID]))),-1)))</f>
        <v>53</v>
      </c>
      <c r="C204" s="45"/>
      <c r="D204" s="35" t="s">
        <v>222</v>
      </c>
      <c r="E204" s="35" t="s">
        <v>49</v>
      </c>
      <c r="F204" s="46" t="s">
        <v>383</v>
      </c>
      <c r="G204" s="35"/>
      <c r="H204" s="36">
        <v>45489</v>
      </c>
      <c r="I204" s="35"/>
      <c r="J204" s="35" t="s">
        <v>384</v>
      </c>
      <c r="K204" s="37">
        <v>3</v>
      </c>
      <c r="L204" s="35">
        <v>1200</v>
      </c>
      <c r="M204" s="35" t="s">
        <v>233</v>
      </c>
      <c r="N204" s="38">
        <v>7000</v>
      </c>
      <c r="O204" s="39"/>
      <c r="P204" s="47" t="s">
        <v>386</v>
      </c>
      <c r="Q204" s="48"/>
      <c r="R204" s="41"/>
      <c r="T204" s="42"/>
      <c r="U204" s="44"/>
      <c r="V204" s="42">
        <f>IF(NOTA[[#This Row],[HARGA/ CTN]]="",NOTA[[#This Row],[JUMLAH_H]],NOTA[[#This Row],[HARGA/ CTN]]*IF(NOTA[[#This Row],[C]]="",0,NOTA[[#This Row],[C]]))</f>
        <v>8400000</v>
      </c>
      <c r="W204" s="42">
        <f>IF(NOTA[[#This Row],[JUMLAH]]="","",NOTA[[#This Row],[JUMLAH]]*NOTA[[#This Row],[Column6]])</f>
        <v>0</v>
      </c>
      <c r="X204" s="42">
        <f>IF(NOTA[[#This Row],[JUMLAH]]="","",(NOTA[[#This Row],[JUMLAH]]-NOTA[[#This Row],[DISC 1-]])*NOTA[[#This Row],[Column7]])</f>
        <v>0</v>
      </c>
      <c r="Y204" s="42">
        <f>IF(NOTA[[#This Row],[JUMLAH]]="","",(NOTA[[#This Row],[JUMLAH]]-NOTA[[#This Row],[DISC 1-]]-NOTA[[#This Row],[DISC 2-]])*NOTA[[#This Row],[Column8]])</f>
        <v>0</v>
      </c>
      <c r="Z204" s="42">
        <f>IF(NOTA[[#This Row],[JUMLAH]]="","",NOTA[[#This Row],[DISC 1-]]+NOTA[[#This Row],[DISC 2-]]+NOTA[[#This Row],[DISC 3-]])</f>
        <v>0</v>
      </c>
      <c r="AA204" s="42">
        <f>IF(NOTA[[#This Row],[JUMLAH]]="","",NOTA[[#This Row],[JUMLAH]]-NOTA[[#This Row],[DISC]])</f>
        <v>8400000</v>
      </c>
      <c r="AB204" s="42"/>
      <c r="AC2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4" s="38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204" s="42">
        <f>IF(OR(NOTA[[#This Row],[QTY]]="",NOTA[[#This Row],[HARGA SATUAN]]="",),"",NOTA[[#This Row],[QTY]]*NOTA[[#This Row],[HARGA SATUAN]])</f>
        <v>8400000</v>
      </c>
      <c r="AG204" s="36">
        <f ca="1">IF(NOTA[[#This Row],[ID_H]]="","",INDEX(NOTA[TANGGAL],MATCH(,INDIRECT(ADDRESS(ROW(NOTA[TANGGAL]),COLUMN(NOTA[TANGGAL]))&amp;":"&amp;ADDRESS(ROW(),COLUMN(NOTA[TANGGAL]))),-1)))</f>
        <v>45492</v>
      </c>
      <c r="AH204" s="36">
        <f ca="1">IF(NOTA[[#This Row],[ID_H]]="","",INDEX(NOTA[TGL.NOTA],MATCH(,INDIRECT(ADDRESS(ROW(NOTA[TGL.NOTA]),COLUMN(NOTA[TGL.NOTA]))&amp;":"&amp;ADDRESS(ROW(),COLUMN(NOTA[TGL.NOTA]))),-1)))</f>
        <v>45489</v>
      </c>
      <c r="AI204" s="36" t="str">
        <f ca="1">IF(NOTA[[#This Row],[ID_H]]="","",INDEX(NOTA[NO.NOTA],MATCH(NOTA[[#This Row],[ID_H]],NOTA[ID_H],0)))</f>
        <v>K41,24</v>
      </c>
      <c r="AJ204" s="38" t="str">
        <f ca="1">IF(NOTA[[#This Row],[NAMA BARANG]]="","",INDEX(NOTA[SUPPLIER],MATCH(,INDIRECT(ADDRESS(ROW(NOTA[ID]),COLUMN(NOTA[ID]))&amp;":"&amp;ADDRESS(ROW(),COLUMN(NOTA[ID]))),-1)))</f>
        <v>ETJ</v>
      </c>
      <c r="AK204" s="38" t="str">
        <f ca="1">IF(NOTA[[#This Row],[ID_H]]="","",IF(NOTA[[#This Row],[FAKTUR]]="",INDIRECT(ADDRESS(ROW()-1,COLUMN())),NOTA[[#This Row],[FAKTUR]]))</f>
        <v>UNTANA</v>
      </c>
      <c r="AL204" s="35">
        <f ca="1">IF(NOTA[[#This Row],[ID]]="","",COUNTIF(NOTA[ID_H],NOTA[[#This Row],[ID_H]]))</f>
        <v>2</v>
      </c>
      <c r="AM204" s="35">
        <f>IF(NOTA[[#This Row],[TGL.NOTA]]="",IF(NOTA[[#This Row],[SUPPLIER_H]]="","",AM203),MONTH(NOTA[[#This Row],[TGL.NOTA]]))</f>
        <v>7</v>
      </c>
      <c r="AN204" s="35" t="str">
        <f>LOWER(SUBSTITUTE(SUBSTITUTE(SUBSTITUTE(SUBSTITUTE(SUBSTITUTE(SUBSTITUTE(SUBSTITUTE(SUBSTITUTE(SUBSTITUTE(NOTA[[#This Row],[NAMA BARANG]]," ",),".",""),"-",""),"(",""),")",""),",",""),"/",""),"""",""),"+",""))</f>
        <v>enter345</v>
      </c>
      <c r="AO2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enter3452800000</v>
      </c>
      <c r="AP2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enter3452800000</v>
      </c>
      <c r="AQ204" s="35" t="str">
        <f>IF(NOTA[[#This Row],[SUPPLIER]]="","",NOTA[[#This Row],[SUPPLIER]]&amp;NOTA[[#This Row],[FAKTUR]]&amp;NOTA[[#This Row],[NO.NOTA]]&amp;NOTA[[#This Row],[NO.SJ]]&amp;NOTA[[#This Row],[TGL.NOTA]]&amp;NOTA[[#This Row],[CONCAT1]])</f>
        <v>ETJUNTANAK41,2445489enter345</v>
      </c>
      <c r="AR204" s="35">
        <f>IF(NOTA[[#This Row],[CONCAT1]]="","",MATCH(NOTA[[#This Row],[CONCAT1]],[3]!db[NB NOTA_C],0))</f>
        <v>922</v>
      </c>
      <c r="AS204" s="35" t="b">
        <f>IF(NOTA[[#This Row],[Column5]]="","",TRUE)</f>
        <v>1</v>
      </c>
      <c r="AT204" s="35" t="str">
        <f ca="1">IF(NOTA[[#This Row],[ID_H]]="","",IF(NOTA[[#This Row],[Column3]]=TRUE,NOTA[[#This Row],[Column5]],INDEX([3]!db[QTY/ CTN],NOTA[[#This Row],[//DB]])))</f>
        <v>400 ROL</v>
      </c>
      <c r="AU2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enter345400roluntana</v>
      </c>
      <c r="AV204" s="35">
        <f ca="1">IF(NOTA[[#This Row],[ID_H]]="","",MATCH(NOTA[[#This Row],[NB NOTA_C_QTY]],[3]!db[NB NOTA_C_QTY+F],0))</f>
        <v>922</v>
      </c>
      <c r="AW204" s="43">
        <f ca="1">IF(NOTA[[#This Row],[NB NOTA_C_QTY]]="","",ROW()-2)</f>
        <v>202</v>
      </c>
    </row>
    <row r="205" spans="1:49" ht="20.100000000000001" customHeight="1">
      <c r="A2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5">
        <f ca="1">IF(NOTA[[#This Row],[NAMA BARANG]]="","",INDEX(NOTA[ID],MATCH(,INDIRECT(ADDRESS(ROW(NOTA[ID]),COLUMN(NOTA[ID]))&amp;":"&amp;ADDRESS(ROW(),COLUMN(NOTA[ID]))),-1)))</f>
        <v>53</v>
      </c>
      <c r="C205" s="45"/>
      <c r="F205" s="46"/>
      <c r="G205" s="35"/>
      <c r="H205" s="36"/>
      <c r="I205" s="35"/>
      <c r="J205" s="35" t="s">
        <v>385</v>
      </c>
      <c r="K205" s="37">
        <v>3</v>
      </c>
      <c r="L205" s="35">
        <v>900</v>
      </c>
      <c r="M205" s="35" t="s">
        <v>233</v>
      </c>
      <c r="N205" s="38">
        <v>7750</v>
      </c>
      <c r="O205" s="39"/>
      <c r="P205" s="47" t="s">
        <v>387</v>
      </c>
      <c r="Q205" s="48"/>
      <c r="R205" s="41"/>
      <c r="T205" s="42"/>
      <c r="U205" s="44"/>
      <c r="V205" s="42">
        <f>IF(NOTA[[#This Row],[HARGA/ CTN]]="",NOTA[[#This Row],[JUMLAH_H]],NOTA[[#This Row],[HARGA/ CTN]]*IF(NOTA[[#This Row],[C]]="",0,NOTA[[#This Row],[C]]))</f>
        <v>6975000</v>
      </c>
      <c r="W205" s="42">
        <f>IF(NOTA[[#This Row],[JUMLAH]]="","",NOTA[[#This Row],[JUMLAH]]*NOTA[[#This Row],[Column6]])</f>
        <v>0</v>
      </c>
      <c r="X205" s="42">
        <f>IF(NOTA[[#This Row],[JUMLAH]]="","",(NOTA[[#This Row],[JUMLAH]]-NOTA[[#This Row],[DISC 1-]])*NOTA[[#This Row],[Column7]])</f>
        <v>0</v>
      </c>
      <c r="Y205" s="42">
        <f>IF(NOTA[[#This Row],[JUMLAH]]="","",(NOTA[[#This Row],[JUMLAH]]-NOTA[[#This Row],[DISC 1-]]-NOTA[[#This Row],[DISC 2-]])*NOTA[[#This Row],[Column8]])</f>
        <v>0</v>
      </c>
      <c r="Z205" s="42">
        <f>IF(NOTA[[#This Row],[JUMLAH]]="","",NOTA[[#This Row],[DISC 1-]]+NOTA[[#This Row],[DISC 2-]]+NOTA[[#This Row],[DISC 3-]])</f>
        <v>0</v>
      </c>
      <c r="AA205" s="42">
        <f>IF(NOTA[[#This Row],[JUMLAH]]="","",NOTA[[#This Row],[JUMLAH]]-NOTA[[#This Row],[DISC]])</f>
        <v>6975000</v>
      </c>
      <c r="AB205" s="42"/>
      <c r="AC20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15375000</v>
      </c>
      <c r="AE205" s="38">
        <f>IF(NOTA[[#This Row],[NAMA BARANG]]="","",IF(NOTA[[#This Row],[JUMLAH_H]]="",NOTA[[#This Row],[HARGA/ CTN]],NOTA[[#This Row],[QTY]]*NOTA[[#This Row],[HARGA SATUAN]]/IF(ISNUMBER(NOTA[[#This Row],[C]]),NOTA[[#This Row],[C]],1)))</f>
        <v>2325000</v>
      </c>
      <c r="AF205" s="42">
        <f>IF(OR(NOTA[[#This Row],[QTY]]="",NOTA[[#This Row],[HARGA SATUAN]]="",),"",NOTA[[#This Row],[QTY]]*NOTA[[#This Row],[HARGA SATUAN]])</f>
        <v>6975000</v>
      </c>
      <c r="AG205" s="36">
        <f ca="1">IF(NOTA[[#This Row],[ID_H]]="","",INDEX(NOTA[TANGGAL],MATCH(,INDIRECT(ADDRESS(ROW(NOTA[TANGGAL]),COLUMN(NOTA[TANGGAL]))&amp;":"&amp;ADDRESS(ROW(),COLUMN(NOTA[TANGGAL]))),-1)))</f>
        <v>45492</v>
      </c>
      <c r="AH205" s="36">
        <f ca="1">IF(NOTA[[#This Row],[ID_H]]="","",INDEX(NOTA[TGL.NOTA],MATCH(,INDIRECT(ADDRESS(ROW(NOTA[TGL.NOTA]),COLUMN(NOTA[TGL.NOTA]))&amp;":"&amp;ADDRESS(ROW(),COLUMN(NOTA[TGL.NOTA]))),-1)))</f>
        <v>45489</v>
      </c>
      <c r="AI205" s="36" t="str">
        <f ca="1">IF(NOTA[[#This Row],[ID_H]]="","",INDEX(NOTA[NO.NOTA],MATCH(NOTA[[#This Row],[ID_H]],NOTA[ID_H],0)))</f>
        <v>K41,24</v>
      </c>
      <c r="AJ205" s="38" t="str">
        <f ca="1">IF(NOTA[[#This Row],[NAMA BARANG]]="","",INDEX(NOTA[SUPPLIER],MATCH(,INDIRECT(ADDRESS(ROW(NOTA[ID]),COLUMN(NOTA[ID]))&amp;":"&amp;ADDRESS(ROW(),COLUMN(NOTA[ID]))),-1)))</f>
        <v>ETJ</v>
      </c>
      <c r="AK205" s="38" t="str">
        <f ca="1">IF(NOTA[[#This Row],[ID_H]]="","",IF(NOTA[[#This Row],[FAKTUR]]="",INDIRECT(ADDRESS(ROW()-1,COLUMN())),NOTA[[#This Row],[FAKTUR]]))</f>
        <v>UNTANA</v>
      </c>
      <c r="AL205" s="35" t="str">
        <f ca="1">IF(NOTA[[#This Row],[ID]]="","",COUNTIF(NOTA[ID_H],NOTA[[#This Row],[ID_H]]))</f>
        <v/>
      </c>
      <c r="AM205" s="35">
        <f ca="1">IF(NOTA[[#This Row],[TGL.NOTA]]="",IF(NOTA[[#This Row],[SUPPLIER_H]]="","",AM204),MONTH(NOTA[[#This Row],[TGL.NOTA]]))</f>
        <v>7</v>
      </c>
      <c r="AN205" s="35" t="str">
        <f>LOWER(SUBSTITUTE(SUBSTITUTE(SUBSTITUTE(SUBSTITUTE(SUBSTITUTE(SUBSTITUTE(SUBSTITUTE(SUBSTITUTE(SUBSTITUTE(NOTA[[#This Row],[NAMA BARANG]]," ",),".",""),"-",""),"(",""),")",""),",",""),"/",""),"""",""),"+",""))</f>
        <v>dust454</v>
      </c>
      <c r="AO2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dust4542325000</v>
      </c>
      <c r="AP2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dust4542325000</v>
      </c>
      <c r="AQ2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5" s="35">
        <f>IF(NOTA[[#This Row],[CONCAT1]]="","",MATCH(NOTA[[#This Row],[CONCAT1]],[3]!db[NB NOTA_C],0))</f>
        <v>924</v>
      </c>
      <c r="AS205" s="35" t="b">
        <f>IF(NOTA[[#This Row],[Column5]]="","",TRUE)</f>
        <v>1</v>
      </c>
      <c r="AT205" s="35" t="str">
        <f ca="1">IF(NOTA[[#This Row],[ID_H]]="","",IF(NOTA[[#This Row],[Column3]]=TRUE,NOTA[[#This Row],[Column5]],INDEX([3]!db[QTY/ CTN],NOTA[[#This Row],[//DB]])))</f>
        <v>300 ROL</v>
      </c>
      <c r="AU2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dust454300roluntana</v>
      </c>
      <c r="AV205" s="35">
        <f ca="1">IF(NOTA[[#This Row],[ID_H]]="","",MATCH(NOTA[[#This Row],[NB NOTA_C_QTY]],[3]!db[NB NOTA_C_QTY+F],0))</f>
        <v>924</v>
      </c>
      <c r="AW205" s="43">
        <f ca="1">IF(NOTA[[#This Row],[NB NOTA_C_QTY]]="","",ROW()-2)</f>
        <v>203</v>
      </c>
    </row>
    <row r="206" spans="1:49" ht="20.100000000000001" customHeight="1">
      <c r="A2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5" t="str">
        <f ca="1">IF(NOTA[[#This Row],[NAMA BARANG]]="","",INDEX(NOTA[ID],MATCH(,INDIRECT(ADDRESS(ROW(NOTA[ID]),COLUMN(NOTA[ID]))&amp;":"&amp;ADDRESS(ROW(),COLUMN(NOTA[ID]))),-1)))</f>
        <v/>
      </c>
      <c r="C206" s="45"/>
      <c r="F206" s="46"/>
      <c r="G206" s="35"/>
      <c r="H206" s="36"/>
      <c r="I206" s="35"/>
      <c r="K206" s="37"/>
      <c r="L206" s="35"/>
      <c r="N206" s="38"/>
      <c r="O206" s="39"/>
      <c r="P206" s="47"/>
      <c r="Q206" s="48"/>
      <c r="R206" s="41"/>
      <c r="T206" s="42"/>
      <c r="U206" s="44"/>
      <c r="V206" s="42" t="str">
        <f>IF(NOTA[[#This Row],[HARGA/ CTN]]="",NOTA[[#This Row],[JUMLAH_H]],NOTA[[#This Row],[HARGA/ CTN]]*IF(NOTA[[#This Row],[C]]="",0,NOTA[[#This Row],[C]]))</f>
        <v/>
      </c>
      <c r="W206" s="42" t="str">
        <f>IF(NOTA[[#This Row],[JUMLAH]]="","",NOTA[[#This Row],[JUMLAH]]*NOTA[[#This Row],[Column6]])</f>
        <v/>
      </c>
      <c r="X206" s="42" t="str">
        <f>IF(NOTA[[#This Row],[JUMLAH]]="","",(NOTA[[#This Row],[JUMLAH]]-NOTA[[#This Row],[DISC 1-]])*NOTA[[#This Row],[Column7]])</f>
        <v/>
      </c>
      <c r="Y206" s="42" t="str">
        <f>IF(NOTA[[#This Row],[JUMLAH]]="","",(NOTA[[#This Row],[JUMLAH]]-NOTA[[#This Row],[DISC 1-]]-NOTA[[#This Row],[DISC 2-]])*NOTA[[#This Row],[Column8]])</f>
        <v/>
      </c>
      <c r="Z206" s="42" t="str">
        <f>IF(NOTA[[#This Row],[JUMLAH]]="","",NOTA[[#This Row],[DISC 1-]]+NOTA[[#This Row],[DISC 2-]]+NOTA[[#This Row],[DISC 3-]])</f>
        <v/>
      </c>
      <c r="AA206" s="42" t="str">
        <f>IF(NOTA[[#This Row],[JUMLAH]]="","",NOTA[[#This Row],[JUMLAH]]-NOTA[[#This Row],[DISC]])</f>
        <v/>
      </c>
      <c r="AB206" s="42"/>
      <c r="AC2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6" s="42" t="str">
        <f>IF(OR(NOTA[[#This Row],[QTY]]="",NOTA[[#This Row],[HARGA SATUAN]]="",),"",NOTA[[#This Row],[QTY]]*NOTA[[#This Row],[HARGA SATUAN]])</f>
        <v/>
      </c>
      <c r="AG206" s="36" t="str">
        <f ca="1">IF(NOTA[[#This Row],[ID_H]]="","",INDEX(NOTA[TANGGAL],MATCH(,INDIRECT(ADDRESS(ROW(NOTA[TANGGAL]),COLUMN(NOTA[TANGGAL]))&amp;":"&amp;ADDRESS(ROW(),COLUMN(NOTA[TANGGAL]))),-1)))</f>
        <v/>
      </c>
      <c r="AH206" s="36" t="str">
        <f ca="1">IF(NOTA[[#This Row],[ID_H]]="","",INDEX(NOTA[TGL.NOTA],MATCH(,INDIRECT(ADDRESS(ROW(NOTA[TGL.NOTA]),COLUMN(NOTA[TGL.NOTA]))&amp;":"&amp;ADDRESS(ROW(),COLUMN(NOTA[TGL.NOTA]))),-1)))</f>
        <v/>
      </c>
      <c r="AI206" s="36" t="str">
        <f ca="1">IF(NOTA[[#This Row],[ID_H]]="","",INDEX(NOTA[NO.NOTA],MATCH(NOTA[[#This Row],[ID_H]],NOTA[ID_H],0)))</f>
        <v/>
      </c>
      <c r="AJ206" s="38" t="str">
        <f ca="1">IF(NOTA[[#This Row],[NAMA BARANG]]="","",INDEX(NOTA[SUPPLIER],MATCH(,INDIRECT(ADDRESS(ROW(NOTA[ID]),COLUMN(NOTA[ID]))&amp;":"&amp;ADDRESS(ROW(),COLUMN(NOTA[ID]))),-1)))</f>
        <v/>
      </c>
      <c r="AK206" s="38" t="str">
        <f ca="1">IF(NOTA[[#This Row],[ID_H]]="","",IF(NOTA[[#This Row],[FAKTUR]]="",INDIRECT(ADDRESS(ROW()-1,COLUMN())),NOTA[[#This Row],[FAKTUR]]))</f>
        <v/>
      </c>
      <c r="AL206" s="35" t="str">
        <f ca="1">IF(NOTA[[#This Row],[ID]]="","",COUNTIF(NOTA[ID_H],NOTA[[#This Row],[ID_H]]))</f>
        <v/>
      </c>
      <c r="AM206" s="35" t="str">
        <f ca="1">IF(NOTA[[#This Row],[TGL.NOTA]]="",IF(NOTA[[#This Row],[SUPPLIER_H]]="","",AM205),MONTH(NOTA[[#This Row],[TGL.NOTA]]))</f>
        <v/>
      </c>
      <c r="AN2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6" s="35" t="str">
        <f>IF(NOTA[[#This Row],[CONCAT1]]="","",MATCH(NOTA[[#This Row],[CONCAT1]],[3]!db[NB NOTA_C],0))</f>
        <v/>
      </c>
      <c r="AS206" s="35" t="str">
        <f>IF(NOTA[[#This Row],[Column5]]="","",TRUE)</f>
        <v/>
      </c>
      <c r="AT206" s="35" t="str">
        <f ca="1">IF(NOTA[[#This Row],[ID_H]]="","",IF(NOTA[[#This Row],[Column3]]=TRUE,NOTA[[#This Row],[Column5]],INDEX([3]!db[QTY/ CTN],NOTA[[#This Row],[//DB]])))</f>
        <v/>
      </c>
      <c r="AU2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6" s="35" t="str">
        <f ca="1">IF(NOTA[[#This Row],[ID_H]]="","",MATCH(NOTA[[#This Row],[NB NOTA_C_QTY]],[3]!db[NB NOTA_C_QTY+F],0))</f>
        <v/>
      </c>
      <c r="AW206" s="43" t="str">
        <f ca="1">IF(NOTA[[#This Row],[NB NOTA_C_QTY]]="","",ROW()-2)</f>
        <v/>
      </c>
    </row>
    <row r="207" spans="1:49" ht="20.100000000000001" customHeight="1">
      <c r="A207" s="38">
        <f ca="1">IF(INDIRECT(ADDRESS(ROW()-1,COLUMN(NOTA[[#Headers],[ID]])))="ID",1,IF(NOTA[[#This Row],[FAKTUR]]="","",COUNT(INDIRECT(ADDRESS(ROW(NOTA[ID]),COLUMN(NOTA[ID]))&amp;":"&amp;ADDRESS(ROW()-1,COLUMN(NOTA[ID]))))+1))</f>
        <v>54</v>
      </c>
      <c r="B207" s="35">
        <f ca="1">IF(NOTA[[#This Row],[NAMA BARANG]]="","",INDEX(NOTA[ID],MATCH(,INDIRECT(ADDRESS(ROW(NOTA[ID]),COLUMN(NOTA[ID]))&amp;":"&amp;ADDRESS(ROW(),COLUMN(NOTA[ID]))),-1)))</f>
        <v>54</v>
      </c>
      <c r="C207" s="45"/>
      <c r="D207" s="35" t="s">
        <v>222</v>
      </c>
      <c r="E207" s="35" t="s">
        <v>49</v>
      </c>
      <c r="F207" s="46" t="s">
        <v>388</v>
      </c>
      <c r="G207" s="35"/>
      <c r="H207" s="36">
        <v>45490</v>
      </c>
      <c r="I207" s="35"/>
      <c r="J207" s="35" t="s">
        <v>389</v>
      </c>
      <c r="K207" s="37">
        <v>3</v>
      </c>
      <c r="L207" s="35">
        <v>900</v>
      </c>
      <c r="M207" s="35" t="s">
        <v>51</v>
      </c>
      <c r="N207" s="38">
        <v>9250</v>
      </c>
      <c r="O207" s="39"/>
      <c r="P207" s="47" t="s">
        <v>390</v>
      </c>
      <c r="Q207" s="48"/>
      <c r="R207" s="41"/>
      <c r="T207" s="42"/>
      <c r="U207" s="44"/>
      <c r="V207" s="42">
        <f>IF(NOTA[[#This Row],[HARGA/ CTN]]="",NOTA[[#This Row],[JUMLAH_H]],NOTA[[#This Row],[HARGA/ CTN]]*IF(NOTA[[#This Row],[C]]="",0,NOTA[[#This Row],[C]]))</f>
        <v>8325000</v>
      </c>
      <c r="W207" s="42">
        <f>IF(NOTA[[#This Row],[JUMLAH]]="","",NOTA[[#This Row],[JUMLAH]]*NOTA[[#This Row],[Column6]])</f>
        <v>0</v>
      </c>
      <c r="X207" s="42">
        <f>IF(NOTA[[#This Row],[JUMLAH]]="","",(NOTA[[#This Row],[JUMLAH]]-NOTA[[#This Row],[DISC 1-]])*NOTA[[#This Row],[Column7]])</f>
        <v>0</v>
      </c>
      <c r="Y207" s="42">
        <f>IF(NOTA[[#This Row],[JUMLAH]]="","",(NOTA[[#This Row],[JUMLAH]]-NOTA[[#This Row],[DISC 1-]]-NOTA[[#This Row],[DISC 2-]])*NOTA[[#This Row],[Column8]])</f>
        <v>0</v>
      </c>
      <c r="Z207" s="42">
        <f>IF(NOTA[[#This Row],[JUMLAH]]="","",NOTA[[#This Row],[DISC 1-]]+NOTA[[#This Row],[DISC 2-]]+NOTA[[#This Row],[DISC 3-]])</f>
        <v>0</v>
      </c>
      <c r="AA207" s="42">
        <f>IF(NOTA[[#This Row],[JUMLAH]]="","",NOTA[[#This Row],[JUMLAH]]-NOTA[[#This Row],[DISC]])</f>
        <v>8325000</v>
      </c>
      <c r="AB207" s="42"/>
      <c r="AC20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0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8325000</v>
      </c>
      <c r="AE207" s="38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207" s="42">
        <f>IF(OR(NOTA[[#This Row],[QTY]]="",NOTA[[#This Row],[HARGA SATUAN]]="",),"",NOTA[[#This Row],[QTY]]*NOTA[[#This Row],[HARGA SATUAN]])</f>
        <v>8325000</v>
      </c>
      <c r="AG207" s="36">
        <f ca="1">IF(NOTA[[#This Row],[ID_H]]="","",INDEX(NOTA[TANGGAL],MATCH(,INDIRECT(ADDRESS(ROW(NOTA[TANGGAL]),COLUMN(NOTA[TANGGAL]))&amp;":"&amp;ADDRESS(ROW(),COLUMN(NOTA[TANGGAL]))),-1)))</f>
        <v>45492</v>
      </c>
      <c r="AH207" s="36">
        <f ca="1">IF(NOTA[[#This Row],[ID_H]]="","",INDEX(NOTA[TGL.NOTA],MATCH(,INDIRECT(ADDRESS(ROW(NOTA[TGL.NOTA]),COLUMN(NOTA[TGL.NOTA]))&amp;":"&amp;ADDRESS(ROW(),COLUMN(NOTA[TGL.NOTA]))),-1)))</f>
        <v>45490</v>
      </c>
      <c r="AI207" s="36" t="str">
        <f ca="1">IF(NOTA[[#This Row],[ID_H]]="","",INDEX(NOTA[NO.NOTA],MATCH(NOTA[[#This Row],[ID_H]],NOTA[ID_H],0)))</f>
        <v>K50,24</v>
      </c>
      <c r="AJ207" s="38" t="str">
        <f ca="1">IF(NOTA[[#This Row],[NAMA BARANG]]="","",INDEX(NOTA[SUPPLIER],MATCH(,INDIRECT(ADDRESS(ROW(NOTA[ID]),COLUMN(NOTA[ID]))&amp;":"&amp;ADDRESS(ROW(),COLUMN(NOTA[ID]))),-1)))</f>
        <v>ETJ</v>
      </c>
      <c r="AK207" s="38" t="str">
        <f ca="1">IF(NOTA[[#This Row],[ID_H]]="","",IF(NOTA[[#This Row],[FAKTUR]]="",INDIRECT(ADDRESS(ROW()-1,COLUMN())),NOTA[[#This Row],[FAKTUR]]))</f>
        <v>UNTANA</v>
      </c>
      <c r="AL207" s="35">
        <f ca="1">IF(NOTA[[#This Row],[ID]]="","",COUNTIF(NOTA[ID_H],NOTA[[#This Row],[ID_H]]))</f>
        <v>1</v>
      </c>
      <c r="AM207" s="35">
        <f>IF(NOTA[[#This Row],[TGL.NOTA]]="",IF(NOTA[[#This Row],[SUPPLIER_H]]="","",AM206),MONTH(NOTA[[#This Row],[TGL.NOTA]]))</f>
        <v>7</v>
      </c>
      <c r="AN207" s="35" t="str">
        <f>LOWER(SUBSTITUTE(SUBSTITUTE(SUBSTITUTE(SUBSTITUTE(SUBSTITUTE(SUBSTITUTE(SUBSTITUTE(SUBSTITUTE(SUBSTITUTE(NOTA[[#This Row],[NAMA BARANG]]," ",),".",""),"-",""),"(",""),")",""),",",""),"/",""),"""",""),"+",""))</f>
        <v>sempoa17t</v>
      </c>
      <c r="AO2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sempoa17t2775000</v>
      </c>
      <c r="AP2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sempoa17t2775000</v>
      </c>
      <c r="AQ207" s="35" t="str">
        <f>IF(NOTA[[#This Row],[SUPPLIER]]="","",NOTA[[#This Row],[SUPPLIER]]&amp;NOTA[[#This Row],[FAKTUR]]&amp;NOTA[[#This Row],[NO.NOTA]]&amp;NOTA[[#This Row],[NO.SJ]]&amp;NOTA[[#This Row],[TGL.NOTA]]&amp;NOTA[[#This Row],[CONCAT1]])</f>
        <v>ETJUNTANAK50,2445490sempoa17t</v>
      </c>
      <c r="AR207" s="35">
        <f>IF(NOTA[[#This Row],[CONCAT1]]="","",MATCH(NOTA[[#This Row],[CONCAT1]],[3]!db[NB NOTA_C],0))</f>
        <v>2863</v>
      </c>
      <c r="AS207" s="35" t="b">
        <f>IF(NOTA[[#This Row],[Column5]]="","",TRUE)</f>
        <v>1</v>
      </c>
      <c r="AT207" s="35" t="str">
        <f ca="1">IF(NOTA[[#This Row],[ID_H]]="","",IF(NOTA[[#This Row],[Column3]]=TRUE,NOTA[[#This Row],[Column5]],INDEX([3]!db[QTY/ CTN],NOTA[[#This Row],[//DB]])))</f>
        <v>300 PCS</v>
      </c>
      <c r="AU2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sempoa17t300pcsuntana</v>
      </c>
      <c r="AV207" s="35">
        <f ca="1">IF(NOTA[[#This Row],[ID_H]]="","",MATCH(NOTA[[#This Row],[NB NOTA_C_QTY]],[3]!db[NB NOTA_C_QTY+F],0))</f>
        <v>2863</v>
      </c>
      <c r="AW207" s="43">
        <f ca="1">IF(NOTA[[#This Row],[NB NOTA_C_QTY]]="","",ROW()-2)</f>
        <v>205</v>
      </c>
    </row>
    <row r="208" spans="1:49" ht="20.100000000000001" customHeight="1">
      <c r="A2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5" t="str">
        <f ca="1">IF(NOTA[[#This Row],[NAMA BARANG]]="","",INDEX(NOTA[ID],MATCH(,INDIRECT(ADDRESS(ROW(NOTA[ID]),COLUMN(NOTA[ID]))&amp;":"&amp;ADDRESS(ROW(),COLUMN(NOTA[ID]))),-1)))</f>
        <v/>
      </c>
      <c r="C208" s="45"/>
      <c r="F208" s="46"/>
      <c r="G208" s="35"/>
      <c r="H208" s="36"/>
      <c r="I208" s="35"/>
      <c r="K208" s="37"/>
      <c r="L208" s="35"/>
      <c r="N208" s="38"/>
      <c r="O208" s="39"/>
      <c r="P208" s="47"/>
      <c r="Q208" s="48"/>
      <c r="R208" s="41"/>
      <c r="T208" s="42"/>
      <c r="U208" s="44"/>
      <c r="V208" s="42" t="str">
        <f>IF(NOTA[[#This Row],[HARGA/ CTN]]="",NOTA[[#This Row],[JUMLAH_H]],NOTA[[#This Row],[HARGA/ CTN]]*IF(NOTA[[#This Row],[C]]="",0,NOTA[[#This Row],[C]]))</f>
        <v/>
      </c>
      <c r="W208" s="42" t="str">
        <f>IF(NOTA[[#This Row],[JUMLAH]]="","",NOTA[[#This Row],[JUMLAH]]*NOTA[[#This Row],[Column6]])</f>
        <v/>
      </c>
      <c r="X208" s="42" t="str">
        <f>IF(NOTA[[#This Row],[JUMLAH]]="","",(NOTA[[#This Row],[JUMLAH]]-NOTA[[#This Row],[DISC 1-]])*NOTA[[#This Row],[Column7]])</f>
        <v/>
      </c>
      <c r="Y208" s="42" t="str">
        <f>IF(NOTA[[#This Row],[JUMLAH]]="","",(NOTA[[#This Row],[JUMLAH]]-NOTA[[#This Row],[DISC 1-]]-NOTA[[#This Row],[DISC 2-]])*NOTA[[#This Row],[Column8]])</f>
        <v/>
      </c>
      <c r="Z208" s="42" t="str">
        <f>IF(NOTA[[#This Row],[JUMLAH]]="","",NOTA[[#This Row],[DISC 1-]]+NOTA[[#This Row],[DISC 2-]]+NOTA[[#This Row],[DISC 3-]])</f>
        <v/>
      </c>
      <c r="AA208" s="42" t="str">
        <f>IF(NOTA[[#This Row],[JUMLAH]]="","",NOTA[[#This Row],[JUMLAH]]-NOTA[[#This Row],[DISC]])</f>
        <v/>
      </c>
      <c r="AB208" s="42"/>
      <c r="AC2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8" s="42" t="str">
        <f>IF(OR(NOTA[[#This Row],[QTY]]="",NOTA[[#This Row],[HARGA SATUAN]]="",),"",NOTA[[#This Row],[QTY]]*NOTA[[#This Row],[HARGA SATUAN]])</f>
        <v/>
      </c>
      <c r="AG208" s="36" t="str">
        <f ca="1">IF(NOTA[[#This Row],[ID_H]]="","",INDEX(NOTA[TANGGAL],MATCH(,INDIRECT(ADDRESS(ROW(NOTA[TANGGAL]),COLUMN(NOTA[TANGGAL]))&amp;":"&amp;ADDRESS(ROW(),COLUMN(NOTA[TANGGAL]))),-1)))</f>
        <v/>
      </c>
      <c r="AH208" s="36" t="str">
        <f ca="1">IF(NOTA[[#This Row],[ID_H]]="","",INDEX(NOTA[TGL.NOTA],MATCH(,INDIRECT(ADDRESS(ROW(NOTA[TGL.NOTA]),COLUMN(NOTA[TGL.NOTA]))&amp;":"&amp;ADDRESS(ROW(),COLUMN(NOTA[TGL.NOTA]))),-1)))</f>
        <v/>
      </c>
      <c r="AI208" s="36" t="str">
        <f ca="1">IF(NOTA[[#This Row],[ID_H]]="","",INDEX(NOTA[NO.NOTA],MATCH(NOTA[[#This Row],[ID_H]],NOTA[ID_H],0)))</f>
        <v/>
      </c>
      <c r="AJ208" s="38" t="str">
        <f ca="1">IF(NOTA[[#This Row],[NAMA BARANG]]="","",INDEX(NOTA[SUPPLIER],MATCH(,INDIRECT(ADDRESS(ROW(NOTA[ID]),COLUMN(NOTA[ID]))&amp;":"&amp;ADDRESS(ROW(),COLUMN(NOTA[ID]))),-1)))</f>
        <v/>
      </c>
      <c r="AK208" s="38" t="str">
        <f ca="1">IF(NOTA[[#This Row],[ID_H]]="","",IF(NOTA[[#This Row],[FAKTUR]]="",INDIRECT(ADDRESS(ROW()-1,COLUMN())),NOTA[[#This Row],[FAKTUR]]))</f>
        <v/>
      </c>
      <c r="AL208" s="35" t="str">
        <f ca="1">IF(NOTA[[#This Row],[ID]]="","",COUNTIF(NOTA[ID_H],NOTA[[#This Row],[ID_H]]))</f>
        <v/>
      </c>
      <c r="AM208" s="35" t="str">
        <f ca="1">IF(NOTA[[#This Row],[TGL.NOTA]]="",IF(NOTA[[#This Row],[SUPPLIER_H]]="","",AM207),MONTH(NOTA[[#This Row],[TGL.NOTA]]))</f>
        <v/>
      </c>
      <c r="AN2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8" s="35" t="str">
        <f>IF(NOTA[[#This Row],[CONCAT1]]="","",MATCH(NOTA[[#This Row],[CONCAT1]],[3]!db[NB NOTA_C],0))</f>
        <v/>
      </c>
      <c r="AS208" s="35" t="str">
        <f>IF(NOTA[[#This Row],[Column5]]="","",TRUE)</f>
        <v/>
      </c>
      <c r="AT208" s="35" t="str">
        <f ca="1">IF(NOTA[[#This Row],[ID_H]]="","",IF(NOTA[[#This Row],[Column3]]=TRUE,NOTA[[#This Row],[Column5]],INDEX([3]!db[QTY/ CTN],NOTA[[#This Row],[//DB]])))</f>
        <v/>
      </c>
      <c r="AU2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08" s="35" t="str">
        <f ca="1">IF(NOTA[[#This Row],[ID_H]]="","",MATCH(NOTA[[#This Row],[NB NOTA_C_QTY]],[3]!db[NB NOTA_C_QTY+F],0))</f>
        <v/>
      </c>
      <c r="AW208" s="43" t="str">
        <f ca="1">IF(NOTA[[#This Row],[NB NOTA_C_QTY]]="","",ROW()-2)</f>
        <v/>
      </c>
    </row>
    <row r="209" spans="1:49" ht="20.100000000000001" customHeight="1">
      <c r="A209" s="38">
        <f ca="1">IF(INDIRECT(ADDRESS(ROW()-1,COLUMN(NOTA[[#Headers],[ID]])))="ID",1,IF(NOTA[[#This Row],[FAKTUR]]="","",COUNT(INDIRECT(ADDRESS(ROW(NOTA[ID]),COLUMN(NOTA[ID]))&amp;":"&amp;ADDRESS(ROW()-1,COLUMN(NOTA[ID]))))+1))</f>
        <v>55</v>
      </c>
      <c r="B209" s="35">
        <f ca="1">IF(NOTA[[#This Row],[NAMA BARANG]]="","",INDEX(NOTA[ID],MATCH(,INDIRECT(ADDRESS(ROW(NOTA[ID]),COLUMN(NOTA[ID]))&amp;":"&amp;ADDRESS(ROW(),COLUMN(NOTA[ID]))),-1)))</f>
        <v>55</v>
      </c>
      <c r="C209" s="45">
        <v>45495</v>
      </c>
      <c r="D209" s="35" t="s">
        <v>222</v>
      </c>
      <c r="E209" s="35" t="s">
        <v>49</v>
      </c>
      <c r="F209" s="46" t="s">
        <v>391</v>
      </c>
      <c r="G209" s="35"/>
      <c r="H209" s="36">
        <v>45491</v>
      </c>
      <c r="I209" s="35"/>
      <c r="J209" s="50" t="s">
        <v>392</v>
      </c>
      <c r="K209" s="37">
        <v>4</v>
      </c>
      <c r="L209" s="35">
        <v>6000</v>
      </c>
      <c r="M209" s="35" t="s">
        <v>50</v>
      </c>
      <c r="N209" s="38">
        <v>5000</v>
      </c>
      <c r="O209" s="39"/>
      <c r="P209" s="47" t="s">
        <v>394</v>
      </c>
      <c r="Q209" s="48"/>
      <c r="R209" s="41"/>
      <c r="T209" s="42"/>
      <c r="U209" s="44"/>
      <c r="V209" s="42">
        <f>IF(NOTA[[#This Row],[HARGA/ CTN]]="",NOTA[[#This Row],[JUMLAH_H]],NOTA[[#This Row],[HARGA/ CTN]]*IF(NOTA[[#This Row],[C]]="",0,NOTA[[#This Row],[C]]))</f>
        <v>30000000</v>
      </c>
      <c r="W209" s="42">
        <f>IF(NOTA[[#This Row],[JUMLAH]]="","",NOTA[[#This Row],[JUMLAH]]*NOTA[[#This Row],[Column6]])</f>
        <v>0</v>
      </c>
      <c r="X209" s="42">
        <f>IF(NOTA[[#This Row],[JUMLAH]]="","",(NOTA[[#This Row],[JUMLAH]]-NOTA[[#This Row],[DISC 1-]])*NOTA[[#This Row],[Column7]])</f>
        <v>0</v>
      </c>
      <c r="Y209" s="42">
        <f>IF(NOTA[[#This Row],[JUMLAH]]="","",(NOTA[[#This Row],[JUMLAH]]-NOTA[[#This Row],[DISC 1-]]-NOTA[[#This Row],[DISC 2-]])*NOTA[[#This Row],[Column8]])</f>
        <v>0</v>
      </c>
      <c r="Z209" s="42">
        <f>IF(NOTA[[#This Row],[JUMLAH]]="","",NOTA[[#This Row],[DISC 1-]]+NOTA[[#This Row],[DISC 2-]]+NOTA[[#This Row],[DISC 3-]])</f>
        <v>0</v>
      </c>
      <c r="AA209" s="42">
        <f>IF(NOTA[[#This Row],[JUMLAH]]="","",NOTA[[#This Row],[JUMLAH]]-NOTA[[#This Row],[DISC]])</f>
        <v>30000000</v>
      </c>
      <c r="AB209" s="42"/>
      <c r="AC2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09" s="38">
        <f>IF(NOTA[[#This Row],[NAMA BARANG]]="","",IF(NOTA[[#This Row],[JUMLAH_H]]="",NOTA[[#This Row],[HARGA/ CTN]],NOTA[[#This Row],[QTY]]*NOTA[[#This Row],[HARGA SATUAN]]/IF(ISNUMBER(NOTA[[#This Row],[C]]),NOTA[[#This Row],[C]],1)))</f>
        <v>7500000</v>
      </c>
      <c r="AF209" s="42">
        <f>IF(OR(NOTA[[#This Row],[QTY]]="",NOTA[[#This Row],[HARGA SATUAN]]="",),"",NOTA[[#This Row],[QTY]]*NOTA[[#This Row],[HARGA SATUAN]])</f>
        <v>30000000</v>
      </c>
      <c r="AG209" s="36">
        <f ca="1">IF(NOTA[[#This Row],[ID_H]]="","",INDEX(NOTA[TANGGAL],MATCH(,INDIRECT(ADDRESS(ROW(NOTA[TANGGAL]),COLUMN(NOTA[TANGGAL]))&amp;":"&amp;ADDRESS(ROW(),COLUMN(NOTA[TANGGAL]))),-1)))</f>
        <v>45495</v>
      </c>
      <c r="AH209" s="36">
        <f ca="1">IF(NOTA[[#This Row],[ID_H]]="","",INDEX(NOTA[TGL.NOTA],MATCH(,INDIRECT(ADDRESS(ROW(NOTA[TGL.NOTA]),COLUMN(NOTA[TGL.NOTA]))&amp;":"&amp;ADDRESS(ROW(),COLUMN(NOTA[TGL.NOTA]))),-1)))</f>
        <v>45491</v>
      </c>
      <c r="AI209" s="36" t="str">
        <f ca="1">IF(NOTA[[#This Row],[ID_H]]="","",INDEX(NOTA[NO.NOTA],MATCH(NOTA[[#This Row],[ID_H]],NOTA[ID_H],0)))</f>
        <v>K55,24</v>
      </c>
      <c r="AJ209" s="38" t="str">
        <f ca="1">IF(NOTA[[#This Row],[NAMA BARANG]]="","",INDEX(NOTA[SUPPLIER],MATCH(,INDIRECT(ADDRESS(ROW(NOTA[ID]),COLUMN(NOTA[ID]))&amp;":"&amp;ADDRESS(ROW(),COLUMN(NOTA[ID]))),-1)))</f>
        <v>ETJ</v>
      </c>
      <c r="AK209" s="38" t="str">
        <f ca="1">IF(NOTA[[#This Row],[ID_H]]="","",IF(NOTA[[#This Row],[FAKTUR]]="",INDIRECT(ADDRESS(ROW()-1,COLUMN())),NOTA[[#This Row],[FAKTUR]]))</f>
        <v>UNTANA</v>
      </c>
      <c r="AL209" s="35">
        <f ca="1">IF(NOTA[[#This Row],[ID]]="","",COUNTIF(NOTA[ID_H],NOTA[[#This Row],[ID_H]]))</f>
        <v>3</v>
      </c>
      <c r="AM209" s="35">
        <f>IF(NOTA[[#This Row],[TGL.NOTA]]="",IF(NOTA[[#This Row],[SUPPLIER_H]]="","",AM208),MONTH(NOTA[[#This Row],[TGL.NOTA]]))</f>
        <v>7</v>
      </c>
      <c r="AN209" s="35" t="str">
        <f>LOWER(SUBSTITUTE(SUBSTITUTE(SUBSTITUTE(SUBSTITUTE(SUBSTITUTE(SUBSTITUTE(SUBSTITUTE(SUBSTITUTE(SUBSTITUTE(NOTA[[#This Row],[NAMA BARANG]]," ",),".",""),"-",""),"(",""),")",""),",",""),"/",""),"""",""),"+",""))</f>
        <v>busur312mika</v>
      </c>
      <c r="AO2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busur312mika7500000</v>
      </c>
      <c r="AP2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busur312mika7500000</v>
      </c>
      <c r="AQ209" s="35" t="str">
        <f>IF(NOTA[[#This Row],[SUPPLIER]]="","",NOTA[[#This Row],[SUPPLIER]]&amp;NOTA[[#This Row],[FAKTUR]]&amp;NOTA[[#This Row],[NO.NOTA]]&amp;NOTA[[#This Row],[NO.SJ]]&amp;NOTA[[#This Row],[TGL.NOTA]]&amp;NOTA[[#This Row],[CONCAT1]])</f>
        <v>ETJUNTANAK55,2445491busur312mika</v>
      </c>
      <c r="AR209" s="35">
        <f>IF(NOTA[[#This Row],[CONCAT1]]="","",MATCH(NOTA[[#This Row],[CONCAT1]],[3]!db[NB NOTA_C],0))</f>
        <v>573</v>
      </c>
      <c r="AS209" s="35" t="b">
        <f>IF(NOTA[[#This Row],[Column5]]="","",TRUE)</f>
        <v>1</v>
      </c>
      <c r="AT209" s="35" t="str">
        <f ca="1">IF(NOTA[[#This Row],[ID_H]]="","",IF(NOTA[[#This Row],[Column3]]=TRUE,NOTA[[#This Row],[Column5]],INDEX([3]!db[QTY/ CTN],NOTA[[#This Row],[//DB]])))</f>
        <v>1500 LSN</v>
      </c>
      <c r="AU2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busur312mika1500lsnuntana</v>
      </c>
      <c r="AV209" s="35">
        <f ca="1">IF(NOTA[[#This Row],[ID_H]]="","",MATCH(NOTA[[#This Row],[NB NOTA_C_QTY]],[3]!db[NB NOTA_C_QTY+F],0))</f>
        <v>573</v>
      </c>
      <c r="AW209" s="43">
        <f ca="1">IF(NOTA[[#This Row],[NB NOTA_C_QTY]]="","",ROW()-2)</f>
        <v>207</v>
      </c>
    </row>
    <row r="210" spans="1:49" ht="20.100000000000001" customHeight="1">
      <c r="A2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5">
        <f ca="1">IF(NOTA[[#This Row],[NAMA BARANG]]="","",INDEX(NOTA[ID],MATCH(,INDIRECT(ADDRESS(ROW(NOTA[ID]),COLUMN(NOTA[ID]))&amp;":"&amp;ADDRESS(ROW(),COLUMN(NOTA[ID]))),-1)))</f>
        <v>55</v>
      </c>
      <c r="C210" s="45"/>
      <c r="F210" s="46"/>
      <c r="G210" s="35"/>
      <c r="H210" s="36"/>
      <c r="I210" s="35"/>
      <c r="J210" s="50" t="s">
        <v>393</v>
      </c>
      <c r="K210" s="37">
        <v>2</v>
      </c>
      <c r="L210" s="35">
        <v>2000</v>
      </c>
      <c r="M210" s="35" t="s">
        <v>50</v>
      </c>
      <c r="N210" s="38">
        <v>5500</v>
      </c>
      <c r="O210" s="39"/>
      <c r="P210" s="47" t="s">
        <v>395</v>
      </c>
      <c r="Q210" s="48"/>
      <c r="R210" s="41"/>
      <c r="T210" s="42"/>
      <c r="U210" s="44"/>
      <c r="V210" s="42">
        <f>IF(NOTA[[#This Row],[HARGA/ CTN]]="",NOTA[[#This Row],[JUMLAH_H]],NOTA[[#This Row],[HARGA/ CTN]]*IF(NOTA[[#This Row],[C]]="",0,NOTA[[#This Row],[C]]))</f>
        <v>11000000</v>
      </c>
      <c r="W210" s="42">
        <f>IF(NOTA[[#This Row],[JUMLAH]]="","",NOTA[[#This Row],[JUMLAH]]*NOTA[[#This Row],[Column6]])</f>
        <v>0</v>
      </c>
      <c r="X210" s="42">
        <f>IF(NOTA[[#This Row],[JUMLAH]]="","",(NOTA[[#This Row],[JUMLAH]]-NOTA[[#This Row],[DISC 1-]])*NOTA[[#This Row],[Column7]])</f>
        <v>0</v>
      </c>
      <c r="Y210" s="42">
        <f>IF(NOTA[[#This Row],[JUMLAH]]="","",(NOTA[[#This Row],[JUMLAH]]-NOTA[[#This Row],[DISC 1-]]-NOTA[[#This Row],[DISC 2-]])*NOTA[[#This Row],[Column8]])</f>
        <v>0</v>
      </c>
      <c r="Z210" s="42">
        <f>IF(NOTA[[#This Row],[JUMLAH]]="","",NOTA[[#This Row],[DISC 1-]]+NOTA[[#This Row],[DISC 2-]]+NOTA[[#This Row],[DISC 3-]])</f>
        <v>0</v>
      </c>
      <c r="AA210" s="42">
        <f>IF(NOTA[[#This Row],[JUMLAH]]="","",NOTA[[#This Row],[JUMLAH]]-NOTA[[#This Row],[DISC]])</f>
        <v>11000000</v>
      </c>
      <c r="AB210" s="42"/>
      <c r="AC2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0" s="38">
        <f>IF(NOTA[[#This Row],[NAMA BARANG]]="","",IF(NOTA[[#This Row],[JUMLAH_H]]="",NOTA[[#This Row],[HARGA/ CTN]],NOTA[[#This Row],[QTY]]*NOTA[[#This Row],[HARGA SATUAN]]/IF(ISNUMBER(NOTA[[#This Row],[C]]),NOTA[[#This Row],[C]],1)))</f>
        <v>5500000</v>
      </c>
      <c r="AF210" s="42">
        <f>IF(OR(NOTA[[#This Row],[QTY]]="",NOTA[[#This Row],[HARGA SATUAN]]="",),"",NOTA[[#This Row],[QTY]]*NOTA[[#This Row],[HARGA SATUAN]])</f>
        <v>11000000</v>
      </c>
      <c r="AG210" s="36">
        <f ca="1">IF(NOTA[[#This Row],[ID_H]]="","",INDEX(NOTA[TANGGAL],MATCH(,INDIRECT(ADDRESS(ROW(NOTA[TANGGAL]),COLUMN(NOTA[TANGGAL]))&amp;":"&amp;ADDRESS(ROW(),COLUMN(NOTA[TANGGAL]))),-1)))</f>
        <v>45495</v>
      </c>
      <c r="AH210" s="36">
        <f ca="1">IF(NOTA[[#This Row],[ID_H]]="","",INDEX(NOTA[TGL.NOTA],MATCH(,INDIRECT(ADDRESS(ROW(NOTA[TGL.NOTA]),COLUMN(NOTA[TGL.NOTA]))&amp;":"&amp;ADDRESS(ROW(),COLUMN(NOTA[TGL.NOTA]))),-1)))</f>
        <v>45491</v>
      </c>
      <c r="AI210" s="36" t="str">
        <f ca="1">IF(NOTA[[#This Row],[ID_H]]="","",INDEX(NOTA[NO.NOTA],MATCH(NOTA[[#This Row],[ID_H]],NOTA[ID_H],0)))</f>
        <v>K55,24</v>
      </c>
      <c r="AJ210" s="38" t="str">
        <f ca="1">IF(NOTA[[#This Row],[NAMA BARANG]]="","",INDEX(NOTA[SUPPLIER],MATCH(,INDIRECT(ADDRESS(ROW(NOTA[ID]),COLUMN(NOTA[ID]))&amp;":"&amp;ADDRESS(ROW(),COLUMN(NOTA[ID]))),-1)))</f>
        <v>ETJ</v>
      </c>
      <c r="AK210" s="38" t="str">
        <f ca="1">IF(NOTA[[#This Row],[ID_H]]="","",IF(NOTA[[#This Row],[FAKTUR]]="",INDIRECT(ADDRESS(ROW()-1,COLUMN())),NOTA[[#This Row],[FAKTUR]]))</f>
        <v>UNTANA</v>
      </c>
      <c r="AL210" s="35" t="str">
        <f ca="1">IF(NOTA[[#This Row],[ID]]="","",COUNTIF(NOTA[ID_H],NOTA[[#This Row],[ID_H]]))</f>
        <v/>
      </c>
      <c r="AM210" s="35">
        <f ca="1">IF(NOTA[[#This Row],[TGL.NOTA]]="",IF(NOTA[[#This Row],[SUPPLIER_H]]="","",AM209),MONTH(NOTA[[#This Row],[TGL.NOTA]]))</f>
        <v>7</v>
      </c>
      <c r="AN210" s="35" t="str">
        <f>LOWER(SUBSTITUTE(SUBSTITUTE(SUBSTITUTE(SUBSTITUTE(SUBSTITUTE(SUBSTITUTE(SUBSTITUTE(SUBSTITUTE(SUBSTITUTE(NOTA[[#This Row],[NAMA BARANG]]," ",),".",""),"-",""),"(",""),")",""),",",""),"/",""),"""",""),"+",""))</f>
        <v>busurno4mika</v>
      </c>
      <c r="AO2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busurno4mika5500000</v>
      </c>
      <c r="AP2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busurno4mika5500000</v>
      </c>
      <c r="AQ2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0" s="35">
        <f>IF(NOTA[[#This Row],[CONCAT1]]="","",MATCH(NOTA[[#This Row],[CONCAT1]],[3]!db[NB NOTA_C],0))</f>
        <v>574</v>
      </c>
      <c r="AS210" s="35" t="b">
        <f>IF(NOTA[[#This Row],[Column5]]="","",TRUE)</f>
        <v>1</v>
      </c>
      <c r="AT210" s="35" t="str">
        <f ca="1">IF(NOTA[[#This Row],[ID_H]]="","",IF(NOTA[[#This Row],[Column3]]=TRUE,NOTA[[#This Row],[Column5]],INDEX([3]!db[QTY/ CTN],NOTA[[#This Row],[//DB]])))</f>
        <v>1000 LSN</v>
      </c>
      <c r="AU2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busurno4mika1000lsnuntana</v>
      </c>
      <c r="AV210" s="35">
        <f ca="1">IF(NOTA[[#This Row],[ID_H]]="","",MATCH(NOTA[[#This Row],[NB NOTA_C_QTY]],[3]!db[NB NOTA_C_QTY+F],0))</f>
        <v>574</v>
      </c>
      <c r="AW210" s="43">
        <f ca="1">IF(NOTA[[#This Row],[NB NOTA_C_QTY]]="","",ROW()-2)</f>
        <v>208</v>
      </c>
    </row>
    <row r="211" spans="1:49" ht="20.100000000000001" customHeight="1">
      <c r="A2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5">
        <f ca="1">IF(NOTA[[#This Row],[NAMA BARANG]]="","",INDEX(NOTA[ID],MATCH(,INDIRECT(ADDRESS(ROW(NOTA[ID]),COLUMN(NOTA[ID]))&amp;":"&amp;ADDRESS(ROW(),COLUMN(NOTA[ID]))),-1)))</f>
        <v>55</v>
      </c>
      <c r="C211" s="45"/>
      <c r="F211" s="46"/>
      <c r="G211" s="35"/>
      <c r="H211" s="36"/>
      <c r="I211" s="35"/>
      <c r="J211" s="50" t="s">
        <v>362</v>
      </c>
      <c r="K211" s="37">
        <v>5</v>
      </c>
      <c r="L211" s="35">
        <v>20000</v>
      </c>
      <c r="M211" s="35" t="s">
        <v>51</v>
      </c>
      <c r="N211" s="38">
        <v>600</v>
      </c>
      <c r="O211" s="39"/>
      <c r="P211" s="47" t="s">
        <v>363</v>
      </c>
      <c r="Q211" s="48"/>
      <c r="R211" s="41"/>
      <c r="T211" s="42"/>
      <c r="U211" s="44"/>
      <c r="V211" s="42">
        <f>IF(NOTA[[#This Row],[HARGA/ CTN]]="",NOTA[[#This Row],[JUMLAH_H]],NOTA[[#This Row],[HARGA/ CTN]]*IF(NOTA[[#This Row],[C]]="",0,NOTA[[#This Row],[C]]))</f>
        <v>12000000</v>
      </c>
      <c r="W211" s="42">
        <f>IF(NOTA[[#This Row],[JUMLAH]]="","",NOTA[[#This Row],[JUMLAH]]*NOTA[[#This Row],[Column6]])</f>
        <v>0</v>
      </c>
      <c r="X211" s="42">
        <f>IF(NOTA[[#This Row],[JUMLAH]]="","",(NOTA[[#This Row],[JUMLAH]]-NOTA[[#This Row],[DISC 1-]])*NOTA[[#This Row],[Column7]])</f>
        <v>0</v>
      </c>
      <c r="Y211" s="42">
        <f>IF(NOTA[[#This Row],[JUMLAH]]="","",(NOTA[[#This Row],[JUMLAH]]-NOTA[[#This Row],[DISC 1-]]-NOTA[[#This Row],[DISC 2-]])*NOTA[[#This Row],[Column8]])</f>
        <v>0</v>
      </c>
      <c r="Z211" s="42">
        <f>IF(NOTA[[#This Row],[JUMLAH]]="","",NOTA[[#This Row],[DISC 1-]]+NOTA[[#This Row],[DISC 2-]]+NOTA[[#This Row],[DISC 3-]])</f>
        <v>0</v>
      </c>
      <c r="AA211" s="42">
        <f>IF(NOTA[[#This Row],[JUMLAH]]="","",NOTA[[#This Row],[JUMLAH]]-NOTA[[#This Row],[DISC]])</f>
        <v>12000000</v>
      </c>
      <c r="AB211" s="42"/>
      <c r="AC21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1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53000000</v>
      </c>
      <c r="AE211" s="3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211" s="42">
        <f>IF(OR(NOTA[[#This Row],[QTY]]="",NOTA[[#This Row],[HARGA SATUAN]]="",),"",NOTA[[#This Row],[QTY]]*NOTA[[#This Row],[HARGA SATUAN]])</f>
        <v>12000000</v>
      </c>
      <c r="AG211" s="36">
        <f ca="1">IF(NOTA[[#This Row],[ID_H]]="","",INDEX(NOTA[TANGGAL],MATCH(,INDIRECT(ADDRESS(ROW(NOTA[TANGGAL]),COLUMN(NOTA[TANGGAL]))&amp;":"&amp;ADDRESS(ROW(),COLUMN(NOTA[TANGGAL]))),-1)))</f>
        <v>45495</v>
      </c>
      <c r="AH211" s="36">
        <f ca="1">IF(NOTA[[#This Row],[ID_H]]="","",INDEX(NOTA[TGL.NOTA],MATCH(,INDIRECT(ADDRESS(ROW(NOTA[TGL.NOTA]),COLUMN(NOTA[TGL.NOTA]))&amp;":"&amp;ADDRESS(ROW(),COLUMN(NOTA[TGL.NOTA]))),-1)))</f>
        <v>45491</v>
      </c>
      <c r="AI211" s="36" t="str">
        <f ca="1">IF(NOTA[[#This Row],[ID_H]]="","",INDEX(NOTA[NO.NOTA],MATCH(NOTA[[#This Row],[ID_H]],NOTA[ID_H],0)))</f>
        <v>K55,24</v>
      </c>
      <c r="AJ211" s="38" t="str">
        <f ca="1">IF(NOTA[[#This Row],[NAMA BARANG]]="","",INDEX(NOTA[SUPPLIER],MATCH(,INDIRECT(ADDRESS(ROW(NOTA[ID]),COLUMN(NOTA[ID]))&amp;":"&amp;ADDRESS(ROW(),COLUMN(NOTA[ID]))),-1)))</f>
        <v>ETJ</v>
      </c>
      <c r="AK211" s="38" t="str">
        <f ca="1">IF(NOTA[[#This Row],[ID_H]]="","",IF(NOTA[[#This Row],[FAKTUR]]="",INDIRECT(ADDRESS(ROW()-1,COLUMN())),NOTA[[#This Row],[FAKTUR]]))</f>
        <v>UNTANA</v>
      </c>
      <c r="AL211" s="35" t="str">
        <f ca="1">IF(NOTA[[#This Row],[ID]]="","",COUNTIF(NOTA[ID_H],NOTA[[#This Row],[ID_H]]))</f>
        <v/>
      </c>
      <c r="AM211" s="35">
        <f ca="1">IF(NOTA[[#This Row],[TGL.NOTA]]="",IF(NOTA[[#This Row],[SUPPLIER_H]]="","",AM210),MONTH(NOTA[[#This Row],[TGL.NOTA]]))</f>
        <v>7</v>
      </c>
      <c r="AN211" s="35" t="str">
        <f>LOWER(SUBSTITUTE(SUBSTITUTE(SUBSTITUTE(SUBSTITUTE(SUBSTITUTE(SUBSTITUTE(SUBSTITUTE(SUBSTITUTE(SUBSTITUTE(NOTA[[#This Row],[NAMA BARANG]]," ",),".",""),"-",""),"(",""),")",""),",",""),"/",""),"""",""),"+",""))</f>
        <v>ntagdbiru300</v>
      </c>
      <c r="AO2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ntagdbiru3002400000</v>
      </c>
      <c r="AP2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ntagdbiru3002400000</v>
      </c>
      <c r="AQ2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1" s="35">
        <f>IF(NOTA[[#This Row],[CONCAT1]]="","",MATCH(NOTA[[#This Row],[CONCAT1]],[3]!db[NB NOTA_C],0))</f>
        <v>2224</v>
      </c>
      <c r="AS211" s="35" t="b">
        <f>IF(NOTA[[#This Row],[Column5]]="","",TRUE)</f>
        <v>1</v>
      </c>
      <c r="AT211" s="35" t="str">
        <f ca="1">IF(NOTA[[#This Row],[ID_H]]="","",IF(NOTA[[#This Row],[Column3]]=TRUE,NOTA[[#This Row],[Column5]],INDEX([3]!db[QTY/ CTN],NOTA[[#This Row],[//DB]])))</f>
        <v>4000 PCS</v>
      </c>
      <c r="AU2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ntagdbiru3004000pcsuntana</v>
      </c>
      <c r="AV211" s="35">
        <f ca="1">IF(NOTA[[#This Row],[ID_H]]="","",MATCH(NOTA[[#This Row],[NB NOTA_C_QTY]],[3]!db[NB NOTA_C_QTY+F],0))</f>
        <v>2224</v>
      </c>
      <c r="AW211" s="43">
        <f ca="1">IF(NOTA[[#This Row],[NB NOTA_C_QTY]]="","",ROW()-2)</f>
        <v>209</v>
      </c>
    </row>
    <row r="212" spans="1:49" ht="20.100000000000001" customHeight="1">
      <c r="A2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5" t="str">
        <f ca="1">IF(NOTA[[#This Row],[NAMA BARANG]]="","",INDEX(NOTA[ID],MATCH(,INDIRECT(ADDRESS(ROW(NOTA[ID]),COLUMN(NOTA[ID]))&amp;":"&amp;ADDRESS(ROW(),COLUMN(NOTA[ID]))),-1)))</f>
        <v/>
      </c>
      <c r="C212" s="45"/>
      <c r="F212" s="46"/>
      <c r="G212" s="35"/>
      <c r="H212" s="36"/>
      <c r="I212" s="35"/>
      <c r="K212" s="37"/>
      <c r="L212" s="35"/>
      <c r="N212" s="38"/>
      <c r="O212" s="39"/>
      <c r="P212" s="47"/>
      <c r="Q212" s="48"/>
      <c r="R212" s="41"/>
      <c r="T212" s="42"/>
      <c r="U212" s="44"/>
      <c r="V212" s="42" t="str">
        <f>IF(NOTA[[#This Row],[HARGA/ CTN]]="",NOTA[[#This Row],[JUMLAH_H]],NOTA[[#This Row],[HARGA/ CTN]]*IF(NOTA[[#This Row],[C]]="",0,NOTA[[#This Row],[C]]))</f>
        <v/>
      </c>
      <c r="W212" s="42" t="str">
        <f>IF(NOTA[[#This Row],[JUMLAH]]="","",NOTA[[#This Row],[JUMLAH]]*NOTA[[#This Row],[Column6]])</f>
        <v/>
      </c>
      <c r="X212" s="42" t="str">
        <f>IF(NOTA[[#This Row],[JUMLAH]]="","",(NOTA[[#This Row],[JUMLAH]]-NOTA[[#This Row],[DISC 1-]])*NOTA[[#This Row],[Column7]])</f>
        <v/>
      </c>
      <c r="Y212" s="42" t="str">
        <f>IF(NOTA[[#This Row],[JUMLAH]]="","",(NOTA[[#This Row],[JUMLAH]]-NOTA[[#This Row],[DISC 1-]]-NOTA[[#This Row],[DISC 2-]])*NOTA[[#This Row],[Column8]])</f>
        <v/>
      </c>
      <c r="Z212" s="42" t="str">
        <f>IF(NOTA[[#This Row],[JUMLAH]]="","",NOTA[[#This Row],[DISC 1-]]+NOTA[[#This Row],[DISC 2-]]+NOTA[[#This Row],[DISC 3-]])</f>
        <v/>
      </c>
      <c r="AA212" s="42" t="str">
        <f>IF(NOTA[[#This Row],[JUMLAH]]="","",NOTA[[#This Row],[JUMLAH]]-NOTA[[#This Row],[DISC]])</f>
        <v/>
      </c>
      <c r="AB212" s="42"/>
      <c r="AC2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42" t="str">
        <f>IF(OR(NOTA[[#This Row],[QTY]]="",NOTA[[#This Row],[HARGA SATUAN]]="",),"",NOTA[[#This Row],[QTY]]*NOTA[[#This Row],[HARGA SATUAN]])</f>
        <v/>
      </c>
      <c r="AG212" s="36" t="str">
        <f ca="1">IF(NOTA[[#This Row],[ID_H]]="","",INDEX(NOTA[TANGGAL],MATCH(,INDIRECT(ADDRESS(ROW(NOTA[TANGGAL]),COLUMN(NOTA[TANGGAL]))&amp;":"&amp;ADDRESS(ROW(),COLUMN(NOTA[TANGGAL]))),-1)))</f>
        <v/>
      </c>
      <c r="AH212" s="36" t="str">
        <f ca="1">IF(NOTA[[#This Row],[ID_H]]="","",INDEX(NOTA[TGL.NOTA],MATCH(,INDIRECT(ADDRESS(ROW(NOTA[TGL.NOTA]),COLUMN(NOTA[TGL.NOTA]))&amp;":"&amp;ADDRESS(ROW(),COLUMN(NOTA[TGL.NOTA]))),-1)))</f>
        <v/>
      </c>
      <c r="AI212" s="36" t="str">
        <f ca="1">IF(NOTA[[#This Row],[ID_H]]="","",INDEX(NOTA[NO.NOTA],MATCH(NOTA[[#This Row],[ID_H]],NOTA[ID_H],0)))</f>
        <v/>
      </c>
      <c r="AJ212" s="38" t="str">
        <f ca="1">IF(NOTA[[#This Row],[NAMA BARANG]]="","",INDEX(NOTA[SUPPLIER],MATCH(,INDIRECT(ADDRESS(ROW(NOTA[ID]),COLUMN(NOTA[ID]))&amp;":"&amp;ADDRESS(ROW(),COLUMN(NOTA[ID]))),-1)))</f>
        <v/>
      </c>
      <c r="AK212" s="38" t="str">
        <f ca="1">IF(NOTA[[#This Row],[ID_H]]="","",IF(NOTA[[#This Row],[FAKTUR]]="",INDIRECT(ADDRESS(ROW()-1,COLUMN())),NOTA[[#This Row],[FAKTUR]]))</f>
        <v/>
      </c>
      <c r="AL212" s="35" t="str">
        <f ca="1">IF(NOTA[[#This Row],[ID]]="","",COUNTIF(NOTA[ID_H],NOTA[[#This Row],[ID_H]]))</f>
        <v/>
      </c>
      <c r="AM212" s="35" t="str">
        <f ca="1">IF(NOTA[[#This Row],[TGL.NOTA]]="",IF(NOTA[[#This Row],[SUPPLIER_H]]="","",AM211),MONTH(NOTA[[#This Row],[TGL.NOTA]]))</f>
        <v/>
      </c>
      <c r="AN2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2" s="35" t="str">
        <f>IF(NOTA[[#This Row],[CONCAT1]]="","",MATCH(NOTA[[#This Row],[CONCAT1]],[3]!db[NB NOTA_C],0))</f>
        <v/>
      </c>
      <c r="AS212" s="35" t="str">
        <f>IF(NOTA[[#This Row],[Column5]]="","",TRUE)</f>
        <v/>
      </c>
      <c r="AT212" s="35" t="str">
        <f ca="1">IF(NOTA[[#This Row],[ID_H]]="","",IF(NOTA[[#This Row],[Column3]]=TRUE,NOTA[[#This Row],[Column5]],INDEX([3]!db[QTY/ CTN],NOTA[[#This Row],[//DB]])))</f>
        <v/>
      </c>
      <c r="AU2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12" s="35" t="str">
        <f ca="1">IF(NOTA[[#This Row],[ID_H]]="","",MATCH(NOTA[[#This Row],[NB NOTA_C_QTY]],[3]!db[NB NOTA_C_QTY+F],0))</f>
        <v/>
      </c>
      <c r="AW212" s="43" t="str">
        <f ca="1">IF(NOTA[[#This Row],[NB NOTA_C_QTY]]="","",ROW()-2)</f>
        <v/>
      </c>
    </row>
    <row r="213" spans="1:49" ht="20.100000000000001" customHeight="1">
      <c r="A213" s="38">
        <f ca="1">IF(INDIRECT(ADDRESS(ROW()-1,COLUMN(NOTA[[#Headers],[ID]])))="ID",1,IF(NOTA[[#This Row],[FAKTUR]]="","",COUNT(INDIRECT(ADDRESS(ROW(NOTA[ID]),COLUMN(NOTA[ID]))&amp;":"&amp;ADDRESS(ROW()-1,COLUMN(NOTA[ID]))))+1))</f>
        <v>56</v>
      </c>
      <c r="B213" s="35">
        <f ca="1">IF(NOTA[[#This Row],[NAMA BARANG]]="","",INDEX(NOTA[ID],MATCH(,INDIRECT(ADDRESS(ROW(NOTA[ID]),COLUMN(NOTA[ID]))&amp;":"&amp;ADDRESS(ROW(),COLUMN(NOTA[ID]))),-1)))</f>
        <v>56</v>
      </c>
      <c r="C213" s="45"/>
      <c r="D213" s="35" t="s">
        <v>199</v>
      </c>
      <c r="E213" s="35" t="s">
        <v>49</v>
      </c>
      <c r="F213" s="46" t="s">
        <v>396</v>
      </c>
      <c r="G213" s="35"/>
      <c r="H213" s="36">
        <v>45492</v>
      </c>
      <c r="I213" s="35"/>
      <c r="J213" s="50" t="s">
        <v>397</v>
      </c>
      <c r="K213" s="37">
        <v>1</v>
      </c>
      <c r="L213" s="35">
        <v>360</v>
      </c>
      <c r="M213" s="35" t="s">
        <v>50</v>
      </c>
      <c r="N213" s="38">
        <v>7700</v>
      </c>
      <c r="O213" s="39"/>
      <c r="P213" s="47" t="s">
        <v>344</v>
      </c>
      <c r="Q213" s="48"/>
      <c r="R213" s="41"/>
      <c r="T213" s="42"/>
      <c r="U213" s="44"/>
      <c r="V213" s="42">
        <f>IF(NOTA[[#This Row],[HARGA/ CTN]]="",NOTA[[#This Row],[JUMLAH_H]],NOTA[[#This Row],[HARGA/ CTN]]*IF(NOTA[[#This Row],[C]]="",0,NOTA[[#This Row],[C]]))</f>
        <v>2772000</v>
      </c>
      <c r="W213" s="42">
        <f>IF(NOTA[[#This Row],[JUMLAH]]="","",NOTA[[#This Row],[JUMLAH]]*NOTA[[#This Row],[Column6]])</f>
        <v>0</v>
      </c>
      <c r="X213" s="42">
        <f>IF(NOTA[[#This Row],[JUMLAH]]="","",(NOTA[[#This Row],[JUMLAH]]-NOTA[[#This Row],[DISC 1-]])*NOTA[[#This Row],[Column7]])</f>
        <v>0</v>
      </c>
      <c r="Y213" s="42">
        <f>IF(NOTA[[#This Row],[JUMLAH]]="","",(NOTA[[#This Row],[JUMLAH]]-NOTA[[#This Row],[DISC 1-]]-NOTA[[#This Row],[DISC 2-]])*NOTA[[#This Row],[Column8]])</f>
        <v>0</v>
      </c>
      <c r="Z213" s="42">
        <f>IF(NOTA[[#This Row],[JUMLAH]]="","",NOTA[[#This Row],[DISC 1-]]+NOTA[[#This Row],[DISC 2-]]+NOTA[[#This Row],[DISC 3-]])</f>
        <v>0</v>
      </c>
      <c r="AA213" s="42">
        <f>IF(NOTA[[#This Row],[JUMLAH]]="","",NOTA[[#This Row],[JUMLAH]]-NOTA[[#This Row],[DISC]])</f>
        <v>2772000</v>
      </c>
      <c r="AB213" s="42"/>
      <c r="AC2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3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3" s="42">
        <f>IF(OR(NOTA[[#This Row],[QTY]]="",NOTA[[#This Row],[HARGA SATUAN]]="",),"",NOTA[[#This Row],[QTY]]*NOTA[[#This Row],[HARGA SATUAN]])</f>
        <v>2772000</v>
      </c>
      <c r="AG213" s="36">
        <f ca="1">IF(NOTA[[#This Row],[ID_H]]="","",INDEX(NOTA[TANGGAL],MATCH(,INDIRECT(ADDRESS(ROW(NOTA[TANGGAL]),COLUMN(NOTA[TANGGAL]))&amp;":"&amp;ADDRESS(ROW(),COLUMN(NOTA[TANGGAL]))),-1)))</f>
        <v>45495</v>
      </c>
      <c r="AH213" s="36">
        <f ca="1">IF(NOTA[[#This Row],[ID_H]]="","",INDEX(NOTA[TGL.NOTA],MATCH(,INDIRECT(ADDRESS(ROW(NOTA[TGL.NOTA]),COLUMN(NOTA[TGL.NOTA]))&amp;":"&amp;ADDRESS(ROW(),COLUMN(NOTA[TGL.NOTA]))),-1)))</f>
        <v>45492</v>
      </c>
      <c r="AI213" s="36" t="str">
        <f ca="1">IF(NOTA[[#This Row],[ID_H]]="","",INDEX(NOTA[NO.NOTA],MATCH(NOTA[[#This Row],[ID_H]],NOTA[ID_H],0)))</f>
        <v>JUG481/24</v>
      </c>
      <c r="AJ213" s="38" t="str">
        <f ca="1">IF(NOTA[[#This Row],[NAMA BARANG]]="","",INDEX(NOTA[SUPPLIER],MATCH(,INDIRECT(ADDRESS(ROW(NOTA[ID]),COLUMN(NOTA[ID]))&amp;":"&amp;ADDRESS(ROW(),COLUMN(NOTA[ID]))),-1)))</f>
        <v>DB STATIONERY</v>
      </c>
      <c r="AK213" s="38" t="str">
        <f ca="1">IF(NOTA[[#This Row],[ID_H]]="","",IF(NOTA[[#This Row],[FAKTUR]]="",INDIRECT(ADDRESS(ROW()-1,COLUMN())),NOTA[[#This Row],[FAKTUR]]))</f>
        <v>UNTANA</v>
      </c>
      <c r="AL213" s="35">
        <f ca="1">IF(NOTA[[#This Row],[ID]]="","",COUNTIF(NOTA[ID_H],NOTA[[#This Row],[ID_H]]))</f>
        <v>11</v>
      </c>
      <c r="AM213" s="35">
        <f>IF(NOTA[[#This Row],[TGL.NOTA]]="",IF(NOTA[[#This Row],[SUPPLIER_H]]="","",AM212),MONTH(NOTA[[#This Row],[TGL.NOTA]]))</f>
        <v>7</v>
      </c>
      <c r="AN213" s="35" t="str">
        <f>LOWER(SUBSTITUTE(SUBSTITUTE(SUBSTITUTE(SUBSTITUTE(SUBSTITUTE(SUBSTITUTE(SUBSTITUTE(SUBSTITUTE(SUBSTITUTE(NOTA[[#This Row],[NAMA BARANG]]," ",),".",""),"-",""),"(",""),")",""),",",""),"/",""),"""",""),"+",""))</f>
        <v>pensilkayagiskinkypf2025</v>
      </c>
      <c r="AO2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pensilkayagiskinkypf20252772000</v>
      </c>
      <c r="AP2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pensilkayagiskinkypf20252772000</v>
      </c>
      <c r="AQ213" s="3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STATIONERYUNTANAJUG481/2445492pensilkayagiskinkypf2025</v>
      </c>
      <c r="AR213" s="35">
        <f>IF(NOTA[[#This Row],[CONCAT1]]="","",MATCH(NOTA[[#This Row],[CONCAT1]],[3]!db[NB NOTA_C],0))</f>
        <v>2697</v>
      </c>
      <c r="AS213" s="35" t="b">
        <f>IF(NOTA[[#This Row],[Column5]]="","",TRUE)</f>
        <v>1</v>
      </c>
      <c r="AT213" s="35" t="str">
        <f ca="1">IF(NOTA[[#This Row],[ID_H]]="","",IF(NOTA[[#This Row],[Column3]]=TRUE,NOTA[[#This Row],[Column5]],INDEX([3]!db[QTY/ CTN],NOTA[[#This Row],[//DB]])))</f>
        <v>360 LSN</v>
      </c>
      <c r="AU2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pensilkayagiskinkypf2025360lsnuntana</v>
      </c>
      <c r="AV213" s="35">
        <f ca="1">IF(NOTA[[#This Row],[ID_H]]="","",MATCH(NOTA[[#This Row],[NB NOTA_C_QTY]],[3]!db[NB NOTA_C_QTY+F],0))</f>
        <v>2697</v>
      </c>
      <c r="AW213" s="43">
        <f ca="1">IF(NOTA[[#This Row],[NB NOTA_C_QTY]]="","",ROW()-2)</f>
        <v>211</v>
      </c>
    </row>
    <row r="214" spans="1:49" ht="20.100000000000001" customHeight="1">
      <c r="A2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5">
        <f ca="1">IF(NOTA[[#This Row],[NAMA BARANG]]="","",INDEX(NOTA[ID],MATCH(,INDIRECT(ADDRESS(ROW(NOTA[ID]),COLUMN(NOTA[ID]))&amp;":"&amp;ADDRESS(ROW(),COLUMN(NOTA[ID]))),-1)))</f>
        <v>56</v>
      </c>
      <c r="C214" s="45"/>
      <c r="F214" s="46"/>
      <c r="G214" s="35"/>
      <c r="H214" s="36"/>
      <c r="I214" s="35"/>
      <c r="J214" s="50" t="s">
        <v>398</v>
      </c>
      <c r="K214" s="37">
        <v>1</v>
      </c>
      <c r="L214" s="35">
        <v>360</v>
      </c>
      <c r="M214" s="35" t="s">
        <v>50</v>
      </c>
      <c r="N214" s="38">
        <v>7700</v>
      </c>
      <c r="O214" s="39"/>
      <c r="P214" s="47" t="s">
        <v>344</v>
      </c>
      <c r="Q214" s="48"/>
      <c r="R214" s="41"/>
      <c r="T214" s="42"/>
      <c r="U214" s="44"/>
      <c r="V214" s="42">
        <f>IF(NOTA[[#This Row],[HARGA/ CTN]]="",NOTA[[#This Row],[JUMLAH_H]],NOTA[[#This Row],[HARGA/ CTN]]*IF(NOTA[[#This Row],[C]]="",0,NOTA[[#This Row],[C]]))</f>
        <v>2772000</v>
      </c>
      <c r="W214" s="42">
        <f>IF(NOTA[[#This Row],[JUMLAH]]="","",NOTA[[#This Row],[JUMLAH]]*NOTA[[#This Row],[Column6]])</f>
        <v>0</v>
      </c>
      <c r="X214" s="42">
        <f>IF(NOTA[[#This Row],[JUMLAH]]="","",(NOTA[[#This Row],[JUMLAH]]-NOTA[[#This Row],[DISC 1-]])*NOTA[[#This Row],[Column7]])</f>
        <v>0</v>
      </c>
      <c r="Y214" s="42">
        <f>IF(NOTA[[#This Row],[JUMLAH]]="","",(NOTA[[#This Row],[JUMLAH]]-NOTA[[#This Row],[DISC 1-]]-NOTA[[#This Row],[DISC 2-]])*NOTA[[#This Row],[Column8]])</f>
        <v>0</v>
      </c>
      <c r="Z214" s="42">
        <f>IF(NOTA[[#This Row],[JUMLAH]]="","",NOTA[[#This Row],[DISC 1-]]+NOTA[[#This Row],[DISC 2-]]+NOTA[[#This Row],[DISC 3-]])</f>
        <v>0</v>
      </c>
      <c r="AA214" s="42">
        <f>IF(NOTA[[#This Row],[JUMLAH]]="","",NOTA[[#This Row],[JUMLAH]]-NOTA[[#This Row],[DISC]])</f>
        <v>2772000</v>
      </c>
      <c r="AB214" s="42"/>
      <c r="AC2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4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4" s="42">
        <f>IF(OR(NOTA[[#This Row],[QTY]]="",NOTA[[#This Row],[HARGA SATUAN]]="",),"",NOTA[[#This Row],[QTY]]*NOTA[[#This Row],[HARGA SATUAN]])</f>
        <v>2772000</v>
      </c>
      <c r="AG214" s="36">
        <f ca="1">IF(NOTA[[#This Row],[ID_H]]="","",INDEX(NOTA[TANGGAL],MATCH(,INDIRECT(ADDRESS(ROW(NOTA[TANGGAL]),COLUMN(NOTA[TANGGAL]))&amp;":"&amp;ADDRESS(ROW(),COLUMN(NOTA[TANGGAL]))),-1)))</f>
        <v>45495</v>
      </c>
      <c r="AH214" s="36">
        <f ca="1">IF(NOTA[[#This Row],[ID_H]]="","",INDEX(NOTA[TGL.NOTA],MATCH(,INDIRECT(ADDRESS(ROW(NOTA[TGL.NOTA]),COLUMN(NOTA[TGL.NOTA]))&amp;":"&amp;ADDRESS(ROW(),COLUMN(NOTA[TGL.NOTA]))),-1)))</f>
        <v>45492</v>
      </c>
      <c r="AI214" s="36" t="str">
        <f ca="1">IF(NOTA[[#This Row],[ID_H]]="","",INDEX(NOTA[NO.NOTA],MATCH(NOTA[[#This Row],[ID_H]],NOTA[ID_H],0)))</f>
        <v>JUG481/24</v>
      </c>
      <c r="AJ214" s="38" t="str">
        <f ca="1">IF(NOTA[[#This Row],[NAMA BARANG]]="","",INDEX(NOTA[SUPPLIER],MATCH(,INDIRECT(ADDRESS(ROW(NOTA[ID]),COLUMN(NOTA[ID]))&amp;":"&amp;ADDRESS(ROW(),COLUMN(NOTA[ID]))),-1)))</f>
        <v>DB STATIONERY</v>
      </c>
      <c r="AK214" s="38" t="str">
        <f ca="1">IF(NOTA[[#This Row],[ID_H]]="","",IF(NOTA[[#This Row],[FAKTUR]]="",INDIRECT(ADDRESS(ROW()-1,COLUMN())),NOTA[[#This Row],[FAKTUR]]))</f>
        <v>UNTANA</v>
      </c>
      <c r="AL214" s="35" t="str">
        <f ca="1">IF(NOTA[[#This Row],[ID]]="","",COUNTIF(NOTA[ID_H],NOTA[[#This Row],[ID_H]]))</f>
        <v/>
      </c>
      <c r="AM214" s="35">
        <f ca="1">IF(NOTA[[#This Row],[TGL.NOTA]]="",IF(NOTA[[#This Row],[SUPPLIER_H]]="","",AM213),MONTH(NOTA[[#This Row],[TGL.NOTA]]))</f>
        <v>7</v>
      </c>
      <c r="AN214" s="35" t="str">
        <f>LOWER(SUBSTITUTE(SUBSTITUTE(SUBSTITUTE(SUBSTITUTE(SUBSTITUTE(SUBSTITUTE(SUBSTITUTE(SUBSTITUTE(SUBSTITUTE(NOTA[[#This Row],[NAMA BARANG]]," ",),".",""),"-",""),"(",""),")",""),",",""),"/",""),"""",""),"+",""))</f>
        <v>pensil2bkayagikypf3053</v>
      </c>
      <c r="AO2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pensil2bkayagikypf30532772000</v>
      </c>
      <c r="AP2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pensil2bkayagikypf30532772000</v>
      </c>
      <c r="AQ2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4" s="35">
        <f>IF(NOTA[[#This Row],[CONCAT1]]="","",MATCH(NOTA[[#This Row],[CONCAT1]],[3]!db[NB NOTA_C],0))</f>
        <v>2682</v>
      </c>
      <c r="AS214" s="35" t="b">
        <f>IF(NOTA[[#This Row],[Column5]]="","",TRUE)</f>
        <v>1</v>
      </c>
      <c r="AT214" s="35" t="str">
        <f ca="1">IF(NOTA[[#This Row],[ID_H]]="","",IF(NOTA[[#This Row],[Column3]]=TRUE,NOTA[[#This Row],[Column5]],INDEX([3]!db[QTY/ CTN],NOTA[[#This Row],[//DB]])))</f>
        <v>360 LSN</v>
      </c>
      <c r="AU2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pensil2bkayagikypf3053360lsnuntana</v>
      </c>
      <c r="AV214" s="35">
        <f ca="1">IF(NOTA[[#This Row],[ID_H]]="","",MATCH(NOTA[[#This Row],[NB NOTA_C_QTY]],[3]!db[NB NOTA_C_QTY+F],0))</f>
        <v>2682</v>
      </c>
      <c r="AW214" s="43">
        <f ca="1">IF(NOTA[[#This Row],[NB NOTA_C_QTY]]="","",ROW()-2)</f>
        <v>212</v>
      </c>
    </row>
    <row r="215" spans="1:49" ht="20.100000000000001" customHeight="1">
      <c r="A2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5">
        <f ca="1">IF(NOTA[[#This Row],[NAMA BARANG]]="","",INDEX(NOTA[ID],MATCH(,INDIRECT(ADDRESS(ROW(NOTA[ID]),COLUMN(NOTA[ID]))&amp;":"&amp;ADDRESS(ROW(),COLUMN(NOTA[ID]))),-1)))</f>
        <v>56</v>
      </c>
      <c r="C215" s="45"/>
      <c r="F215" s="46"/>
      <c r="G215" s="35"/>
      <c r="H215" s="36"/>
      <c r="I215" s="35"/>
      <c r="J215" s="50" t="s">
        <v>399</v>
      </c>
      <c r="K215" s="37">
        <v>1</v>
      </c>
      <c r="L215" s="35">
        <v>360</v>
      </c>
      <c r="M215" s="35" t="s">
        <v>50</v>
      </c>
      <c r="N215" s="38">
        <v>7700</v>
      </c>
      <c r="O215" s="39"/>
      <c r="P215" s="47" t="s">
        <v>344</v>
      </c>
      <c r="Q215" s="48"/>
      <c r="R215" s="41"/>
      <c r="T215" s="42"/>
      <c r="U215" s="44"/>
      <c r="V215" s="42">
        <f>IF(NOTA[[#This Row],[HARGA/ CTN]]="",NOTA[[#This Row],[JUMLAH_H]],NOTA[[#This Row],[HARGA/ CTN]]*IF(NOTA[[#This Row],[C]]="",0,NOTA[[#This Row],[C]]))</f>
        <v>2772000</v>
      </c>
      <c r="W215" s="42">
        <f>IF(NOTA[[#This Row],[JUMLAH]]="","",NOTA[[#This Row],[JUMLAH]]*NOTA[[#This Row],[Column6]])</f>
        <v>0</v>
      </c>
      <c r="X215" s="42">
        <f>IF(NOTA[[#This Row],[JUMLAH]]="","",(NOTA[[#This Row],[JUMLAH]]-NOTA[[#This Row],[DISC 1-]])*NOTA[[#This Row],[Column7]])</f>
        <v>0</v>
      </c>
      <c r="Y215" s="42">
        <f>IF(NOTA[[#This Row],[JUMLAH]]="","",(NOTA[[#This Row],[JUMLAH]]-NOTA[[#This Row],[DISC 1-]]-NOTA[[#This Row],[DISC 2-]])*NOTA[[#This Row],[Column8]])</f>
        <v>0</v>
      </c>
      <c r="Z215" s="42">
        <f>IF(NOTA[[#This Row],[JUMLAH]]="","",NOTA[[#This Row],[DISC 1-]]+NOTA[[#This Row],[DISC 2-]]+NOTA[[#This Row],[DISC 3-]])</f>
        <v>0</v>
      </c>
      <c r="AA215" s="42">
        <f>IF(NOTA[[#This Row],[JUMLAH]]="","",NOTA[[#This Row],[JUMLAH]]-NOTA[[#This Row],[DISC]])</f>
        <v>2772000</v>
      </c>
      <c r="AB215" s="42"/>
      <c r="AC2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5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5" s="42">
        <f>IF(OR(NOTA[[#This Row],[QTY]]="",NOTA[[#This Row],[HARGA SATUAN]]="",),"",NOTA[[#This Row],[QTY]]*NOTA[[#This Row],[HARGA SATUAN]])</f>
        <v>2772000</v>
      </c>
      <c r="AG215" s="36">
        <f ca="1">IF(NOTA[[#This Row],[ID_H]]="","",INDEX(NOTA[TANGGAL],MATCH(,INDIRECT(ADDRESS(ROW(NOTA[TANGGAL]),COLUMN(NOTA[TANGGAL]))&amp;":"&amp;ADDRESS(ROW(),COLUMN(NOTA[TANGGAL]))),-1)))</f>
        <v>45495</v>
      </c>
      <c r="AH215" s="36">
        <f ca="1">IF(NOTA[[#This Row],[ID_H]]="","",INDEX(NOTA[TGL.NOTA],MATCH(,INDIRECT(ADDRESS(ROW(NOTA[TGL.NOTA]),COLUMN(NOTA[TGL.NOTA]))&amp;":"&amp;ADDRESS(ROW(),COLUMN(NOTA[TGL.NOTA]))),-1)))</f>
        <v>45492</v>
      </c>
      <c r="AI215" s="36" t="str">
        <f ca="1">IF(NOTA[[#This Row],[ID_H]]="","",INDEX(NOTA[NO.NOTA],MATCH(NOTA[[#This Row],[ID_H]],NOTA[ID_H],0)))</f>
        <v>JUG481/24</v>
      </c>
      <c r="AJ215" s="38" t="str">
        <f ca="1">IF(NOTA[[#This Row],[NAMA BARANG]]="","",INDEX(NOTA[SUPPLIER],MATCH(,INDIRECT(ADDRESS(ROW(NOTA[ID]),COLUMN(NOTA[ID]))&amp;":"&amp;ADDRESS(ROW(),COLUMN(NOTA[ID]))),-1)))</f>
        <v>DB STATIONERY</v>
      </c>
      <c r="AK215" s="38" t="str">
        <f ca="1">IF(NOTA[[#This Row],[ID_H]]="","",IF(NOTA[[#This Row],[FAKTUR]]="",INDIRECT(ADDRESS(ROW()-1,COLUMN())),NOTA[[#This Row],[FAKTUR]]))</f>
        <v>UNTANA</v>
      </c>
      <c r="AL215" s="35" t="str">
        <f ca="1">IF(NOTA[[#This Row],[ID]]="","",COUNTIF(NOTA[ID_H],NOTA[[#This Row],[ID_H]]))</f>
        <v/>
      </c>
      <c r="AM215" s="35">
        <f ca="1">IF(NOTA[[#This Row],[TGL.NOTA]]="",IF(NOTA[[#This Row],[SUPPLIER_H]]="","",AM214),MONTH(NOTA[[#This Row],[TGL.NOTA]]))</f>
        <v>7</v>
      </c>
      <c r="AN215" s="35" t="str">
        <f>LOWER(SUBSTITUTE(SUBSTITUTE(SUBSTITUTE(SUBSTITUTE(SUBSTITUTE(SUBSTITUTE(SUBSTITUTE(SUBSTITUTE(SUBSTITUTE(NOTA[[#This Row],[NAMA BARANG]]," ",),".",""),"-",""),"(",""),")",""),",",""),"/",""),"""",""),"+",""))</f>
        <v>pensil2bkayagikypf3060</v>
      </c>
      <c r="AO2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pensil2bkayagikypf30602772000</v>
      </c>
      <c r="AP2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pensil2bkayagikypf30602772000</v>
      </c>
      <c r="AQ2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5" s="35">
        <f>IF(NOTA[[#This Row],[CONCAT1]]="","",MATCH(NOTA[[#This Row],[CONCAT1]],[3]!db[NB NOTA_C],0))</f>
        <v>2686</v>
      </c>
      <c r="AS215" s="35" t="b">
        <f>IF(NOTA[[#This Row],[Column5]]="","",TRUE)</f>
        <v>1</v>
      </c>
      <c r="AT215" s="35" t="str">
        <f ca="1">IF(NOTA[[#This Row],[ID_H]]="","",IF(NOTA[[#This Row],[Column3]]=TRUE,NOTA[[#This Row],[Column5]],INDEX([3]!db[QTY/ CTN],NOTA[[#This Row],[//DB]])))</f>
        <v>360 LSN</v>
      </c>
      <c r="AU2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pensil2bkayagikypf3060360lsnuntana</v>
      </c>
      <c r="AV215" s="35">
        <f ca="1">IF(NOTA[[#This Row],[ID_H]]="","",MATCH(NOTA[[#This Row],[NB NOTA_C_QTY]],[3]!db[NB NOTA_C_QTY+F],0))</f>
        <v>2687</v>
      </c>
      <c r="AW215" s="43">
        <f ca="1">IF(NOTA[[#This Row],[NB NOTA_C_QTY]]="","",ROW()-2)</f>
        <v>213</v>
      </c>
    </row>
    <row r="216" spans="1:49" ht="20.100000000000001" customHeight="1">
      <c r="A2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5">
        <f ca="1">IF(NOTA[[#This Row],[NAMA BARANG]]="","",INDEX(NOTA[ID],MATCH(,INDIRECT(ADDRESS(ROW(NOTA[ID]),COLUMN(NOTA[ID]))&amp;":"&amp;ADDRESS(ROW(),COLUMN(NOTA[ID]))),-1)))</f>
        <v>56</v>
      </c>
      <c r="C216" s="45"/>
      <c r="F216" s="46"/>
      <c r="G216" s="35"/>
      <c r="H216" s="36"/>
      <c r="I216" s="35"/>
      <c r="J216" s="50" t="s">
        <v>400</v>
      </c>
      <c r="K216" s="37">
        <v>1</v>
      </c>
      <c r="L216" s="35">
        <v>360</v>
      </c>
      <c r="M216" s="35" t="s">
        <v>50</v>
      </c>
      <c r="N216" s="38">
        <v>7700</v>
      </c>
      <c r="O216" s="39"/>
      <c r="P216" s="47" t="s">
        <v>344</v>
      </c>
      <c r="Q216" s="48"/>
      <c r="R216" s="41"/>
      <c r="T216" s="42"/>
      <c r="U216" s="44"/>
      <c r="V216" s="42">
        <f>IF(NOTA[[#This Row],[HARGA/ CTN]]="",NOTA[[#This Row],[JUMLAH_H]],NOTA[[#This Row],[HARGA/ CTN]]*IF(NOTA[[#This Row],[C]]="",0,NOTA[[#This Row],[C]]))</f>
        <v>2772000</v>
      </c>
      <c r="W216" s="42">
        <f>IF(NOTA[[#This Row],[JUMLAH]]="","",NOTA[[#This Row],[JUMLAH]]*NOTA[[#This Row],[Column6]])</f>
        <v>0</v>
      </c>
      <c r="X216" s="42">
        <f>IF(NOTA[[#This Row],[JUMLAH]]="","",(NOTA[[#This Row],[JUMLAH]]-NOTA[[#This Row],[DISC 1-]])*NOTA[[#This Row],[Column7]])</f>
        <v>0</v>
      </c>
      <c r="Y216" s="42">
        <f>IF(NOTA[[#This Row],[JUMLAH]]="","",(NOTA[[#This Row],[JUMLAH]]-NOTA[[#This Row],[DISC 1-]]-NOTA[[#This Row],[DISC 2-]])*NOTA[[#This Row],[Column8]])</f>
        <v>0</v>
      </c>
      <c r="Z216" s="42">
        <f>IF(NOTA[[#This Row],[JUMLAH]]="","",NOTA[[#This Row],[DISC 1-]]+NOTA[[#This Row],[DISC 2-]]+NOTA[[#This Row],[DISC 3-]])</f>
        <v>0</v>
      </c>
      <c r="AA216" s="42">
        <f>IF(NOTA[[#This Row],[JUMLAH]]="","",NOTA[[#This Row],[JUMLAH]]-NOTA[[#This Row],[DISC]])</f>
        <v>2772000</v>
      </c>
      <c r="AB216" s="42"/>
      <c r="AC2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6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6" s="42">
        <f>IF(OR(NOTA[[#This Row],[QTY]]="",NOTA[[#This Row],[HARGA SATUAN]]="",),"",NOTA[[#This Row],[QTY]]*NOTA[[#This Row],[HARGA SATUAN]])</f>
        <v>2772000</v>
      </c>
      <c r="AG216" s="36">
        <f ca="1">IF(NOTA[[#This Row],[ID_H]]="","",INDEX(NOTA[TANGGAL],MATCH(,INDIRECT(ADDRESS(ROW(NOTA[TANGGAL]),COLUMN(NOTA[TANGGAL]))&amp;":"&amp;ADDRESS(ROW(),COLUMN(NOTA[TANGGAL]))),-1)))</f>
        <v>45495</v>
      </c>
      <c r="AH216" s="36">
        <f ca="1">IF(NOTA[[#This Row],[ID_H]]="","",INDEX(NOTA[TGL.NOTA],MATCH(,INDIRECT(ADDRESS(ROW(NOTA[TGL.NOTA]),COLUMN(NOTA[TGL.NOTA]))&amp;":"&amp;ADDRESS(ROW(),COLUMN(NOTA[TGL.NOTA]))),-1)))</f>
        <v>45492</v>
      </c>
      <c r="AI216" s="36" t="str">
        <f ca="1">IF(NOTA[[#This Row],[ID_H]]="","",INDEX(NOTA[NO.NOTA],MATCH(NOTA[[#This Row],[ID_H]],NOTA[ID_H],0)))</f>
        <v>JUG481/24</v>
      </c>
      <c r="AJ216" s="38" t="str">
        <f ca="1">IF(NOTA[[#This Row],[NAMA BARANG]]="","",INDEX(NOTA[SUPPLIER],MATCH(,INDIRECT(ADDRESS(ROW(NOTA[ID]),COLUMN(NOTA[ID]))&amp;":"&amp;ADDRESS(ROW(),COLUMN(NOTA[ID]))),-1)))</f>
        <v>DB STATIONERY</v>
      </c>
      <c r="AK216" s="38" t="str">
        <f ca="1">IF(NOTA[[#This Row],[ID_H]]="","",IF(NOTA[[#This Row],[FAKTUR]]="",INDIRECT(ADDRESS(ROW()-1,COLUMN())),NOTA[[#This Row],[FAKTUR]]))</f>
        <v>UNTANA</v>
      </c>
      <c r="AL216" s="35" t="str">
        <f ca="1">IF(NOTA[[#This Row],[ID]]="","",COUNTIF(NOTA[ID_H],NOTA[[#This Row],[ID_H]]))</f>
        <v/>
      </c>
      <c r="AM216" s="35">
        <f ca="1">IF(NOTA[[#This Row],[TGL.NOTA]]="",IF(NOTA[[#This Row],[SUPPLIER_H]]="","",AM215),MONTH(NOTA[[#This Row],[TGL.NOTA]]))</f>
        <v>7</v>
      </c>
      <c r="AN216" s="35" t="str">
        <f>LOWER(SUBSTITUTE(SUBSTITUTE(SUBSTITUTE(SUBSTITUTE(SUBSTITUTE(SUBSTITUTE(SUBSTITUTE(SUBSTITUTE(SUBSTITUTE(NOTA[[#This Row],[NAMA BARANG]]," ",),".",""),"-",""),"(",""),")",""),",",""),"/",""),"""",""),"+",""))</f>
        <v>pensil2bfancykypf3066</v>
      </c>
      <c r="AO2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pensil2bfancykypf30662772000</v>
      </c>
      <c r="AP2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pensil2bfancykypf30662772000</v>
      </c>
      <c r="AQ2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6" s="35">
        <f>IF(NOTA[[#This Row],[CONCAT1]]="","",MATCH(NOTA[[#This Row],[CONCAT1]],[3]!db[NB NOTA_C],0))</f>
        <v>2661</v>
      </c>
      <c r="AS216" s="35" t="b">
        <f>IF(NOTA[[#This Row],[Column5]]="","",TRUE)</f>
        <v>1</v>
      </c>
      <c r="AT216" s="35" t="str">
        <f ca="1">IF(NOTA[[#This Row],[ID_H]]="","",IF(NOTA[[#This Row],[Column3]]=TRUE,NOTA[[#This Row],[Column5]],INDEX([3]!db[QTY/ CTN],NOTA[[#This Row],[//DB]])))</f>
        <v>360 LSN</v>
      </c>
      <c r="AU2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pensil2bfancykypf3066360lsnuntana</v>
      </c>
      <c r="AV216" s="35">
        <f ca="1">IF(NOTA[[#This Row],[ID_H]]="","",MATCH(NOTA[[#This Row],[NB NOTA_C_QTY]],[3]!db[NB NOTA_C_QTY+F],0))</f>
        <v>2661</v>
      </c>
      <c r="AW216" s="43">
        <f ca="1">IF(NOTA[[#This Row],[NB NOTA_C_QTY]]="","",ROW()-2)</f>
        <v>214</v>
      </c>
    </row>
    <row r="217" spans="1:49" ht="20.100000000000001" customHeight="1">
      <c r="A2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5">
        <f ca="1">IF(NOTA[[#This Row],[NAMA BARANG]]="","",INDEX(NOTA[ID],MATCH(,INDIRECT(ADDRESS(ROW(NOTA[ID]),COLUMN(NOTA[ID]))&amp;":"&amp;ADDRESS(ROW(),COLUMN(NOTA[ID]))),-1)))</f>
        <v>56</v>
      </c>
      <c r="C217" s="45"/>
      <c r="F217" s="46"/>
      <c r="G217" s="35"/>
      <c r="H217" s="36"/>
      <c r="I217" s="35"/>
      <c r="J217" s="50" t="s">
        <v>401</v>
      </c>
      <c r="K217" s="37">
        <v>1</v>
      </c>
      <c r="L217" s="35">
        <v>360</v>
      </c>
      <c r="M217" s="35" t="s">
        <v>50</v>
      </c>
      <c r="N217" s="38">
        <v>7700</v>
      </c>
      <c r="O217" s="39"/>
      <c r="P217" s="47" t="s">
        <v>344</v>
      </c>
      <c r="Q217" s="48"/>
      <c r="R217" s="41"/>
      <c r="T217" s="42"/>
      <c r="U217" s="44"/>
      <c r="V217" s="42">
        <f>IF(NOTA[[#This Row],[HARGA/ CTN]]="",NOTA[[#This Row],[JUMLAH_H]],NOTA[[#This Row],[HARGA/ CTN]]*IF(NOTA[[#This Row],[C]]="",0,NOTA[[#This Row],[C]]))</f>
        <v>2772000</v>
      </c>
      <c r="W217" s="42">
        <f>IF(NOTA[[#This Row],[JUMLAH]]="","",NOTA[[#This Row],[JUMLAH]]*NOTA[[#This Row],[Column6]])</f>
        <v>0</v>
      </c>
      <c r="X217" s="42">
        <f>IF(NOTA[[#This Row],[JUMLAH]]="","",(NOTA[[#This Row],[JUMLAH]]-NOTA[[#This Row],[DISC 1-]])*NOTA[[#This Row],[Column7]])</f>
        <v>0</v>
      </c>
      <c r="Y217" s="42">
        <f>IF(NOTA[[#This Row],[JUMLAH]]="","",(NOTA[[#This Row],[JUMLAH]]-NOTA[[#This Row],[DISC 1-]]-NOTA[[#This Row],[DISC 2-]])*NOTA[[#This Row],[Column8]])</f>
        <v>0</v>
      </c>
      <c r="Z217" s="42">
        <f>IF(NOTA[[#This Row],[JUMLAH]]="","",NOTA[[#This Row],[DISC 1-]]+NOTA[[#This Row],[DISC 2-]]+NOTA[[#This Row],[DISC 3-]])</f>
        <v>0</v>
      </c>
      <c r="AA217" s="42">
        <f>IF(NOTA[[#This Row],[JUMLAH]]="","",NOTA[[#This Row],[JUMLAH]]-NOTA[[#This Row],[DISC]])</f>
        <v>2772000</v>
      </c>
      <c r="AB217" s="42"/>
      <c r="AC2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7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7" s="42">
        <f>IF(OR(NOTA[[#This Row],[QTY]]="",NOTA[[#This Row],[HARGA SATUAN]]="",),"",NOTA[[#This Row],[QTY]]*NOTA[[#This Row],[HARGA SATUAN]])</f>
        <v>2772000</v>
      </c>
      <c r="AG217" s="36">
        <f ca="1">IF(NOTA[[#This Row],[ID_H]]="","",INDEX(NOTA[TANGGAL],MATCH(,INDIRECT(ADDRESS(ROW(NOTA[TANGGAL]),COLUMN(NOTA[TANGGAL]))&amp;":"&amp;ADDRESS(ROW(),COLUMN(NOTA[TANGGAL]))),-1)))</f>
        <v>45495</v>
      </c>
      <c r="AH217" s="36">
        <f ca="1">IF(NOTA[[#This Row],[ID_H]]="","",INDEX(NOTA[TGL.NOTA],MATCH(,INDIRECT(ADDRESS(ROW(NOTA[TGL.NOTA]),COLUMN(NOTA[TGL.NOTA]))&amp;":"&amp;ADDRESS(ROW(),COLUMN(NOTA[TGL.NOTA]))),-1)))</f>
        <v>45492</v>
      </c>
      <c r="AI217" s="36" t="str">
        <f ca="1">IF(NOTA[[#This Row],[ID_H]]="","",INDEX(NOTA[NO.NOTA],MATCH(NOTA[[#This Row],[ID_H]],NOTA[ID_H],0)))</f>
        <v>JUG481/24</v>
      </c>
      <c r="AJ217" s="38" t="str">
        <f ca="1">IF(NOTA[[#This Row],[NAMA BARANG]]="","",INDEX(NOTA[SUPPLIER],MATCH(,INDIRECT(ADDRESS(ROW(NOTA[ID]),COLUMN(NOTA[ID]))&amp;":"&amp;ADDRESS(ROW(),COLUMN(NOTA[ID]))),-1)))</f>
        <v>DB STATIONERY</v>
      </c>
      <c r="AK217" s="38" t="str">
        <f ca="1">IF(NOTA[[#This Row],[ID_H]]="","",IF(NOTA[[#This Row],[FAKTUR]]="",INDIRECT(ADDRESS(ROW()-1,COLUMN())),NOTA[[#This Row],[FAKTUR]]))</f>
        <v>UNTANA</v>
      </c>
      <c r="AL217" s="35" t="str">
        <f ca="1">IF(NOTA[[#This Row],[ID]]="","",COUNTIF(NOTA[ID_H],NOTA[[#This Row],[ID_H]]))</f>
        <v/>
      </c>
      <c r="AM217" s="35">
        <f ca="1">IF(NOTA[[#This Row],[TGL.NOTA]]="",IF(NOTA[[#This Row],[SUPPLIER_H]]="","",AM216),MONTH(NOTA[[#This Row],[TGL.NOTA]]))</f>
        <v>7</v>
      </c>
      <c r="AN217" s="35" t="str">
        <f>LOWER(SUBSTITUTE(SUBSTITUTE(SUBSTITUTE(SUBSTITUTE(SUBSTITUTE(SUBSTITUTE(SUBSTITUTE(SUBSTITUTE(SUBSTITUTE(NOTA[[#This Row],[NAMA BARANG]]," ",),".",""),"-",""),"(",""),")",""),",",""),"/",""),"""",""),"+",""))</f>
        <v>pensil2bkayagikypf3055</v>
      </c>
      <c r="AO2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pensil2bkayagikypf30552772000</v>
      </c>
      <c r="AP2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pensil2bkayagikypf30552772000</v>
      </c>
      <c r="AQ2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7" s="35">
        <f>IF(NOTA[[#This Row],[CONCAT1]]="","",MATCH(NOTA[[#This Row],[CONCAT1]],[3]!db[NB NOTA_C],0))</f>
        <v>2683</v>
      </c>
      <c r="AS217" s="35" t="b">
        <f>IF(NOTA[[#This Row],[Column5]]="","",TRUE)</f>
        <v>1</v>
      </c>
      <c r="AT217" s="35" t="str">
        <f ca="1">IF(NOTA[[#This Row],[ID_H]]="","",IF(NOTA[[#This Row],[Column3]]=TRUE,NOTA[[#This Row],[Column5]],INDEX([3]!db[QTY/ CTN],NOTA[[#This Row],[//DB]])))</f>
        <v>360 LSN</v>
      </c>
      <c r="AU2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pensil2bkayagikypf3055360lsnuntana</v>
      </c>
      <c r="AV217" s="35">
        <f ca="1">IF(NOTA[[#This Row],[ID_H]]="","",MATCH(NOTA[[#This Row],[NB NOTA_C_QTY]],[3]!db[NB NOTA_C_QTY+F],0))</f>
        <v>2683</v>
      </c>
      <c r="AW217" s="43">
        <f ca="1">IF(NOTA[[#This Row],[NB NOTA_C_QTY]]="","",ROW()-2)</f>
        <v>215</v>
      </c>
    </row>
    <row r="218" spans="1:49" ht="20.100000000000001" customHeight="1">
      <c r="A2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5">
        <f ca="1">IF(NOTA[[#This Row],[NAMA BARANG]]="","",INDEX(NOTA[ID],MATCH(,INDIRECT(ADDRESS(ROW(NOTA[ID]),COLUMN(NOTA[ID]))&amp;":"&amp;ADDRESS(ROW(),COLUMN(NOTA[ID]))),-1)))</f>
        <v>56</v>
      </c>
      <c r="C218" s="45"/>
      <c r="F218" s="46"/>
      <c r="G218" s="35"/>
      <c r="H218" s="36"/>
      <c r="I218" s="35"/>
      <c r="J218" s="50" t="s">
        <v>402</v>
      </c>
      <c r="K218" s="37">
        <v>1</v>
      </c>
      <c r="L218" s="35">
        <v>360</v>
      </c>
      <c r="M218" s="35" t="s">
        <v>50</v>
      </c>
      <c r="N218" s="38">
        <v>7700</v>
      </c>
      <c r="O218" s="39"/>
      <c r="P218" s="47" t="s">
        <v>344</v>
      </c>
      <c r="Q218" s="48"/>
      <c r="R218" s="41"/>
      <c r="T218" s="42"/>
      <c r="U218" s="44"/>
      <c r="V218" s="42">
        <f>IF(NOTA[[#This Row],[HARGA/ CTN]]="",NOTA[[#This Row],[JUMLAH_H]],NOTA[[#This Row],[HARGA/ CTN]]*IF(NOTA[[#This Row],[C]]="",0,NOTA[[#This Row],[C]]))</f>
        <v>2772000</v>
      </c>
      <c r="W218" s="42">
        <f>IF(NOTA[[#This Row],[JUMLAH]]="","",NOTA[[#This Row],[JUMLAH]]*NOTA[[#This Row],[Column6]])</f>
        <v>0</v>
      </c>
      <c r="X218" s="42">
        <f>IF(NOTA[[#This Row],[JUMLAH]]="","",(NOTA[[#This Row],[JUMLAH]]-NOTA[[#This Row],[DISC 1-]])*NOTA[[#This Row],[Column7]])</f>
        <v>0</v>
      </c>
      <c r="Y218" s="42">
        <f>IF(NOTA[[#This Row],[JUMLAH]]="","",(NOTA[[#This Row],[JUMLAH]]-NOTA[[#This Row],[DISC 1-]]-NOTA[[#This Row],[DISC 2-]])*NOTA[[#This Row],[Column8]])</f>
        <v>0</v>
      </c>
      <c r="Z218" s="42">
        <f>IF(NOTA[[#This Row],[JUMLAH]]="","",NOTA[[#This Row],[DISC 1-]]+NOTA[[#This Row],[DISC 2-]]+NOTA[[#This Row],[DISC 3-]])</f>
        <v>0</v>
      </c>
      <c r="AA218" s="42">
        <f>IF(NOTA[[#This Row],[JUMLAH]]="","",NOTA[[#This Row],[JUMLAH]]-NOTA[[#This Row],[DISC]])</f>
        <v>2772000</v>
      </c>
      <c r="AB218" s="42"/>
      <c r="AC2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8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8" s="42">
        <f>IF(OR(NOTA[[#This Row],[QTY]]="",NOTA[[#This Row],[HARGA SATUAN]]="",),"",NOTA[[#This Row],[QTY]]*NOTA[[#This Row],[HARGA SATUAN]])</f>
        <v>2772000</v>
      </c>
      <c r="AG218" s="36">
        <f ca="1">IF(NOTA[[#This Row],[ID_H]]="","",INDEX(NOTA[TANGGAL],MATCH(,INDIRECT(ADDRESS(ROW(NOTA[TANGGAL]),COLUMN(NOTA[TANGGAL]))&amp;":"&amp;ADDRESS(ROW(),COLUMN(NOTA[TANGGAL]))),-1)))</f>
        <v>45495</v>
      </c>
      <c r="AH218" s="36">
        <f ca="1">IF(NOTA[[#This Row],[ID_H]]="","",INDEX(NOTA[TGL.NOTA],MATCH(,INDIRECT(ADDRESS(ROW(NOTA[TGL.NOTA]),COLUMN(NOTA[TGL.NOTA]))&amp;":"&amp;ADDRESS(ROW(),COLUMN(NOTA[TGL.NOTA]))),-1)))</f>
        <v>45492</v>
      </c>
      <c r="AI218" s="36" t="str">
        <f ca="1">IF(NOTA[[#This Row],[ID_H]]="","",INDEX(NOTA[NO.NOTA],MATCH(NOTA[[#This Row],[ID_H]],NOTA[ID_H],0)))</f>
        <v>JUG481/24</v>
      </c>
      <c r="AJ218" s="38" t="str">
        <f ca="1">IF(NOTA[[#This Row],[NAMA BARANG]]="","",INDEX(NOTA[SUPPLIER],MATCH(,INDIRECT(ADDRESS(ROW(NOTA[ID]),COLUMN(NOTA[ID]))&amp;":"&amp;ADDRESS(ROW(),COLUMN(NOTA[ID]))),-1)))</f>
        <v>DB STATIONERY</v>
      </c>
      <c r="AK218" s="38" t="str">
        <f ca="1">IF(NOTA[[#This Row],[ID_H]]="","",IF(NOTA[[#This Row],[FAKTUR]]="",INDIRECT(ADDRESS(ROW()-1,COLUMN())),NOTA[[#This Row],[FAKTUR]]))</f>
        <v>UNTANA</v>
      </c>
      <c r="AL218" s="35" t="str">
        <f ca="1">IF(NOTA[[#This Row],[ID]]="","",COUNTIF(NOTA[ID_H],NOTA[[#This Row],[ID_H]]))</f>
        <v/>
      </c>
      <c r="AM218" s="35">
        <f ca="1">IF(NOTA[[#This Row],[TGL.NOTA]]="",IF(NOTA[[#This Row],[SUPPLIER_H]]="","",AM217),MONTH(NOTA[[#This Row],[TGL.NOTA]]))</f>
        <v>7</v>
      </c>
      <c r="AN218" s="35" t="str">
        <f>LOWER(SUBSTITUTE(SUBSTITUTE(SUBSTITUTE(SUBSTITUTE(SUBSTITUTE(SUBSTITUTE(SUBSTITUTE(SUBSTITUTE(SUBSTITUTE(NOTA[[#This Row],[NAMA BARANG]]," ",),".",""),"-",""),"(",""),")",""),",",""),"/",""),"""",""),"+",""))</f>
        <v>pensil2bkayagikypf3090</v>
      </c>
      <c r="AO2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pensil2bkayagikypf30902772000</v>
      </c>
      <c r="AP2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pensil2bkayagikypf30902772000</v>
      </c>
      <c r="AQ2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8" s="35">
        <f>IF(NOTA[[#This Row],[CONCAT1]]="","",MATCH(NOTA[[#This Row],[CONCAT1]],[3]!db[NB NOTA_C],0))</f>
        <v>2670</v>
      </c>
      <c r="AS218" s="35" t="b">
        <f>IF(NOTA[[#This Row],[Column5]]="","",TRUE)</f>
        <v>1</v>
      </c>
      <c r="AT218" s="35" t="str">
        <f ca="1">IF(NOTA[[#This Row],[ID_H]]="","",IF(NOTA[[#This Row],[Column3]]=TRUE,NOTA[[#This Row],[Column5]],INDEX([3]!db[QTY/ CTN],NOTA[[#This Row],[//DB]])))</f>
        <v>360 LSN</v>
      </c>
      <c r="AU2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pensil2bkayagikypf3090360lsnuntana</v>
      </c>
      <c r="AV218" s="35">
        <f ca="1">IF(NOTA[[#This Row],[ID_H]]="","",MATCH(NOTA[[#This Row],[NB NOTA_C_QTY]],[3]!db[NB NOTA_C_QTY+F],0))</f>
        <v>2670</v>
      </c>
      <c r="AW218" s="43">
        <f ca="1">IF(NOTA[[#This Row],[NB NOTA_C_QTY]]="","",ROW()-2)</f>
        <v>216</v>
      </c>
    </row>
    <row r="219" spans="1:49" ht="20.100000000000001" customHeight="1">
      <c r="A2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5">
        <f ca="1">IF(NOTA[[#This Row],[NAMA BARANG]]="","",INDEX(NOTA[ID],MATCH(,INDIRECT(ADDRESS(ROW(NOTA[ID]),COLUMN(NOTA[ID]))&amp;":"&amp;ADDRESS(ROW(),COLUMN(NOTA[ID]))),-1)))</f>
        <v>56</v>
      </c>
      <c r="C219" s="45"/>
      <c r="F219" s="46"/>
      <c r="G219" s="35"/>
      <c r="H219" s="36"/>
      <c r="I219" s="35"/>
      <c r="J219" s="50" t="s">
        <v>403</v>
      </c>
      <c r="K219" s="37">
        <v>1</v>
      </c>
      <c r="L219" s="35">
        <v>360</v>
      </c>
      <c r="M219" s="35" t="s">
        <v>50</v>
      </c>
      <c r="N219" s="38">
        <v>7700</v>
      </c>
      <c r="O219" s="39"/>
      <c r="P219" s="47" t="s">
        <v>344</v>
      </c>
      <c r="Q219" s="48"/>
      <c r="R219" s="41"/>
      <c r="T219" s="42"/>
      <c r="U219" s="44"/>
      <c r="V219" s="42">
        <f>IF(NOTA[[#This Row],[HARGA/ CTN]]="",NOTA[[#This Row],[JUMLAH_H]],NOTA[[#This Row],[HARGA/ CTN]]*IF(NOTA[[#This Row],[C]]="",0,NOTA[[#This Row],[C]]))</f>
        <v>2772000</v>
      </c>
      <c r="W219" s="42">
        <f>IF(NOTA[[#This Row],[JUMLAH]]="","",NOTA[[#This Row],[JUMLAH]]*NOTA[[#This Row],[Column6]])</f>
        <v>0</v>
      </c>
      <c r="X219" s="42">
        <f>IF(NOTA[[#This Row],[JUMLAH]]="","",(NOTA[[#This Row],[JUMLAH]]-NOTA[[#This Row],[DISC 1-]])*NOTA[[#This Row],[Column7]])</f>
        <v>0</v>
      </c>
      <c r="Y219" s="42">
        <f>IF(NOTA[[#This Row],[JUMLAH]]="","",(NOTA[[#This Row],[JUMLAH]]-NOTA[[#This Row],[DISC 1-]]-NOTA[[#This Row],[DISC 2-]])*NOTA[[#This Row],[Column8]])</f>
        <v>0</v>
      </c>
      <c r="Z219" s="42">
        <f>IF(NOTA[[#This Row],[JUMLAH]]="","",NOTA[[#This Row],[DISC 1-]]+NOTA[[#This Row],[DISC 2-]]+NOTA[[#This Row],[DISC 3-]])</f>
        <v>0</v>
      </c>
      <c r="AA219" s="42">
        <f>IF(NOTA[[#This Row],[JUMLAH]]="","",NOTA[[#This Row],[JUMLAH]]-NOTA[[#This Row],[DISC]])</f>
        <v>2772000</v>
      </c>
      <c r="AB219" s="42"/>
      <c r="AC2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19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19" s="42">
        <f>IF(OR(NOTA[[#This Row],[QTY]]="",NOTA[[#This Row],[HARGA SATUAN]]="",),"",NOTA[[#This Row],[QTY]]*NOTA[[#This Row],[HARGA SATUAN]])</f>
        <v>2772000</v>
      </c>
      <c r="AG219" s="36">
        <f ca="1">IF(NOTA[[#This Row],[ID_H]]="","",INDEX(NOTA[TANGGAL],MATCH(,INDIRECT(ADDRESS(ROW(NOTA[TANGGAL]),COLUMN(NOTA[TANGGAL]))&amp;":"&amp;ADDRESS(ROW(),COLUMN(NOTA[TANGGAL]))),-1)))</f>
        <v>45495</v>
      </c>
      <c r="AH219" s="36">
        <f ca="1">IF(NOTA[[#This Row],[ID_H]]="","",INDEX(NOTA[TGL.NOTA],MATCH(,INDIRECT(ADDRESS(ROW(NOTA[TGL.NOTA]),COLUMN(NOTA[TGL.NOTA]))&amp;":"&amp;ADDRESS(ROW(),COLUMN(NOTA[TGL.NOTA]))),-1)))</f>
        <v>45492</v>
      </c>
      <c r="AI219" s="36" t="str">
        <f ca="1">IF(NOTA[[#This Row],[ID_H]]="","",INDEX(NOTA[NO.NOTA],MATCH(NOTA[[#This Row],[ID_H]],NOTA[ID_H],0)))</f>
        <v>JUG481/24</v>
      </c>
      <c r="AJ219" s="38" t="str">
        <f ca="1">IF(NOTA[[#This Row],[NAMA BARANG]]="","",INDEX(NOTA[SUPPLIER],MATCH(,INDIRECT(ADDRESS(ROW(NOTA[ID]),COLUMN(NOTA[ID]))&amp;":"&amp;ADDRESS(ROW(),COLUMN(NOTA[ID]))),-1)))</f>
        <v>DB STATIONERY</v>
      </c>
      <c r="AK219" s="38" t="str">
        <f ca="1">IF(NOTA[[#This Row],[ID_H]]="","",IF(NOTA[[#This Row],[FAKTUR]]="",INDIRECT(ADDRESS(ROW()-1,COLUMN())),NOTA[[#This Row],[FAKTUR]]))</f>
        <v>UNTANA</v>
      </c>
      <c r="AL219" s="35" t="str">
        <f ca="1">IF(NOTA[[#This Row],[ID]]="","",COUNTIF(NOTA[ID_H],NOTA[[#This Row],[ID_H]]))</f>
        <v/>
      </c>
      <c r="AM219" s="35">
        <f ca="1">IF(NOTA[[#This Row],[TGL.NOTA]]="",IF(NOTA[[#This Row],[SUPPLIER_H]]="","",AM218),MONTH(NOTA[[#This Row],[TGL.NOTA]]))</f>
        <v>7</v>
      </c>
      <c r="AN219" s="35" t="str">
        <f>LOWER(SUBSTITUTE(SUBSTITUTE(SUBSTITUTE(SUBSTITUTE(SUBSTITUTE(SUBSTITUTE(SUBSTITUTE(SUBSTITUTE(SUBSTITUTE(NOTA[[#This Row],[NAMA BARANG]]," ",),".",""),"-",""),"(",""),")",""),",",""),"/",""),"""",""),"+",""))</f>
        <v>pensil2bkayagikypf3091</v>
      </c>
      <c r="AO2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pensil2bkayagikypf30912772000</v>
      </c>
      <c r="AP2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pensil2bkayagikypf30912772000</v>
      </c>
      <c r="AQ2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9" s="35">
        <f>IF(NOTA[[#This Row],[CONCAT1]]="","",MATCH(NOTA[[#This Row],[CONCAT1]],[3]!db[NB NOTA_C],0))</f>
        <v>2690</v>
      </c>
      <c r="AS219" s="35" t="b">
        <f>IF(NOTA[[#This Row],[Column5]]="","",TRUE)</f>
        <v>1</v>
      </c>
      <c r="AT219" s="35" t="str">
        <f ca="1">IF(NOTA[[#This Row],[ID_H]]="","",IF(NOTA[[#This Row],[Column3]]=TRUE,NOTA[[#This Row],[Column5]],INDEX([3]!db[QTY/ CTN],NOTA[[#This Row],[//DB]])))</f>
        <v>360 LSN</v>
      </c>
      <c r="AU2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pensil2bkayagikypf3091360lsnuntana</v>
      </c>
      <c r="AV219" s="35">
        <f ca="1">IF(NOTA[[#This Row],[ID_H]]="","",MATCH(NOTA[[#This Row],[NB NOTA_C_QTY]],[3]!db[NB NOTA_C_QTY+F],0))</f>
        <v>2690</v>
      </c>
      <c r="AW219" s="43">
        <f ca="1">IF(NOTA[[#This Row],[NB NOTA_C_QTY]]="","",ROW()-2)</f>
        <v>217</v>
      </c>
    </row>
    <row r="220" spans="1:49" ht="20.100000000000001" customHeight="1">
      <c r="A2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5">
        <f ca="1">IF(NOTA[[#This Row],[NAMA BARANG]]="","",INDEX(NOTA[ID],MATCH(,INDIRECT(ADDRESS(ROW(NOTA[ID]),COLUMN(NOTA[ID]))&amp;":"&amp;ADDRESS(ROW(),COLUMN(NOTA[ID]))),-1)))</f>
        <v>56</v>
      </c>
      <c r="C220" s="45"/>
      <c r="F220" s="46"/>
      <c r="G220" s="35"/>
      <c r="H220" s="36"/>
      <c r="I220" s="35"/>
      <c r="J220" s="50" t="s">
        <v>404</v>
      </c>
      <c r="K220" s="37">
        <v>1</v>
      </c>
      <c r="L220" s="35">
        <v>360</v>
      </c>
      <c r="M220" s="35" t="s">
        <v>50</v>
      </c>
      <c r="N220" s="38">
        <v>7700</v>
      </c>
      <c r="O220" s="39"/>
      <c r="P220" s="47" t="s">
        <v>344</v>
      </c>
      <c r="Q220" s="48"/>
      <c r="R220" s="41"/>
      <c r="T220" s="42"/>
      <c r="U220" s="44"/>
      <c r="V220" s="42">
        <f>IF(NOTA[[#This Row],[HARGA/ CTN]]="",NOTA[[#This Row],[JUMLAH_H]],NOTA[[#This Row],[HARGA/ CTN]]*IF(NOTA[[#This Row],[C]]="",0,NOTA[[#This Row],[C]]))</f>
        <v>2772000</v>
      </c>
      <c r="W220" s="42">
        <f>IF(NOTA[[#This Row],[JUMLAH]]="","",NOTA[[#This Row],[JUMLAH]]*NOTA[[#This Row],[Column6]])</f>
        <v>0</v>
      </c>
      <c r="X220" s="42">
        <f>IF(NOTA[[#This Row],[JUMLAH]]="","",(NOTA[[#This Row],[JUMLAH]]-NOTA[[#This Row],[DISC 1-]])*NOTA[[#This Row],[Column7]])</f>
        <v>0</v>
      </c>
      <c r="Y220" s="42">
        <f>IF(NOTA[[#This Row],[JUMLAH]]="","",(NOTA[[#This Row],[JUMLAH]]-NOTA[[#This Row],[DISC 1-]]-NOTA[[#This Row],[DISC 2-]])*NOTA[[#This Row],[Column8]])</f>
        <v>0</v>
      </c>
      <c r="Z220" s="42">
        <f>IF(NOTA[[#This Row],[JUMLAH]]="","",NOTA[[#This Row],[DISC 1-]]+NOTA[[#This Row],[DISC 2-]]+NOTA[[#This Row],[DISC 3-]])</f>
        <v>0</v>
      </c>
      <c r="AA220" s="42">
        <f>IF(NOTA[[#This Row],[JUMLAH]]="","",NOTA[[#This Row],[JUMLAH]]-NOTA[[#This Row],[DISC]])</f>
        <v>2772000</v>
      </c>
      <c r="AB220" s="42"/>
      <c r="AC2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0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20" s="42">
        <f>IF(OR(NOTA[[#This Row],[QTY]]="",NOTA[[#This Row],[HARGA SATUAN]]="",),"",NOTA[[#This Row],[QTY]]*NOTA[[#This Row],[HARGA SATUAN]])</f>
        <v>2772000</v>
      </c>
      <c r="AG220" s="36">
        <f ca="1">IF(NOTA[[#This Row],[ID_H]]="","",INDEX(NOTA[TANGGAL],MATCH(,INDIRECT(ADDRESS(ROW(NOTA[TANGGAL]),COLUMN(NOTA[TANGGAL]))&amp;":"&amp;ADDRESS(ROW(),COLUMN(NOTA[TANGGAL]))),-1)))</f>
        <v>45495</v>
      </c>
      <c r="AH220" s="36">
        <f ca="1">IF(NOTA[[#This Row],[ID_H]]="","",INDEX(NOTA[TGL.NOTA],MATCH(,INDIRECT(ADDRESS(ROW(NOTA[TGL.NOTA]),COLUMN(NOTA[TGL.NOTA]))&amp;":"&amp;ADDRESS(ROW(),COLUMN(NOTA[TGL.NOTA]))),-1)))</f>
        <v>45492</v>
      </c>
      <c r="AI220" s="36" t="str">
        <f ca="1">IF(NOTA[[#This Row],[ID_H]]="","",INDEX(NOTA[NO.NOTA],MATCH(NOTA[[#This Row],[ID_H]],NOTA[ID_H],0)))</f>
        <v>JUG481/24</v>
      </c>
      <c r="AJ220" s="38" t="str">
        <f ca="1">IF(NOTA[[#This Row],[NAMA BARANG]]="","",INDEX(NOTA[SUPPLIER],MATCH(,INDIRECT(ADDRESS(ROW(NOTA[ID]),COLUMN(NOTA[ID]))&amp;":"&amp;ADDRESS(ROW(),COLUMN(NOTA[ID]))),-1)))</f>
        <v>DB STATIONERY</v>
      </c>
      <c r="AK220" s="38" t="str">
        <f ca="1">IF(NOTA[[#This Row],[ID_H]]="","",IF(NOTA[[#This Row],[FAKTUR]]="",INDIRECT(ADDRESS(ROW()-1,COLUMN())),NOTA[[#This Row],[FAKTUR]]))</f>
        <v>UNTANA</v>
      </c>
      <c r="AL220" s="35" t="str">
        <f ca="1">IF(NOTA[[#This Row],[ID]]="","",COUNTIF(NOTA[ID_H],NOTA[[#This Row],[ID_H]]))</f>
        <v/>
      </c>
      <c r="AM220" s="35">
        <f ca="1">IF(NOTA[[#This Row],[TGL.NOTA]]="",IF(NOTA[[#This Row],[SUPPLIER_H]]="","",AM219),MONTH(NOTA[[#This Row],[TGL.NOTA]]))</f>
        <v>7</v>
      </c>
      <c r="AN220" s="35" t="str">
        <f>LOWER(SUBSTITUTE(SUBSTITUTE(SUBSTITUTE(SUBSTITUTE(SUBSTITUTE(SUBSTITUTE(SUBSTITUTE(SUBSTITUTE(SUBSTITUTE(NOTA[[#This Row],[NAMA BARANG]]," ",),".",""),"-",""),"(",""),")",""),",",""),"/",""),"""",""),"+",""))</f>
        <v>pensil2bkayagikypf3092</v>
      </c>
      <c r="AO2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pensil2bkayagikypf30922772000</v>
      </c>
      <c r="AP2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pensil2bkayagikypf30922772000</v>
      </c>
      <c r="AQ2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0" s="35">
        <f>IF(NOTA[[#This Row],[CONCAT1]]="","",MATCH(NOTA[[#This Row],[CONCAT1]],[3]!db[NB NOTA_C],0))</f>
        <v>2671</v>
      </c>
      <c r="AS220" s="35" t="b">
        <f>IF(NOTA[[#This Row],[Column5]]="","",TRUE)</f>
        <v>1</v>
      </c>
      <c r="AT220" s="35" t="str">
        <f ca="1">IF(NOTA[[#This Row],[ID_H]]="","",IF(NOTA[[#This Row],[Column3]]=TRUE,NOTA[[#This Row],[Column5]],INDEX([3]!db[QTY/ CTN],NOTA[[#This Row],[//DB]])))</f>
        <v>360 LSN</v>
      </c>
      <c r="AU2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pensil2bkayagikypf3092360lsnuntana</v>
      </c>
      <c r="AV220" s="35">
        <f ca="1">IF(NOTA[[#This Row],[ID_H]]="","",MATCH(NOTA[[#This Row],[NB NOTA_C_QTY]],[3]!db[NB NOTA_C_QTY+F],0))</f>
        <v>2671</v>
      </c>
      <c r="AW220" s="43">
        <f ca="1">IF(NOTA[[#This Row],[NB NOTA_C_QTY]]="","",ROW()-2)</f>
        <v>218</v>
      </c>
    </row>
    <row r="221" spans="1:49" ht="20.100000000000001" customHeight="1">
      <c r="A2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5">
        <f ca="1">IF(NOTA[[#This Row],[NAMA BARANG]]="","",INDEX(NOTA[ID],MATCH(,INDIRECT(ADDRESS(ROW(NOTA[ID]),COLUMN(NOTA[ID]))&amp;":"&amp;ADDRESS(ROW(),COLUMN(NOTA[ID]))),-1)))</f>
        <v>56</v>
      </c>
      <c r="C221" s="45"/>
      <c r="F221" s="46"/>
      <c r="G221" s="35"/>
      <c r="H221" s="36"/>
      <c r="I221" s="35"/>
      <c r="J221" s="50" t="s">
        <v>405</v>
      </c>
      <c r="K221" s="37">
        <v>1</v>
      </c>
      <c r="L221" s="35">
        <v>360</v>
      </c>
      <c r="M221" s="35" t="s">
        <v>50</v>
      </c>
      <c r="N221" s="38">
        <v>7700</v>
      </c>
      <c r="O221" s="39"/>
      <c r="P221" s="47" t="s">
        <v>344</v>
      </c>
      <c r="Q221" s="48"/>
      <c r="R221" s="41"/>
      <c r="T221" s="42"/>
      <c r="U221" s="44"/>
      <c r="V221" s="42">
        <f>IF(NOTA[[#This Row],[HARGA/ CTN]]="",NOTA[[#This Row],[JUMLAH_H]],NOTA[[#This Row],[HARGA/ CTN]]*IF(NOTA[[#This Row],[C]]="",0,NOTA[[#This Row],[C]]))</f>
        <v>2772000</v>
      </c>
      <c r="W221" s="42">
        <f>IF(NOTA[[#This Row],[JUMLAH]]="","",NOTA[[#This Row],[JUMLAH]]*NOTA[[#This Row],[Column6]])</f>
        <v>0</v>
      </c>
      <c r="X221" s="42">
        <f>IF(NOTA[[#This Row],[JUMLAH]]="","",(NOTA[[#This Row],[JUMLAH]]-NOTA[[#This Row],[DISC 1-]])*NOTA[[#This Row],[Column7]])</f>
        <v>0</v>
      </c>
      <c r="Y221" s="42">
        <f>IF(NOTA[[#This Row],[JUMLAH]]="","",(NOTA[[#This Row],[JUMLAH]]-NOTA[[#This Row],[DISC 1-]]-NOTA[[#This Row],[DISC 2-]])*NOTA[[#This Row],[Column8]])</f>
        <v>0</v>
      </c>
      <c r="Z221" s="42">
        <f>IF(NOTA[[#This Row],[JUMLAH]]="","",NOTA[[#This Row],[DISC 1-]]+NOTA[[#This Row],[DISC 2-]]+NOTA[[#This Row],[DISC 3-]])</f>
        <v>0</v>
      </c>
      <c r="AA221" s="42">
        <f>IF(NOTA[[#This Row],[JUMLAH]]="","",NOTA[[#This Row],[JUMLAH]]-NOTA[[#This Row],[DISC]])</f>
        <v>2772000</v>
      </c>
      <c r="AB221" s="42"/>
      <c r="AC2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1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21" s="42">
        <f>IF(OR(NOTA[[#This Row],[QTY]]="",NOTA[[#This Row],[HARGA SATUAN]]="",),"",NOTA[[#This Row],[QTY]]*NOTA[[#This Row],[HARGA SATUAN]])</f>
        <v>2772000</v>
      </c>
      <c r="AG221" s="36">
        <f ca="1">IF(NOTA[[#This Row],[ID_H]]="","",INDEX(NOTA[TANGGAL],MATCH(,INDIRECT(ADDRESS(ROW(NOTA[TANGGAL]),COLUMN(NOTA[TANGGAL]))&amp;":"&amp;ADDRESS(ROW(),COLUMN(NOTA[TANGGAL]))),-1)))</f>
        <v>45495</v>
      </c>
      <c r="AH221" s="36">
        <f ca="1">IF(NOTA[[#This Row],[ID_H]]="","",INDEX(NOTA[TGL.NOTA],MATCH(,INDIRECT(ADDRESS(ROW(NOTA[TGL.NOTA]),COLUMN(NOTA[TGL.NOTA]))&amp;":"&amp;ADDRESS(ROW(),COLUMN(NOTA[TGL.NOTA]))),-1)))</f>
        <v>45492</v>
      </c>
      <c r="AI221" s="36" t="str">
        <f ca="1">IF(NOTA[[#This Row],[ID_H]]="","",INDEX(NOTA[NO.NOTA],MATCH(NOTA[[#This Row],[ID_H]],NOTA[ID_H],0)))</f>
        <v>JUG481/24</v>
      </c>
      <c r="AJ221" s="38" t="str">
        <f ca="1">IF(NOTA[[#This Row],[NAMA BARANG]]="","",INDEX(NOTA[SUPPLIER],MATCH(,INDIRECT(ADDRESS(ROW(NOTA[ID]),COLUMN(NOTA[ID]))&amp;":"&amp;ADDRESS(ROW(),COLUMN(NOTA[ID]))),-1)))</f>
        <v>DB STATIONERY</v>
      </c>
      <c r="AK221" s="38" t="str">
        <f ca="1">IF(NOTA[[#This Row],[ID_H]]="","",IF(NOTA[[#This Row],[FAKTUR]]="",INDIRECT(ADDRESS(ROW()-1,COLUMN())),NOTA[[#This Row],[FAKTUR]]))</f>
        <v>UNTANA</v>
      </c>
      <c r="AL221" s="35" t="str">
        <f ca="1">IF(NOTA[[#This Row],[ID]]="","",COUNTIF(NOTA[ID_H],NOTA[[#This Row],[ID_H]]))</f>
        <v/>
      </c>
      <c r="AM221" s="35">
        <f ca="1">IF(NOTA[[#This Row],[TGL.NOTA]]="",IF(NOTA[[#This Row],[SUPPLIER_H]]="","",AM220),MONTH(NOTA[[#This Row],[TGL.NOTA]]))</f>
        <v>7</v>
      </c>
      <c r="AN221" s="35" t="str">
        <f>LOWER(SUBSTITUTE(SUBSTITUTE(SUBSTITUTE(SUBSTITUTE(SUBSTITUTE(SUBSTITUTE(SUBSTITUTE(SUBSTITUTE(SUBSTITUTE(NOTA[[#This Row],[NAMA BARANG]]," ",),".",""),"-",""),"(",""),")",""),",",""),"/",""),"""",""),"+",""))</f>
        <v>pensil2bkayagikypf3093</v>
      </c>
      <c r="AO2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pensil2bkayagikypf30932772000</v>
      </c>
      <c r="AP2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pensil2bkayagikypf30932772000</v>
      </c>
      <c r="AQ2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1" s="35">
        <f>IF(NOTA[[#This Row],[CONCAT1]]="","",MATCH(NOTA[[#This Row],[CONCAT1]],[3]!db[NB NOTA_C],0))</f>
        <v>2672</v>
      </c>
      <c r="AS221" s="35" t="b">
        <f>IF(NOTA[[#This Row],[Column5]]="","",TRUE)</f>
        <v>1</v>
      </c>
      <c r="AT221" s="35" t="str">
        <f ca="1">IF(NOTA[[#This Row],[ID_H]]="","",IF(NOTA[[#This Row],[Column3]]=TRUE,NOTA[[#This Row],[Column5]],INDEX([3]!db[QTY/ CTN],NOTA[[#This Row],[//DB]])))</f>
        <v>360 LSN</v>
      </c>
      <c r="AU2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pensil2bkayagikypf3093360lsnuntana</v>
      </c>
      <c r="AV221" s="35">
        <f ca="1">IF(NOTA[[#This Row],[ID_H]]="","",MATCH(NOTA[[#This Row],[NB NOTA_C_QTY]],[3]!db[NB NOTA_C_QTY+F],0))</f>
        <v>2672</v>
      </c>
      <c r="AW221" s="43">
        <f ca="1">IF(NOTA[[#This Row],[NB NOTA_C_QTY]]="","",ROW()-2)</f>
        <v>219</v>
      </c>
    </row>
    <row r="222" spans="1:49" ht="20.100000000000001" customHeight="1">
      <c r="A2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5">
        <f ca="1">IF(NOTA[[#This Row],[NAMA BARANG]]="","",INDEX(NOTA[ID],MATCH(,INDIRECT(ADDRESS(ROW(NOTA[ID]),COLUMN(NOTA[ID]))&amp;":"&amp;ADDRESS(ROW(),COLUMN(NOTA[ID]))),-1)))</f>
        <v>56</v>
      </c>
      <c r="C222" s="45"/>
      <c r="F222" s="46"/>
      <c r="G222" s="35"/>
      <c r="H222" s="36"/>
      <c r="I222" s="35"/>
      <c r="J222" s="50" t="s">
        <v>406</v>
      </c>
      <c r="K222" s="37">
        <v>1</v>
      </c>
      <c r="L222" s="35">
        <v>360</v>
      </c>
      <c r="M222" s="35" t="s">
        <v>50</v>
      </c>
      <c r="N222" s="38">
        <v>7700</v>
      </c>
      <c r="O222" s="39"/>
      <c r="P222" s="47" t="s">
        <v>344</v>
      </c>
      <c r="Q222" s="48"/>
      <c r="R222" s="41"/>
      <c r="T222" s="42"/>
      <c r="U222" s="44"/>
      <c r="V222" s="42">
        <f>IF(NOTA[[#This Row],[HARGA/ CTN]]="",NOTA[[#This Row],[JUMLAH_H]],NOTA[[#This Row],[HARGA/ CTN]]*IF(NOTA[[#This Row],[C]]="",0,NOTA[[#This Row],[C]]))</f>
        <v>2772000</v>
      </c>
      <c r="W222" s="42">
        <f>IF(NOTA[[#This Row],[JUMLAH]]="","",NOTA[[#This Row],[JUMLAH]]*NOTA[[#This Row],[Column6]])</f>
        <v>0</v>
      </c>
      <c r="X222" s="42">
        <f>IF(NOTA[[#This Row],[JUMLAH]]="","",(NOTA[[#This Row],[JUMLAH]]-NOTA[[#This Row],[DISC 1-]])*NOTA[[#This Row],[Column7]])</f>
        <v>0</v>
      </c>
      <c r="Y222" s="42">
        <f>IF(NOTA[[#This Row],[JUMLAH]]="","",(NOTA[[#This Row],[JUMLAH]]-NOTA[[#This Row],[DISC 1-]]-NOTA[[#This Row],[DISC 2-]])*NOTA[[#This Row],[Column8]])</f>
        <v>0</v>
      </c>
      <c r="Z222" s="42">
        <f>IF(NOTA[[#This Row],[JUMLAH]]="","",NOTA[[#This Row],[DISC 1-]]+NOTA[[#This Row],[DISC 2-]]+NOTA[[#This Row],[DISC 3-]])</f>
        <v>0</v>
      </c>
      <c r="AA222" s="42">
        <f>IF(NOTA[[#This Row],[JUMLAH]]="","",NOTA[[#This Row],[JUMLAH]]-NOTA[[#This Row],[DISC]])</f>
        <v>2772000</v>
      </c>
      <c r="AB222" s="42"/>
      <c r="AC2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2" s="38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222" s="42">
        <f>IF(OR(NOTA[[#This Row],[QTY]]="",NOTA[[#This Row],[HARGA SATUAN]]="",),"",NOTA[[#This Row],[QTY]]*NOTA[[#This Row],[HARGA SATUAN]])</f>
        <v>2772000</v>
      </c>
      <c r="AG222" s="36">
        <f ca="1">IF(NOTA[[#This Row],[ID_H]]="","",INDEX(NOTA[TANGGAL],MATCH(,INDIRECT(ADDRESS(ROW(NOTA[TANGGAL]),COLUMN(NOTA[TANGGAL]))&amp;":"&amp;ADDRESS(ROW(),COLUMN(NOTA[TANGGAL]))),-1)))</f>
        <v>45495</v>
      </c>
      <c r="AH222" s="36">
        <f ca="1">IF(NOTA[[#This Row],[ID_H]]="","",INDEX(NOTA[TGL.NOTA],MATCH(,INDIRECT(ADDRESS(ROW(NOTA[TGL.NOTA]),COLUMN(NOTA[TGL.NOTA]))&amp;":"&amp;ADDRESS(ROW(),COLUMN(NOTA[TGL.NOTA]))),-1)))</f>
        <v>45492</v>
      </c>
      <c r="AI222" s="36" t="str">
        <f ca="1">IF(NOTA[[#This Row],[ID_H]]="","",INDEX(NOTA[NO.NOTA],MATCH(NOTA[[#This Row],[ID_H]],NOTA[ID_H],0)))</f>
        <v>JUG481/24</v>
      </c>
      <c r="AJ222" s="38" t="str">
        <f ca="1">IF(NOTA[[#This Row],[NAMA BARANG]]="","",INDEX(NOTA[SUPPLIER],MATCH(,INDIRECT(ADDRESS(ROW(NOTA[ID]),COLUMN(NOTA[ID]))&amp;":"&amp;ADDRESS(ROW(),COLUMN(NOTA[ID]))),-1)))</f>
        <v>DB STATIONERY</v>
      </c>
      <c r="AK222" s="38" t="str">
        <f ca="1">IF(NOTA[[#This Row],[ID_H]]="","",IF(NOTA[[#This Row],[FAKTUR]]="",INDIRECT(ADDRESS(ROW()-1,COLUMN())),NOTA[[#This Row],[FAKTUR]]))</f>
        <v>UNTANA</v>
      </c>
      <c r="AL222" s="35" t="str">
        <f ca="1">IF(NOTA[[#This Row],[ID]]="","",COUNTIF(NOTA[ID_H],NOTA[[#This Row],[ID_H]]))</f>
        <v/>
      </c>
      <c r="AM222" s="35">
        <f ca="1">IF(NOTA[[#This Row],[TGL.NOTA]]="",IF(NOTA[[#This Row],[SUPPLIER_H]]="","",AM221),MONTH(NOTA[[#This Row],[TGL.NOTA]]))</f>
        <v>7</v>
      </c>
      <c r="AN222" s="35" t="str">
        <f>LOWER(SUBSTITUTE(SUBSTITUTE(SUBSTITUTE(SUBSTITUTE(SUBSTITUTE(SUBSTITUTE(SUBSTITUTE(SUBSTITUTE(SUBSTITUTE(NOTA[[#This Row],[NAMA BARANG]]," ",),".",""),"-",""),"(",""),")",""),",",""),"/",""),"""",""),"+",""))</f>
        <v>pensil2bkayagikypf3058</v>
      </c>
      <c r="AO2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pensil2bkayagikypf30582772000</v>
      </c>
      <c r="AP2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pensil2bkayagikypf30582772000</v>
      </c>
      <c r="AQ2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2" s="35">
        <f>IF(NOTA[[#This Row],[CONCAT1]]="","",MATCH(NOTA[[#This Row],[CONCAT1]],[3]!db[NB NOTA_C],0))</f>
        <v>2673</v>
      </c>
      <c r="AS222" s="35" t="b">
        <f>IF(NOTA[[#This Row],[Column5]]="","",TRUE)</f>
        <v>1</v>
      </c>
      <c r="AT222" s="35" t="str">
        <f ca="1">IF(NOTA[[#This Row],[ID_H]]="","",IF(NOTA[[#This Row],[Column3]]=TRUE,NOTA[[#This Row],[Column5]],INDEX([3]!db[QTY/ CTN],NOTA[[#This Row],[//DB]])))</f>
        <v>360 LSN</v>
      </c>
      <c r="AU2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pensil2bkayagikypf3058360lsnuntana</v>
      </c>
      <c r="AV222" s="35">
        <f ca="1">IF(NOTA[[#This Row],[ID_H]]="","",MATCH(NOTA[[#This Row],[NB NOTA_C_QTY]],[3]!db[NB NOTA_C_QTY+F],0))</f>
        <v>2673</v>
      </c>
      <c r="AW222" s="43">
        <f ca="1">IF(NOTA[[#This Row],[NB NOTA_C_QTY]]="","",ROW()-2)</f>
        <v>220</v>
      </c>
    </row>
    <row r="223" spans="1:49" ht="20.100000000000001" customHeight="1">
      <c r="A2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5">
        <f ca="1">IF(NOTA[[#This Row],[NAMA BARANG]]="","",INDEX(NOTA[ID],MATCH(,INDIRECT(ADDRESS(ROW(NOTA[ID]),COLUMN(NOTA[ID]))&amp;":"&amp;ADDRESS(ROW(),COLUMN(NOTA[ID]))),-1)))</f>
        <v>56</v>
      </c>
      <c r="C223" s="45"/>
      <c r="F223" s="46"/>
      <c r="G223" s="35"/>
      <c r="H223" s="36"/>
      <c r="I223" s="35"/>
      <c r="J223" s="50" t="s">
        <v>407</v>
      </c>
      <c r="K223" s="37">
        <v>1</v>
      </c>
      <c r="L223" s="35">
        <v>1</v>
      </c>
      <c r="M223" s="35" t="s">
        <v>51</v>
      </c>
      <c r="N223" s="38"/>
      <c r="O223" s="39"/>
      <c r="P223" s="47" t="s">
        <v>408</v>
      </c>
      <c r="Q223" s="48"/>
      <c r="R223" s="41"/>
      <c r="T223" s="42"/>
      <c r="U223" s="44" t="s">
        <v>71</v>
      </c>
      <c r="V223" s="42" t="str">
        <f>IF(NOTA[[#This Row],[HARGA/ CTN]]="",NOTA[[#This Row],[JUMLAH_H]],NOTA[[#This Row],[HARGA/ CTN]]*IF(NOTA[[#This Row],[C]]="",0,NOTA[[#This Row],[C]]))</f>
        <v/>
      </c>
      <c r="W223" s="42" t="str">
        <f>IF(NOTA[[#This Row],[JUMLAH]]="","",NOTA[[#This Row],[JUMLAH]]*NOTA[[#This Row],[Column6]])</f>
        <v/>
      </c>
      <c r="X223" s="42" t="str">
        <f>IF(NOTA[[#This Row],[JUMLAH]]="","",(NOTA[[#This Row],[JUMLAH]]-NOTA[[#This Row],[DISC 1-]])*NOTA[[#This Row],[Column7]])</f>
        <v/>
      </c>
      <c r="Y223" s="42" t="str">
        <f>IF(NOTA[[#This Row],[JUMLAH]]="","",(NOTA[[#This Row],[JUMLAH]]-NOTA[[#This Row],[DISC 1-]]-NOTA[[#This Row],[DISC 2-]])*NOTA[[#This Row],[Column8]])</f>
        <v/>
      </c>
      <c r="Z223" s="42" t="str">
        <f>IF(NOTA[[#This Row],[JUMLAH]]="","",NOTA[[#This Row],[DISC 1-]]+NOTA[[#This Row],[DISC 2-]]+NOTA[[#This Row],[DISC 3-]])</f>
        <v/>
      </c>
      <c r="AA223" s="42" t="str">
        <f>IF(NOTA[[#This Row],[JUMLAH]]="","",NOTA[[#This Row],[JUMLAH]]-NOTA[[#This Row],[DISC]])</f>
        <v/>
      </c>
      <c r="AB223" s="42"/>
      <c r="AC22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27720000</v>
      </c>
      <c r="AE223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23" s="42" t="str">
        <f>IF(OR(NOTA[[#This Row],[QTY]]="",NOTA[[#This Row],[HARGA SATUAN]]="",),"",NOTA[[#This Row],[QTY]]*NOTA[[#This Row],[HARGA SATUAN]])</f>
        <v/>
      </c>
      <c r="AG223" s="36">
        <f ca="1">IF(NOTA[[#This Row],[ID_H]]="","",INDEX(NOTA[TANGGAL],MATCH(,INDIRECT(ADDRESS(ROW(NOTA[TANGGAL]),COLUMN(NOTA[TANGGAL]))&amp;":"&amp;ADDRESS(ROW(),COLUMN(NOTA[TANGGAL]))),-1)))</f>
        <v>45495</v>
      </c>
      <c r="AH223" s="36">
        <f ca="1">IF(NOTA[[#This Row],[ID_H]]="","",INDEX(NOTA[TGL.NOTA],MATCH(,INDIRECT(ADDRESS(ROW(NOTA[TGL.NOTA]),COLUMN(NOTA[TGL.NOTA]))&amp;":"&amp;ADDRESS(ROW(),COLUMN(NOTA[TGL.NOTA]))),-1)))</f>
        <v>45492</v>
      </c>
      <c r="AI223" s="36" t="str">
        <f ca="1">IF(NOTA[[#This Row],[ID_H]]="","",INDEX(NOTA[NO.NOTA],MATCH(NOTA[[#This Row],[ID_H]],NOTA[ID_H],0)))</f>
        <v>JUG481/24</v>
      </c>
      <c r="AJ223" s="38" t="str">
        <f ca="1">IF(NOTA[[#This Row],[NAMA BARANG]]="","",INDEX(NOTA[SUPPLIER],MATCH(,INDIRECT(ADDRESS(ROW(NOTA[ID]),COLUMN(NOTA[ID]))&amp;":"&amp;ADDRESS(ROW(),COLUMN(NOTA[ID]))),-1)))</f>
        <v>DB STATIONERY</v>
      </c>
      <c r="AK223" s="38" t="str">
        <f ca="1">IF(NOTA[[#This Row],[ID_H]]="","",IF(NOTA[[#This Row],[FAKTUR]]="",INDIRECT(ADDRESS(ROW()-1,COLUMN())),NOTA[[#This Row],[FAKTUR]]))</f>
        <v>UNTANA</v>
      </c>
      <c r="AL223" s="35" t="str">
        <f ca="1">IF(NOTA[[#This Row],[ID]]="","",COUNTIF(NOTA[ID_H],NOTA[[#This Row],[ID_H]]))</f>
        <v/>
      </c>
      <c r="AM223" s="35">
        <f ca="1">IF(NOTA[[#This Row],[TGL.NOTA]]="",IF(NOTA[[#This Row],[SUPPLIER_H]]="","",AM222),MONTH(NOTA[[#This Row],[TGL.NOTA]]))</f>
        <v>7</v>
      </c>
      <c r="AN223" s="35" t="str">
        <f>LOWER(SUBSTITUTE(SUBSTITUTE(SUBSTITUTE(SUBSTITUTE(SUBSTITUTE(SUBSTITUTE(SUBSTITUTE(SUBSTITUTE(SUBSTITUTE(NOTA[[#This Row],[NAMA BARANG]]," ",),".",""),"-",""),"(",""),")",""),",",""),"/",""),"""",""),"+",""))</f>
        <v>tascabinelpidahijauepcb007hj</v>
      </c>
      <c r="AO2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tascabinelpidahijauepcb007hj0</v>
      </c>
      <c r="AP2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tascabinelpidahijauepcb007hj0</v>
      </c>
      <c r="AQ2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3" s="35">
        <f>IF(NOTA[[#This Row],[CONCAT1]]="","",MATCH(NOTA[[#This Row],[CONCAT1]],[3]!db[NB NOTA_C],0))</f>
        <v>3025</v>
      </c>
      <c r="AS223" s="35" t="b">
        <f>IF(NOTA[[#This Row],[Column5]]="","",TRUE)</f>
        <v>1</v>
      </c>
      <c r="AT223" s="35" t="str">
        <f ca="1">IF(NOTA[[#This Row],[ID_H]]="","",IF(NOTA[[#This Row],[Column3]]=TRUE,NOTA[[#This Row],[Column5]],INDEX([3]!db[QTY/ CTN],NOTA[[#This Row],[//DB]])))</f>
        <v>1 PCS</v>
      </c>
      <c r="AU2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tascabinelpidahijauepcb007hj1pcsuntana</v>
      </c>
      <c r="AV223" s="35">
        <f ca="1">IF(NOTA[[#This Row],[ID_H]]="","",MATCH(NOTA[[#This Row],[NB NOTA_C_QTY]],[3]!db[NB NOTA_C_QTY+F],0))</f>
        <v>3025</v>
      </c>
      <c r="AW223" s="43">
        <f ca="1">IF(NOTA[[#This Row],[NB NOTA_C_QTY]]="","",ROW()-2)</f>
        <v>221</v>
      </c>
    </row>
    <row r="224" spans="1:49" ht="20.100000000000001" customHeight="1">
      <c r="A2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5" t="str">
        <f ca="1">IF(NOTA[[#This Row],[NAMA BARANG]]="","",INDEX(NOTA[ID],MATCH(,INDIRECT(ADDRESS(ROW(NOTA[ID]),COLUMN(NOTA[ID]))&amp;":"&amp;ADDRESS(ROW(),COLUMN(NOTA[ID]))),-1)))</f>
        <v/>
      </c>
      <c r="C224" s="45"/>
      <c r="F224" s="46"/>
      <c r="G224" s="35"/>
      <c r="H224" s="36"/>
      <c r="I224" s="35"/>
      <c r="J224" s="50"/>
      <c r="K224" s="37"/>
      <c r="L224" s="35"/>
      <c r="N224" s="38"/>
      <c r="O224" s="39"/>
      <c r="P224" s="47"/>
      <c r="Q224" s="48"/>
      <c r="R224" s="41"/>
      <c r="T224" s="42"/>
      <c r="U224" s="44"/>
      <c r="V224" s="42" t="str">
        <f>IF(NOTA[[#This Row],[HARGA/ CTN]]="",NOTA[[#This Row],[JUMLAH_H]],NOTA[[#This Row],[HARGA/ CTN]]*IF(NOTA[[#This Row],[C]]="",0,NOTA[[#This Row],[C]]))</f>
        <v/>
      </c>
      <c r="W224" s="42" t="str">
        <f>IF(NOTA[[#This Row],[JUMLAH]]="","",NOTA[[#This Row],[JUMLAH]]*NOTA[[#This Row],[Column6]])</f>
        <v/>
      </c>
      <c r="X224" s="42" t="str">
        <f>IF(NOTA[[#This Row],[JUMLAH]]="","",(NOTA[[#This Row],[JUMLAH]]-NOTA[[#This Row],[DISC 1-]])*NOTA[[#This Row],[Column7]])</f>
        <v/>
      </c>
      <c r="Y224" s="42" t="str">
        <f>IF(NOTA[[#This Row],[JUMLAH]]="","",(NOTA[[#This Row],[JUMLAH]]-NOTA[[#This Row],[DISC 1-]]-NOTA[[#This Row],[DISC 2-]])*NOTA[[#This Row],[Column8]])</f>
        <v/>
      </c>
      <c r="Z224" s="42" t="str">
        <f>IF(NOTA[[#This Row],[JUMLAH]]="","",NOTA[[#This Row],[DISC 1-]]+NOTA[[#This Row],[DISC 2-]]+NOTA[[#This Row],[DISC 3-]])</f>
        <v/>
      </c>
      <c r="AA224" s="42" t="str">
        <f>IF(NOTA[[#This Row],[JUMLAH]]="","",NOTA[[#This Row],[JUMLAH]]-NOTA[[#This Row],[DISC]])</f>
        <v/>
      </c>
      <c r="AB224" s="42"/>
      <c r="AC2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42" t="str">
        <f>IF(OR(NOTA[[#This Row],[QTY]]="",NOTA[[#This Row],[HARGA SATUAN]]="",),"",NOTA[[#This Row],[QTY]]*NOTA[[#This Row],[HARGA SATUAN]])</f>
        <v/>
      </c>
      <c r="AG224" s="36" t="str">
        <f ca="1">IF(NOTA[[#This Row],[ID_H]]="","",INDEX(NOTA[TANGGAL],MATCH(,INDIRECT(ADDRESS(ROW(NOTA[TANGGAL]),COLUMN(NOTA[TANGGAL]))&amp;":"&amp;ADDRESS(ROW(),COLUMN(NOTA[TANGGAL]))),-1)))</f>
        <v/>
      </c>
      <c r="AH224" s="36" t="str">
        <f ca="1">IF(NOTA[[#This Row],[ID_H]]="","",INDEX(NOTA[TGL.NOTA],MATCH(,INDIRECT(ADDRESS(ROW(NOTA[TGL.NOTA]),COLUMN(NOTA[TGL.NOTA]))&amp;":"&amp;ADDRESS(ROW(),COLUMN(NOTA[TGL.NOTA]))),-1)))</f>
        <v/>
      </c>
      <c r="AI224" s="36" t="str">
        <f ca="1">IF(NOTA[[#This Row],[ID_H]]="","",INDEX(NOTA[NO.NOTA],MATCH(NOTA[[#This Row],[ID_H]],NOTA[ID_H],0)))</f>
        <v/>
      </c>
      <c r="AJ224" s="38" t="str">
        <f ca="1">IF(NOTA[[#This Row],[NAMA BARANG]]="","",INDEX(NOTA[SUPPLIER],MATCH(,INDIRECT(ADDRESS(ROW(NOTA[ID]),COLUMN(NOTA[ID]))&amp;":"&amp;ADDRESS(ROW(),COLUMN(NOTA[ID]))),-1)))</f>
        <v/>
      </c>
      <c r="AK224" s="38" t="str">
        <f ca="1">IF(NOTA[[#This Row],[ID_H]]="","",IF(NOTA[[#This Row],[FAKTUR]]="",INDIRECT(ADDRESS(ROW()-1,COLUMN())),NOTA[[#This Row],[FAKTUR]]))</f>
        <v/>
      </c>
      <c r="AL224" s="35" t="str">
        <f ca="1">IF(NOTA[[#This Row],[ID]]="","",COUNTIF(NOTA[ID_H],NOTA[[#This Row],[ID_H]]))</f>
        <v/>
      </c>
      <c r="AM224" s="35" t="str">
        <f ca="1">IF(NOTA[[#This Row],[TGL.NOTA]]="",IF(NOTA[[#This Row],[SUPPLIER_H]]="","",AM223),MONTH(NOTA[[#This Row],[TGL.NOTA]]))</f>
        <v/>
      </c>
      <c r="AN2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4" s="35" t="str">
        <f>IF(NOTA[[#This Row],[CONCAT1]]="","",MATCH(NOTA[[#This Row],[CONCAT1]],[3]!db[NB NOTA_C],0))</f>
        <v/>
      </c>
      <c r="AS224" s="35" t="str">
        <f>IF(NOTA[[#This Row],[Column5]]="","",TRUE)</f>
        <v/>
      </c>
      <c r="AT224" s="35" t="str">
        <f ca="1">IF(NOTA[[#This Row],[ID_H]]="","",IF(NOTA[[#This Row],[Column3]]=TRUE,NOTA[[#This Row],[Column5]],INDEX([3]!db[QTY/ CTN],NOTA[[#This Row],[//DB]])))</f>
        <v/>
      </c>
      <c r="AU2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4" s="35" t="str">
        <f ca="1">IF(NOTA[[#This Row],[ID_H]]="","",MATCH(NOTA[[#This Row],[NB NOTA_C_QTY]],[3]!db[NB NOTA_C_QTY+F],0))</f>
        <v/>
      </c>
      <c r="AW224" s="43" t="str">
        <f ca="1">IF(NOTA[[#This Row],[NB NOTA_C_QTY]]="","",ROW()-2)</f>
        <v/>
      </c>
    </row>
    <row r="225" spans="1:49" ht="20.100000000000001" customHeight="1">
      <c r="A225" s="38">
        <f ca="1">IF(INDIRECT(ADDRESS(ROW()-1,COLUMN(NOTA[[#Headers],[ID]])))="ID",1,IF(NOTA[[#This Row],[FAKTUR]]="","",COUNT(INDIRECT(ADDRESS(ROW(NOTA[ID]),COLUMN(NOTA[ID]))&amp;":"&amp;ADDRESS(ROW()-1,COLUMN(NOTA[ID]))))+1))</f>
        <v>57</v>
      </c>
      <c r="B225" s="35">
        <f ca="1">IF(NOTA[[#This Row],[NAMA BARANG]]="","",INDEX(NOTA[ID],MATCH(,INDIRECT(ADDRESS(ROW(NOTA[ID]),COLUMN(NOTA[ID]))&amp;":"&amp;ADDRESS(ROW(),COLUMN(NOTA[ID]))),-1)))</f>
        <v>57</v>
      </c>
      <c r="C225" s="45">
        <v>45496</v>
      </c>
      <c r="D225" s="35" t="s">
        <v>409</v>
      </c>
      <c r="E225" s="35" t="s">
        <v>49</v>
      </c>
      <c r="F225" s="46"/>
      <c r="G225" s="35"/>
      <c r="H225" s="36">
        <v>45493</v>
      </c>
      <c r="I225" s="35"/>
      <c r="J225" s="50" t="s">
        <v>410</v>
      </c>
      <c r="K225" s="37">
        <v>1</v>
      </c>
      <c r="L225" s="35">
        <v>10</v>
      </c>
      <c r="M225" s="35" t="s">
        <v>51</v>
      </c>
      <c r="N225" s="38">
        <v>36000</v>
      </c>
      <c r="O225" s="39"/>
      <c r="P225" s="47" t="s">
        <v>341</v>
      </c>
      <c r="Q225" s="48"/>
      <c r="R225" s="41"/>
      <c r="T225" s="42"/>
      <c r="U225" s="44"/>
      <c r="V225" s="42">
        <f>IF(NOTA[[#This Row],[HARGA/ CTN]]="",NOTA[[#This Row],[JUMLAH_H]],NOTA[[#This Row],[HARGA/ CTN]]*IF(NOTA[[#This Row],[C]]="",0,NOTA[[#This Row],[C]]))</f>
        <v>360000</v>
      </c>
      <c r="W225" s="42">
        <f>IF(NOTA[[#This Row],[JUMLAH]]="","",NOTA[[#This Row],[JUMLAH]]*NOTA[[#This Row],[Column6]])</f>
        <v>0</v>
      </c>
      <c r="X225" s="42">
        <f>IF(NOTA[[#This Row],[JUMLAH]]="","",(NOTA[[#This Row],[JUMLAH]]-NOTA[[#This Row],[DISC 1-]])*NOTA[[#This Row],[Column7]])</f>
        <v>0</v>
      </c>
      <c r="Y225" s="42">
        <f>IF(NOTA[[#This Row],[JUMLAH]]="","",(NOTA[[#This Row],[JUMLAH]]-NOTA[[#This Row],[DISC 1-]]-NOTA[[#This Row],[DISC 2-]])*NOTA[[#This Row],[Column8]])</f>
        <v>0</v>
      </c>
      <c r="Z225" s="42">
        <f>IF(NOTA[[#This Row],[JUMLAH]]="","",NOTA[[#This Row],[DISC 1-]]+NOTA[[#This Row],[DISC 2-]]+NOTA[[#This Row],[DISC 3-]])</f>
        <v>0</v>
      </c>
      <c r="AA225" s="42">
        <f>IF(NOTA[[#This Row],[JUMLAH]]="","",NOTA[[#This Row],[JUMLAH]]-NOTA[[#This Row],[DISC]])</f>
        <v>360000</v>
      </c>
      <c r="AB225" s="42"/>
      <c r="AC22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5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360000</v>
      </c>
      <c r="AE225" s="38">
        <f>IF(NOTA[[#This Row],[NAMA BARANG]]="","",IF(NOTA[[#This Row],[JUMLAH_H]]="",NOTA[[#This Row],[HARGA/ CTN]],NOTA[[#This Row],[QTY]]*NOTA[[#This Row],[HARGA SATUAN]]/IF(ISNUMBER(NOTA[[#This Row],[C]]),NOTA[[#This Row],[C]],1)))</f>
        <v>360000</v>
      </c>
      <c r="AF225" s="42">
        <f>IF(OR(NOTA[[#This Row],[QTY]]="",NOTA[[#This Row],[HARGA SATUAN]]="",),"",NOTA[[#This Row],[QTY]]*NOTA[[#This Row],[HARGA SATUAN]])</f>
        <v>360000</v>
      </c>
      <c r="AG225" s="36">
        <f ca="1">IF(NOTA[[#This Row],[ID_H]]="","",INDEX(NOTA[TANGGAL],MATCH(,INDIRECT(ADDRESS(ROW(NOTA[TANGGAL]),COLUMN(NOTA[TANGGAL]))&amp;":"&amp;ADDRESS(ROW(),COLUMN(NOTA[TANGGAL]))),-1)))</f>
        <v>45496</v>
      </c>
      <c r="AH225" s="36">
        <f ca="1">IF(NOTA[[#This Row],[ID_H]]="","",INDEX(NOTA[TGL.NOTA],MATCH(,INDIRECT(ADDRESS(ROW(NOTA[TGL.NOTA]),COLUMN(NOTA[TGL.NOTA]))&amp;":"&amp;ADDRESS(ROW(),COLUMN(NOTA[TGL.NOTA]))),-1)))</f>
        <v>45493</v>
      </c>
      <c r="AI225" s="36">
        <f ca="1">IF(NOTA[[#This Row],[ID_H]]="","",INDEX(NOTA[NO.NOTA],MATCH(NOTA[[#This Row],[ID_H]],NOTA[ID_H],0)))</f>
        <v>0</v>
      </c>
      <c r="AJ225" s="38" t="str">
        <f ca="1">IF(NOTA[[#This Row],[NAMA BARANG]]="","",INDEX(NOTA[SUPPLIER],MATCH(,INDIRECT(ADDRESS(ROW(NOTA[ID]),COLUMN(NOTA[ID]))&amp;":"&amp;ADDRESS(ROW(),COLUMN(NOTA[ID]))),-1)))</f>
        <v>SAPUTRO OFFICE</v>
      </c>
      <c r="AK225" s="38" t="str">
        <f ca="1">IF(NOTA[[#This Row],[ID_H]]="","",IF(NOTA[[#This Row],[FAKTUR]]="",INDIRECT(ADDRESS(ROW()-1,COLUMN())),NOTA[[#This Row],[FAKTUR]]))</f>
        <v>UNTANA</v>
      </c>
      <c r="AL225" s="35">
        <f ca="1">IF(NOTA[[#This Row],[ID]]="","",COUNTIF(NOTA[ID_H],NOTA[[#This Row],[ID_H]]))</f>
        <v>1</v>
      </c>
      <c r="AM225" s="35">
        <f>IF(NOTA[[#This Row],[TGL.NOTA]]="",IF(NOTA[[#This Row],[SUPPLIER_H]]="","",AM224),MONTH(NOTA[[#This Row],[TGL.NOTA]]))</f>
        <v>7</v>
      </c>
      <c r="AN225" s="35" t="str">
        <f>LOWER(SUBSTITUTE(SUBSTITUTE(SUBSTITUTE(SUBSTITUTE(SUBSTITUTE(SUBSTITUTE(SUBSTITUTE(SUBSTITUTE(SUBSTITUTE(NOTA[[#This Row],[NAMA BARANG]]," ",),".",""),"-",""),"(",""),")",""),",",""),"/",""),"""",""),"+",""))</f>
        <v>mejaipadimportjumbokarakter</v>
      </c>
      <c r="AO2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mejaipadimportjumbokarakter360000</v>
      </c>
      <c r="AP2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mejaipadimportjumbokarakter360000</v>
      </c>
      <c r="AQ225" s="35" t="str">
        <f>IF(NOTA[[#This Row],[SUPPLIER]]="","",NOTA[[#This Row],[SUPPLIER]]&amp;NOTA[[#This Row],[FAKTUR]]&amp;NOTA[[#This Row],[NO.NOTA]]&amp;NOTA[[#This Row],[NO.SJ]]&amp;NOTA[[#This Row],[TGL.NOTA]]&amp;NOTA[[#This Row],[CONCAT1]])</f>
        <v>SAPUTRO OFFICEUNTANA45493mejaipadimportjumbokarakter</v>
      </c>
      <c r="AR225" s="35">
        <f>IF(NOTA[[#This Row],[CONCAT1]]="","",MATCH(NOTA[[#This Row],[CONCAT1]],[3]!db[NB NOTA_C],0))</f>
        <v>2147</v>
      </c>
      <c r="AS225" s="35" t="b">
        <f>IF(NOTA[[#This Row],[Column5]]="","",TRUE)</f>
        <v>1</v>
      </c>
      <c r="AT225" s="35" t="str">
        <f ca="1">IF(NOTA[[#This Row],[ID_H]]="","",IF(NOTA[[#This Row],[Column3]]=TRUE,NOTA[[#This Row],[Column5]],INDEX([3]!db[QTY/ CTN],NOTA[[#This Row],[//DB]])))</f>
        <v>10 PCS</v>
      </c>
      <c r="AU2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V225" s="35">
        <f ca="1">IF(NOTA[[#This Row],[ID_H]]="","",MATCH(NOTA[[#This Row],[NB NOTA_C_QTY]],[3]!db[NB NOTA_C_QTY+F],0))</f>
        <v>2147</v>
      </c>
      <c r="AW225" s="43">
        <f ca="1">IF(NOTA[[#This Row],[NB NOTA_C_QTY]]="","",ROW()-2)</f>
        <v>223</v>
      </c>
    </row>
    <row r="226" spans="1:49" ht="20.100000000000001" customHeight="1">
      <c r="A2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5" t="str">
        <f ca="1">IF(NOTA[[#This Row],[NAMA BARANG]]="","",INDEX(NOTA[ID],MATCH(,INDIRECT(ADDRESS(ROW(NOTA[ID]),COLUMN(NOTA[ID]))&amp;":"&amp;ADDRESS(ROW(),COLUMN(NOTA[ID]))),-1)))</f>
        <v/>
      </c>
      <c r="C226" s="45"/>
      <c r="F226" s="46"/>
      <c r="G226" s="35"/>
      <c r="H226" s="36"/>
      <c r="I226" s="35"/>
      <c r="J226" s="50"/>
      <c r="K226" s="37"/>
      <c r="L226" s="35"/>
      <c r="N226" s="38"/>
      <c r="O226" s="39"/>
      <c r="P226" s="47"/>
      <c r="Q226" s="48"/>
      <c r="R226" s="41"/>
      <c r="T226" s="42"/>
      <c r="U226" s="44"/>
      <c r="V226" s="42" t="str">
        <f>IF(NOTA[[#This Row],[HARGA/ CTN]]="",NOTA[[#This Row],[JUMLAH_H]],NOTA[[#This Row],[HARGA/ CTN]]*IF(NOTA[[#This Row],[C]]="",0,NOTA[[#This Row],[C]]))</f>
        <v/>
      </c>
      <c r="W226" s="42" t="str">
        <f>IF(NOTA[[#This Row],[JUMLAH]]="","",NOTA[[#This Row],[JUMLAH]]*NOTA[[#This Row],[Column6]])</f>
        <v/>
      </c>
      <c r="X226" s="42" t="str">
        <f>IF(NOTA[[#This Row],[JUMLAH]]="","",(NOTA[[#This Row],[JUMLAH]]-NOTA[[#This Row],[DISC 1-]])*NOTA[[#This Row],[Column7]])</f>
        <v/>
      </c>
      <c r="Y226" s="42" t="str">
        <f>IF(NOTA[[#This Row],[JUMLAH]]="","",(NOTA[[#This Row],[JUMLAH]]-NOTA[[#This Row],[DISC 1-]]-NOTA[[#This Row],[DISC 2-]])*NOTA[[#This Row],[Column8]])</f>
        <v/>
      </c>
      <c r="Z226" s="42" t="str">
        <f>IF(NOTA[[#This Row],[JUMLAH]]="","",NOTA[[#This Row],[DISC 1-]]+NOTA[[#This Row],[DISC 2-]]+NOTA[[#This Row],[DISC 3-]])</f>
        <v/>
      </c>
      <c r="AA226" s="42" t="str">
        <f>IF(NOTA[[#This Row],[JUMLAH]]="","",NOTA[[#This Row],[JUMLAH]]-NOTA[[#This Row],[DISC]])</f>
        <v/>
      </c>
      <c r="AB226" s="42"/>
      <c r="AC2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6" s="42" t="str">
        <f>IF(OR(NOTA[[#This Row],[QTY]]="",NOTA[[#This Row],[HARGA SATUAN]]="",),"",NOTA[[#This Row],[QTY]]*NOTA[[#This Row],[HARGA SATUAN]])</f>
        <v/>
      </c>
      <c r="AG226" s="36" t="str">
        <f ca="1">IF(NOTA[[#This Row],[ID_H]]="","",INDEX(NOTA[TANGGAL],MATCH(,INDIRECT(ADDRESS(ROW(NOTA[TANGGAL]),COLUMN(NOTA[TANGGAL]))&amp;":"&amp;ADDRESS(ROW(),COLUMN(NOTA[TANGGAL]))),-1)))</f>
        <v/>
      </c>
      <c r="AH226" s="36" t="str">
        <f ca="1">IF(NOTA[[#This Row],[ID_H]]="","",INDEX(NOTA[TGL.NOTA],MATCH(,INDIRECT(ADDRESS(ROW(NOTA[TGL.NOTA]),COLUMN(NOTA[TGL.NOTA]))&amp;":"&amp;ADDRESS(ROW(),COLUMN(NOTA[TGL.NOTA]))),-1)))</f>
        <v/>
      </c>
      <c r="AI226" s="36" t="str">
        <f ca="1">IF(NOTA[[#This Row],[ID_H]]="","",INDEX(NOTA[NO.NOTA],MATCH(NOTA[[#This Row],[ID_H]],NOTA[ID_H],0)))</f>
        <v/>
      </c>
      <c r="AJ226" s="38" t="str">
        <f ca="1">IF(NOTA[[#This Row],[NAMA BARANG]]="","",INDEX(NOTA[SUPPLIER],MATCH(,INDIRECT(ADDRESS(ROW(NOTA[ID]),COLUMN(NOTA[ID]))&amp;":"&amp;ADDRESS(ROW(),COLUMN(NOTA[ID]))),-1)))</f>
        <v/>
      </c>
      <c r="AK226" s="38" t="str">
        <f ca="1">IF(NOTA[[#This Row],[ID_H]]="","",IF(NOTA[[#This Row],[FAKTUR]]="",INDIRECT(ADDRESS(ROW()-1,COLUMN())),NOTA[[#This Row],[FAKTUR]]))</f>
        <v/>
      </c>
      <c r="AL226" s="35" t="str">
        <f ca="1">IF(NOTA[[#This Row],[ID]]="","",COUNTIF(NOTA[ID_H],NOTA[[#This Row],[ID_H]]))</f>
        <v/>
      </c>
      <c r="AM226" s="35" t="str">
        <f ca="1">IF(NOTA[[#This Row],[TGL.NOTA]]="",IF(NOTA[[#This Row],[SUPPLIER_H]]="","",AM225),MONTH(NOTA[[#This Row],[TGL.NOTA]]))</f>
        <v/>
      </c>
      <c r="AN2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6" s="35" t="str">
        <f>IF(NOTA[[#This Row],[CONCAT1]]="","",MATCH(NOTA[[#This Row],[CONCAT1]],[3]!db[NB NOTA_C],0))</f>
        <v/>
      </c>
      <c r="AS226" s="35" t="str">
        <f>IF(NOTA[[#This Row],[Column5]]="","",TRUE)</f>
        <v/>
      </c>
      <c r="AT226" s="35" t="str">
        <f ca="1">IF(NOTA[[#This Row],[ID_H]]="","",IF(NOTA[[#This Row],[Column3]]=TRUE,NOTA[[#This Row],[Column5]],INDEX([3]!db[QTY/ CTN],NOTA[[#This Row],[//DB]])))</f>
        <v/>
      </c>
      <c r="AU2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6" s="35" t="str">
        <f ca="1">IF(NOTA[[#This Row],[ID_H]]="","",MATCH(NOTA[[#This Row],[NB NOTA_C_QTY]],[3]!db[NB NOTA_C_QTY+F],0))</f>
        <v/>
      </c>
      <c r="AW226" s="43" t="str">
        <f ca="1">IF(NOTA[[#This Row],[NB NOTA_C_QTY]]="","",ROW()-2)</f>
        <v/>
      </c>
    </row>
    <row r="227" spans="1:49" ht="20.100000000000001" customHeight="1">
      <c r="A227" s="38">
        <f ca="1">IF(INDIRECT(ADDRESS(ROW()-1,COLUMN(NOTA[[#Headers],[ID]])))="ID",1,IF(NOTA[[#This Row],[FAKTUR]]="","",COUNT(INDIRECT(ADDRESS(ROW(NOTA[ID]),COLUMN(NOTA[ID]))&amp;":"&amp;ADDRESS(ROW()-1,COLUMN(NOTA[ID]))))+1))</f>
        <v>58</v>
      </c>
      <c r="B227" s="35">
        <f ca="1">IF(NOTA[[#This Row],[NAMA BARANG]]="","",INDEX(NOTA[ID],MATCH(,INDIRECT(ADDRESS(ROW(NOTA[ID]),COLUMN(NOTA[ID]))&amp;":"&amp;ADDRESS(ROW(),COLUMN(NOTA[ID]))),-1)))</f>
        <v>58</v>
      </c>
      <c r="C227" s="45"/>
      <c r="D227" s="35" t="s">
        <v>409</v>
      </c>
      <c r="E227" s="35" t="s">
        <v>49</v>
      </c>
      <c r="F227" s="46" t="s">
        <v>411</v>
      </c>
      <c r="G227" s="35"/>
      <c r="H227" s="36">
        <v>45490</v>
      </c>
      <c r="I227" s="35"/>
      <c r="J227" s="50" t="s">
        <v>410</v>
      </c>
      <c r="K227" s="37">
        <v>50</v>
      </c>
      <c r="L227" s="35">
        <v>500</v>
      </c>
      <c r="M227" s="35" t="s">
        <v>51</v>
      </c>
      <c r="N227" s="38">
        <v>36000</v>
      </c>
      <c r="O227" s="39"/>
      <c r="P227" s="47" t="s">
        <v>341</v>
      </c>
      <c r="Q227" s="48"/>
      <c r="R227" s="41"/>
      <c r="T227" s="42"/>
      <c r="U227" s="44"/>
      <c r="V227" s="42">
        <f>IF(NOTA[[#This Row],[HARGA/ CTN]]="",NOTA[[#This Row],[JUMLAH_H]],NOTA[[#This Row],[HARGA/ CTN]]*IF(NOTA[[#This Row],[C]]="",0,NOTA[[#This Row],[C]]))</f>
        <v>18000000</v>
      </c>
      <c r="W227" s="42">
        <f>IF(NOTA[[#This Row],[JUMLAH]]="","",NOTA[[#This Row],[JUMLAH]]*NOTA[[#This Row],[Column6]])</f>
        <v>0</v>
      </c>
      <c r="X227" s="42">
        <f>IF(NOTA[[#This Row],[JUMLAH]]="","",(NOTA[[#This Row],[JUMLAH]]-NOTA[[#This Row],[DISC 1-]])*NOTA[[#This Row],[Column7]])</f>
        <v>0</v>
      </c>
      <c r="Y227" s="42">
        <f>IF(NOTA[[#This Row],[JUMLAH]]="","",(NOTA[[#This Row],[JUMLAH]]-NOTA[[#This Row],[DISC 1-]]-NOTA[[#This Row],[DISC 2-]])*NOTA[[#This Row],[Column8]])</f>
        <v>0</v>
      </c>
      <c r="Z227" s="42">
        <f>IF(NOTA[[#This Row],[JUMLAH]]="","",NOTA[[#This Row],[DISC 1-]]+NOTA[[#This Row],[DISC 2-]]+NOTA[[#This Row],[DISC 3-]])</f>
        <v>0</v>
      </c>
      <c r="AA227" s="42">
        <f>IF(NOTA[[#This Row],[JUMLAH]]="","",NOTA[[#This Row],[JUMLAH]]-NOTA[[#This Row],[DISC]])</f>
        <v>18000000</v>
      </c>
      <c r="AB227" s="42"/>
      <c r="AC22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2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18000000</v>
      </c>
      <c r="AE227" s="38">
        <f>IF(NOTA[[#This Row],[NAMA BARANG]]="","",IF(NOTA[[#This Row],[JUMLAH_H]]="",NOTA[[#This Row],[HARGA/ CTN]],NOTA[[#This Row],[QTY]]*NOTA[[#This Row],[HARGA SATUAN]]/IF(ISNUMBER(NOTA[[#This Row],[C]]),NOTA[[#This Row],[C]],1)))</f>
        <v>360000</v>
      </c>
      <c r="AF227" s="42">
        <f>IF(OR(NOTA[[#This Row],[QTY]]="",NOTA[[#This Row],[HARGA SATUAN]]="",),"",NOTA[[#This Row],[QTY]]*NOTA[[#This Row],[HARGA SATUAN]])</f>
        <v>18000000</v>
      </c>
      <c r="AG227" s="36">
        <f ca="1">IF(NOTA[[#This Row],[ID_H]]="","",INDEX(NOTA[TANGGAL],MATCH(,INDIRECT(ADDRESS(ROW(NOTA[TANGGAL]),COLUMN(NOTA[TANGGAL]))&amp;":"&amp;ADDRESS(ROW(),COLUMN(NOTA[TANGGAL]))),-1)))</f>
        <v>45496</v>
      </c>
      <c r="AH227" s="36">
        <f ca="1">IF(NOTA[[#This Row],[ID_H]]="","",INDEX(NOTA[TGL.NOTA],MATCH(,INDIRECT(ADDRESS(ROW(NOTA[TGL.NOTA]),COLUMN(NOTA[TGL.NOTA]))&amp;":"&amp;ADDRESS(ROW(),COLUMN(NOTA[TGL.NOTA]))),-1)))</f>
        <v>45490</v>
      </c>
      <c r="AI227" s="36" t="str">
        <f ca="1">IF(NOTA[[#This Row],[ID_H]]="","",INDEX(NOTA[NO.NOTA],MATCH(NOTA[[#This Row],[ID_H]],NOTA[ID_H],0)))</f>
        <v>H-1768,INV,SOS</v>
      </c>
      <c r="AJ227" s="38" t="str">
        <f ca="1">IF(NOTA[[#This Row],[NAMA BARANG]]="","",INDEX(NOTA[SUPPLIER],MATCH(,INDIRECT(ADDRESS(ROW(NOTA[ID]),COLUMN(NOTA[ID]))&amp;":"&amp;ADDRESS(ROW(),COLUMN(NOTA[ID]))),-1)))</f>
        <v>SAPUTRO OFFICE</v>
      </c>
      <c r="AK227" s="38" t="str">
        <f ca="1">IF(NOTA[[#This Row],[ID_H]]="","",IF(NOTA[[#This Row],[FAKTUR]]="",INDIRECT(ADDRESS(ROW()-1,COLUMN())),NOTA[[#This Row],[FAKTUR]]))</f>
        <v>UNTANA</v>
      </c>
      <c r="AL227" s="35">
        <f ca="1">IF(NOTA[[#This Row],[ID]]="","",COUNTIF(NOTA[ID_H],NOTA[[#This Row],[ID_H]]))</f>
        <v>1</v>
      </c>
      <c r="AM227" s="35">
        <f>IF(NOTA[[#This Row],[TGL.NOTA]]="",IF(NOTA[[#This Row],[SUPPLIER_H]]="","",AM226),MONTH(NOTA[[#This Row],[TGL.NOTA]]))</f>
        <v>7</v>
      </c>
      <c r="AN227" s="35" t="str">
        <f>LOWER(SUBSTITUTE(SUBSTITUTE(SUBSTITUTE(SUBSTITUTE(SUBSTITUTE(SUBSTITUTE(SUBSTITUTE(SUBSTITUTE(SUBSTITUTE(NOTA[[#This Row],[NAMA BARANG]]," ",),".",""),"-",""),"(",""),")",""),",",""),"/",""),"""",""),"+",""))</f>
        <v>mejaipadimportjumbokarakter</v>
      </c>
      <c r="AO2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mejaipadimportjumbokarakter360000</v>
      </c>
      <c r="AP2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mejaipadimportjumbokarakter360000</v>
      </c>
      <c r="AQ227" s="35" t="str">
        <f>IF(NOTA[[#This Row],[SUPPLIER]]="","",NOTA[[#This Row],[SUPPLIER]]&amp;NOTA[[#This Row],[FAKTUR]]&amp;NOTA[[#This Row],[NO.NOTA]]&amp;NOTA[[#This Row],[NO.SJ]]&amp;NOTA[[#This Row],[TGL.NOTA]]&amp;NOTA[[#This Row],[CONCAT1]])</f>
        <v>SAPUTRO OFFICEUNTANAH-1768,INV,SOS45490mejaipadimportjumbokarakter</v>
      </c>
      <c r="AR227" s="35">
        <f>IF(NOTA[[#This Row],[CONCAT1]]="","",MATCH(NOTA[[#This Row],[CONCAT1]],[3]!db[NB NOTA_C],0))</f>
        <v>2147</v>
      </c>
      <c r="AS227" s="35" t="b">
        <f>IF(NOTA[[#This Row],[Column5]]="","",TRUE)</f>
        <v>1</v>
      </c>
      <c r="AT227" s="35" t="str">
        <f ca="1">IF(NOTA[[#This Row],[ID_H]]="","",IF(NOTA[[#This Row],[Column3]]=TRUE,NOTA[[#This Row],[Column5]],INDEX([3]!db[QTY/ CTN],NOTA[[#This Row],[//DB]])))</f>
        <v>10 PCS</v>
      </c>
      <c r="AU2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V227" s="35">
        <f ca="1">IF(NOTA[[#This Row],[ID_H]]="","",MATCH(NOTA[[#This Row],[NB NOTA_C_QTY]],[3]!db[NB NOTA_C_QTY+F],0))</f>
        <v>2147</v>
      </c>
      <c r="AW227" s="43">
        <f ca="1">IF(NOTA[[#This Row],[NB NOTA_C_QTY]]="","",ROW()-2)</f>
        <v>225</v>
      </c>
    </row>
    <row r="228" spans="1:49" ht="20.100000000000001" customHeight="1">
      <c r="A2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5" t="str">
        <f ca="1">IF(NOTA[[#This Row],[NAMA BARANG]]="","",INDEX(NOTA[ID],MATCH(,INDIRECT(ADDRESS(ROW(NOTA[ID]),COLUMN(NOTA[ID]))&amp;":"&amp;ADDRESS(ROW(),COLUMN(NOTA[ID]))),-1)))</f>
        <v/>
      </c>
      <c r="C228" s="45"/>
      <c r="F228" s="46"/>
      <c r="G228" s="35"/>
      <c r="H228" s="36"/>
      <c r="I228" s="35"/>
      <c r="K228" s="37"/>
      <c r="L228" s="35"/>
      <c r="N228" s="38"/>
      <c r="O228" s="39"/>
      <c r="P228" s="47"/>
      <c r="Q228" s="48"/>
      <c r="R228" s="41"/>
      <c r="T228" s="42"/>
      <c r="U228" s="44"/>
      <c r="V228" s="42" t="str">
        <f>IF(NOTA[[#This Row],[HARGA/ CTN]]="",NOTA[[#This Row],[JUMLAH_H]],NOTA[[#This Row],[HARGA/ CTN]]*IF(NOTA[[#This Row],[C]]="",0,NOTA[[#This Row],[C]]))</f>
        <v/>
      </c>
      <c r="W228" s="42" t="str">
        <f>IF(NOTA[[#This Row],[JUMLAH]]="","",NOTA[[#This Row],[JUMLAH]]*NOTA[[#This Row],[Column6]])</f>
        <v/>
      </c>
      <c r="X228" s="42" t="str">
        <f>IF(NOTA[[#This Row],[JUMLAH]]="","",(NOTA[[#This Row],[JUMLAH]]-NOTA[[#This Row],[DISC 1-]])*NOTA[[#This Row],[Column7]])</f>
        <v/>
      </c>
      <c r="Y228" s="42" t="str">
        <f>IF(NOTA[[#This Row],[JUMLAH]]="","",(NOTA[[#This Row],[JUMLAH]]-NOTA[[#This Row],[DISC 1-]]-NOTA[[#This Row],[DISC 2-]])*NOTA[[#This Row],[Column8]])</f>
        <v/>
      </c>
      <c r="Z228" s="42" t="str">
        <f>IF(NOTA[[#This Row],[JUMLAH]]="","",NOTA[[#This Row],[DISC 1-]]+NOTA[[#This Row],[DISC 2-]]+NOTA[[#This Row],[DISC 3-]])</f>
        <v/>
      </c>
      <c r="AA228" s="42" t="str">
        <f>IF(NOTA[[#This Row],[JUMLAH]]="","",NOTA[[#This Row],[JUMLAH]]-NOTA[[#This Row],[DISC]])</f>
        <v/>
      </c>
      <c r="AB228" s="42"/>
      <c r="AC2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42" t="str">
        <f>IF(OR(NOTA[[#This Row],[QTY]]="",NOTA[[#This Row],[HARGA SATUAN]]="",),"",NOTA[[#This Row],[QTY]]*NOTA[[#This Row],[HARGA SATUAN]])</f>
        <v/>
      </c>
      <c r="AG228" s="36" t="str">
        <f ca="1">IF(NOTA[[#This Row],[ID_H]]="","",INDEX(NOTA[TANGGAL],MATCH(,INDIRECT(ADDRESS(ROW(NOTA[TANGGAL]),COLUMN(NOTA[TANGGAL]))&amp;":"&amp;ADDRESS(ROW(),COLUMN(NOTA[TANGGAL]))),-1)))</f>
        <v/>
      </c>
      <c r="AH228" s="36" t="str">
        <f ca="1">IF(NOTA[[#This Row],[ID_H]]="","",INDEX(NOTA[TGL.NOTA],MATCH(,INDIRECT(ADDRESS(ROW(NOTA[TGL.NOTA]),COLUMN(NOTA[TGL.NOTA]))&amp;":"&amp;ADDRESS(ROW(),COLUMN(NOTA[TGL.NOTA]))),-1)))</f>
        <v/>
      </c>
      <c r="AI228" s="36" t="str">
        <f ca="1">IF(NOTA[[#This Row],[ID_H]]="","",INDEX(NOTA[NO.NOTA],MATCH(NOTA[[#This Row],[ID_H]],NOTA[ID_H],0)))</f>
        <v/>
      </c>
      <c r="AJ228" s="38" t="str">
        <f ca="1">IF(NOTA[[#This Row],[NAMA BARANG]]="","",INDEX(NOTA[SUPPLIER],MATCH(,INDIRECT(ADDRESS(ROW(NOTA[ID]),COLUMN(NOTA[ID]))&amp;":"&amp;ADDRESS(ROW(),COLUMN(NOTA[ID]))),-1)))</f>
        <v/>
      </c>
      <c r="AK228" s="38" t="str">
        <f ca="1">IF(NOTA[[#This Row],[ID_H]]="","",IF(NOTA[[#This Row],[FAKTUR]]="",INDIRECT(ADDRESS(ROW()-1,COLUMN())),NOTA[[#This Row],[FAKTUR]]))</f>
        <v/>
      </c>
      <c r="AL228" s="35" t="str">
        <f ca="1">IF(NOTA[[#This Row],[ID]]="","",COUNTIF(NOTA[ID_H],NOTA[[#This Row],[ID_H]]))</f>
        <v/>
      </c>
      <c r="AM228" s="35" t="str">
        <f ca="1">IF(NOTA[[#This Row],[TGL.NOTA]]="",IF(NOTA[[#This Row],[SUPPLIER_H]]="","",AM227),MONTH(NOTA[[#This Row],[TGL.NOTA]]))</f>
        <v/>
      </c>
      <c r="AN2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8" s="35" t="str">
        <f>IF(NOTA[[#This Row],[CONCAT1]]="","",MATCH(NOTA[[#This Row],[CONCAT1]],[3]!db[NB NOTA_C],0))</f>
        <v/>
      </c>
      <c r="AS228" s="35" t="str">
        <f>IF(NOTA[[#This Row],[Column5]]="","",TRUE)</f>
        <v/>
      </c>
      <c r="AT228" s="35" t="str">
        <f ca="1">IF(NOTA[[#This Row],[ID_H]]="","",IF(NOTA[[#This Row],[Column3]]=TRUE,NOTA[[#This Row],[Column5]],INDEX([3]!db[QTY/ CTN],NOTA[[#This Row],[//DB]])))</f>
        <v/>
      </c>
      <c r="AU2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28" s="35" t="str">
        <f ca="1">IF(NOTA[[#This Row],[ID_H]]="","",MATCH(NOTA[[#This Row],[NB NOTA_C_QTY]],[3]!db[NB NOTA_C_QTY+F],0))</f>
        <v/>
      </c>
      <c r="AW228" s="43" t="str">
        <f ca="1">IF(NOTA[[#This Row],[NB NOTA_C_QTY]]="","",ROW()-2)</f>
        <v/>
      </c>
    </row>
    <row r="229" spans="1:49" ht="20.100000000000001" customHeight="1">
      <c r="A229" s="38">
        <f ca="1">IF(INDIRECT(ADDRESS(ROW()-1,COLUMN(NOTA[[#Headers],[ID]])))="ID",1,IF(NOTA[[#This Row],[FAKTUR]]="","",COUNT(INDIRECT(ADDRESS(ROW(NOTA[ID]),COLUMN(NOTA[ID]))&amp;":"&amp;ADDRESS(ROW()-1,COLUMN(NOTA[ID]))))+1))</f>
        <v>59</v>
      </c>
      <c r="B229" s="35">
        <f ca="1">IF(NOTA[[#This Row],[NAMA BARANG]]="","",INDEX(NOTA[ID],MATCH(,INDIRECT(ADDRESS(ROW(NOTA[ID]),COLUMN(NOTA[ID]))&amp;":"&amp;ADDRESS(ROW(),COLUMN(NOTA[ID]))),-1)))</f>
        <v>59</v>
      </c>
      <c r="C229" s="45">
        <v>45497</v>
      </c>
      <c r="D229" s="35" t="s">
        <v>420</v>
      </c>
      <c r="E229" s="35" t="s">
        <v>49</v>
      </c>
      <c r="F229" s="46" t="s">
        <v>421</v>
      </c>
      <c r="G229" s="35"/>
      <c r="H229" s="36">
        <v>45495</v>
      </c>
      <c r="I229" s="35"/>
      <c r="J229" s="35" t="s">
        <v>426</v>
      </c>
      <c r="K229" s="37">
        <v>2</v>
      </c>
      <c r="L229" s="35">
        <v>200</v>
      </c>
      <c r="M229" s="35" t="s">
        <v>50</v>
      </c>
      <c r="N229" s="38">
        <v>9750</v>
      </c>
      <c r="O229" s="39"/>
      <c r="P229" s="47" t="s">
        <v>248</v>
      </c>
      <c r="Q229" s="48"/>
      <c r="R229" s="41"/>
      <c r="T229" s="42"/>
      <c r="U229" s="44"/>
      <c r="V229" s="42">
        <f>IF(NOTA[[#This Row],[HARGA/ CTN]]="",NOTA[[#This Row],[JUMLAH_H]],NOTA[[#This Row],[HARGA/ CTN]]*IF(NOTA[[#This Row],[C]]="",0,NOTA[[#This Row],[C]]))</f>
        <v>1950000</v>
      </c>
      <c r="W229" s="42">
        <f>IF(NOTA[[#This Row],[JUMLAH]]="","",NOTA[[#This Row],[JUMLAH]]*NOTA[[#This Row],[Column6]])</f>
        <v>0</v>
      </c>
      <c r="X229" s="42">
        <f>IF(NOTA[[#This Row],[JUMLAH]]="","",(NOTA[[#This Row],[JUMLAH]]-NOTA[[#This Row],[DISC 1-]])*NOTA[[#This Row],[Column7]])</f>
        <v>0</v>
      </c>
      <c r="Y229" s="42">
        <f>IF(NOTA[[#This Row],[JUMLAH]]="","",(NOTA[[#This Row],[JUMLAH]]-NOTA[[#This Row],[DISC 1-]]-NOTA[[#This Row],[DISC 2-]])*NOTA[[#This Row],[Column8]])</f>
        <v>0</v>
      </c>
      <c r="Z229" s="42">
        <f>IF(NOTA[[#This Row],[JUMLAH]]="","",NOTA[[#This Row],[DISC 1-]]+NOTA[[#This Row],[DISC 2-]]+NOTA[[#This Row],[DISC 3-]])</f>
        <v>0</v>
      </c>
      <c r="AA229" s="42">
        <f>IF(NOTA[[#This Row],[JUMLAH]]="","",NOTA[[#This Row],[JUMLAH]]-NOTA[[#This Row],[DISC]])</f>
        <v>1950000</v>
      </c>
      <c r="AB229" s="42"/>
      <c r="AC2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29" s="3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229" s="42">
        <f>IF(OR(NOTA[[#This Row],[QTY]]="",NOTA[[#This Row],[HARGA SATUAN]]="",),"",NOTA[[#This Row],[QTY]]*NOTA[[#This Row],[HARGA SATUAN]])</f>
        <v>1950000</v>
      </c>
      <c r="AG229" s="36">
        <f ca="1">IF(NOTA[[#This Row],[ID_H]]="","",INDEX(NOTA[TANGGAL],MATCH(,INDIRECT(ADDRESS(ROW(NOTA[TANGGAL]),COLUMN(NOTA[TANGGAL]))&amp;":"&amp;ADDRESS(ROW(),COLUMN(NOTA[TANGGAL]))),-1)))</f>
        <v>45497</v>
      </c>
      <c r="AH229" s="36">
        <f ca="1">IF(NOTA[[#This Row],[ID_H]]="","",INDEX(NOTA[TGL.NOTA],MATCH(,INDIRECT(ADDRESS(ROW(NOTA[TGL.NOTA]),COLUMN(NOTA[TGL.NOTA]))&amp;":"&amp;ADDRESS(ROW(),COLUMN(NOTA[TGL.NOTA]))),-1)))</f>
        <v>45495</v>
      </c>
      <c r="AI229" s="36" t="str">
        <f ca="1">IF(NOTA[[#This Row],[ID_H]]="","",INDEX(NOTA[NO.NOTA],MATCH(NOTA[[#This Row],[ID_H]],NOTA[ID_H],0)))</f>
        <v>SO24/2225</v>
      </c>
      <c r="AJ229" s="38" t="str">
        <f ca="1">IF(NOTA[[#This Row],[NAMA BARANG]]="","",INDEX(NOTA[SUPPLIER],MATCH(,INDIRECT(ADDRESS(ROW(NOTA[ID]),COLUMN(NOTA[ID]))&amp;":"&amp;ADDRESS(ROW(),COLUMN(NOTA[ID]))),-1)))</f>
        <v>ANDY (YOEKER)</v>
      </c>
      <c r="AK229" s="38" t="str">
        <f ca="1">IF(NOTA[[#This Row],[ID_H]]="","",IF(NOTA[[#This Row],[FAKTUR]]="",INDIRECT(ADDRESS(ROW()-1,COLUMN())),NOTA[[#This Row],[FAKTUR]]))</f>
        <v>UNTANA</v>
      </c>
      <c r="AL229" s="35">
        <f ca="1">IF(NOTA[[#This Row],[ID]]="","",COUNTIF(NOTA[ID_H],NOTA[[#This Row],[ID_H]]))</f>
        <v>5</v>
      </c>
      <c r="AM229" s="35">
        <f>IF(NOTA[[#This Row],[TGL.NOTA]]="",IF(NOTA[[#This Row],[SUPPLIER_H]]="","",AM228),MONTH(NOTA[[#This Row],[TGL.NOTA]]))</f>
        <v>7</v>
      </c>
      <c r="AN229" s="35" t="str">
        <f>LOWER(SUBSTITUTE(SUBSTITUTE(SUBSTITUTE(SUBSTITUTE(SUBSTITUTE(SUBSTITUTE(SUBSTITUTE(SUBSTITUTE(SUBSTITUTE(NOTA[[#This Row],[NAMA BARANG]]," ",),".",""),"-",""),"(",""),")",""),",",""),"/",""),"""",""),"+",""))</f>
        <v>penggarisbesi15cmyoeker</v>
      </c>
      <c r="AO2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penggarisbesi15cmyoeker975000</v>
      </c>
      <c r="AP2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penggarisbesi15cmyoeker975000</v>
      </c>
      <c r="AQ229" s="35" t="str">
        <f>IF(NOTA[[#This Row],[SUPPLIER]]="","",NOTA[[#This Row],[SUPPLIER]]&amp;NOTA[[#This Row],[FAKTUR]]&amp;NOTA[[#This Row],[NO.NOTA]]&amp;NOTA[[#This Row],[NO.SJ]]&amp;NOTA[[#This Row],[TGL.NOTA]]&amp;NOTA[[#This Row],[CONCAT1]])</f>
        <v>ANDY (YOEKER)UNTANASO24/222545495penggarisbesi15cmyoeker</v>
      </c>
      <c r="AR229" s="35">
        <f>IF(NOTA[[#This Row],[CONCAT1]]="","",MATCH(NOTA[[#This Row],[CONCAT1]],[3]!db[NB NOTA_C],0))</f>
        <v>1015</v>
      </c>
      <c r="AS229" s="35" t="b">
        <f>IF(NOTA[[#This Row],[Column5]]="","",TRUE)</f>
        <v>1</v>
      </c>
      <c r="AT229" s="35" t="str">
        <f ca="1">IF(NOTA[[#This Row],[ID_H]]="","",IF(NOTA[[#This Row],[Column3]]=TRUE,NOTA[[#This Row],[Column5]],INDEX([3]!db[QTY/ CTN],NOTA[[#This Row],[//DB]])))</f>
        <v>100 LSN</v>
      </c>
      <c r="AU2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penggarisbesi15cmyoeker100lsnuntana</v>
      </c>
      <c r="AV229" s="35">
        <f ca="1">IF(NOTA[[#This Row],[ID_H]]="","",MATCH(NOTA[[#This Row],[NB NOTA_C_QTY]],[3]!db[NB NOTA_C_QTY+F],0))</f>
        <v>1015</v>
      </c>
      <c r="AW229" s="43">
        <f ca="1">IF(NOTA[[#This Row],[NB NOTA_C_QTY]]="","",ROW()-2)</f>
        <v>227</v>
      </c>
    </row>
    <row r="230" spans="1:49" ht="20.100000000000001" customHeight="1">
      <c r="A2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5">
        <f ca="1">IF(NOTA[[#This Row],[NAMA BARANG]]="","",INDEX(NOTA[ID],MATCH(,INDIRECT(ADDRESS(ROW(NOTA[ID]),COLUMN(NOTA[ID]))&amp;":"&amp;ADDRESS(ROW(),COLUMN(NOTA[ID]))),-1)))</f>
        <v>59</v>
      </c>
      <c r="C230" s="45"/>
      <c r="F230" s="46"/>
      <c r="G230" s="35"/>
      <c r="H230" s="36"/>
      <c r="I230" s="35"/>
      <c r="J230" s="35" t="s">
        <v>427</v>
      </c>
      <c r="K230" s="37">
        <v>3</v>
      </c>
      <c r="L230" s="35">
        <v>300</v>
      </c>
      <c r="M230" s="35" t="s">
        <v>50</v>
      </c>
      <c r="N230" s="38">
        <v>12500</v>
      </c>
      <c r="O230" s="39"/>
      <c r="P230" s="47" t="s">
        <v>248</v>
      </c>
      <c r="Q230" s="48"/>
      <c r="R230" s="41"/>
      <c r="T230" s="42"/>
      <c r="U230" s="44"/>
      <c r="V230" s="42">
        <f>IF(NOTA[[#This Row],[HARGA/ CTN]]="",NOTA[[#This Row],[JUMLAH_H]],NOTA[[#This Row],[HARGA/ CTN]]*IF(NOTA[[#This Row],[C]]="",0,NOTA[[#This Row],[C]]))</f>
        <v>3750000</v>
      </c>
      <c r="W230" s="42">
        <f>IF(NOTA[[#This Row],[JUMLAH]]="","",NOTA[[#This Row],[JUMLAH]]*NOTA[[#This Row],[Column6]])</f>
        <v>0</v>
      </c>
      <c r="X230" s="42">
        <f>IF(NOTA[[#This Row],[JUMLAH]]="","",(NOTA[[#This Row],[JUMLAH]]-NOTA[[#This Row],[DISC 1-]])*NOTA[[#This Row],[Column7]])</f>
        <v>0</v>
      </c>
      <c r="Y230" s="42">
        <f>IF(NOTA[[#This Row],[JUMLAH]]="","",(NOTA[[#This Row],[JUMLAH]]-NOTA[[#This Row],[DISC 1-]]-NOTA[[#This Row],[DISC 2-]])*NOTA[[#This Row],[Column8]])</f>
        <v>0</v>
      </c>
      <c r="Z230" s="42">
        <f>IF(NOTA[[#This Row],[JUMLAH]]="","",NOTA[[#This Row],[DISC 1-]]+NOTA[[#This Row],[DISC 2-]]+NOTA[[#This Row],[DISC 3-]])</f>
        <v>0</v>
      </c>
      <c r="AA230" s="42">
        <f>IF(NOTA[[#This Row],[JUMLAH]]="","",NOTA[[#This Row],[JUMLAH]]-NOTA[[#This Row],[DISC]])</f>
        <v>3750000</v>
      </c>
      <c r="AB230" s="42"/>
      <c r="AC2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0" s="3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230" s="42">
        <f>IF(OR(NOTA[[#This Row],[QTY]]="",NOTA[[#This Row],[HARGA SATUAN]]="",),"",NOTA[[#This Row],[QTY]]*NOTA[[#This Row],[HARGA SATUAN]])</f>
        <v>3750000</v>
      </c>
      <c r="AG230" s="36">
        <f ca="1">IF(NOTA[[#This Row],[ID_H]]="","",INDEX(NOTA[TANGGAL],MATCH(,INDIRECT(ADDRESS(ROW(NOTA[TANGGAL]),COLUMN(NOTA[TANGGAL]))&amp;":"&amp;ADDRESS(ROW(),COLUMN(NOTA[TANGGAL]))),-1)))</f>
        <v>45497</v>
      </c>
      <c r="AH230" s="36">
        <f ca="1">IF(NOTA[[#This Row],[ID_H]]="","",INDEX(NOTA[TGL.NOTA],MATCH(,INDIRECT(ADDRESS(ROW(NOTA[TGL.NOTA]),COLUMN(NOTA[TGL.NOTA]))&amp;":"&amp;ADDRESS(ROW(),COLUMN(NOTA[TGL.NOTA]))),-1)))</f>
        <v>45495</v>
      </c>
      <c r="AI230" s="36" t="str">
        <f ca="1">IF(NOTA[[#This Row],[ID_H]]="","",INDEX(NOTA[NO.NOTA],MATCH(NOTA[[#This Row],[ID_H]],NOTA[ID_H],0)))</f>
        <v>SO24/2225</v>
      </c>
      <c r="AJ230" s="38" t="str">
        <f ca="1">IF(NOTA[[#This Row],[NAMA BARANG]]="","",INDEX(NOTA[SUPPLIER],MATCH(,INDIRECT(ADDRESS(ROW(NOTA[ID]),COLUMN(NOTA[ID]))&amp;":"&amp;ADDRESS(ROW(),COLUMN(NOTA[ID]))),-1)))</f>
        <v>ANDY (YOEKER)</v>
      </c>
      <c r="AK230" s="38" t="str">
        <f ca="1">IF(NOTA[[#This Row],[ID_H]]="","",IF(NOTA[[#This Row],[FAKTUR]]="",INDIRECT(ADDRESS(ROW()-1,COLUMN())),NOTA[[#This Row],[FAKTUR]]))</f>
        <v>UNTANA</v>
      </c>
      <c r="AL230" s="35" t="str">
        <f ca="1">IF(NOTA[[#This Row],[ID]]="","",COUNTIF(NOTA[ID_H],NOTA[[#This Row],[ID_H]]))</f>
        <v/>
      </c>
      <c r="AM230" s="35">
        <f ca="1">IF(NOTA[[#This Row],[TGL.NOTA]]="",IF(NOTA[[#This Row],[SUPPLIER_H]]="","",AM229),MONTH(NOTA[[#This Row],[TGL.NOTA]]))</f>
        <v>7</v>
      </c>
      <c r="AN230" s="35" t="str">
        <f>LOWER(SUBSTITUTE(SUBSTITUTE(SUBSTITUTE(SUBSTITUTE(SUBSTITUTE(SUBSTITUTE(SUBSTITUTE(SUBSTITUTE(SUBSTITUTE(NOTA[[#This Row],[NAMA BARANG]]," ",),".",""),"-",""),"(",""),")",""),",",""),"/",""),"""",""),"+",""))</f>
        <v>penggarisbesi20cmyoeker</v>
      </c>
      <c r="AO2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penggarisbesi20cmyoeker1250000</v>
      </c>
      <c r="AP2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penggarisbesi20cmyoeker1250000</v>
      </c>
      <c r="AQ2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0" s="35">
        <f>IF(NOTA[[#This Row],[CONCAT1]]="","",MATCH(NOTA[[#This Row],[CONCAT1]],[3]!db[NB NOTA_C],0))</f>
        <v>1016</v>
      </c>
      <c r="AS230" s="35" t="b">
        <f>IF(NOTA[[#This Row],[Column5]]="","",TRUE)</f>
        <v>1</v>
      </c>
      <c r="AT230" s="35" t="str">
        <f ca="1">IF(NOTA[[#This Row],[ID_H]]="","",IF(NOTA[[#This Row],[Column3]]=TRUE,NOTA[[#This Row],[Column5]],INDEX([3]!db[QTY/ CTN],NOTA[[#This Row],[//DB]])))</f>
        <v>100 LSN</v>
      </c>
      <c r="AU2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penggarisbesi20cmyoeker100lsnuntana</v>
      </c>
      <c r="AV230" s="35">
        <f ca="1">IF(NOTA[[#This Row],[ID_H]]="","",MATCH(NOTA[[#This Row],[NB NOTA_C_QTY]],[3]!db[NB NOTA_C_QTY+F],0))</f>
        <v>1016</v>
      </c>
      <c r="AW230" s="43">
        <f ca="1">IF(NOTA[[#This Row],[NB NOTA_C_QTY]]="","",ROW()-2)</f>
        <v>228</v>
      </c>
    </row>
    <row r="231" spans="1:49" ht="20.100000000000001" customHeight="1">
      <c r="A2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5">
        <f ca="1">IF(NOTA[[#This Row],[NAMA BARANG]]="","",INDEX(NOTA[ID],MATCH(,INDIRECT(ADDRESS(ROW(NOTA[ID]),COLUMN(NOTA[ID]))&amp;":"&amp;ADDRESS(ROW(),COLUMN(NOTA[ID]))),-1)))</f>
        <v>59</v>
      </c>
      <c r="C231" s="45"/>
      <c r="F231" s="46"/>
      <c r="G231" s="35"/>
      <c r="H231" s="36"/>
      <c r="I231" s="35"/>
      <c r="J231" s="35" t="s">
        <v>428</v>
      </c>
      <c r="K231" s="37">
        <v>1</v>
      </c>
      <c r="L231" s="35">
        <v>25</v>
      </c>
      <c r="M231" s="35" t="s">
        <v>50</v>
      </c>
      <c r="N231" s="38">
        <v>32500</v>
      </c>
      <c r="O231" s="39"/>
      <c r="P231" s="47" t="s">
        <v>237</v>
      </c>
      <c r="Q231" s="48"/>
      <c r="R231" s="41"/>
      <c r="T231" s="42"/>
      <c r="U231" s="44"/>
      <c r="V231" s="42">
        <f>IF(NOTA[[#This Row],[HARGA/ CTN]]="",NOTA[[#This Row],[JUMLAH_H]],NOTA[[#This Row],[HARGA/ CTN]]*IF(NOTA[[#This Row],[C]]="",0,NOTA[[#This Row],[C]]))</f>
        <v>812500</v>
      </c>
      <c r="W231" s="42">
        <f>IF(NOTA[[#This Row],[JUMLAH]]="","",NOTA[[#This Row],[JUMLAH]]*NOTA[[#This Row],[Column6]])</f>
        <v>0</v>
      </c>
      <c r="X231" s="42">
        <f>IF(NOTA[[#This Row],[JUMLAH]]="","",(NOTA[[#This Row],[JUMLAH]]-NOTA[[#This Row],[DISC 1-]])*NOTA[[#This Row],[Column7]])</f>
        <v>0</v>
      </c>
      <c r="Y231" s="42">
        <f>IF(NOTA[[#This Row],[JUMLAH]]="","",(NOTA[[#This Row],[JUMLAH]]-NOTA[[#This Row],[DISC 1-]]-NOTA[[#This Row],[DISC 2-]])*NOTA[[#This Row],[Column8]])</f>
        <v>0</v>
      </c>
      <c r="Z231" s="42">
        <f>IF(NOTA[[#This Row],[JUMLAH]]="","",NOTA[[#This Row],[DISC 1-]]+NOTA[[#This Row],[DISC 2-]]+NOTA[[#This Row],[DISC 3-]])</f>
        <v>0</v>
      </c>
      <c r="AA231" s="42">
        <f>IF(NOTA[[#This Row],[JUMLAH]]="","",NOTA[[#This Row],[JUMLAH]]-NOTA[[#This Row],[DISC]])</f>
        <v>812500</v>
      </c>
      <c r="AB231" s="42"/>
      <c r="AC2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1" s="38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231" s="42">
        <f>IF(OR(NOTA[[#This Row],[QTY]]="",NOTA[[#This Row],[HARGA SATUAN]]="",),"",NOTA[[#This Row],[QTY]]*NOTA[[#This Row],[HARGA SATUAN]])</f>
        <v>812500</v>
      </c>
      <c r="AG231" s="36">
        <f ca="1">IF(NOTA[[#This Row],[ID_H]]="","",INDEX(NOTA[TANGGAL],MATCH(,INDIRECT(ADDRESS(ROW(NOTA[TANGGAL]),COLUMN(NOTA[TANGGAL]))&amp;":"&amp;ADDRESS(ROW(),COLUMN(NOTA[TANGGAL]))),-1)))</f>
        <v>45497</v>
      </c>
      <c r="AH231" s="36">
        <f ca="1">IF(NOTA[[#This Row],[ID_H]]="","",INDEX(NOTA[TGL.NOTA],MATCH(,INDIRECT(ADDRESS(ROW(NOTA[TGL.NOTA]),COLUMN(NOTA[TGL.NOTA]))&amp;":"&amp;ADDRESS(ROW(),COLUMN(NOTA[TGL.NOTA]))),-1)))</f>
        <v>45495</v>
      </c>
      <c r="AI231" s="36" t="str">
        <f ca="1">IF(NOTA[[#This Row],[ID_H]]="","",INDEX(NOTA[NO.NOTA],MATCH(NOTA[[#This Row],[ID_H]],NOTA[ID_H],0)))</f>
        <v>SO24/2225</v>
      </c>
      <c r="AJ231" s="38" t="str">
        <f ca="1">IF(NOTA[[#This Row],[NAMA BARANG]]="","",INDEX(NOTA[SUPPLIER],MATCH(,INDIRECT(ADDRESS(ROW(NOTA[ID]),COLUMN(NOTA[ID]))&amp;":"&amp;ADDRESS(ROW(),COLUMN(NOTA[ID]))),-1)))</f>
        <v>ANDY (YOEKER)</v>
      </c>
      <c r="AK231" s="38" t="str">
        <f ca="1">IF(NOTA[[#This Row],[ID_H]]="","",IF(NOTA[[#This Row],[FAKTUR]]="",INDIRECT(ADDRESS(ROW()-1,COLUMN())),NOTA[[#This Row],[FAKTUR]]))</f>
        <v>UNTANA</v>
      </c>
      <c r="AL231" s="35" t="str">
        <f ca="1">IF(NOTA[[#This Row],[ID]]="","",COUNTIF(NOTA[ID_H],NOTA[[#This Row],[ID_H]]))</f>
        <v/>
      </c>
      <c r="AM231" s="35">
        <f ca="1">IF(NOTA[[#This Row],[TGL.NOTA]]="",IF(NOTA[[#This Row],[SUPPLIER_H]]="","",AM230),MONTH(NOTA[[#This Row],[TGL.NOTA]]))</f>
        <v>7</v>
      </c>
      <c r="AN231" s="35" t="str">
        <f>LOWER(SUBSTITUTE(SUBSTITUTE(SUBSTITUTE(SUBSTITUTE(SUBSTITUTE(SUBSTITUTE(SUBSTITUTE(SUBSTITUTE(SUBSTITUTE(NOTA[[#This Row],[NAMA BARANG]]," ",),".",""),"-",""),"(",""),")",""),",",""),"/",""),"""",""),"+",""))</f>
        <v>penggarisbesi40cmyoeker</v>
      </c>
      <c r="AO2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penggarisbesi40cmyoeker812500</v>
      </c>
      <c r="AP2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penggarisbesi40cmyoeker812500</v>
      </c>
      <c r="AQ2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1" s="35">
        <f>IF(NOTA[[#This Row],[CONCAT1]]="","",MATCH(NOTA[[#This Row],[CONCAT1]],[3]!db[NB NOTA_C],0))</f>
        <v>1017</v>
      </c>
      <c r="AS231" s="35" t="b">
        <f>IF(NOTA[[#This Row],[Column5]]="","",TRUE)</f>
        <v>1</v>
      </c>
      <c r="AT231" s="35" t="str">
        <f ca="1">IF(NOTA[[#This Row],[ID_H]]="","",IF(NOTA[[#This Row],[Column3]]=TRUE,NOTA[[#This Row],[Column5]],INDEX([3]!db[QTY/ CTN],NOTA[[#This Row],[//DB]])))</f>
        <v>25 LSN</v>
      </c>
      <c r="AU2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penggarisbesi40cmyoeker25lsnuntana</v>
      </c>
      <c r="AV231" s="35">
        <f ca="1">IF(NOTA[[#This Row],[ID_H]]="","",MATCH(NOTA[[#This Row],[NB NOTA_C_QTY]],[3]!db[NB NOTA_C_QTY+F],0))</f>
        <v>1017</v>
      </c>
      <c r="AW231" s="43">
        <f ca="1">IF(NOTA[[#This Row],[NB NOTA_C_QTY]]="","",ROW()-2)</f>
        <v>229</v>
      </c>
    </row>
    <row r="232" spans="1:49" ht="20.100000000000001" customHeight="1">
      <c r="A2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5">
        <f ca="1">IF(NOTA[[#This Row],[NAMA BARANG]]="","",INDEX(NOTA[ID],MATCH(,INDIRECT(ADDRESS(ROW(NOTA[ID]),COLUMN(NOTA[ID]))&amp;":"&amp;ADDRESS(ROW(),COLUMN(NOTA[ID]))),-1)))</f>
        <v>59</v>
      </c>
      <c r="C232" s="45"/>
      <c r="F232" s="46"/>
      <c r="G232" s="35"/>
      <c r="H232" s="36"/>
      <c r="I232" s="35"/>
      <c r="J232" s="35" t="s">
        <v>429</v>
      </c>
      <c r="K232" s="37">
        <v>1</v>
      </c>
      <c r="L232" s="35">
        <v>25</v>
      </c>
      <c r="M232" s="35" t="s">
        <v>50</v>
      </c>
      <c r="N232" s="38">
        <v>37500</v>
      </c>
      <c r="O232" s="39"/>
      <c r="P232" s="47" t="s">
        <v>237</v>
      </c>
      <c r="Q232" s="48"/>
      <c r="R232" s="41"/>
      <c r="T232" s="42"/>
      <c r="U232" s="44"/>
      <c r="V232" s="42">
        <f>IF(NOTA[[#This Row],[HARGA/ CTN]]="",NOTA[[#This Row],[JUMLAH_H]],NOTA[[#This Row],[HARGA/ CTN]]*IF(NOTA[[#This Row],[C]]="",0,NOTA[[#This Row],[C]]))</f>
        <v>937500</v>
      </c>
      <c r="W232" s="42">
        <f>IF(NOTA[[#This Row],[JUMLAH]]="","",NOTA[[#This Row],[JUMLAH]]*NOTA[[#This Row],[Column6]])</f>
        <v>0</v>
      </c>
      <c r="X232" s="42">
        <f>IF(NOTA[[#This Row],[JUMLAH]]="","",(NOTA[[#This Row],[JUMLAH]]-NOTA[[#This Row],[DISC 1-]])*NOTA[[#This Row],[Column7]])</f>
        <v>0</v>
      </c>
      <c r="Y232" s="42">
        <f>IF(NOTA[[#This Row],[JUMLAH]]="","",(NOTA[[#This Row],[JUMLAH]]-NOTA[[#This Row],[DISC 1-]]-NOTA[[#This Row],[DISC 2-]])*NOTA[[#This Row],[Column8]])</f>
        <v>0</v>
      </c>
      <c r="Z232" s="42">
        <f>IF(NOTA[[#This Row],[JUMLAH]]="","",NOTA[[#This Row],[DISC 1-]]+NOTA[[#This Row],[DISC 2-]]+NOTA[[#This Row],[DISC 3-]])</f>
        <v>0</v>
      </c>
      <c r="AA232" s="42">
        <f>IF(NOTA[[#This Row],[JUMLAH]]="","",NOTA[[#This Row],[JUMLAH]]-NOTA[[#This Row],[DISC]])</f>
        <v>937500</v>
      </c>
      <c r="AB232" s="42"/>
      <c r="AC2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2" s="38">
        <f>IF(NOTA[[#This Row],[NAMA BARANG]]="","",IF(NOTA[[#This Row],[JUMLAH_H]]="",NOTA[[#This Row],[HARGA/ CTN]],NOTA[[#This Row],[QTY]]*NOTA[[#This Row],[HARGA SATUAN]]/IF(ISNUMBER(NOTA[[#This Row],[C]]),NOTA[[#This Row],[C]],1)))</f>
        <v>937500</v>
      </c>
      <c r="AF232" s="42">
        <f>IF(OR(NOTA[[#This Row],[QTY]]="",NOTA[[#This Row],[HARGA SATUAN]]="",),"",NOTA[[#This Row],[QTY]]*NOTA[[#This Row],[HARGA SATUAN]])</f>
        <v>937500</v>
      </c>
      <c r="AG232" s="36">
        <f ca="1">IF(NOTA[[#This Row],[ID_H]]="","",INDEX(NOTA[TANGGAL],MATCH(,INDIRECT(ADDRESS(ROW(NOTA[TANGGAL]),COLUMN(NOTA[TANGGAL]))&amp;":"&amp;ADDRESS(ROW(),COLUMN(NOTA[TANGGAL]))),-1)))</f>
        <v>45497</v>
      </c>
      <c r="AH232" s="36">
        <f ca="1">IF(NOTA[[#This Row],[ID_H]]="","",INDEX(NOTA[TGL.NOTA],MATCH(,INDIRECT(ADDRESS(ROW(NOTA[TGL.NOTA]),COLUMN(NOTA[TGL.NOTA]))&amp;":"&amp;ADDRESS(ROW(),COLUMN(NOTA[TGL.NOTA]))),-1)))</f>
        <v>45495</v>
      </c>
      <c r="AI232" s="36" t="str">
        <f ca="1">IF(NOTA[[#This Row],[ID_H]]="","",INDEX(NOTA[NO.NOTA],MATCH(NOTA[[#This Row],[ID_H]],NOTA[ID_H],0)))</f>
        <v>SO24/2225</v>
      </c>
      <c r="AJ232" s="38" t="str">
        <f ca="1">IF(NOTA[[#This Row],[NAMA BARANG]]="","",INDEX(NOTA[SUPPLIER],MATCH(,INDIRECT(ADDRESS(ROW(NOTA[ID]),COLUMN(NOTA[ID]))&amp;":"&amp;ADDRESS(ROW(),COLUMN(NOTA[ID]))),-1)))</f>
        <v>ANDY (YOEKER)</v>
      </c>
      <c r="AK232" s="38" t="str">
        <f ca="1">IF(NOTA[[#This Row],[ID_H]]="","",IF(NOTA[[#This Row],[FAKTUR]]="",INDIRECT(ADDRESS(ROW()-1,COLUMN())),NOTA[[#This Row],[FAKTUR]]))</f>
        <v>UNTANA</v>
      </c>
      <c r="AL232" s="35" t="str">
        <f ca="1">IF(NOTA[[#This Row],[ID]]="","",COUNTIF(NOTA[ID_H],NOTA[[#This Row],[ID_H]]))</f>
        <v/>
      </c>
      <c r="AM232" s="35">
        <f ca="1">IF(NOTA[[#This Row],[TGL.NOTA]]="",IF(NOTA[[#This Row],[SUPPLIER_H]]="","",AM231),MONTH(NOTA[[#This Row],[TGL.NOTA]]))</f>
        <v>7</v>
      </c>
      <c r="AN232" s="35" t="str">
        <f>LOWER(SUBSTITUTE(SUBSTITUTE(SUBSTITUTE(SUBSTITUTE(SUBSTITUTE(SUBSTITUTE(SUBSTITUTE(SUBSTITUTE(SUBSTITUTE(NOTA[[#This Row],[NAMA BARANG]]," ",),".",""),"-",""),"(",""),")",""),",",""),"/",""),"""",""),"+",""))</f>
        <v>penggarisbesi50cmyoeker</v>
      </c>
      <c r="AO2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penggarisbesi50cmyoeker937500</v>
      </c>
      <c r="AP2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penggarisbesi50cmyoeker937500</v>
      </c>
      <c r="AQ2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2" s="35">
        <f>IF(NOTA[[#This Row],[CONCAT1]]="","",MATCH(NOTA[[#This Row],[CONCAT1]],[3]!db[NB NOTA_C],0))</f>
        <v>1018</v>
      </c>
      <c r="AS232" s="35" t="b">
        <f>IF(NOTA[[#This Row],[Column5]]="","",TRUE)</f>
        <v>1</v>
      </c>
      <c r="AT232" s="35" t="str">
        <f ca="1">IF(NOTA[[#This Row],[ID_H]]="","",IF(NOTA[[#This Row],[Column3]]=TRUE,NOTA[[#This Row],[Column5]],INDEX([3]!db[QTY/ CTN],NOTA[[#This Row],[//DB]])))</f>
        <v>25 LSN</v>
      </c>
      <c r="AU2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penggarisbesi50cmyoeker25lsnuntana</v>
      </c>
      <c r="AV232" s="35">
        <f ca="1">IF(NOTA[[#This Row],[ID_H]]="","",MATCH(NOTA[[#This Row],[NB NOTA_C_QTY]],[3]!db[NB NOTA_C_QTY+F],0))</f>
        <v>1018</v>
      </c>
      <c r="AW232" s="43">
        <f ca="1">IF(NOTA[[#This Row],[NB NOTA_C_QTY]]="","",ROW()-2)</f>
        <v>230</v>
      </c>
    </row>
    <row r="233" spans="1:49" ht="20.100000000000001" customHeight="1">
      <c r="A2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5">
        <f ca="1">IF(NOTA[[#This Row],[NAMA BARANG]]="","",INDEX(NOTA[ID],MATCH(,INDIRECT(ADDRESS(ROW(NOTA[ID]),COLUMN(NOTA[ID]))&amp;":"&amp;ADDRESS(ROW(),COLUMN(NOTA[ID]))),-1)))</f>
        <v>59</v>
      </c>
      <c r="C233" s="45"/>
      <c r="F233" s="46"/>
      <c r="G233" s="35"/>
      <c r="H233" s="36"/>
      <c r="I233" s="35"/>
      <c r="J233" s="35" t="s">
        <v>430</v>
      </c>
      <c r="K233" s="37">
        <v>2</v>
      </c>
      <c r="L233" s="35">
        <v>50</v>
      </c>
      <c r="M233" s="35" t="s">
        <v>50</v>
      </c>
      <c r="N233" s="38">
        <v>42500</v>
      </c>
      <c r="O233" s="39"/>
      <c r="P233" s="47" t="s">
        <v>237</v>
      </c>
      <c r="Q233" s="48"/>
      <c r="R233" s="41"/>
      <c r="T233" s="42"/>
      <c r="U233" s="44"/>
      <c r="V233" s="42">
        <f>IF(NOTA[[#This Row],[HARGA/ CTN]]="",NOTA[[#This Row],[JUMLAH_H]],NOTA[[#This Row],[HARGA/ CTN]]*IF(NOTA[[#This Row],[C]]="",0,NOTA[[#This Row],[C]]))</f>
        <v>2125000</v>
      </c>
      <c r="W233" s="42">
        <f>IF(NOTA[[#This Row],[JUMLAH]]="","",NOTA[[#This Row],[JUMLAH]]*NOTA[[#This Row],[Column6]])</f>
        <v>0</v>
      </c>
      <c r="X233" s="42">
        <f>IF(NOTA[[#This Row],[JUMLAH]]="","",(NOTA[[#This Row],[JUMLAH]]-NOTA[[#This Row],[DISC 1-]])*NOTA[[#This Row],[Column7]])</f>
        <v>0</v>
      </c>
      <c r="Y233" s="42">
        <f>IF(NOTA[[#This Row],[JUMLAH]]="","",(NOTA[[#This Row],[JUMLAH]]-NOTA[[#This Row],[DISC 1-]]-NOTA[[#This Row],[DISC 2-]])*NOTA[[#This Row],[Column8]])</f>
        <v>0</v>
      </c>
      <c r="Z233" s="42">
        <f>IF(NOTA[[#This Row],[JUMLAH]]="","",NOTA[[#This Row],[DISC 1-]]+NOTA[[#This Row],[DISC 2-]]+NOTA[[#This Row],[DISC 3-]])</f>
        <v>0</v>
      </c>
      <c r="AA233" s="42">
        <f>IF(NOTA[[#This Row],[JUMLAH]]="","",NOTA[[#This Row],[JUMLAH]]-NOTA[[#This Row],[DISC]])</f>
        <v>2125000</v>
      </c>
      <c r="AB233" s="42"/>
      <c r="AC23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33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9575000</v>
      </c>
      <c r="AE233" s="38">
        <f>IF(NOTA[[#This Row],[NAMA BARANG]]="","",IF(NOTA[[#This Row],[JUMLAH_H]]="",NOTA[[#This Row],[HARGA/ CTN]],NOTA[[#This Row],[QTY]]*NOTA[[#This Row],[HARGA SATUAN]]/IF(ISNUMBER(NOTA[[#This Row],[C]]),NOTA[[#This Row],[C]],1)))</f>
        <v>1062500</v>
      </c>
      <c r="AF233" s="42">
        <f>IF(OR(NOTA[[#This Row],[QTY]]="",NOTA[[#This Row],[HARGA SATUAN]]="",),"",NOTA[[#This Row],[QTY]]*NOTA[[#This Row],[HARGA SATUAN]])</f>
        <v>2125000</v>
      </c>
      <c r="AG233" s="36">
        <f ca="1">IF(NOTA[[#This Row],[ID_H]]="","",INDEX(NOTA[TANGGAL],MATCH(,INDIRECT(ADDRESS(ROW(NOTA[TANGGAL]),COLUMN(NOTA[TANGGAL]))&amp;":"&amp;ADDRESS(ROW(),COLUMN(NOTA[TANGGAL]))),-1)))</f>
        <v>45497</v>
      </c>
      <c r="AH233" s="36">
        <f ca="1">IF(NOTA[[#This Row],[ID_H]]="","",INDEX(NOTA[TGL.NOTA],MATCH(,INDIRECT(ADDRESS(ROW(NOTA[TGL.NOTA]),COLUMN(NOTA[TGL.NOTA]))&amp;":"&amp;ADDRESS(ROW(),COLUMN(NOTA[TGL.NOTA]))),-1)))</f>
        <v>45495</v>
      </c>
      <c r="AI233" s="36" t="str">
        <f ca="1">IF(NOTA[[#This Row],[ID_H]]="","",INDEX(NOTA[NO.NOTA],MATCH(NOTA[[#This Row],[ID_H]],NOTA[ID_H],0)))</f>
        <v>SO24/2225</v>
      </c>
      <c r="AJ233" s="38" t="str">
        <f ca="1">IF(NOTA[[#This Row],[NAMA BARANG]]="","",INDEX(NOTA[SUPPLIER],MATCH(,INDIRECT(ADDRESS(ROW(NOTA[ID]),COLUMN(NOTA[ID]))&amp;":"&amp;ADDRESS(ROW(),COLUMN(NOTA[ID]))),-1)))</f>
        <v>ANDY (YOEKER)</v>
      </c>
      <c r="AK233" s="38" t="str">
        <f ca="1">IF(NOTA[[#This Row],[ID_H]]="","",IF(NOTA[[#This Row],[FAKTUR]]="",INDIRECT(ADDRESS(ROW()-1,COLUMN())),NOTA[[#This Row],[FAKTUR]]))</f>
        <v>UNTANA</v>
      </c>
      <c r="AL233" s="35" t="str">
        <f ca="1">IF(NOTA[[#This Row],[ID]]="","",COUNTIF(NOTA[ID_H],NOTA[[#This Row],[ID_H]]))</f>
        <v/>
      </c>
      <c r="AM233" s="35">
        <f ca="1">IF(NOTA[[#This Row],[TGL.NOTA]]="",IF(NOTA[[#This Row],[SUPPLIER_H]]="","",AM232),MONTH(NOTA[[#This Row],[TGL.NOTA]]))</f>
        <v>7</v>
      </c>
      <c r="AN233" s="35" t="str">
        <f>LOWER(SUBSTITUTE(SUBSTITUTE(SUBSTITUTE(SUBSTITUTE(SUBSTITUTE(SUBSTITUTE(SUBSTITUTE(SUBSTITUTE(SUBSTITUTE(NOTA[[#This Row],[NAMA BARANG]]," ",),".",""),"-",""),"(",""),")",""),",",""),"/",""),"""",""),"+",""))</f>
        <v>penggarisbesi60cmyoeker</v>
      </c>
      <c r="AO2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penggarisbesi60cmyoeker1062500</v>
      </c>
      <c r="AP2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penggarisbesi60cmyoeker1062500</v>
      </c>
      <c r="AQ2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3" s="35">
        <f>IF(NOTA[[#This Row],[CONCAT1]]="","",MATCH(NOTA[[#This Row],[CONCAT1]],[3]!db[NB NOTA_C],0))</f>
        <v>1019</v>
      </c>
      <c r="AS233" s="35" t="b">
        <f>IF(NOTA[[#This Row],[Column5]]="","",TRUE)</f>
        <v>1</v>
      </c>
      <c r="AT233" s="35" t="str">
        <f ca="1">IF(NOTA[[#This Row],[ID_H]]="","",IF(NOTA[[#This Row],[Column3]]=TRUE,NOTA[[#This Row],[Column5]],INDEX([3]!db[QTY/ CTN],NOTA[[#This Row],[//DB]])))</f>
        <v>25 LSN</v>
      </c>
      <c r="AU2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penggarisbesi60cmyoeker25lsnuntana</v>
      </c>
      <c r="AV233" s="35">
        <f ca="1">IF(NOTA[[#This Row],[ID_H]]="","",MATCH(NOTA[[#This Row],[NB NOTA_C_QTY]],[3]!db[NB NOTA_C_QTY+F],0))</f>
        <v>1019</v>
      </c>
      <c r="AW233" s="43">
        <f ca="1">IF(NOTA[[#This Row],[NB NOTA_C_QTY]]="","",ROW()-2)</f>
        <v>231</v>
      </c>
    </row>
    <row r="234" spans="1:49" ht="20.100000000000001" customHeight="1">
      <c r="A2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5" t="str">
        <f ca="1">IF(NOTA[[#This Row],[NAMA BARANG]]="","",INDEX(NOTA[ID],MATCH(,INDIRECT(ADDRESS(ROW(NOTA[ID]),COLUMN(NOTA[ID]))&amp;":"&amp;ADDRESS(ROW(),COLUMN(NOTA[ID]))),-1)))</f>
        <v/>
      </c>
      <c r="C234" s="45"/>
      <c r="F234" s="46"/>
      <c r="G234" s="35"/>
      <c r="H234" s="36"/>
      <c r="I234" s="35"/>
      <c r="J234" s="50"/>
      <c r="K234" s="37"/>
      <c r="L234" s="35"/>
      <c r="N234" s="38"/>
      <c r="O234" s="39"/>
      <c r="P234" s="47"/>
      <c r="Q234" s="48"/>
      <c r="R234" s="41"/>
      <c r="T234" s="42"/>
      <c r="U234" s="44"/>
      <c r="V234" s="42" t="str">
        <f>IF(NOTA[[#This Row],[HARGA/ CTN]]="",NOTA[[#This Row],[JUMLAH_H]],NOTA[[#This Row],[HARGA/ CTN]]*IF(NOTA[[#This Row],[C]]="",0,NOTA[[#This Row],[C]]))</f>
        <v/>
      </c>
      <c r="W234" s="42" t="str">
        <f>IF(NOTA[[#This Row],[JUMLAH]]="","",NOTA[[#This Row],[JUMLAH]]*NOTA[[#This Row],[Column6]])</f>
        <v/>
      </c>
      <c r="X234" s="42" t="str">
        <f>IF(NOTA[[#This Row],[JUMLAH]]="","",(NOTA[[#This Row],[JUMLAH]]-NOTA[[#This Row],[DISC 1-]])*NOTA[[#This Row],[Column7]])</f>
        <v/>
      </c>
      <c r="Y234" s="42" t="str">
        <f>IF(NOTA[[#This Row],[JUMLAH]]="","",(NOTA[[#This Row],[JUMLAH]]-NOTA[[#This Row],[DISC 1-]]-NOTA[[#This Row],[DISC 2-]])*NOTA[[#This Row],[Column8]])</f>
        <v/>
      </c>
      <c r="Z234" s="42" t="str">
        <f>IF(NOTA[[#This Row],[JUMLAH]]="","",NOTA[[#This Row],[DISC 1-]]+NOTA[[#This Row],[DISC 2-]]+NOTA[[#This Row],[DISC 3-]])</f>
        <v/>
      </c>
      <c r="AA234" s="42" t="str">
        <f>IF(NOTA[[#This Row],[JUMLAH]]="","",NOTA[[#This Row],[JUMLAH]]-NOTA[[#This Row],[DISC]])</f>
        <v/>
      </c>
      <c r="AB234" s="42"/>
      <c r="AC2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4" s="42" t="str">
        <f>IF(OR(NOTA[[#This Row],[QTY]]="",NOTA[[#This Row],[HARGA SATUAN]]="",),"",NOTA[[#This Row],[QTY]]*NOTA[[#This Row],[HARGA SATUAN]])</f>
        <v/>
      </c>
      <c r="AG234" s="36" t="str">
        <f ca="1">IF(NOTA[[#This Row],[ID_H]]="","",INDEX(NOTA[TANGGAL],MATCH(,INDIRECT(ADDRESS(ROW(NOTA[TANGGAL]),COLUMN(NOTA[TANGGAL]))&amp;":"&amp;ADDRESS(ROW(),COLUMN(NOTA[TANGGAL]))),-1)))</f>
        <v/>
      </c>
      <c r="AH234" s="36" t="str">
        <f ca="1">IF(NOTA[[#This Row],[ID_H]]="","",INDEX(NOTA[TGL.NOTA],MATCH(,INDIRECT(ADDRESS(ROW(NOTA[TGL.NOTA]),COLUMN(NOTA[TGL.NOTA]))&amp;":"&amp;ADDRESS(ROW(),COLUMN(NOTA[TGL.NOTA]))),-1)))</f>
        <v/>
      </c>
      <c r="AI234" s="36" t="str">
        <f ca="1">IF(NOTA[[#This Row],[ID_H]]="","",INDEX(NOTA[NO.NOTA],MATCH(NOTA[[#This Row],[ID_H]],NOTA[ID_H],0)))</f>
        <v/>
      </c>
      <c r="AJ234" s="38" t="str">
        <f ca="1">IF(NOTA[[#This Row],[NAMA BARANG]]="","",INDEX(NOTA[SUPPLIER],MATCH(,INDIRECT(ADDRESS(ROW(NOTA[ID]),COLUMN(NOTA[ID]))&amp;":"&amp;ADDRESS(ROW(),COLUMN(NOTA[ID]))),-1)))</f>
        <v/>
      </c>
      <c r="AK234" s="38" t="str">
        <f ca="1">IF(NOTA[[#This Row],[ID_H]]="","",IF(NOTA[[#This Row],[FAKTUR]]="",INDIRECT(ADDRESS(ROW()-1,COLUMN())),NOTA[[#This Row],[FAKTUR]]))</f>
        <v/>
      </c>
      <c r="AL234" s="35" t="str">
        <f ca="1">IF(NOTA[[#This Row],[ID]]="","",COUNTIF(NOTA[ID_H],NOTA[[#This Row],[ID_H]]))</f>
        <v/>
      </c>
      <c r="AM234" s="35" t="str">
        <f ca="1">IF(NOTA[[#This Row],[TGL.NOTA]]="",IF(NOTA[[#This Row],[SUPPLIER_H]]="","",AM233),MONTH(NOTA[[#This Row],[TGL.NOTA]]))</f>
        <v/>
      </c>
      <c r="AN2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4" s="35" t="str">
        <f>IF(NOTA[[#This Row],[CONCAT1]]="","",MATCH(NOTA[[#This Row],[CONCAT1]],[3]!db[NB NOTA_C],0))</f>
        <v/>
      </c>
      <c r="AS234" s="35" t="str">
        <f>IF(NOTA[[#This Row],[Column5]]="","",TRUE)</f>
        <v/>
      </c>
      <c r="AT234" s="35" t="str">
        <f ca="1">IF(NOTA[[#This Row],[ID_H]]="","",IF(NOTA[[#This Row],[Column3]]=TRUE,NOTA[[#This Row],[Column5]],INDEX([3]!db[QTY/ CTN],NOTA[[#This Row],[//DB]])))</f>
        <v/>
      </c>
      <c r="AU2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4" s="35" t="str">
        <f ca="1">IF(NOTA[[#This Row],[ID_H]]="","",MATCH(NOTA[[#This Row],[NB NOTA_C_QTY]],[3]!db[NB NOTA_C_QTY+F],0))</f>
        <v/>
      </c>
      <c r="AW234" s="43" t="str">
        <f ca="1">IF(NOTA[[#This Row],[NB NOTA_C_QTY]]="","",ROW()-2)</f>
        <v/>
      </c>
    </row>
    <row r="235" spans="1:49" ht="20.100000000000001" customHeight="1">
      <c r="A235" s="38">
        <f ca="1">IF(INDIRECT(ADDRESS(ROW()-1,COLUMN(NOTA[[#Headers],[ID]])))="ID",1,IF(NOTA[[#This Row],[FAKTUR]]="","",COUNT(INDIRECT(ADDRESS(ROW(NOTA[ID]),COLUMN(NOTA[ID]))&amp;":"&amp;ADDRESS(ROW()-1,COLUMN(NOTA[ID]))))+1))</f>
        <v>60</v>
      </c>
      <c r="B235" s="35">
        <f ca="1">IF(NOTA[[#This Row],[NAMA BARANG]]="","",INDEX(NOTA[ID],MATCH(,INDIRECT(ADDRESS(ROW(NOTA[ID]),COLUMN(NOTA[ID]))&amp;":"&amp;ADDRESS(ROW(),COLUMN(NOTA[ID]))),-1)))</f>
        <v>60</v>
      </c>
      <c r="C235" s="45"/>
      <c r="D235" s="35" t="s">
        <v>422</v>
      </c>
      <c r="E235" s="35" t="s">
        <v>49</v>
      </c>
      <c r="F235" s="46" t="s">
        <v>423</v>
      </c>
      <c r="G235" s="35"/>
      <c r="H235" s="36">
        <v>45490</v>
      </c>
      <c r="I235" s="35"/>
      <c r="J235" s="35" t="s">
        <v>424</v>
      </c>
      <c r="K235" s="37">
        <v>3</v>
      </c>
      <c r="L235" s="35">
        <v>900</v>
      </c>
      <c r="M235" s="35" t="s">
        <v>51</v>
      </c>
      <c r="N235" s="38">
        <v>7500</v>
      </c>
      <c r="O235" s="39"/>
      <c r="P235" s="47" t="s">
        <v>390</v>
      </c>
      <c r="Q235" s="48"/>
      <c r="R235" s="41"/>
      <c r="T235" s="42"/>
      <c r="U235" s="44"/>
      <c r="V235" s="42">
        <f>IF(NOTA[[#This Row],[HARGA/ CTN]]="",NOTA[[#This Row],[JUMLAH_H]],NOTA[[#This Row],[HARGA/ CTN]]*IF(NOTA[[#This Row],[C]]="",0,NOTA[[#This Row],[C]]))</f>
        <v>6750000</v>
      </c>
      <c r="W235" s="42">
        <f>IF(NOTA[[#This Row],[JUMLAH]]="","",NOTA[[#This Row],[JUMLAH]]*NOTA[[#This Row],[Column6]])</f>
        <v>0</v>
      </c>
      <c r="X235" s="42">
        <f>IF(NOTA[[#This Row],[JUMLAH]]="","",(NOTA[[#This Row],[JUMLAH]]-NOTA[[#This Row],[DISC 1-]])*NOTA[[#This Row],[Column7]])</f>
        <v>0</v>
      </c>
      <c r="Y235" s="42">
        <f>IF(NOTA[[#This Row],[JUMLAH]]="","",(NOTA[[#This Row],[JUMLAH]]-NOTA[[#This Row],[DISC 1-]]-NOTA[[#This Row],[DISC 2-]])*NOTA[[#This Row],[Column8]])</f>
        <v>0</v>
      </c>
      <c r="Z235" s="42">
        <f>IF(NOTA[[#This Row],[JUMLAH]]="","",NOTA[[#This Row],[DISC 1-]]+NOTA[[#This Row],[DISC 2-]]+NOTA[[#This Row],[DISC 3-]])</f>
        <v>0</v>
      </c>
      <c r="AA235" s="42">
        <f>IF(NOTA[[#This Row],[JUMLAH]]="","",NOTA[[#This Row],[JUMLAH]]-NOTA[[#This Row],[DISC]])</f>
        <v>6750000</v>
      </c>
      <c r="AB235" s="42"/>
      <c r="AC2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5" s="3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235" s="42">
        <f>IF(OR(NOTA[[#This Row],[QTY]]="",NOTA[[#This Row],[HARGA SATUAN]]="",),"",NOTA[[#This Row],[QTY]]*NOTA[[#This Row],[HARGA SATUAN]])</f>
        <v>6750000</v>
      </c>
      <c r="AG235" s="36">
        <f ca="1">IF(NOTA[[#This Row],[ID_H]]="","",INDEX(NOTA[TANGGAL],MATCH(,INDIRECT(ADDRESS(ROW(NOTA[TANGGAL]),COLUMN(NOTA[TANGGAL]))&amp;":"&amp;ADDRESS(ROW(),COLUMN(NOTA[TANGGAL]))),-1)))</f>
        <v>45497</v>
      </c>
      <c r="AH235" s="36">
        <f ca="1">IF(NOTA[[#This Row],[ID_H]]="","",INDEX(NOTA[TGL.NOTA],MATCH(,INDIRECT(ADDRESS(ROW(NOTA[TGL.NOTA]),COLUMN(NOTA[TGL.NOTA]))&amp;":"&amp;ADDRESS(ROW(),COLUMN(NOTA[TGL.NOTA]))),-1)))</f>
        <v>45490</v>
      </c>
      <c r="AI235" s="36" t="str">
        <f ca="1">IF(NOTA[[#This Row],[ID_H]]="","",INDEX(NOTA[NO.NOTA],MATCH(NOTA[[#This Row],[ID_H]],NOTA[ID_H],0)))</f>
        <v>030/B/VIII/24</v>
      </c>
      <c r="AJ235" s="38" t="str">
        <f ca="1">IF(NOTA[[#This Row],[NAMA BARANG]]="","",INDEX(NOTA[SUPPLIER],MATCH(,INDIRECT(ADDRESS(ROW(NOTA[ID]),COLUMN(NOTA[ID]))&amp;":"&amp;ADDRESS(ROW(),COLUMN(NOTA[ID]))),-1)))</f>
        <v>SMM</v>
      </c>
      <c r="AK235" s="38" t="str">
        <f ca="1">IF(NOTA[[#This Row],[ID_H]]="","",IF(NOTA[[#This Row],[FAKTUR]]="",INDIRECT(ADDRESS(ROW()-1,COLUMN())),NOTA[[#This Row],[FAKTUR]]))</f>
        <v>UNTANA</v>
      </c>
      <c r="AL235" s="35">
        <f ca="1">IF(NOTA[[#This Row],[ID]]="","",COUNTIF(NOTA[ID_H],NOTA[[#This Row],[ID_H]]))</f>
        <v>2</v>
      </c>
      <c r="AM235" s="35">
        <f>IF(NOTA[[#This Row],[TGL.NOTA]]="",IF(NOTA[[#This Row],[SUPPLIER_H]]="","",AM234),MONTH(NOTA[[#This Row],[TGL.NOTA]]))</f>
        <v>7</v>
      </c>
      <c r="AN235" s="35" t="str">
        <f>LOWER(SUBSTITUTE(SUBSTITUTE(SUBSTITUTE(SUBSTITUTE(SUBSTITUTE(SUBSTITUTE(SUBSTITUTE(SUBSTITUTE(SUBSTITUTE(NOTA[[#This Row],[NAMA BARANG]]," ",),".",""),"-",""),"(",""),")",""),",",""),"/",""),"""",""),"+",""))</f>
        <v>sempoa17barisjaya</v>
      </c>
      <c r="AO2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sempoa17barisjaya2250000</v>
      </c>
      <c r="AP2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sempoa17barisjaya2250000</v>
      </c>
      <c r="AQ235" s="35" t="str">
        <f>IF(NOTA[[#This Row],[SUPPLIER]]="","",NOTA[[#This Row],[SUPPLIER]]&amp;NOTA[[#This Row],[FAKTUR]]&amp;NOTA[[#This Row],[NO.NOTA]]&amp;NOTA[[#This Row],[NO.SJ]]&amp;NOTA[[#This Row],[TGL.NOTA]]&amp;NOTA[[#This Row],[CONCAT1]])</f>
        <v>SMMUNTANA030/B/VIII/2445490sempoa17barisjaya</v>
      </c>
      <c r="AR235" s="35">
        <f>IF(NOTA[[#This Row],[CONCAT1]]="","",MATCH(NOTA[[#This Row],[CONCAT1]],[3]!db[NB NOTA_C],0))</f>
        <v>2864</v>
      </c>
      <c r="AS235" s="35" t="b">
        <f>IF(NOTA[[#This Row],[Column5]]="","",TRUE)</f>
        <v>1</v>
      </c>
      <c r="AT235" s="35" t="str">
        <f ca="1">IF(NOTA[[#This Row],[ID_H]]="","",IF(NOTA[[#This Row],[Column3]]=TRUE,NOTA[[#This Row],[Column5]],INDEX([3]!db[QTY/ CTN],NOTA[[#This Row],[//DB]])))</f>
        <v>300 PCS</v>
      </c>
      <c r="AU2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sempoa17barisjaya300pcsuntana</v>
      </c>
      <c r="AV235" s="35">
        <f ca="1">IF(NOTA[[#This Row],[ID_H]]="","",MATCH(NOTA[[#This Row],[NB NOTA_C_QTY]],[3]!db[NB NOTA_C_QTY+F],0))</f>
        <v>2864</v>
      </c>
      <c r="AW235" s="43">
        <f ca="1">IF(NOTA[[#This Row],[NB NOTA_C_QTY]]="","",ROW()-2)</f>
        <v>233</v>
      </c>
    </row>
    <row r="236" spans="1:49" ht="20.100000000000001" customHeight="1">
      <c r="A2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5">
        <f ca="1">IF(NOTA[[#This Row],[NAMA BARANG]]="","",INDEX(NOTA[ID],MATCH(,INDIRECT(ADDRESS(ROW(NOTA[ID]),COLUMN(NOTA[ID]))&amp;":"&amp;ADDRESS(ROW(),COLUMN(NOTA[ID]))),-1)))</f>
        <v>60</v>
      </c>
      <c r="C236" s="45"/>
      <c r="F236" s="46"/>
      <c r="G236" s="35"/>
      <c r="H236" s="36"/>
      <c r="I236" s="35"/>
      <c r="J236" s="35" t="s">
        <v>425</v>
      </c>
      <c r="K236" s="37">
        <v>2</v>
      </c>
      <c r="L236" s="35">
        <v>600</v>
      </c>
      <c r="M236" s="35" t="s">
        <v>51</v>
      </c>
      <c r="N236" s="38">
        <v>7400</v>
      </c>
      <c r="O236" s="39"/>
      <c r="P236" s="47" t="s">
        <v>390</v>
      </c>
      <c r="Q236" s="48"/>
      <c r="R236" s="41"/>
      <c r="T236" s="42"/>
      <c r="U236" s="44"/>
      <c r="V236" s="42">
        <f>IF(NOTA[[#This Row],[HARGA/ CTN]]="",NOTA[[#This Row],[JUMLAH_H]],NOTA[[#This Row],[HARGA/ CTN]]*IF(NOTA[[#This Row],[C]]="",0,NOTA[[#This Row],[C]]))</f>
        <v>4440000</v>
      </c>
      <c r="W236" s="42">
        <f>IF(NOTA[[#This Row],[JUMLAH]]="","",NOTA[[#This Row],[JUMLAH]]*NOTA[[#This Row],[Column6]])</f>
        <v>0</v>
      </c>
      <c r="X236" s="42">
        <f>IF(NOTA[[#This Row],[JUMLAH]]="","",(NOTA[[#This Row],[JUMLAH]]-NOTA[[#This Row],[DISC 1-]])*NOTA[[#This Row],[Column7]])</f>
        <v>0</v>
      </c>
      <c r="Y236" s="42">
        <f>IF(NOTA[[#This Row],[JUMLAH]]="","",(NOTA[[#This Row],[JUMLAH]]-NOTA[[#This Row],[DISC 1-]]-NOTA[[#This Row],[DISC 2-]])*NOTA[[#This Row],[Column8]])</f>
        <v>0</v>
      </c>
      <c r="Z236" s="42">
        <f>IF(NOTA[[#This Row],[JUMLAH]]="","",NOTA[[#This Row],[DISC 1-]]+NOTA[[#This Row],[DISC 2-]]+NOTA[[#This Row],[DISC 3-]])</f>
        <v>0</v>
      </c>
      <c r="AA236" s="42">
        <f>IF(NOTA[[#This Row],[JUMLAH]]="","",NOTA[[#This Row],[JUMLAH]]-NOTA[[#This Row],[DISC]])</f>
        <v>4440000</v>
      </c>
      <c r="AB236" s="42"/>
      <c r="AC23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3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11190000</v>
      </c>
      <c r="AE236" s="38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F236" s="42">
        <f>IF(OR(NOTA[[#This Row],[QTY]]="",NOTA[[#This Row],[HARGA SATUAN]]="",),"",NOTA[[#This Row],[QTY]]*NOTA[[#This Row],[HARGA SATUAN]])</f>
        <v>4440000</v>
      </c>
      <c r="AG236" s="36">
        <f ca="1">IF(NOTA[[#This Row],[ID_H]]="","",INDEX(NOTA[TANGGAL],MATCH(,INDIRECT(ADDRESS(ROW(NOTA[TANGGAL]),COLUMN(NOTA[TANGGAL]))&amp;":"&amp;ADDRESS(ROW(),COLUMN(NOTA[TANGGAL]))),-1)))</f>
        <v>45497</v>
      </c>
      <c r="AH236" s="36">
        <f ca="1">IF(NOTA[[#This Row],[ID_H]]="","",INDEX(NOTA[TGL.NOTA],MATCH(,INDIRECT(ADDRESS(ROW(NOTA[TGL.NOTA]),COLUMN(NOTA[TGL.NOTA]))&amp;":"&amp;ADDRESS(ROW(),COLUMN(NOTA[TGL.NOTA]))),-1)))</f>
        <v>45490</v>
      </c>
      <c r="AI236" s="36" t="str">
        <f ca="1">IF(NOTA[[#This Row],[ID_H]]="","",INDEX(NOTA[NO.NOTA],MATCH(NOTA[[#This Row],[ID_H]],NOTA[ID_H],0)))</f>
        <v>030/B/VIII/24</v>
      </c>
      <c r="AJ236" s="38" t="str">
        <f ca="1">IF(NOTA[[#This Row],[NAMA BARANG]]="","",INDEX(NOTA[SUPPLIER],MATCH(,INDIRECT(ADDRESS(ROW(NOTA[ID]),COLUMN(NOTA[ID]))&amp;":"&amp;ADDRESS(ROW(),COLUMN(NOTA[ID]))),-1)))</f>
        <v>SMM</v>
      </c>
      <c r="AK236" s="38" t="str">
        <f ca="1">IF(NOTA[[#This Row],[ID_H]]="","",IF(NOTA[[#This Row],[FAKTUR]]="",INDIRECT(ADDRESS(ROW()-1,COLUMN())),NOTA[[#This Row],[FAKTUR]]))</f>
        <v>UNTANA</v>
      </c>
      <c r="AL236" s="35" t="str">
        <f ca="1">IF(NOTA[[#This Row],[ID]]="","",COUNTIF(NOTA[ID_H],NOTA[[#This Row],[ID_H]]))</f>
        <v/>
      </c>
      <c r="AM236" s="35">
        <f ca="1">IF(NOTA[[#This Row],[TGL.NOTA]]="",IF(NOTA[[#This Row],[SUPPLIER_H]]="","",AM235),MONTH(NOTA[[#This Row],[TGL.NOTA]]))</f>
        <v>7</v>
      </c>
      <c r="AN236" s="35" t="str">
        <f>LOWER(SUBSTITUTE(SUBSTITUTE(SUBSTITUTE(SUBSTITUTE(SUBSTITUTE(SUBSTITUTE(SUBSTITUTE(SUBSTITUTE(SUBSTITUTE(NOTA[[#This Row],[NAMA BARANG]]," ",),".",""),"-",""),"(",""),")",""),",",""),"/",""),"""",""),"+",""))</f>
        <v>sempoa13barisjaya</v>
      </c>
      <c r="AO2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sempoa13barisjaya2220000</v>
      </c>
      <c r="AP2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sempoa13barisjaya2220000</v>
      </c>
      <c r="AQ2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6" s="35">
        <f>IF(NOTA[[#This Row],[CONCAT1]]="","",MATCH(NOTA[[#This Row],[CONCAT1]],[3]!db[NB NOTA_C],0))</f>
        <v>2865</v>
      </c>
      <c r="AS236" s="35" t="b">
        <f>IF(NOTA[[#This Row],[Column5]]="","",TRUE)</f>
        <v>1</v>
      </c>
      <c r="AT236" s="35" t="str">
        <f ca="1">IF(NOTA[[#This Row],[ID_H]]="","",IF(NOTA[[#This Row],[Column3]]=TRUE,NOTA[[#This Row],[Column5]],INDEX([3]!db[QTY/ CTN],NOTA[[#This Row],[//DB]])))</f>
        <v>300 PCS</v>
      </c>
      <c r="AU2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sempoa13barisjaya300pcsuntana</v>
      </c>
      <c r="AV236" s="35">
        <f ca="1">IF(NOTA[[#This Row],[ID_H]]="","",MATCH(NOTA[[#This Row],[NB NOTA_C_QTY]],[3]!db[NB NOTA_C_QTY+F],0))</f>
        <v>2865</v>
      </c>
      <c r="AW236" s="43">
        <f ca="1">IF(NOTA[[#This Row],[NB NOTA_C_QTY]]="","",ROW()-2)</f>
        <v>234</v>
      </c>
    </row>
    <row r="237" spans="1:49" ht="20.100000000000001" customHeight="1">
      <c r="A2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5" t="str">
        <f ca="1">IF(NOTA[[#This Row],[NAMA BARANG]]="","",INDEX(NOTA[ID],MATCH(,INDIRECT(ADDRESS(ROW(NOTA[ID]),COLUMN(NOTA[ID]))&amp;":"&amp;ADDRESS(ROW(),COLUMN(NOTA[ID]))),-1)))</f>
        <v/>
      </c>
      <c r="C237" s="45"/>
      <c r="F237" s="46"/>
      <c r="G237" s="35"/>
      <c r="H237" s="36"/>
      <c r="I237" s="35"/>
      <c r="K237" s="37"/>
      <c r="L237" s="35"/>
      <c r="N237" s="38"/>
      <c r="O237" s="39"/>
      <c r="P237" s="47"/>
      <c r="Q237" s="48"/>
      <c r="R237" s="41"/>
      <c r="T237" s="42"/>
      <c r="U237" s="44"/>
      <c r="V237" s="42" t="str">
        <f>IF(NOTA[[#This Row],[HARGA/ CTN]]="",NOTA[[#This Row],[JUMLAH_H]],NOTA[[#This Row],[HARGA/ CTN]]*IF(NOTA[[#This Row],[C]]="",0,NOTA[[#This Row],[C]]))</f>
        <v/>
      </c>
      <c r="W237" s="42" t="str">
        <f>IF(NOTA[[#This Row],[JUMLAH]]="","",NOTA[[#This Row],[JUMLAH]]*NOTA[[#This Row],[Column6]])</f>
        <v/>
      </c>
      <c r="X237" s="42" t="str">
        <f>IF(NOTA[[#This Row],[JUMLAH]]="","",(NOTA[[#This Row],[JUMLAH]]-NOTA[[#This Row],[DISC 1-]])*NOTA[[#This Row],[Column7]])</f>
        <v/>
      </c>
      <c r="Y237" s="42" t="str">
        <f>IF(NOTA[[#This Row],[JUMLAH]]="","",(NOTA[[#This Row],[JUMLAH]]-NOTA[[#This Row],[DISC 1-]]-NOTA[[#This Row],[DISC 2-]])*NOTA[[#This Row],[Column8]])</f>
        <v/>
      </c>
      <c r="Z237" s="42" t="str">
        <f>IF(NOTA[[#This Row],[JUMLAH]]="","",NOTA[[#This Row],[DISC 1-]]+NOTA[[#This Row],[DISC 2-]]+NOTA[[#This Row],[DISC 3-]])</f>
        <v/>
      </c>
      <c r="AA237" s="42" t="str">
        <f>IF(NOTA[[#This Row],[JUMLAH]]="","",NOTA[[#This Row],[JUMLAH]]-NOTA[[#This Row],[DISC]])</f>
        <v/>
      </c>
      <c r="AB237" s="42"/>
      <c r="AC2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7" s="42" t="str">
        <f>IF(OR(NOTA[[#This Row],[QTY]]="",NOTA[[#This Row],[HARGA SATUAN]]="",),"",NOTA[[#This Row],[QTY]]*NOTA[[#This Row],[HARGA SATUAN]])</f>
        <v/>
      </c>
      <c r="AG237" s="36" t="str">
        <f ca="1">IF(NOTA[[#This Row],[ID_H]]="","",INDEX(NOTA[TANGGAL],MATCH(,INDIRECT(ADDRESS(ROW(NOTA[TANGGAL]),COLUMN(NOTA[TANGGAL]))&amp;":"&amp;ADDRESS(ROW(),COLUMN(NOTA[TANGGAL]))),-1)))</f>
        <v/>
      </c>
      <c r="AH237" s="36" t="str">
        <f ca="1">IF(NOTA[[#This Row],[ID_H]]="","",INDEX(NOTA[TGL.NOTA],MATCH(,INDIRECT(ADDRESS(ROW(NOTA[TGL.NOTA]),COLUMN(NOTA[TGL.NOTA]))&amp;":"&amp;ADDRESS(ROW(),COLUMN(NOTA[TGL.NOTA]))),-1)))</f>
        <v/>
      </c>
      <c r="AI237" s="36" t="str">
        <f ca="1">IF(NOTA[[#This Row],[ID_H]]="","",INDEX(NOTA[NO.NOTA],MATCH(NOTA[[#This Row],[ID_H]],NOTA[ID_H],0)))</f>
        <v/>
      </c>
      <c r="AJ237" s="38" t="str">
        <f ca="1">IF(NOTA[[#This Row],[NAMA BARANG]]="","",INDEX(NOTA[SUPPLIER],MATCH(,INDIRECT(ADDRESS(ROW(NOTA[ID]),COLUMN(NOTA[ID]))&amp;":"&amp;ADDRESS(ROW(),COLUMN(NOTA[ID]))),-1)))</f>
        <v/>
      </c>
      <c r="AK237" s="38" t="str">
        <f ca="1">IF(NOTA[[#This Row],[ID_H]]="","",IF(NOTA[[#This Row],[FAKTUR]]="",INDIRECT(ADDRESS(ROW()-1,COLUMN())),NOTA[[#This Row],[FAKTUR]]))</f>
        <v/>
      </c>
      <c r="AL237" s="35" t="str">
        <f ca="1">IF(NOTA[[#This Row],[ID]]="","",COUNTIF(NOTA[ID_H],NOTA[[#This Row],[ID_H]]))</f>
        <v/>
      </c>
      <c r="AM237" s="35" t="str">
        <f ca="1">IF(NOTA[[#This Row],[TGL.NOTA]]="",IF(NOTA[[#This Row],[SUPPLIER_H]]="","",AM236),MONTH(NOTA[[#This Row],[TGL.NOTA]]))</f>
        <v/>
      </c>
      <c r="AN2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7" s="35" t="str">
        <f>IF(NOTA[[#This Row],[CONCAT1]]="","",MATCH(NOTA[[#This Row],[CONCAT1]],[3]!db[NB NOTA_C],0))</f>
        <v/>
      </c>
      <c r="AS237" s="35" t="str">
        <f>IF(NOTA[[#This Row],[Column5]]="","",TRUE)</f>
        <v/>
      </c>
      <c r="AT237" s="35" t="str">
        <f ca="1">IF(NOTA[[#This Row],[ID_H]]="","",IF(NOTA[[#This Row],[Column3]]=TRUE,NOTA[[#This Row],[Column5]],INDEX([3]!db[QTY/ CTN],NOTA[[#This Row],[//DB]])))</f>
        <v/>
      </c>
      <c r="AU2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37" s="35" t="str">
        <f ca="1">IF(NOTA[[#This Row],[ID_H]]="","",MATCH(NOTA[[#This Row],[NB NOTA_C_QTY]],[3]!db[NB NOTA_C_QTY+F],0))</f>
        <v/>
      </c>
      <c r="AW237" s="43" t="str">
        <f ca="1">IF(NOTA[[#This Row],[NB NOTA_C_QTY]]="","",ROW()-2)</f>
        <v/>
      </c>
    </row>
    <row r="238" spans="1:49" ht="20.100000000000001" customHeight="1">
      <c r="A238" s="38">
        <f ca="1">IF(INDIRECT(ADDRESS(ROW()-1,COLUMN(NOTA[[#Headers],[ID]])))="ID",1,IF(NOTA[[#This Row],[FAKTUR]]="","",COUNT(INDIRECT(ADDRESS(ROW(NOTA[ID]),COLUMN(NOTA[ID]))&amp;":"&amp;ADDRESS(ROW()-1,COLUMN(NOTA[ID]))))+1))</f>
        <v>61</v>
      </c>
      <c r="B238" s="35">
        <f ca="1">IF(NOTA[[#This Row],[NAMA BARANG]]="","",INDEX(NOTA[ID],MATCH(,INDIRECT(ADDRESS(ROW(NOTA[ID]),COLUMN(NOTA[ID]))&amp;":"&amp;ADDRESS(ROW(),COLUMN(NOTA[ID]))),-1)))</f>
        <v>61</v>
      </c>
      <c r="C238" s="45">
        <v>45498</v>
      </c>
      <c r="D238" s="35" t="s">
        <v>243</v>
      </c>
      <c r="E238" s="35" t="s">
        <v>49</v>
      </c>
      <c r="F238" s="46" t="s">
        <v>431</v>
      </c>
      <c r="G238" s="35"/>
      <c r="H238" s="36">
        <v>45496</v>
      </c>
      <c r="I238" s="35"/>
      <c r="J238" s="35" t="s">
        <v>432</v>
      </c>
      <c r="K238" s="37">
        <v>7</v>
      </c>
      <c r="L238" s="35">
        <v>840</v>
      </c>
      <c r="M238" s="35" t="s">
        <v>51</v>
      </c>
      <c r="N238" s="38"/>
      <c r="O238" s="39"/>
      <c r="P238" s="47" t="s">
        <v>315</v>
      </c>
      <c r="Q238" s="48"/>
      <c r="R238" s="41"/>
      <c r="T238" s="42"/>
      <c r="U238" s="44" t="s">
        <v>433</v>
      </c>
      <c r="V238" s="42" t="str">
        <f>IF(NOTA[[#This Row],[HARGA/ CTN]]="",NOTA[[#This Row],[JUMLAH_H]],NOTA[[#This Row],[HARGA/ CTN]]*IF(NOTA[[#This Row],[C]]="",0,NOTA[[#This Row],[C]]))</f>
        <v/>
      </c>
      <c r="W238" s="42" t="str">
        <f>IF(NOTA[[#This Row],[JUMLAH]]="","",NOTA[[#This Row],[JUMLAH]]*NOTA[[#This Row],[Column6]])</f>
        <v/>
      </c>
      <c r="X238" s="42" t="str">
        <f>IF(NOTA[[#This Row],[JUMLAH]]="","",(NOTA[[#This Row],[JUMLAH]]-NOTA[[#This Row],[DISC 1-]])*NOTA[[#This Row],[Column7]])</f>
        <v/>
      </c>
      <c r="Y238" s="42" t="str">
        <f>IF(NOTA[[#This Row],[JUMLAH]]="","",(NOTA[[#This Row],[JUMLAH]]-NOTA[[#This Row],[DISC 1-]]-NOTA[[#This Row],[DISC 2-]])*NOTA[[#This Row],[Column8]])</f>
        <v/>
      </c>
      <c r="Z238" s="42" t="str">
        <f>IF(NOTA[[#This Row],[JUMLAH]]="","",NOTA[[#This Row],[DISC 1-]]+NOTA[[#This Row],[DISC 2-]]+NOTA[[#This Row],[DISC 3-]])</f>
        <v/>
      </c>
      <c r="AA238" s="42" t="str">
        <f>IF(NOTA[[#This Row],[JUMLAH]]="","",NOTA[[#This Row],[JUMLAH]]-NOTA[[#This Row],[DISC]])</f>
        <v/>
      </c>
      <c r="AB238" s="42"/>
      <c r="AC2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8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38" s="42" t="str">
        <f>IF(OR(NOTA[[#This Row],[QTY]]="",NOTA[[#This Row],[HARGA SATUAN]]="",),"",NOTA[[#This Row],[QTY]]*NOTA[[#This Row],[HARGA SATUAN]])</f>
        <v/>
      </c>
      <c r="AG238" s="36">
        <f ca="1">IF(NOTA[[#This Row],[ID_H]]="","",INDEX(NOTA[TANGGAL],MATCH(,INDIRECT(ADDRESS(ROW(NOTA[TANGGAL]),COLUMN(NOTA[TANGGAL]))&amp;":"&amp;ADDRESS(ROW(),COLUMN(NOTA[TANGGAL]))),-1)))</f>
        <v>45498</v>
      </c>
      <c r="AH238" s="36">
        <f ca="1">IF(NOTA[[#This Row],[ID_H]]="","",INDEX(NOTA[TGL.NOTA],MATCH(,INDIRECT(ADDRESS(ROW(NOTA[TGL.NOTA]),COLUMN(NOTA[TGL.NOTA]))&amp;":"&amp;ADDRESS(ROW(),COLUMN(NOTA[TGL.NOTA]))),-1)))</f>
        <v>45496</v>
      </c>
      <c r="AI238" s="36" t="str">
        <f ca="1">IF(NOTA[[#This Row],[ID_H]]="","",INDEX(NOTA[NO.NOTA],MATCH(NOTA[[#This Row],[ID_H]],NOTA[ID_H],0)))</f>
        <v>TH034/7/2024</v>
      </c>
      <c r="AJ238" s="38" t="str">
        <f ca="1">IF(NOTA[[#This Row],[NAMA BARANG]]="","",INDEX(NOTA[SUPPLIER],MATCH(,INDIRECT(ADDRESS(ROW(NOTA[ID]),COLUMN(NOTA[ID]))&amp;":"&amp;ADDRESS(ROW(),COLUMN(NOTA[ID]))),-1)))</f>
        <v>SBS</v>
      </c>
      <c r="AK238" s="38" t="str">
        <f ca="1">IF(NOTA[[#This Row],[ID_H]]="","",IF(NOTA[[#This Row],[FAKTUR]]="",INDIRECT(ADDRESS(ROW()-1,COLUMN())),NOTA[[#This Row],[FAKTUR]]))</f>
        <v>UNTANA</v>
      </c>
      <c r="AL238" s="35">
        <f ca="1">IF(NOTA[[#This Row],[ID]]="","",COUNTIF(NOTA[ID_H],NOTA[[#This Row],[ID_H]]))</f>
        <v>10</v>
      </c>
      <c r="AM238" s="35">
        <f>IF(NOTA[[#This Row],[TGL.NOTA]]="",IF(NOTA[[#This Row],[SUPPLIER_H]]="","",AM237),MONTH(NOTA[[#This Row],[TGL.NOTA]]))</f>
        <v>7</v>
      </c>
      <c r="AN238" s="35" t="str">
        <f>LOWER(SUBSTITUTE(SUBSTITUTE(SUBSTITUTE(SUBSTITUTE(SUBSTITUTE(SUBSTITUTE(SUBSTITUTE(SUBSTITUTE(SUBSTITUTE(NOTA[[#This Row],[NAMA BARANG]]," ",),".",""),"-",""),"(",""),")",""),",",""),"/",""),"""",""),"+",""))</f>
        <v>peruncingpayupu823miniayam</v>
      </c>
      <c r="AO2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peruncingpayupu823miniayam0</v>
      </c>
      <c r="AP2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peruncingpayupu823miniayam0</v>
      </c>
      <c r="AQ238" s="35" t="str">
        <f>IF(NOTA[[#This Row],[SUPPLIER]]="","",NOTA[[#This Row],[SUPPLIER]]&amp;NOTA[[#This Row],[FAKTUR]]&amp;NOTA[[#This Row],[NO.NOTA]]&amp;NOTA[[#This Row],[NO.SJ]]&amp;NOTA[[#This Row],[TGL.NOTA]]&amp;NOTA[[#This Row],[CONCAT1]])</f>
        <v>SBSUNTANATH034/7/202445496peruncingpayupu823miniayam</v>
      </c>
      <c r="AR238" s="35">
        <f>IF(NOTA[[#This Row],[CONCAT1]]="","",MATCH(NOTA[[#This Row],[CONCAT1]],[3]!db[NB NOTA_C],0))</f>
        <v>2713</v>
      </c>
      <c r="AS238" s="35" t="b">
        <f>IF(NOTA[[#This Row],[Column5]]="","",TRUE)</f>
        <v>1</v>
      </c>
      <c r="AT238" s="35" t="str">
        <f ca="1">IF(NOTA[[#This Row],[ID_H]]="","",IF(NOTA[[#This Row],[Column3]]=TRUE,NOTA[[#This Row],[Column5]],INDEX([3]!db[QTY/ CTN],NOTA[[#This Row],[//DB]])))</f>
        <v>120 PCS</v>
      </c>
      <c r="AU2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peruncingpayupu823miniayam120pcsuntana</v>
      </c>
      <c r="AV238" s="35" t="e">
        <f ca="1">IF(NOTA[[#This Row],[ID_H]]="","",MATCH(NOTA[[#This Row],[NB NOTA_C_QTY]],[3]!db[NB NOTA_C_QTY+F],0))</f>
        <v>#N/A</v>
      </c>
      <c r="AW238" s="43">
        <f ca="1">IF(NOTA[[#This Row],[NB NOTA_C_QTY]]="","",ROW()-2)</f>
        <v>236</v>
      </c>
    </row>
    <row r="239" spans="1:49" ht="20.100000000000001" customHeight="1">
      <c r="A2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5">
        <f ca="1">IF(NOTA[[#This Row],[NAMA BARANG]]="","",INDEX(NOTA[ID],MATCH(,INDIRECT(ADDRESS(ROW(NOTA[ID]),COLUMN(NOTA[ID]))&amp;":"&amp;ADDRESS(ROW(),COLUMN(NOTA[ID]))),-1)))</f>
        <v>61</v>
      </c>
      <c r="C239" s="45"/>
      <c r="F239" s="46"/>
      <c r="G239" s="35"/>
      <c r="H239" s="36"/>
      <c r="I239" s="35"/>
      <c r="J239" s="35" t="s">
        <v>434</v>
      </c>
      <c r="K239" s="37">
        <v>5</v>
      </c>
      <c r="L239" s="35">
        <v>600</v>
      </c>
      <c r="M239" s="35" t="s">
        <v>51</v>
      </c>
      <c r="N239" s="38"/>
      <c r="O239" s="39"/>
      <c r="P239" s="47" t="s">
        <v>315</v>
      </c>
      <c r="Q239" s="48"/>
      <c r="R239" s="41"/>
      <c r="T239" s="42"/>
      <c r="U239" s="44" t="s">
        <v>433</v>
      </c>
      <c r="V239" s="42" t="str">
        <f>IF(NOTA[[#This Row],[HARGA/ CTN]]="",NOTA[[#This Row],[JUMLAH_H]],NOTA[[#This Row],[HARGA/ CTN]]*IF(NOTA[[#This Row],[C]]="",0,NOTA[[#This Row],[C]]))</f>
        <v/>
      </c>
      <c r="W239" s="42" t="str">
        <f>IF(NOTA[[#This Row],[JUMLAH]]="","",NOTA[[#This Row],[JUMLAH]]*NOTA[[#This Row],[Column6]])</f>
        <v/>
      </c>
      <c r="X239" s="42" t="str">
        <f>IF(NOTA[[#This Row],[JUMLAH]]="","",(NOTA[[#This Row],[JUMLAH]]-NOTA[[#This Row],[DISC 1-]])*NOTA[[#This Row],[Column7]])</f>
        <v/>
      </c>
      <c r="Y239" s="42" t="str">
        <f>IF(NOTA[[#This Row],[JUMLAH]]="","",(NOTA[[#This Row],[JUMLAH]]-NOTA[[#This Row],[DISC 1-]]-NOTA[[#This Row],[DISC 2-]])*NOTA[[#This Row],[Column8]])</f>
        <v/>
      </c>
      <c r="Z239" s="42" t="str">
        <f>IF(NOTA[[#This Row],[JUMLAH]]="","",NOTA[[#This Row],[DISC 1-]]+NOTA[[#This Row],[DISC 2-]]+NOTA[[#This Row],[DISC 3-]])</f>
        <v/>
      </c>
      <c r="AA239" s="42" t="str">
        <f>IF(NOTA[[#This Row],[JUMLAH]]="","",NOTA[[#This Row],[JUMLAH]]-NOTA[[#This Row],[DISC]])</f>
        <v/>
      </c>
      <c r="AB239" s="42"/>
      <c r="AC2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39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39" s="42" t="str">
        <f>IF(OR(NOTA[[#This Row],[QTY]]="",NOTA[[#This Row],[HARGA SATUAN]]="",),"",NOTA[[#This Row],[QTY]]*NOTA[[#This Row],[HARGA SATUAN]])</f>
        <v/>
      </c>
      <c r="AG239" s="36">
        <f ca="1">IF(NOTA[[#This Row],[ID_H]]="","",INDEX(NOTA[TANGGAL],MATCH(,INDIRECT(ADDRESS(ROW(NOTA[TANGGAL]),COLUMN(NOTA[TANGGAL]))&amp;":"&amp;ADDRESS(ROW(),COLUMN(NOTA[TANGGAL]))),-1)))</f>
        <v>45498</v>
      </c>
      <c r="AH239" s="36">
        <f ca="1">IF(NOTA[[#This Row],[ID_H]]="","",INDEX(NOTA[TGL.NOTA],MATCH(,INDIRECT(ADDRESS(ROW(NOTA[TGL.NOTA]),COLUMN(NOTA[TGL.NOTA]))&amp;":"&amp;ADDRESS(ROW(),COLUMN(NOTA[TGL.NOTA]))),-1)))</f>
        <v>45496</v>
      </c>
      <c r="AI239" s="36" t="str">
        <f ca="1">IF(NOTA[[#This Row],[ID_H]]="","",INDEX(NOTA[NO.NOTA],MATCH(NOTA[[#This Row],[ID_H]],NOTA[ID_H],0)))</f>
        <v>TH034/7/2024</v>
      </c>
      <c r="AJ239" s="38" t="str">
        <f ca="1">IF(NOTA[[#This Row],[NAMA BARANG]]="","",INDEX(NOTA[SUPPLIER],MATCH(,INDIRECT(ADDRESS(ROW(NOTA[ID]),COLUMN(NOTA[ID]))&amp;":"&amp;ADDRESS(ROW(),COLUMN(NOTA[ID]))),-1)))</f>
        <v>SBS</v>
      </c>
      <c r="AK239" s="38" t="str">
        <f ca="1">IF(NOTA[[#This Row],[ID_H]]="","",IF(NOTA[[#This Row],[FAKTUR]]="",INDIRECT(ADDRESS(ROW()-1,COLUMN())),NOTA[[#This Row],[FAKTUR]]))</f>
        <v>UNTANA</v>
      </c>
      <c r="AL239" s="35" t="str">
        <f ca="1">IF(NOTA[[#This Row],[ID]]="","",COUNTIF(NOTA[ID_H],NOTA[[#This Row],[ID_H]]))</f>
        <v/>
      </c>
      <c r="AM239" s="35">
        <f ca="1">IF(NOTA[[#This Row],[TGL.NOTA]]="",IF(NOTA[[#This Row],[SUPPLIER_H]]="","",AM238),MONTH(NOTA[[#This Row],[TGL.NOTA]]))</f>
        <v>7</v>
      </c>
      <c r="AN239" s="35" t="str">
        <f>LOWER(SUBSTITUTE(SUBSTITUTE(SUBSTITUTE(SUBSTITUTE(SUBSTITUTE(SUBSTITUTE(SUBSTITUTE(SUBSTITUTE(SUBSTITUTE(NOTA[[#This Row],[NAMA BARANG]]," ",),".",""),"-",""),"(",""),")",""),",",""),"/",""),"""",""),"+",""))</f>
        <v>peruncingpayupu830minikupu</v>
      </c>
      <c r="AO2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peruncingpayupu830minikupu0</v>
      </c>
      <c r="AP2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peruncingpayupu830minikupu0</v>
      </c>
      <c r="AQ2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9" s="35">
        <f>IF(NOTA[[#This Row],[CONCAT1]]="","",MATCH(NOTA[[#This Row],[CONCAT1]],[3]!db[NB NOTA_C],0))</f>
        <v>2718</v>
      </c>
      <c r="AS239" s="35" t="b">
        <f>IF(NOTA[[#This Row],[Column5]]="","",TRUE)</f>
        <v>1</v>
      </c>
      <c r="AT239" s="35" t="str">
        <f ca="1">IF(NOTA[[#This Row],[ID_H]]="","",IF(NOTA[[#This Row],[Column3]]=TRUE,NOTA[[#This Row],[Column5]],INDEX([3]!db[QTY/ CTN],NOTA[[#This Row],[//DB]])))</f>
        <v>120 PCS</v>
      </c>
      <c r="AU2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peruncingpayupu830minikupu120pcsuntana</v>
      </c>
      <c r="AV239" s="35" t="e">
        <f ca="1">IF(NOTA[[#This Row],[ID_H]]="","",MATCH(NOTA[[#This Row],[NB NOTA_C_QTY]],[3]!db[NB NOTA_C_QTY+F],0))</f>
        <v>#N/A</v>
      </c>
      <c r="AW239" s="43">
        <f ca="1">IF(NOTA[[#This Row],[NB NOTA_C_QTY]]="","",ROW()-2)</f>
        <v>237</v>
      </c>
    </row>
    <row r="240" spans="1:49" ht="20.100000000000001" customHeight="1">
      <c r="A2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5">
        <f ca="1">IF(NOTA[[#This Row],[NAMA BARANG]]="","",INDEX(NOTA[ID],MATCH(,INDIRECT(ADDRESS(ROW(NOTA[ID]),COLUMN(NOTA[ID]))&amp;":"&amp;ADDRESS(ROW(),COLUMN(NOTA[ID]))),-1)))</f>
        <v>61</v>
      </c>
      <c r="C240" s="45"/>
      <c r="F240" s="46"/>
      <c r="G240" s="35"/>
      <c r="H240" s="36"/>
      <c r="I240" s="35"/>
      <c r="J240" s="35" t="s">
        <v>435</v>
      </c>
      <c r="K240" s="37">
        <v>5</v>
      </c>
      <c r="L240" s="35">
        <v>600</v>
      </c>
      <c r="M240" s="35" t="s">
        <v>51</v>
      </c>
      <c r="N240" s="38"/>
      <c r="O240" s="39"/>
      <c r="P240" s="47" t="s">
        <v>315</v>
      </c>
      <c r="Q240" s="48"/>
      <c r="R240" s="41"/>
      <c r="T240" s="42"/>
      <c r="U240" s="44" t="s">
        <v>433</v>
      </c>
      <c r="V240" s="42" t="str">
        <f>IF(NOTA[[#This Row],[HARGA/ CTN]]="",NOTA[[#This Row],[JUMLAH_H]],NOTA[[#This Row],[HARGA/ CTN]]*IF(NOTA[[#This Row],[C]]="",0,NOTA[[#This Row],[C]]))</f>
        <v/>
      </c>
      <c r="W240" s="42" t="str">
        <f>IF(NOTA[[#This Row],[JUMLAH]]="","",NOTA[[#This Row],[JUMLAH]]*NOTA[[#This Row],[Column6]])</f>
        <v/>
      </c>
      <c r="X240" s="42" t="str">
        <f>IF(NOTA[[#This Row],[JUMLAH]]="","",(NOTA[[#This Row],[JUMLAH]]-NOTA[[#This Row],[DISC 1-]])*NOTA[[#This Row],[Column7]])</f>
        <v/>
      </c>
      <c r="Y240" s="42" t="str">
        <f>IF(NOTA[[#This Row],[JUMLAH]]="","",(NOTA[[#This Row],[JUMLAH]]-NOTA[[#This Row],[DISC 1-]]-NOTA[[#This Row],[DISC 2-]])*NOTA[[#This Row],[Column8]])</f>
        <v/>
      </c>
      <c r="Z240" s="42" t="str">
        <f>IF(NOTA[[#This Row],[JUMLAH]]="","",NOTA[[#This Row],[DISC 1-]]+NOTA[[#This Row],[DISC 2-]]+NOTA[[#This Row],[DISC 3-]])</f>
        <v/>
      </c>
      <c r="AA240" s="42" t="str">
        <f>IF(NOTA[[#This Row],[JUMLAH]]="","",NOTA[[#This Row],[JUMLAH]]-NOTA[[#This Row],[DISC]])</f>
        <v/>
      </c>
      <c r="AB240" s="42"/>
      <c r="AC2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0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0" s="42" t="str">
        <f>IF(OR(NOTA[[#This Row],[QTY]]="",NOTA[[#This Row],[HARGA SATUAN]]="",),"",NOTA[[#This Row],[QTY]]*NOTA[[#This Row],[HARGA SATUAN]])</f>
        <v/>
      </c>
      <c r="AG240" s="36">
        <f ca="1">IF(NOTA[[#This Row],[ID_H]]="","",INDEX(NOTA[TANGGAL],MATCH(,INDIRECT(ADDRESS(ROW(NOTA[TANGGAL]),COLUMN(NOTA[TANGGAL]))&amp;":"&amp;ADDRESS(ROW(),COLUMN(NOTA[TANGGAL]))),-1)))</f>
        <v>45498</v>
      </c>
      <c r="AH240" s="36">
        <f ca="1">IF(NOTA[[#This Row],[ID_H]]="","",INDEX(NOTA[TGL.NOTA],MATCH(,INDIRECT(ADDRESS(ROW(NOTA[TGL.NOTA]),COLUMN(NOTA[TGL.NOTA]))&amp;":"&amp;ADDRESS(ROW(),COLUMN(NOTA[TGL.NOTA]))),-1)))</f>
        <v>45496</v>
      </c>
      <c r="AI240" s="36" t="str">
        <f ca="1">IF(NOTA[[#This Row],[ID_H]]="","",INDEX(NOTA[NO.NOTA],MATCH(NOTA[[#This Row],[ID_H]],NOTA[ID_H],0)))</f>
        <v>TH034/7/2024</v>
      </c>
      <c r="AJ240" s="38" t="str">
        <f ca="1">IF(NOTA[[#This Row],[NAMA BARANG]]="","",INDEX(NOTA[SUPPLIER],MATCH(,INDIRECT(ADDRESS(ROW(NOTA[ID]),COLUMN(NOTA[ID]))&amp;":"&amp;ADDRESS(ROW(),COLUMN(NOTA[ID]))),-1)))</f>
        <v>SBS</v>
      </c>
      <c r="AK240" s="38" t="str">
        <f ca="1">IF(NOTA[[#This Row],[ID_H]]="","",IF(NOTA[[#This Row],[FAKTUR]]="",INDIRECT(ADDRESS(ROW()-1,COLUMN())),NOTA[[#This Row],[FAKTUR]]))</f>
        <v>UNTANA</v>
      </c>
      <c r="AL240" s="35" t="str">
        <f ca="1">IF(NOTA[[#This Row],[ID]]="","",COUNTIF(NOTA[ID_H],NOTA[[#This Row],[ID_H]]))</f>
        <v/>
      </c>
      <c r="AM240" s="35">
        <f ca="1">IF(NOTA[[#This Row],[TGL.NOTA]]="",IF(NOTA[[#This Row],[SUPPLIER_H]]="","",AM239),MONTH(NOTA[[#This Row],[TGL.NOTA]]))</f>
        <v>7</v>
      </c>
      <c r="AN240" s="35" t="str">
        <f>LOWER(SUBSTITUTE(SUBSTITUTE(SUBSTITUTE(SUBSTITUTE(SUBSTITUTE(SUBSTITUTE(SUBSTITUTE(SUBSTITUTE(SUBSTITUTE(NOTA[[#This Row],[NAMA BARANG]]," ",),".",""),"-",""),"(",""),")",""),",",""),"/",""),"""",""),"+",""))</f>
        <v>peruncingpayupu831miniikan</v>
      </c>
      <c r="AO2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peruncingpayupu831miniikan0</v>
      </c>
      <c r="AP2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peruncingpayupu831miniikan0</v>
      </c>
      <c r="AQ2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0" s="35">
        <f>IF(NOTA[[#This Row],[CONCAT1]]="","",MATCH(NOTA[[#This Row],[CONCAT1]],[3]!db[NB NOTA_C],0))</f>
        <v>2719</v>
      </c>
      <c r="AS240" s="35" t="b">
        <f>IF(NOTA[[#This Row],[Column5]]="","",TRUE)</f>
        <v>1</v>
      </c>
      <c r="AT240" s="35" t="str">
        <f ca="1">IF(NOTA[[#This Row],[ID_H]]="","",IF(NOTA[[#This Row],[Column3]]=TRUE,NOTA[[#This Row],[Column5]],INDEX([3]!db[QTY/ CTN],NOTA[[#This Row],[//DB]])))</f>
        <v>120 PCS</v>
      </c>
      <c r="AU2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peruncingpayupu831miniikan120pcsuntana</v>
      </c>
      <c r="AV240" s="35" t="e">
        <f ca="1">IF(NOTA[[#This Row],[ID_H]]="","",MATCH(NOTA[[#This Row],[NB NOTA_C_QTY]],[3]!db[NB NOTA_C_QTY+F],0))</f>
        <v>#N/A</v>
      </c>
      <c r="AW240" s="43">
        <f ca="1">IF(NOTA[[#This Row],[NB NOTA_C_QTY]]="","",ROW()-2)</f>
        <v>238</v>
      </c>
    </row>
    <row r="241" spans="1:49" ht="20.100000000000001" customHeight="1">
      <c r="A2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5">
        <f ca="1">IF(NOTA[[#This Row],[NAMA BARANG]]="","",INDEX(NOTA[ID],MATCH(,INDIRECT(ADDRESS(ROW(NOTA[ID]),COLUMN(NOTA[ID]))&amp;":"&amp;ADDRESS(ROW(),COLUMN(NOTA[ID]))),-1)))</f>
        <v>61</v>
      </c>
      <c r="C241" s="45"/>
      <c r="F241" s="46"/>
      <c r="G241" s="35"/>
      <c r="H241" s="36"/>
      <c r="I241" s="35"/>
      <c r="J241" s="35" t="s">
        <v>436</v>
      </c>
      <c r="K241" s="37">
        <v>7</v>
      </c>
      <c r="L241" s="35">
        <v>840</v>
      </c>
      <c r="M241" s="35" t="s">
        <v>51</v>
      </c>
      <c r="N241" s="38"/>
      <c r="O241" s="39"/>
      <c r="P241" s="47" t="s">
        <v>315</v>
      </c>
      <c r="Q241" s="48"/>
      <c r="R241" s="41"/>
      <c r="T241" s="42"/>
      <c r="U241" s="44" t="s">
        <v>433</v>
      </c>
      <c r="V241" s="42" t="str">
        <f>IF(NOTA[[#This Row],[HARGA/ CTN]]="",NOTA[[#This Row],[JUMLAH_H]],NOTA[[#This Row],[HARGA/ CTN]]*IF(NOTA[[#This Row],[C]]="",0,NOTA[[#This Row],[C]]))</f>
        <v/>
      </c>
      <c r="W241" s="42" t="str">
        <f>IF(NOTA[[#This Row],[JUMLAH]]="","",NOTA[[#This Row],[JUMLAH]]*NOTA[[#This Row],[Column6]])</f>
        <v/>
      </c>
      <c r="X241" s="42" t="str">
        <f>IF(NOTA[[#This Row],[JUMLAH]]="","",(NOTA[[#This Row],[JUMLAH]]-NOTA[[#This Row],[DISC 1-]])*NOTA[[#This Row],[Column7]])</f>
        <v/>
      </c>
      <c r="Y241" s="42" t="str">
        <f>IF(NOTA[[#This Row],[JUMLAH]]="","",(NOTA[[#This Row],[JUMLAH]]-NOTA[[#This Row],[DISC 1-]]-NOTA[[#This Row],[DISC 2-]])*NOTA[[#This Row],[Column8]])</f>
        <v/>
      </c>
      <c r="Z241" s="42" t="str">
        <f>IF(NOTA[[#This Row],[JUMLAH]]="","",NOTA[[#This Row],[DISC 1-]]+NOTA[[#This Row],[DISC 2-]]+NOTA[[#This Row],[DISC 3-]])</f>
        <v/>
      </c>
      <c r="AA241" s="42" t="str">
        <f>IF(NOTA[[#This Row],[JUMLAH]]="","",NOTA[[#This Row],[JUMLAH]]-NOTA[[#This Row],[DISC]])</f>
        <v/>
      </c>
      <c r="AB241" s="42"/>
      <c r="AC2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1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1" s="42" t="str">
        <f>IF(OR(NOTA[[#This Row],[QTY]]="",NOTA[[#This Row],[HARGA SATUAN]]="",),"",NOTA[[#This Row],[QTY]]*NOTA[[#This Row],[HARGA SATUAN]])</f>
        <v/>
      </c>
      <c r="AG241" s="36">
        <f ca="1">IF(NOTA[[#This Row],[ID_H]]="","",INDEX(NOTA[TANGGAL],MATCH(,INDIRECT(ADDRESS(ROW(NOTA[TANGGAL]),COLUMN(NOTA[TANGGAL]))&amp;":"&amp;ADDRESS(ROW(),COLUMN(NOTA[TANGGAL]))),-1)))</f>
        <v>45498</v>
      </c>
      <c r="AH241" s="36">
        <f ca="1">IF(NOTA[[#This Row],[ID_H]]="","",INDEX(NOTA[TGL.NOTA],MATCH(,INDIRECT(ADDRESS(ROW(NOTA[TGL.NOTA]),COLUMN(NOTA[TGL.NOTA]))&amp;":"&amp;ADDRESS(ROW(),COLUMN(NOTA[TGL.NOTA]))),-1)))</f>
        <v>45496</v>
      </c>
      <c r="AI241" s="36" t="str">
        <f ca="1">IF(NOTA[[#This Row],[ID_H]]="","",INDEX(NOTA[NO.NOTA],MATCH(NOTA[[#This Row],[ID_H]],NOTA[ID_H],0)))</f>
        <v>TH034/7/2024</v>
      </c>
      <c r="AJ241" s="38" t="str">
        <f ca="1">IF(NOTA[[#This Row],[NAMA BARANG]]="","",INDEX(NOTA[SUPPLIER],MATCH(,INDIRECT(ADDRESS(ROW(NOTA[ID]),COLUMN(NOTA[ID]))&amp;":"&amp;ADDRESS(ROW(),COLUMN(NOTA[ID]))),-1)))</f>
        <v>SBS</v>
      </c>
      <c r="AK241" s="38" t="str">
        <f ca="1">IF(NOTA[[#This Row],[ID_H]]="","",IF(NOTA[[#This Row],[FAKTUR]]="",INDIRECT(ADDRESS(ROW()-1,COLUMN())),NOTA[[#This Row],[FAKTUR]]))</f>
        <v>UNTANA</v>
      </c>
      <c r="AL241" s="35" t="str">
        <f ca="1">IF(NOTA[[#This Row],[ID]]="","",COUNTIF(NOTA[ID_H],NOTA[[#This Row],[ID_H]]))</f>
        <v/>
      </c>
      <c r="AM241" s="35">
        <f ca="1">IF(NOTA[[#This Row],[TGL.NOTA]]="",IF(NOTA[[#This Row],[SUPPLIER_H]]="","",AM240),MONTH(NOTA[[#This Row],[TGL.NOTA]]))</f>
        <v>7</v>
      </c>
      <c r="AN241" s="35" t="str">
        <f>LOWER(SUBSTITUTE(SUBSTITUTE(SUBSTITUTE(SUBSTITUTE(SUBSTITUTE(SUBSTITUTE(SUBSTITUTE(SUBSTITUTE(SUBSTITUTE(NOTA[[#This Row],[NAMA BARANG]]," ",),".",""),"-",""),"(",""),")",""),",",""),"/",""),"""",""),"+",""))</f>
        <v>peruncingpayupu845minikepiting</v>
      </c>
      <c r="AO2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peruncingpayupu845minikepiting0</v>
      </c>
      <c r="AP2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peruncingpayupu845minikepiting0</v>
      </c>
      <c r="AQ2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1" s="35">
        <f>IF(NOTA[[#This Row],[CONCAT1]]="","",MATCH(NOTA[[#This Row],[CONCAT1]],[3]!db[NB NOTA_C],0))</f>
        <v>2722</v>
      </c>
      <c r="AS241" s="35" t="b">
        <f>IF(NOTA[[#This Row],[Column5]]="","",TRUE)</f>
        <v>1</v>
      </c>
      <c r="AT241" s="35" t="str">
        <f ca="1">IF(NOTA[[#This Row],[ID_H]]="","",IF(NOTA[[#This Row],[Column3]]=TRUE,NOTA[[#This Row],[Column5]],INDEX([3]!db[QTY/ CTN],NOTA[[#This Row],[//DB]])))</f>
        <v>120 PCS</v>
      </c>
      <c r="AU2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peruncingpayupu845minikepiting120pcsuntana</v>
      </c>
      <c r="AV241" s="35" t="e">
        <f ca="1">IF(NOTA[[#This Row],[ID_H]]="","",MATCH(NOTA[[#This Row],[NB NOTA_C_QTY]],[3]!db[NB NOTA_C_QTY+F],0))</f>
        <v>#N/A</v>
      </c>
      <c r="AW241" s="43">
        <f ca="1">IF(NOTA[[#This Row],[NB NOTA_C_QTY]]="","",ROW()-2)</f>
        <v>239</v>
      </c>
    </row>
    <row r="242" spans="1:49" ht="20.100000000000001" customHeight="1">
      <c r="A2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5">
        <f ca="1">IF(NOTA[[#This Row],[NAMA BARANG]]="","",INDEX(NOTA[ID],MATCH(,INDIRECT(ADDRESS(ROW(NOTA[ID]),COLUMN(NOTA[ID]))&amp;":"&amp;ADDRESS(ROW(),COLUMN(NOTA[ID]))),-1)))</f>
        <v>61</v>
      </c>
      <c r="C242" s="45"/>
      <c r="F242" s="46"/>
      <c r="G242" s="35"/>
      <c r="H242" s="36"/>
      <c r="I242" s="35"/>
      <c r="J242" s="35" t="s">
        <v>437</v>
      </c>
      <c r="K242" s="37">
        <v>6</v>
      </c>
      <c r="L242" s="35">
        <v>720</v>
      </c>
      <c r="M242" s="35" t="s">
        <v>51</v>
      </c>
      <c r="N242" s="38"/>
      <c r="O242" s="39"/>
      <c r="P242" s="47" t="s">
        <v>315</v>
      </c>
      <c r="Q242" s="48"/>
      <c r="R242" s="41"/>
      <c r="T242" s="42"/>
      <c r="U242" s="44" t="s">
        <v>433</v>
      </c>
      <c r="V242" s="42" t="str">
        <f>IF(NOTA[[#This Row],[HARGA/ CTN]]="",NOTA[[#This Row],[JUMLAH_H]],NOTA[[#This Row],[HARGA/ CTN]]*IF(NOTA[[#This Row],[C]]="",0,NOTA[[#This Row],[C]]))</f>
        <v/>
      </c>
      <c r="W242" s="42" t="str">
        <f>IF(NOTA[[#This Row],[JUMLAH]]="","",NOTA[[#This Row],[JUMLAH]]*NOTA[[#This Row],[Column6]])</f>
        <v/>
      </c>
      <c r="X242" s="42" t="str">
        <f>IF(NOTA[[#This Row],[JUMLAH]]="","",(NOTA[[#This Row],[JUMLAH]]-NOTA[[#This Row],[DISC 1-]])*NOTA[[#This Row],[Column7]])</f>
        <v/>
      </c>
      <c r="Y242" s="42" t="str">
        <f>IF(NOTA[[#This Row],[JUMLAH]]="","",(NOTA[[#This Row],[JUMLAH]]-NOTA[[#This Row],[DISC 1-]]-NOTA[[#This Row],[DISC 2-]])*NOTA[[#This Row],[Column8]])</f>
        <v/>
      </c>
      <c r="Z242" s="42" t="str">
        <f>IF(NOTA[[#This Row],[JUMLAH]]="","",NOTA[[#This Row],[DISC 1-]]+NOTA[[#This Row],[DISC 2-]]+NOTA[[#This Row],[DISC 3-]])</f>
        <v/>
      </c>
      <c r="AA242" s="42" t="str">
        <f>IF(NOTA[[#This Row],[JUMLAH]]="","",NOTA[[#This Row],[JUMLAH]]-NOTA[[#This Row],[DISC]])</f>
        <v/>
      </c>
      <c r="AB242" s="42"/>
      <c r="AC2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2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2" s="42" t="str">
        <f>IF(OR(NOTA[[#This Row],[QTY]]="",NOTA[[#This Row],[HARGA SATUAN]]="",),"",NOTA[[#This Row],[QTY]]*NOTA[[#This Row],[HARGA SATUAN]])</f>
        <v/>
      </c>
      <c r="AG242" s="36">
        <f ca="1">IF(NOTA[[#This Row],[ID_H]]="","",INDEX(NOTA[TANGGAL],MATCH(,INDIRECT(ADDRESS(ROW(NOTA[TANGGAL]),COLUMN(NOTA[TANGGAL]))&amp;":"&amp;ADDRESS(ROW(),COLUMN(NOTA[TANGGAL]))),-1)))</f>
        <v>45498</v>
      </c>
      <c r="AH242" s="36">
        <f ca="1">IF(NOTA[[#This Row],[ID_H]]="","",INDEX(NOTA[TGL.NOTA],MATCH(,INDIRECT(ADDRESS(ROW(NOTA[TGL.NOTA]),COLUMN(NOTA[TGL.NOTA]))&amp;":"&amp;ADDRESS(ROW(),COLUMN(NOTA[TGL.NOTA]))),-1)))</f>
        <v>45496</v>
      </c>
      <c r="AI242" s="36" t="str">
        <f ca="1">IF(NOTA[[#This Row],[ID_H]]="","",INDEX(NOTA[NO.NOTA],MATCH(NOTA[[#This Row],[ID_H]],NOTA[ID_H],0)))</f>
        <v>TH034/7/2024</v>
      </c>
      <c r="AJ242" s="38" t="str">
        <f ca="1">IF(NOTA[[#This Row],[NAMA BARANG]]="","",INDEX(NOTA[SUPPLIER],MATCH(,INDIRECT(ADDRESS(ROW(NOTA[ID]),COLUMN(NOTA[ID]))&amp;":"&amp;ADDRESS(ROW(),COLUMN(NOTA[ID]))),-1)))</f>
        <v>SBS</v>
      </c>
      <c r="AK242" s="38" t="str">
        <f ca="1">IF(NOTA[[#This Row],[ID_H]]="","",IF(NOTA[[#This Row],[FAKTUR]]="",INDIRECT(ADDRESS(ROW()-1,COLUMN())),NOTA[[#This Row],[FAKTUR]]))</f>
        <v>UNTANA</v>
      </c>
      <c r="AL242" s="35" t="str">
        <f ca="1">IF(NOTA[[#This Row],[ID]]="","",COUNTIF(NOTA[ID_H],NOTA[[#This Row],[ID_H]]))</f>
        <v/>
      </c>
      <c r="AM242" s="35">
        <f ca="1">IF(NOTA[[#This Row],[TGL.NOTA]]="",IF(NOTA[[#This Row],[SUPPLIER_H]]="","",AM241),MONTH(NOTA[[#This Row],[TGL.NOTA]]))</f>
        <v>7</v>
      </c>
      <c r="AN242" s="35" t="str">
        <f>LOWER(SUBSTITUTE(SUBSTITUTE(SUBSTITUTE(SUBSTITUTE(SUBSTITUTE(SUBSTITUTE(SUBSTITUTE(SUBSTITUTE(SUBSTITUTE(NOTA[[#This Row],[NAMA BARANG]]," ",),".",""),"-",""),"(",""),")",""),",",""),"/",""),"""",""),"+",""))</f>
        <v>peruncingpayupu846minikudagoyang</v>
      </c>
      <c r="AO2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peruncingpayupu846minikudagoyang0</v>
      </c>
      <c r="AP2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peruncingpayupu846minikudagoyang0</v>
      </c>
      <c r="AQ2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2" s="35">
        <f>IF(NOTA[[#This Row],[CONCAT1]]="","",MATCH(NOTA[[#This Row],[CONCAT1]],[3]!db[NB NOTA_C],0))</f>
        <v>2723</v>
      </c>
      <c r="AS242" s="35" t="b">
        <f>IF(NOTA[[#This Row],[Column5]]="","",TRUE)</f>
        <v>1</v>
      </c>
      <c r="AT242" s="35" t="str">
        <f ca="1">IF(NOTA[[#This Row],[ID_H]]="","",IF(NOTA[[#This Row],[Column3]]=TRUE,NOTA[[#This Row],[Column5]],INDEX([3]!db[QTY/ CTN],NOTA[[#This Row],[//DB]])))</f>
        <v>120 PCS</v>
      </c>
      <c r="AU2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peruncingpayupu846minikudagoyang120pcsuntana</v>
      </c>
      <c r="AV242" s="35" t="e">
        <f ca="1">IF(NOTA[[#This Row],[ID_H]]="","",MATCH(NOTA[[#This Row],[NB NOTA_C_QTY]],[3]!db[NB NOTA_C_QTY+F],0))</f>
        <v>#N/A</v>
      </c>
      <c r="AW242" s="43">
        <f ca="1">IF(NOTA[[#This Row],[NB NOTA_C_QTY]]="","",ROW()-2)</f>
        <v>240</v>
      </c>
    </row>
    <row r="243" spans="1:49" ht="20.100000000000001" customHeight="1">
      <c r="A2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5">
        <f ca="1">IF(NOTA[[#This Row],[NAMA BARANG]]="","",INDEX(NOTA[ID],MATCH(,INDIRECT(ADDRESS(ROW(NOTA[ID]),COLUMN(NOTA[ID]))&amp;":"&amp;ADDRESS(ROW(),COLUMN(NOTA[ID]))),-1)))</f>
        <v>61</v>
      </c>
      <c r="C243" s="45"/>
      <c r="F243" s="46"/>
      <c r="G243" s="35"/>
      <c r="H243" s="36"/>
      <c r="I243" s="35"/>
      <c r="J243" s="35" t="s">
        <v>438</v>
      </c>
      <c r="K243" s="37">
        <v>6</v>
      </c>
      <c r="L243" s="35">
        <v>720</v>
      </c>
      <c r="M243" s="35" t="s">
        <v>51</v>
      </c>
      <c r="N243" s="38"/>
      <c r="O243" s="39"/>
      <c r="P243" s="47" t="s">
        <v>315</v>
      </c>
      <c r="Q243" s="48"/>
      <c r="R243" s="41"/>
      <c r="T243" s="42"/>
      <c r="U243" s="44" t="s">
        <v>433</v>
      </c>
      <c r="V243" s="42" t="str">
        <f>IF(NOTA[[#This Row],[HARGA/ CTN]]="",NOTA[[#This Row],[JUMLAH_H]],NOTA[[#This Row],[HARGA/ CTN]]*IF(NOTA[[#This Row],[C]]="",0,NOTA[[#This Row],[C]]))</f>
        <v/>
      </c>
      <c r="W243" s="42" t="str">
        <f>IF(NOTA[[#This Row],[JUMLAH]]="","",NOTA[[#This Row],[JUMLAH]]*NOTA[[#This Row],[Column6]])</f>
        <v/>
      </c>
      <c r="X243" s="42" t="str">
        <f>IF(NOTA[[#This Row],[JUMLAH]]="","",(NOTA[[#This Row],[JUMLAH]]-NOTA[[#This Row],[DISC 1-]])*NOTA[[#This Row],[Column7]])</f>
        <v/>
      </c>
      <c r="Y243" s="42" t="str">
        <f>IF(NOTA[[#This Row],[JUMLAH]]="","",(NOTA[[#This Row],[JUMLAH]]-NOTA[[#This Row],[DISC 1-]]-NOTA[[#This Row],[DISC 2-]])*NOTA[[#This Row],[Column8]])</f>
        <v/>
      </c>
      <c r="Z243" s="42" t="str">
        <f>IF(NOTA[[#This Row],[JUMLAH]]="","",NOTA[[#This Row],[DISC 1-]]+NOTA[[#This Row],[DISC 2-]]+NOTA[[#This Row],[DISC 3-]])</f>
        <v/>
      </c>
      <c r="AA243" s="42" t="str">
        <f>IF(NOTA[[#This Row],[JUMLAH]]="","",NOTA[[#This Row],[JUMLAH]]-NOTA[[#This Row],[DISC]])</f>
        <v/>
      </c>
      <c r="AB243" s="42"/>
      <c r="AC2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3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3" s="42" t="str">
        <f>IF(OR(NOTA[[#This Row],[QTY]]="",NOTA[[#This Row],[HARGA SATUAN]]="",),"",NOTA[[#This Row],[QTY]]*NOTA[[#This Row],[HARGA SATUAN]])</f>
        <v/>
      </c>
      <c r="AG243" s="36">
        <f ca="1">IF(NOTA[[#This Row],[ID_H]]="","",INDEX(NOTA[TANGGAL],MATCH(,INDIRECT(ADDRESS(ROW(NOTA[TANGGAL]),COLUMN(NOTA[TANGGAL]))&amp;":"&amp;ADDRESS(ROW(),COLUMN(NOTA[TANGGAL]))),-1)))</f>
        <v>45498</v>
      </c>
      <c r="AH243" s="36">
        <f ca="1">IF(NOTA[[#This Row],[ID_H]]="","",INDEX(NOTA[TGL.NOTA],MATCH(,INDIRECT(ADDRESS(ROW(NOTA[TGL.NOTA]),COLUMN(NOTA[TGL.NOTA]))&amp;":"&amp;ADDRESS(ROW(),COLUMN(NOTA[TGL.NOTA]))),-1)))</f>
        <v>45496</v>
      </c>
      <c r="AI243" s="36" t="str">
        <f ca="1">IF(NOTA[[#This Row],[ID_H]]="","",INDEX(NOTA[NO.NOTA],MATCH(NOTA[[#This Row],[ID_H]],NOTA[ID_H],0)))</f>
        <v>TH034/7/2024</v>
      </c>
      <c r="AJ243" s="38" t="str">
        <f ca="1">IF(NOTA[[#This Row],[NAMA BARANG]]="","",INDEX(NOTA[SUPPLIER],MATCH(,INDIRECT(ADDRESS(ROW(NOTA[ID]),COLUMN(NOTA[ID]))&amp;":"&amp;ADDRESS(ROW(),COLUMN(NOTA[ID]))),-1)))</f>
        <v>SBS</v>
      </c>
      <c r="AK243" s="38" t="str">
        <f ca="1">IF(NOTA[[#This Row],[ID_H]]="","",IF(NOTA[[#This Row],[FAKTUR]]="",INDIRECT(ADDRESS(ROW()-1,COLUMN())),NOTA[[#This Row],[FAKTUR]]))</f>
        <v>UNTANA</v>
      </c>
      <c r="AL243" s="35" t="str">
        <f ca="1">IF(NOTA[[#This Row],[ID]]="","",COUNTIF(NOTA[ID_H],NOTA[[#This Row],[ID_H]]))</f>
        <v/>
      </c>
      <c r="AM243" s="35">
        <f ca="1">IF(NOTA[[#This Row],[TGL.NOTA]]="",IF(NOTA[[#This Row],[SUPPLIER_H]]="","",AM242),MONTH(NOTA[[#This Row],[TGL.NOTA]]))</f>
        <v>7</v>
      </c>
      <c r="AN243" s="35" t="str">
        <f>LOWER(SUBSTITUTE(SUBSTITUTE(SUBSTITUTE(SUBSTITUTE(SUBSTITUTE(SUBSTITUTE(SUBSTITUTE(SUBSTITUTE(SUBSTITUTE(NOTA[[#This Row],[NAMA BARANG]]," ",),".",""),"-",""),"(",""),")",""),",",""),"/",""),"""",""),"+",""))</f>
        <v>peruncingpayupu847minikura</v>
      </c>
      <c r="AO2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peruncingpayupu847minikura0</v>
      </c>
      <c r="AP2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peruncingpayupu847minikura0</v>
      </c>
      <c r="AQ2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3" s="35">
        <f>IF(NOTA[[#This Row],[CONCAT1]]="","",MATCH(NOTA[[#This Row],[CONCAT1]],[3]!db[NB NOTA_C],0))</f>
        <v>2724</v>
      </c>
      <c r="AS243" s="35" t="b">
        <f>IF(NOTA[[#This Row],[Column5]]="","",TRUE)</f>
        <v>1</v>
      </c>
      <c r="AT243" s="35" t="str">
        <f ca="1">IF(NOTA[[#This Row],[ID_H]]="","",IF(NOTA[[#This Row],[Column3]]=TRUE,NOTA[[#This Row],[Column5]],INDEX([3]!db[QTY/ CTN],NOTA[[#This Row],[//DB]])))</f>
        <v>120 PCS</v>
      </c>
      <c r="AU2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peruncingpayupu847minikura120pcsuntana</v>
      </c>
      <c r="AV243" s="35" t="e">
        <f ca="1">IF(NOTA[[#This Row],[ID_H]]="","",MATCH(NOTA[[#This Row],[NB NOTA_C_QTY]],[3]!db[NB NOTA_C_QTY+F],0))</f>
        <v>#N/A</v>
      </c>
      <c r="AW243" s="43">
        <f ca="1">IF(NOTA[[#This Row],[NB NOTA_C_QTY]]="","",ROW()-2)</f>
        <v>241</v>
      </c>
    </row>
    <row r="244" spans="1:49" ht="20.100000000000001" customHeight="1">
      <c r="A2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35">
        <f ca="1">IF(NOTA[[#This Row],[NAMA BARANG]]="","",INDEX(NOTA[ID],MATCH(,INDIRECT(ADDRESS(ROW(NOTA[ID]),COLUMN(NOTA[ID]))&amp;":"&amp;ADDRESS(ROW(),COLUMN(NOTA[ID]))),-1)))</f>
        <v>61</v>
      </c>
      <c r="C244" s="45"/>
      <c r="F244" s="46"/>
      <c r="G244" s="35"/>
      <c r="H244" s="36"/>
      <c r="I244" s="35"/>
      <c r="J244" s="35" t="s">
        <v>439</v>
      </c>
      <c r="K244" s="37">
        <v>5</v>
      </c>
      <c r="L244" s="35">
        <v>600</v>
      </c>
      <c r="M244" s="35" t="s">
        <v>51</v>
      </c>
      <c r="N244" s="38"/>
      <c r="O244" s="39"/>
      <c r="P244" s="47" t="s">
        <v>315</v>
      </c>
      <c r="Q244" s="48"/>
      <c r="R244" s="41"/>
      <c r="T244" s="42"/>
      <c r="U244" s="44" t="s">
        <v>433</v>
      </c>
      <c r="V244" s="42" t="str">
        <f>IF(NOTA[[#This Row],[HARGA/ CTN]]="",NOTA[[#This Row],[JUMLAH_H]],NOTA[[#This Row],[HARGA/ CTN]]*IF(NOTA[[#This Row],[C]]="",0,NOTA[[#This Row],[C]]))</f>
        <v/>
      </c>
      <c r="W244" s="42" t="str">
        <f>IF(NOTA[[#This Row],[JUMLAH]]="","",NOTA[[#This Row],[JUMLAH]]*NOTA[[#This Row],[Column6]])</f>
        <v/>
      </c>
      <c r="X244" s="42" t="str">
        <f>IF(NOTA[[#This Row],[JUMLAH]]="","",(NOTA[[#This Row],[JUMLAH]]-NOTA[[#This Row],[DISC 1-]])*NOTA[[#This Row],[Column7]])</f>
        <v/>
      </c>
      <c r="Y244" s="42" t="str">
        <f>IF(NOTA[[#This Row],[JUMLAH]]="","",(NOTA[[#This Row],[JUMLAH]]-NOTA[[#This Row],[DISC 1-]]-NOTA[[#This Row],[DISC 2-]])*NOTA[[#This Row],[Column8]])</f>
        <v/>
      </c>
      <c r="Z244" s="42" t="str">
        <f>IF(NOTA[[#This Row],[JUMLAH]]="","",NOTA[[#This Row],[DISC 1-]]+NOTA[[#This Row],[DISC 2-]]+NOTA[[#This Row],[DISC 3-]])</f>
        <v/>
      </c>
      <c r="AA244" s="42" t="str">
        <f>IF(NOTA[[#This Row],[JUMLAH]]="","",NOTA[[#This Row],[JUMLAH]]-NOTA[[#This Row],[DISC]])</f>
        <v/>
      </c>
      <c r="AB244" s="42"/>
      <c r="AC2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4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4" s="42" t="str">
        <f>IF(OR(NOTA[[#This Row],[QTY]]="",NOTA[[#This Row],[HARGA SATUAN]]="",),"",NOTA[[#This Row],[QTY]]*NOTA[[#This Row],[HARGA SATUAN]])</f>
        <v/>
      </c>
      <c r="AG244" s="36">
        <f ca="1">IF(NOTA[[#This Row],[ID_H]]="","",INDEX(NOTA[TANGGAL],MATCH(,INDIRECT(ADDRESS(ROW(NOTA[TANGGAL]),COLUMN(NOTA[TANGGAL]))&amp;":"&amp;ADDRESS(ROW(),COLUMN(NOTA[TANGGAL]))),-1)))</f>
        <v>45498</v>
      </c>
      <c r="AH244" s="36">
        <f ca="1">IF(NOTA[[#This Row],[ID_H]]="","",INDEX(NOTA[TGL.NOTA],MATCH(,INDIRECT(ADDRESS(ROW(NOTA[TGL.NOTA]),COLUMN(NOTA[TGL.NOTA]))&amp;":"&amp;ADDRESS(ROW(),COLUMN(NOTA[TGL.NOTA]))),-1)))</f>
        <v>45496</v>
      </c>
      <c r="AI244" s="36" t="str">
        <f ca="1">IF(NOTA[[#This Row],[ID_H]]="","",INDEX(NOTA[NO.NOTA],MATCH(NOTA[[#This Row],[ID_H]],NOTA[ID_H],0)))</f>
        <v>TH034/7/2024</v>
      </c>
      <c r="AJ244" s="38" t="str">
        <f ca="1">IF(NOTA[[#This Row],[NAMA BARANG]]="","",INDEX(NOTA[SUPPLIER],MATCH(,INDIRECT(ADDRESS(ROW(NOTA[ID]),COLUMN(NOTA[ID]))&amp;":"&amp;ADDRESS(ROW(),COLUMN(NOTA[ID]))),-1)))</f>
        <v>SBS</v>
      </c>
      <c r="AK244" s="38" t="str">
        <f ca="1">IF(NOTA[[#This Row],[ID_H]]="","",IF(NOTA[[#This Row],[FAKTUR]]="",INDIRECT(ADDRESS(ROW()-1,COLUMN())),NOTA[[#This Row],[FAKTUR]]))</f>
        <v>UNTANA</v>
      </c>
      <c r="AL244" s="35" t="str">
        <f ca="1">IF(NOTA[[#This Row],[ID]]="","",COUNTIF(NOTA[ID_H],NOTA[[#This Row],[ID_H]]))</f>
        <v/>
      </c>
      <c r="AM244" s="35">
        <f ca="1">IF(NOTA[[#This Row],[TGL.NOTA]]="",IF(NOTA[[#This Row],[SUPPLIER_H]]="","",AM243),MONTH(NOTA[[#This Row],[TGL.NOTA]]))</f>
        <v>7</v>
      </c>
      <c r="AN244" s="35" t="str">
        <f>LOWER(SUBSTITUTE(SUBSTITUTE(SUBSTITUTE(SUBSTITUTE(SUBSTITUTE(SUBSTITUTE(SUBSTITUTE(SUBSTITUTE(SUBSTITUTE(NOTA[[#This Row],[NAMA BARANG]]," ",),".",""),"-",""),"(",""),")",""),",",""),"/",""),"""",""),"+",""))</f>
        <v>peruncingpayupu849minisbery</v>
      </c>
      <c r="AO2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peruncingpayupu849minisbery0</v>
      </c>
      <c r="AP2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peruncingpayupu849minisbery0</v>
      </c>
      <c r="AQ2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4" s="35">
        <f>IF(NOTA[[#This Row],[CONCAT1]]="","",MATCH(NOTA[[#This Row],[CONCAT1]],[3]!db[NB NOTA_C],0))</f>
        <v>2725</v>
      </c>
      <c r="AS244" s="35" t="b">
        <f>IF(NOTA[[#This Row],[Column5]]="","",TRUE)</f>
        <v>1</v>
      </c>
      <c r="AT244" s="35" t="str">
        <f ca="1">IF(NOTA[[#This Row],[ID_H]]="","",IF(NOTA[[#This Row],[Column3]]=TRUE,NOTA[[#This Row],[Column5]],INDEX([3]!db[QTY/ CTN],NOTA[[#This Row],[//DB]])))</f>
        <v>120 PCS</v>
      </c>
      <c r="AU2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peruncingpayupu849minisbery120pcsuntana</v>
      </c>
      <c r="AV244" s="35" t="e">
        <f ca="1">IF(NOTA[[#This Row],[ID_H]]="","",MATCH(NOTA[[#This Row],[NB NOTA_C_QTY]],[3]!db[NB NOTA_C_QTY+F],0))</f>
        <v>#N/A</v>
      </c>
      <c r="AW244" s="43">
        <f ca="1">IF(NOTA[[#This Row],[NB NOTA_C_QTY]]="","",ROW()-2)</f>
        <v>242</v>
      </c>
    </row>
    <row r="245" spans="1:49" ht="20.100000000000001" customHeight="1">
      <c r="A2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5">
        <f ca="1">IF(NOTA[[#This Row],[NAMA BARANG]]="","",INDEX(NOTA[ID],MATCH(,INDIRECT(ADDRESS(ROW(NOTA[ID]),COLUMN(NOTA[ID]))&amp;":"&amp;ADDRESS(ROW(),COLUMN(NOTA[ID]))),-1)))</f>
        <v>61</v>
      </c>
      <c r="C245" s="45"/>
      <c r="F245" s="46"/>
      <c r="G245" s="35"/>
      <c r="H245" s="36"/>
      <c r="I245" s="35"/>
      <c r="J245" s="35" t="s">
        <v>440</v>
      </c>
      <c r="K245" s="37">
        <v>1</v>
      </c>
      <c r="L245" s="35">
        <v>120</v>
      </c>
      <c r="M245" s="35" t="s">
        <v>51</v>
      </c>
      <c r="N245" s="38"/>
      <c r="O245" s="39"/>
      <c r="P245" s="47" t="s">
        <v>315</v>
      </c>
      <c r="Q245" s="48"/>
      <c r="R245" s="41"/>
      <c r="T245" s="42"/>
      <c r="U245" s="44" t="s">
        <v>433</v>
      </c>
      <c r="V245" s="42" t="str">
        <f>IF(NOTA[[#This Row],[HARGA/ CTN]]="",NOTA[[#This Row],[JUMLAH_H]],NOTA[[#This Row],[HARGA/ CTN]]*IF(NOTA[[#This Row],[C]]="",0,NOTA[[#This Row],[C]]))</f>
        <v/>
      </c>
      <c r="W245" s="42" t="str">
        <f>IF(NOTA[[#This Row],[JUMLAH]]="","",NOTA[[#This Row],[JUMLAH]]*NOTA[[#This Row],[Column6]])</f>
        <v/>
      </c>
      <c r="X245" s="42" t="str">
        <f>IF(NOTA[[#This Row],[JUMLAH]]="","",(NOTA[[#This Row],[JUMLAH]]-NOTA[[#This Row],[DISC 1-]])*NOTA[[#This Row],[Column7]])</f>
        <v/>
      </c>
      <c r="Y245" s="42" t="str">
        <f>IF(NOTA[[#This Row],[JUMLAH]]="","",(NOTA[[#This Row],[JUMLAH]]-NOTA[[#This Row],[DISC 1-]]-NOTA[[#This Row],[DISC 2-]])*NOTA[[#This Row],[Column8]])</f>
        <v/>
      </c>
      <c r="Z245" s="42" t="str">
        <f>IF(NOTA[[#This Row],[JUMLAH]]="","",NOTA[[#This Row],[DISC 1-]]+NOTA[[#This Row],[DISC 2-]]+NOTA[[#This Row],[DISC 3-]])</f>
        <v/>
      </c>
      <c r="AA245" s="42" t="str">
        <f>IF(NOTA[[#This Row],[JUMLAH]]="","",NOTA[[#This Row],[JUMLAH]]-NOTA[[#This Row],[DISC]])</f>
        <v/>
      </c>
      <c r="AB245" s="42"/>
      <c r="AC2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5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5" s="42" t="str">
        <f>IF(OR(NOTA[[#This Row],[QTY]]="",NOTA[[#This Row],[HARGA SATUAN]]="",),"",NOTA[[#This Row],[QTY]]*NOTA[[#This Row],[HARGA SATUAN]])</f>
        <v/>
      </c>
      <c r="AG245" s="36">
        <f ca="1">IF(NOTA[[#This Row],[ID_H]]="","",INDEX(NOTA[TANGGAL],MATCH(,INDIRECT(ADDRESS(ROW(NOTA[TANGGAL]),COLUMN(NOTA[TANGGAL]))&amp;":"&amp;ADDRESS(ROW(),COLUMN(NOTA[TANGGAL]))),-1)))</f>
        <v>45498</v>
      </c>
      <c r="AH245" s="36">
        <f ca="1">IF(NOTA[[#This Row],[ID_H]]="","",INDEX(NOTA[TGL.NOTA],MATCH(,INDIRECT(ADDRESS(ROW(NOTA[TGL.NOTA]),COLUMN(NOTA[TGL.NOTA]))&amp;":"&amp;ADDRESS(ROW(),COLUMN(NOTA[TGL.NOTA]))),-1)))</f>
        <v>45496</v>
      </c>
      <c r="AI245" s="36" t="str">
        <f ca="1">IF(NOTA[[#This Row],[ID_H]]="","",INDEX(NOTA[NO.NOTA],MATCH(NOTA[[#This Row],[ID_H]],NOTA[ID_H],0)))</f>
        <v>TH034/7/2024</v>
      </c>
      <c r="AJ245" s="38" t="str">
        <f ca="1">IF(NOTA[[#This Row],[NAMA BARANG]]="","",INDEX(NOTA[SUPPLIER],MATCH(,INDIRECT(ADDRESS(ROW(NOTA[ID]),COLUMN(NOTA[ID]))&amp;":"&amp;ADDRESS(ROW(),COLUMN(NOTA[ID]))),-1)))</f>
        <v>SBS</v>
      </c>
      <c r="AK245" s="38" t="str">
        <f ca="1">IF(NOTA[[#This Row],[ID_H]]="","",IF(NOTA[[#This Row],[FAKTUR]]="",INDIRECT(ADDRESS(ROW()-1,COLUMN())),NOTA[[#This Row],[FAKTUR]]))</f>
        <v>UNTANA</v>
      </c>
      <c r="AL245" s="35" t="str">
        <f ca="1">IF(NOTA[[#This Row],[ID]]="","",COUNTIF(NOTA[ID_H],NOTA[[#This Row],[ID_H]]))</f>
        <v/>
      </c>
      <c r="AM245" s="35">
        <f ca="1">IF(NOTA[[#This Row],[TGL.NOTA]]="",IF(NOTA[[#This Row],[SUPPLIER_H]]="","",AM244),MONTH(NOTA[[#This Row],[TGL.NOTA]]))</f>
        <v>7</v>
      </c>
      <c r="AN245" s="35" t="str">
        <f>LOWER(SUBSTITUTE(SUBSTITUTE(SUBSTITUTE(SUBSTITUTE(SUBSTITUTE(SUBSTITUTE(SUBSTITUTE(SUBSTITUTE(SUBSTITUTE(NOTA[[#This Row],[NAMA BARANG]]," ",),".",""),"-",""),"(",""),")",""),",",""),"/",""),"""",""),"+",""))</f>
        <v>peruncingpayupu827miniangsa</v>
      </c>
      <c r="AO2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peruncingpayupu827miniangsa0</v>
      </c>
      <c r="AP2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peruncingpayupu827miniangsa0</v>
      </c>
      <c r="AQ2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5" s="35">
        <f>IF(NOTA[[#This Row],[CONCAT1]]="","",MATCH(NOTA[[#This Row],[CONCAT1]],[3]!db[NB NOTA_C],0))</f>
        <v>2716</v>
      </c>
      <c r="AS245" s="35" t="b">
        <f>IF(NOTA[[#This Row],[Column5]]="","",TRUE)</f>
        <v>1</v>
      </c>
      <c r="AT245" s="35" t="str">
        <f ca="1">IF(NOTA[[#This Row],[ID_H]]="","",IF(NOTA[[#This Row],[Column3]]=TRUE,NOTA[[#This Row],[Column5]],INDEX([3]!db[QTY/ CTN],NOTA[[#This Row],[//DB]])))</f>
        <v>120 PCS</v>
      </c>
      <c r="AU2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peruncingpayupu827miniangsa120pcsuntana</v>
      </c>
      <c r="AV245" s="35" t="e">
        <f ca="1">IF(NOTA[[#This Row],[ID_H]]="","",MATCH(NOTA[[#This Row],[NB NOTA_C_QTY]],[3]!db[NB NOTA_C_QTY+F],0))</f>
        <v>#N/A</v>
      </c>
      <c r="AW245" s="43">
        <f ca="1">IF(NOTA[[#This Row],[NB NOTA_C_QTY]]="","",ROW()-2)</f>
        <v>243</v>
      </c>
    </row>
    <row r="246" spans="1:49" ht="20.100000000000001" customHeight="1">
      <c r="A2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5">
        <f ca="1">IF(NOTA[[#This Row],[NAMA BARANG]]="","",INDEX(NOTA[ID],MATCH(,INDIRECT(ADDRESS(ROW(NOTA[ID]),COLUMN(NOTA[ID]))&amp;":"&amp;ADDRESS(ROW(),COLUMN(NOTA[ID]))),-1)))</f>
        <v>61</v>
      </c>
      <c r="C246" s="45"/>
      <c r="F246" s="46"/>
      <c r="G246" s="35"/>
      <c r="H246" s="36"/>
      <c r="I246" s="35"/>
      <c r="J246" s="51" t="s">
        <v>441</v>
      </c>
      <c r="K246" s="37">
        <v>6</v>
      </c>
      <c r="L246" s="35">
        <v>720</v>
      </c>
      <c r="M246" s="35" t="s">
        <v>51</v>
      </c>
      <c r="N246" s="38"/>
      <c r="O246" s="39"/>
      <c r="P246" s="47" t="s">
        <v>315</v>
      </c>
      <c r="Q246" s="48"/>
      <c r="R246" s="41"/>
      <c r="T246" s="42"/>
      <c r="U246" s="44" t="s">
        <v>433</v>
      </c>
      <c r="V246" s="42" t="str">
        <f>IF(NOTA[[#This Row],[HARGA/ CTN]]="",NOTA[[#This Row],[JUMLAH_H]],NOTA[[#This Row],[HARGA/ CTN]]*IF(NOTA[[#This Row],[C]]="",0,NOTA[[#This Row],[C]]))</f>
        <v/>
      </c>
      <c r="W246" s="42" t="str">
        <f>IF(NOTA[[#This Row],[JUMLAH]]="","",NOTA[[#This Row],[JUMLAH]]*NOTA[[#This Row],[Column6]])</f>
        <v/>
      </c>
      <c r="X246" s="42" t="str">
        <f>IF(NOTA[[#This Row],[JUMLAH]]="","",(NOTA[[#This Row],[JUMLAH]]-NOTA[[#This Row],[DISC 1-]])*NOTA[[#This Row],[Column7]])</f>
        <v/>
      </c>
      <c r="Y246" s="42" t="str">
        <f>IF(NOTA[[#This Row],[JUMLAH]]="","",(NOTA[[#This Row],[JUMLAH]]-NOTA[[#This Row],[DISC 1-]]-NOTA[[#This Row],[DISC 2-]])*NOTA[[#This Row],[Column8]])</f>
        <v/>
      </c>
      <c r="Z246" s="42" t="str">
        <f>IF(NOTA[[#This Row],[JUMLAH]]="","",NOTA[[#This Row],[DISC 1-]]+NOTA[[#This Row],[DISC 2-]]+NOTA[[#This Row],[DISC 3-]])</f>
        <v/>
      </c>
      <c r="AA246" s="42" t="str">
        <f>IF(NOTA[[#This Row],[JUMLAH]]="","",NOTA[[#This Row],[JUMLAH]]-NOTA[[#This Row],[DISC]])</f>
        <v/>
      </c>
      <c r="AB246" s="42"/>
      <c r="AC2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6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6" s="42" t="str">
        <f>IF(OR(NOTA[[#This Row],[QTY]]="",NOTA[[#This Row],[HARGA SATUAN]]="",),"",NOTA[[#This Row],[QTY]]*NOTA[[#This Row],[HARGA SATUAN]])</f>
        <v/>
      </c>
      <c r="AG246" s="36">
        <f ca="1">IF(NOTA[[#This Row],[ID_H]]="","",INDEX(NOTA[TANGGAL],MATCH(,INDIRECT(ADDRESS(ROW(NOTA[TANGGAL]),COLUMN(NOTA[TANGGAL]))&amp;":"&amp;ADDRESS(ROW(),COLUMN(NOTA[TANGGAL]))),-1)))</f>
        <v>45498</v>
      </c>
      <c r="AH246" s="36">
        <f ca="1">IF(NOTA[[#This Row],[ID_H]]="","",INDEX(NOTA[TGL.NOTA],MATCH(,INDIRECT(ADDRESS(ROW(NOTA[TGL.NOTA]),COLUMN(NOTA[TGL.NOTA]))&amp;":"&amp;ADDRESS(ROW(),COLUMN(NOTA[TGL.NOTA]))),-1)))</f>
        <v>45496</v>
      </c>
      <c r="AI246" s="36" t="str">
        <f ca="1">IF(NOTA[[#This Row],[ID_H]]="","",INDEX(NOTA[NO.NOTA],MATCH(NOTA[[#This Row],[ID_H]],NOTA[ID_H],0)))</f>
        <v>TH034/7/2024</v>
      </c>
      <c r="AJ246" s="38" t="str">
        <f ca="1">IF(NOTA[[#This Row],[NAMA BARANG]]="","",INDEX(NOTA[SUPPLIER],MATCH(,INDIRECT(ADDRESS(ROW(NOTA[ID]),COLUMN(NOTA[ID]))&amp;":"&amp;ADDRESS(ROW(),COLUMN(NOTA[ID]))),-1)))</f>
        <v>SBS</v>
      </c>
      <c r="AK246" s="38" t="str">
        <f ca="1">IF(NOTA[[#This Row],[ID_H]]="","",IF(NOTA[[#This Row],[FAKTUR]]="",INDIRECT(ADDRESS(ROW()-1,COLUMN())),NOTA[[#This Row],[FAKTUR]]))</f>
        <v>UNTANA</v>
      </c>
      <c r="AL246" s="35" t="str">
        <f ca="1">IF(NOTA[[#This Row],[ID]]="","",COUNTIF(NOTA[ID_H],NOTA[[#This Row],[ID_H]]))</f>
        <v/>
      </c>
      <c r="AM246" s="35">
        <f ca="1">IF(NOTA[[#This Row],[TGL.NOTA]]="",IF(NOTA[[#This Row],[SUPPLIER_H]]="","",AM245),MONTH(NOTA[[#This Row],[TGL.NOTA]]))</f>
        <v>7</v>
      </c>
      <c r="AN246" s="35" t="str">
        <f>LOWER(SUBSTITUTE(SUBSTITUTE(SUBSTITUTE(SUBSTITUTE(SUBSTITUTE(SUBSTITUTE(SUBSTITUTE(SUBSTITUTE(SUBSTITUTE(NOTA[[#This Row],[NAMA BARANG]]," ",),".",""),"-",""),"(",""),")",""),",",""),"/",""),"""",""),"+",""))</f>
        <v>peruncingpayupu856</v>
      </c>
      <c r="AO2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peruncingpayupu8560</v>
      </c>
      <c r="AP2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peruncingpayupu8560</v>
      </c>
      <c r="AQ2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6" s="35">
        <f>IF(NOTA[[#This Row],[CONCAT1]]="","",MATCH(NOTA[[#This Row],[CONCAT1]],[3]!db[NB NOTA_C],0))</f>
        <v>2727</v>
      </c>
      <c r="AS246" s="35" t="b">
        <f>IF(NOTA[[#This Row],[Column5]]="","",TRUE)</f>
        <v>1</v>
      </c>
      <c r="AT246" s="35" t="str">
        <f ca="1">IF(NOTA[[#This Row],[ID_H]]="","",IF(NOTA[[#This Row],[Column3]]=TRUE,NOTA[[#This Row],[Column5]],INDEX([3]!db[QTY/ CTN],NOTA[[#This Row],[//DB]])))</f>
        <v>120 PCS</v>
      </c>
      <c r="AU2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peruncingpayupu856120pcsuntana</v>
      </c>
      <c r="AV246" s="35" t="e">
        <f ca="1">IF(NOTA[[#This Row],[ID_H]]="","",MATCH(NOTA[[#This Row],[NB NOTA_C_QTY]],[3]!db[NB NOTA_C_QTY+F],0))</f>
        <v>#N/A</v>
      </c>
      <c r="AW246" s="43">
        <f ca="1">IF(NOTA[[#This Row],[NB NOTA_C_QTY]]="","",ROW()-2)</f>
        <v>244</v>
      </c>
    </row>
    <row r="247" spans="1:49" ht="20.100000000000001" customHeight="1">
      <c r="A2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5">
        <f ca="1">IF(NOTA[[#This Row],[NAMA BARANG]]="","",INDEX(NOTA[ID],MATCH(,INDIRECT(ADDRESS(ROW(NOTA[ID]),COLUMN(NOTA[ID]))&amp;":"&amp;ADDRESS(ROW(),COLUMN(NOTA[ID]))),-1)))</f>
        <v>61</v>
      </c>
      <c r="C247" s="45"/>
      <c r="F247" s="46"/>
      <c r="G247" s="35"/>
      <c r="H247" s="36"/>
      <c r="I247" s="35"/>
      <c r="J247" s="51" t="s">
        <v>442</v>
      </c>
      <c r="K247" s="37">
        <v>3</v>
      </c>
      <c r="L247" s="35">
        <v>36</v>
      </c>
      <c r="M247" s="35" t="s">
        <v>51</v>
      </c>
      <c r="N247" s="38"/>
      <c r="O247" s="39"/>
      <c r="P247" s="47" t="s">
        <v>443</v>
      </c>
      <c r="Q247" s="48"/>
      <c r="R247" s="41"/>
      <c r="T247" s="42"/>
      <c r="U247" s="44" t="s">
        <v>433</v>
      </c>
      <c r="V247" s="42" t="str">
        <f>IF(NOTA[[#This Row],[HARGA/ CTN]]="",NOTA[[#This Row],[JUMLAH_H]],NOTA[[#This Row],[HARGA/ CTN]]*IF(NOTA[[#This Row],[C]]="",0,NOTA[[#This Row],[C]]))</f>
        <v/>
      </c>
      <c r="W247" s="42" t="str">
        <f>IF(NOTA[[#This Row],[JUMLAH]]="","",NOTA[[#This Row],[JUMLAH]]*NOTA[[#This Row],[Column6]])</f>
        <v/>
      </c>
      <c r="X247" s="42" t="str">
        <f>IF(NOTA[[#This Row],[JUMLAH]]="","",(NOTA[[#This Row],[JUMLAH]]-NOTA[[#This Row],[DISC 1-]])*NOTA[[#This Row],[Column7]])</f>
        <v/>
      </c>
      <c r="Y247" s="42" t="str">
        <f>IF(NOTA[[#This Row],[JUMLAH]]="","",(NOTA[[#This Row],[JUMLAH]]-NOTA[[#This Row],[DISC 1-]]-NOTA[[#This Row],[DISC 2-]])*NOTA[[#This Row],[Column8]])</f>
        <v/>
      </c>
      <c r="Z247" s="42" t="str">
        <f>IF(NOTA[[#This Row],[JUMLAH]]="","",NOTA[[#This Row],[DISC 1-]]+NOTA[[#This Row],[DISC 2-]]+NOTA[[#This Row],[DISC 3-]])</f>
        <v/>
      </c>
      <c r="AA247" s="42" t="str">
        <f>IF(NOTA[[#This Row],[JUMLAH]]="","",NOTA[[#This Row],[JUMLAH]]-NOTA[[#This Row],[DISC]])</f>
        <v/>
      </c>
      <c r="AB247" s="42"/>
      <c r="AC24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4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0</v>
      </c>
      <c r="AE247" s="3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47" s="42" t="str">
        <f>IF(OR(NOTA[[#This Row],[QTY]]="",NOTA[[#This Row],[HARGA SATUAN]]="",),"",NOTA[[#This Row],[QTY]]*NOTA[[#This Row],[HARGA SATUAN]])</f>
        <v/>
      </c>
      <c r="AG247" s="36">
        <f ca="1">IF(NOTA[[#This Row],[ID_H]]="","",INDEX(NOTA[TANGGAL],MATCH(,INDIRECT(ADDRESS(ROW(NOTA[TANGGAL]),COLUMN(NOTA[TANGGAL]))&amp;":"&amp;ADDRESS(ROW(),COLUMN(NOTA[TANGGAL]))),-1)))</f>
        <v>45498</v>
      </c>
      <c r="AH247" s="36">
        <f ca="1">IF(NOTA[[#This Row],[ID_H]]="","",INDEX(NOTA[TGL.NOTA],MATCH(,INDIRECT(ADDRESS(ROW(NOTA[TGL.NOTA]),COLUMN(NOTA[TGL.NOTA]))&amp;":"&amp;ADDRESS(ROW(),COLUMN(NOTA[TGL.NOTA]))),-1)))</f>
        <v>45496</v>
      </c>
      <c r="AI247" s="36" t="str">
        <f ca="1">IF(NOTA[[#This Row],[ID_H]]="","",INDEX(NOTA[NO.NOTA],MATCH(NOTA[[#This Row],[ID_H]],NOTA[ID_H],0)))</f>
        <v>TH034/7/2024</v>
      </c>
      <c r="AJ247" s="38" t="str">
        <f ca="1">IF(NOTA[[#This Row],[NAMA BARANG]]="","",INDEX(NOTA[SUPPLIER],MATCH(,INDIRECT(ADDRESS(ROW(NOTA[ID]),COLUMN(NOTA[ID]))&amp;":"&amp;ADDRESS(ROW(),COLUMN(NOTA[ID]))),-1)))</f>
        <v>SBS</v>
      </c>
      <c r="AK247" s="38" t="str">
        <f ca="1">IF(NOTA[[#This Row],[ID_H]]="","",IF(NOTA[[#This Row],[FAKTUR]]="",INDIRECT(ADDRESS(ROW()-1,COLUMN())),NOTA[[#This Row],[FAKTUR]]))</f>
        <v>UNTANA</v>
      </c>
      <c r="AL247" s="35" t="str">
        <f ca="1">IF(NOTA[[#This Row],[ID]]="","",COUNTIF(NOTA[ID_H],NOTA[[#This Row],[ID_H]]))</f>
        <v/>
      </c>
      <c r="AM247" s="35">
        <f ca="1">IF(NOTA[[#This Row],[TGL.NOTA]]="",IF(NOTA[[#This Row],[SUPPLIER_H]]="","",AM246),MONTH(NOTA[[#This Row],[TGL.NOTA]]))</f>
        <v>7</v>
      </c>
      <c r="AN247" s="35" t="str">
        <f>LOWER(SUBSTITUTE(SUBSTITUTE(SUBSTITUTE(SUBSTITUTE(SUBSTITUTE(SUBSTITUTE(SUBSTITUTE(SUBSTITUTE(SUBSTITUTE(NOTA[[#This Row],[NAMA BARANG]]," ",),".",""),"-",""),"(",""),")",""),",",""),"/",""),"""",""),"+",""))</f>
        <v>elevatedtraymicrotop602hitam</v>
      </c>
      <c r="AO2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elevatedtraymicrotop602hitam0</v>
      </c>
      <c r="AP2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elevatedtraymicrotop602hitam0</v>
      </c>
      <c r="AQ2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7" s="35">
        <f>IF(NOTA[[#This Row],[CONCAT1]]="","",MATCH(NOTA[[#This Row],[CONCAT1]],[3]!db[NB NOTA_C],0))</f>
        <v>927</v>
      </c>
      <c r="AS247" s="35" t="b">
        <f>IF(NOTA[[#This Row],[Column5]]="","",TRUE)</f>
        <v>1</v>
      </c>
      <c r="AT247" s="35" t="str">
        <f ca="1">IF(NOTA[[#This Row],[ID_H]]="","",IF(NOTA[[#This Row],[Column3]]=TRUE,NOTA[[#This Row],[Column5]],INDEX([3]!db[QTY/ CTN],NOTA[[#This Row],[//DB]])))</f>
        <v>12 PCS</v>
      </c>
      <c r="AU2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elevatedtraymicrotop602hitam12pcsuntana</v>
      </c>
      <c r="AV247" s="35" t="e">
        <f ca="1">IF(NOTA[[#This Row],[ID_H]]="","",MATCH(NOTA[[#This Row],[NB NOTA_C_QTY]],[3]!db[NB NOTA_C_QTY+F],0))</f>
        <v>#N/A</v>
      </c>
      <c r="AW247" s="43">
        <f ca="1">IF(NOTA[[#This Row],[NB NOTA_C_QTY]]="","",ROW()-2)</f>
        <v>245</v>
      </c>
    </row>
    <row r="248" spans="1:49" ht="20.100000000000001" customHeight="1">
      <c r="A2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5" t="str">
        <f ca="1">IF(NOTA[[#This Row],[NAMA BARANG]]="","",INDEX(NOTA[ID],MATCH(,INDIRECT(ADDRESS(ROW(NOTA[ID]),COLUMN(NOTA[ID]))&amp;":"&amp;ADDRESS(ROW(),COLUMN(NOTA[ID]))),-1)))</f>
        <v/>
      </c>
      <c r="C248" s="45"/>
      <c r="F248" s="46"/>
      <c r="G248" s="35"/>
      <c r="H248" s="36"/>
      <c r="I248" s="35"/>
      <c r="K248" s="37"/>
      <c r="L248" s="35"/>
      <c r="N248" s="38"/>
      <c r="O248" s="39"/>
      <c r="P248" s="47"/>
      <c r="Q248" s="48"/>
      <c r="R248" s="41"/>
      <c r="T248" s="42"/>
      <c r="U248" s="44"/>
      <c r="V248" s="42" t="str">
        <f>IF(NOTA[[#This Row],[HARGA/ CTN]]="",NOTA[[#This Row],[JUMLAH_H]],NOTA[[#This Row],[HARGA/ CTN]]*IF(NOTA[[#This Row],[C]]="",0,NOTA[[#This Row],[C]]))</f>
        <v/>
      </c>
      <c r="W248" s="42" t="str">
        <f>IF(NOTA[[#This Row],[JUMLAH]]="","",NOTA[[#This Row],[JUMLAH]]*NOTA[[#This Row],[Column6]])</f>
        <v/>
      </c>
      <c r="X248" s="42" t="str">
        <f>IF(NOTA[[#This Row],[JUMLAH]]="","",(NOTA[[#This Row],[JUMLAH]]-NOTA[[#This Row],[DISC 1-]])*NOTA[[#This Row],[Column7]])</f>
        <v/>
      </c>
      <c r="Y248" s="42" t="str">
        <f>IF(NOTA[[#This Row],[JUMLAH]]="","",(NOTA[[#This Row],[JUMLAH]]-NOTA[[#This Row],[DISC 1-]]-NOTA[[#This Row],[DISC 2-]])*NOTA[[#This Row],[Column8]])</f>
        <v/>
      </c>
      <c r="Z248" s="42" t="str">
        <f>IF(NOTA[[#This Row],[JUMLAH]]="","",NOTA[[#This Row],[DISC 1-]]+NOTA[[#This Row],[DISC 2-]]+NOTA[[#This Row],[DISC 3-]])</f>
        <v/>
      </c>
      <c r="AA248" s="42" t="str">
        <f>IF(NOTA[[#This Row],[JUMLAH]]="","",NOTA[[#This Row],[JUMLAH]]-NOTA[[#This Row],[DISC]])</f>
        <v/>
      </c>
      <c r="AB248" s="42"/>
      <c r="AC2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8" s="42" t="str">
        <f>IF(OR(NOTA[[#This Row],[QTY]]="",NOTA[[#This Row],[HARGA SATUAN]]="",),"",NOTA[[#This Row],[QTY]]*NOTA[[#This Row],[HARGA SATUAN]])</f>
        <v/>
      </c>
      <c r="AG248" s="36" t="str">
        <f ca="1">IF(NOTA[[#This Row],[ID_H]]="","",INDEX(NOTA[TANGGAL],MATCH(,INDIRECT(ADDRESS(ROW(NOTA[TANGGAL]),COLUMN(NOTA[TANGGAL]))&amp;":"&amp;ADDRESS(ROW(),COLUMN(NOTA[TANGGAL]))),-1)))</f>
        <v/>
      </c>
      <c r="AH248" s="36" t="str">
        <f ca="1">IF(NOTA[[#This Row],[ID_H]]="","",INDEX(NOTA[TGL.NOTA],MATCH(,INDIRECT(ADDRESS(ROW(NOTA[TGL.NOTA]),COLUMN(NOTA[TGL.NOTA]))&amp;":"&amp;ADDRESS(ROW(),COLUMN(NOTA[TGL.NOTA]))),-1)))</f>
        <v/>
      </c>
      <c r="AI248" s="36" t="str">
        <f ca="1">IF(NOTA[[#This Row],[ID_H]]="","",INDEX(NOTA[NO.NOTA],MATCH(NOTA[[#This Row],[ID_H]],NOTA[ID_H],0)))</f>
        <v/>
      </c>
      <c r="AJ248" s="38" t="str">
        <f ca="1">IF(NOTA[[#This Row],[NAMA BARANG]]="","",INDEX(NOTA[SUPPLIER],MATCH(,INDIRECT(ADDRESS(ROW(NOTA[ID]),COLUMN(NOTA[ID]))&amp;":"&amp;ADDRESS(ROW(),COLUMN(NOTA[ID]))),-1)))</f>
        <v/>
      </c>
      <c r="AK248" s="38" t="str">
        <f ca="1">IF(NOTA[[#This Row],[ID_H]]="","",IF(NOTA[[#This Row],[FAKTUR]]="",INDIRECT(ADDRESS(ROW()-1,COLUMN())),NOTA[[#This Row],[FAKTUR]]))</f>
        <v/>
      </c>
      <c r="AL248" s="35" t="str">
        <f ca="1">IF(NOTA[[#This Row],[ID]]="","",COUNTIF(NOTA[ID_H],NOTA[[#This Row],[ID_H]]))</f>
        <v/>
      </c>
      <c r="AM248" s="35" t="str">
        <f ca="1">IF(NOTA[[#This Row],[TGL.NOTA]]="",IF(NOTA[[#This Row],[SUPPLIER_H]]="","",AM247),MONTH(NOTA[[#This Row],[TGL.NOTA]]))</f>
        <v/>
      </c>
      <c r="AN2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8" s="35" t="str">
        <f>IF(NOTA[[#This Row],[CONCAT1]]="","",MATCH(NOTA[[#This Row],[CONCAT1]],[3]!db[NB NOTA_C],0))</f>
        <v/>
      </c>
      <c r="AS248" s="35" t="str">
        <f>IF(NOTA[[#This Row],[Column5]]="","",TRUE)</f>
        <v/>
      </c>
      <c r="AT248" s="35" t="str">
        <f ca="1">IF(NOTA[[#This Row],[ID_H]]="","",IF(NOTA[[#This Row],[Column3]]=TRUE,NOTA[[#This Row],[Column5]],INDEX([3]!db[QTY/ CTN],NOTA[[#This Row],[//DB]])))</f>
        <v/>
      </c>
      <c r="AU2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48" s="35" t="str">
        <f ca="1">IF(NOTA[[#This Row],[ID_H]]="","",MATCH(NOTA[[#This Row],[NB NOTA_C_QTY]],[3]!db[NB NOTA_C_QTY+F],0))</f>
        <v/>
      </c>
      <c r="AW248" s="43" t="str">
        <f ca="1">IF(NOTA[[#This Row],[NB NOTA_C_QTY]]="","",ROW()-2)</f>
        <v/>
      </c>
    </row>
    <row r="249" spans="1:49" ht="20.100000000000001" customHeight="1">
      <c r="A249" s="38">
        <f ca="1">IF(INDIRECT(ADDRESS(ROW()-1,COLUMN(NOTA[[#Headers],[ID]])))="ID",1,IF(NOTA[[#This Row],[FAKTUR]]="","",COUNT(INDIRECT(ADDRESS(ROW(NOTA[ID]),COLUMN(NOTA[ID]))&amp;":"&amp;ADDRESS(ROW()-1,COLUMN(NOTA[ID]))))+1))</f>
        <v>62</v>
      </c>
      <c r="B249" s="35">
        <f ca="1">IF(NOTA[[#This Row],[NAMA BARANG]]="","",INDEX(NOTA[ID],MATCH(,INDIRECT(ADDRESS(ROW(NOTA[ID]),COLUMN(NOTA[ID]))&amp;":"&amp;ADDRESS(ROW(),COLUMN(NOTA[ID]))),-1)))</f>
        <v>62</v>
      </c>
      <c r="C249" s="45"/>
      <c r="D249" s="35" t="s">
        <v>243</v>
      </c>
      <c r="E249" s="35" t="s">
        <v>49</v>
      </c>
      <c r="F249" s="46" t="s">
        <v>444</v>
      </c>
      <c r="G249" s="35"/>
      <c r="H249" s="36">
        <v>45493</v>
      </c>
      <c r="I249" s="35"/>
      <c r="J249" s="51" t="s">
        <v>326</v>
      </c>
      <c r="K249" s="37">
        <v>5</v>
      </c>
      <c r="L249" s="35">
        <v>120</v>
      </c>
      <c r="M249" s="35" t="s">
        <v>50</v>
      </c>
      <c r="N249" s="38">
        <v>52500</v>
      </c>
      <c r="O249" s="39"/>
      <c r="P249" s="47" t="s">
        <v>119</v>
      </c>
      <c r="Q249" s="48"/>
      <c r="R249" s="41"/>
      <c r="T249" s="42"/>
      <c r="U249" s="44"/>
      <c r="V249" s="42">
        <f>IF(NOTA[[#This Row],[HARGA/ CTN]]="",NOTA[[#This Row],[JUMLAH_H]],NOTA[[#This Row],[HARGA/ CTN]]*IF(NOTA[[#This Row],[C]]="",0,NOTA[[#This Row],[C]]))</f>
        <v>6300000</v>
      </c>
      <c r="W249" s="42">
        <f>IF(NOTA[[#This Row],[JUMLAH]]="","",NOTA[[#This Row],[JUMLAH]]*NOTA[[#This Row],[Column6]])</f>
        <v>0</v>
      </c>
      <c r="X249" s="42">
        <f>IF(NOTA[[#This Row],[JUMLAH]]="","",(NOTA[[#This Row],[JUMLAH]]-NOTA[[#This Row],[DISC 1-]])*NOTA[[#This Row],[Column7]])</f>
        <v>0</v>
      </c>
      <c r="Y249" s="42">
        <f>IF(NOTA[[#This Row],[JUMLAH]]="","",(NOTA[[#This Row],[JUMLAH]]-NOTA[[#This Row],[DISC 1-]]-NOTA[[#This Row],[DISC 2-]])*NOTA[[#This Row],[Column8]])</f>
        <v>0</v>
      </c>
      <c r="Z249" s="42">
        <f>IF(NOTA[[#This Row],[JUMLAH]]="","",NOTA[[#This Row],[DISC 1-]]+NOTA[[#This Row],[DISC 2-]]+NOTA[[#This Row],[DISC 3-]])</f>
        <v>0</v>
      </c>
      <c r="AA249" s="42">
        <f>IF(NOTA[[#This Row],[JUMLAH]]="","",NOTA[[#This Row],[JUMLAH]]-NOTA[[#This Row],[DISC]])</f>
        <v>6300000</v>
      </c>
      <c r="AB249" s="42"/>
      <c r="AC24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49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6300000</v>
      </c>
      <c r="AE249" s="38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249" s="42">
        <f>IF(OR(NOTA[[#This Row],[QTY]]="",NOTA[[#This Row],[HARGA SATUAN]]="",),"",NOTA[[#This Row],[QTY]]*NOTA[[#This Row],[HARGA SATUAN]])</f>
        <v>6300000</v>
      </c>
      <c r="AG249" s="36">
        <f ca="1">IF(NOTA[[#This Row],[ID_H]]="","",INDEX(NOTA[TANGGAL],MATCH(,INDIRECT(ADDRESS(ROW(NOTA[TANGGAL]),COLUMN(NOTA[TANGGAL]))&amp;":"&amp;ADDRESS(ROW(),COLUMN(NOTA[TANGGAL]))),-1)))</f>
        <v>45498</v>
      </c>
      <c r="AH249" s="36">
        <f ca="1">IF(NOTA[[#This Row],[ID_H]]="","",INDEX(NOTA[TGL.NOTA],MATCH(,INDIRECT(ADDRESS(ROW(NOTA[TGL.NOTA]),COLUMN(NOTA[TGL.NOTA]))&amp;":"&amp;ADDRESS(ROW(),COLUMN(NOTA[TGL.NOTA]))),-1)))</f>
        <v>45493</v>
      </c>
      <c r="AI249" s="36" t="str">
        <f ca="1">IF(NOTA[[#This Row],[ID_H]]="","",INDEX(NOTA[NO.NOTA],MATCH(NOTA[[#This Row],[ID_H]],NOTA[ID_H],0)))</f>
        <v>WG05288</v>
      </c>
      <c r="AJ249" s="38" t="str">
        <f ca="1">IF(NOTA[[#This Row],[NAMA BARANG]]="","",INDEX(NOTA[SUPPLIER],MATCH(,INDIRECT(ADDRESS(ROW(NOTA[ID]),COLUMN(NOTA[ID]))&amp;":"&amp;ADDRESS(ROW(),COLUMN(NOTA[ID]))),-1)))</f>
        <v>SBS</v>
      </c>
      <c r="AK249" s="38" t="str">
        <f ca="1">IF(NOTA[[#This Row],[ID_H]]="","",IF(NOTA[[#This Row],[FAKTUR]]="",INDIRECT(ADDRESS(ROW()-1,COLUMN())),NOTA[[#This Row],[FAKTUR]]))</f>
        <v>UNTANA</v>
      </c>
      <c r="AL249" s="35">
        <f ca="1">IF(NOTA[[#This Row],[ID]]="","",COUNTIF(NOTA[ID_H],NOTA[[#This Row],[ID_H]]))</f>
        <v>1</v>
      </c>
      <c r="AM249" s="35">
        <f>IF(NOTA[[#This Row],[TGL.NOTA]]="",IF(NOTA[[#This Row],[SUPPLIER_H]]="","",AM248),MONTH(NOTA[[#This Row],[TGL.NOTA]]))</f>
        <v>7</v>
      </c>
      <c r="AN249" s="35" t="str">
        <f>LOWER(SUBSTITUTE(SUBSTITUTE(SUBSTITUTE(SUBSTITUTE(SUBSTITUTE(SUBSTITUTE(SUBSTITUTE(SUBSTITUTE(SUBSTITUTE(NOTA[[#This Row],[NAMA BARANG]]," ",),".",""),"-",""),"(",""),")",""),",",""),"/",""),"""",""),"+",""))</f>
        <v>stamppadherok</v>
      </c>
      <c r="AO2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stamppadherok1260000</v>
      </c>
      <c r="AP2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stamppadherok1260000</v>
      </c>
      <c r="AQ249" s="35" t="str">
        <f>IF(NOTA[[#This Row],[SUPPLIER]]="","",NOTA[[#This Row],[SUPPLIER]]&amp;NOTA[[#This Row],[FAKTUR]]&amp;NOTA[[#This Row],[NO.NOTA]]&amp;NOTA[[#This Row],[NO.SJ]]&amp;NOTA[[#This Row],[TGL.NOTA]]&amp;NOTA[[#This Row],[CONCAT1]])</f>
        <v>SBSUNTANAWG0528845493stamppadherok</v>
      </c>
      <c r="AR249" s="35">
        <f>IF(NOTA[[#This Row],[CONCAT1]]="","",MATCH(NOTA[[#This Row],[CONCAT1]],[3]!db[NB NOTA_C],0))</f>
        <v>2927</v>
      </c>
      <c r="AS249" s="35" t="b">
        <f>IF(NOTA[[#This Row],[Column5]]="","",TRUE)</f>
        <v>1</v>
      </c>
      <c r="AT249" s="35" t="str">
        <f ca="1">IF(NOTA[[#This Row],[ID_H]]="","",IF(NOTA[[#This Row],[Column3]]=TRUE,NOTA[[#This Row],[Column5]],INDEX([3]!db[QTY/ CTN],NOTA[[#This Row],[//DB]])))</f>
        <v>24 LSN</v>
      </c>
      <c r="AU2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stamppadherok24lsnuntana</v>
      </c>
      <c r="AV249" s="35">
        <f ca="1">IF(NOTA[[#This Row],[ID_H]]="","",MATCH(NOTA[[#This Row],[NB NOTA_C_QTY]],[3]!db[NB NOTA_C_QTY+F],0))</f>
        <v>2927</v>
      </c>
      <c r="AW249" s="43">
        <f ca="1">IF(NOTA[[#This Row],[NB NOTA_C_QTY]]="","",ROW()-2)</f>
        <v>247</v>
      </c>
    </row>
    <row r="250" spans="1:49" ht="20.100000000000001" customHeight="1">
      <c r="A2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5" t="str">
        <f ca="1">IF(NOTA[[#This Row],[NAMA BARANG]]="","",INDEX(NOTA[ID],MATCH(,INDIRECT(ADDRESS(ROW(NOTA[ID]),COLUMN(NOTA[ID]))&amp;":"&amp;ADDRESS(ROW(),COLUMN(NOTA[ID]))),-1)))</f>
        <v/>
      </c>
      <c r="C250" s="45"/>
      <c r="F250" s="46"/>
      <c r="G250" s="35"/>
      <c r="H250" s="36"/>
      <c r="I250" s="35"/>
      <c r="K250" s="37"/>
      <c r="L250" s="35"/>
      <c r="N250" s="38"/>
      <c r="O250" s="39"/>
      <c r="P250" s="47"/>
      <c r="Q250" s="48"/>
      <c r="R250" s="41"/>
      <c r="T250" s="42"/>
      <c r="U250" s="44"/>
      <c r="V250" s="42" t="str">
        <f>IF(NOTA[[#This Row],[HARGA/ CTN]]="",NOTA[[#This Row],[JUMLAH_H]],NOTA[[#This Row],[HARGA/ CTN]]*IF(NOTA[[#This Row],[C]]="",0,NOTA[[#This Row],[C]]))</f>
        <v/>
      </c>
      <c r="W250" s="42" t="str">
        <f>IF(NOTA[[#This Row],[JUMLAH]]="","",NOTA[[#This Row],[JUMLAH]]*NOTA[[#This Row],[Column6]])</f>
        <v/>
      </c>
      <c r="X250" s="42" t="str">
        <f>IF(NOTA[[#This Row],[JUMLAH]]="","",(NOTA[[#This Row],[JUMLAH]]-NOTA[[#This Row],[DISC 1-]])*NOTA[[#This Row],[Column7]])</f>
        <v/>
      </c>
      <c r="Y250" s="42" t="str">
        <f>IF(NOTA[[#This Row],[JUMLAH]]="","",(NOTA[[#This Row],[JUMLAH]]-NOTA[[#This Row],[DISC 1-]]-NOTA[[#This Row],[DISC 2-]])*NOTA[[#This Row],[Column8]])</f>
        <v/>
      </c>
      <c r="Z250" s="42" t="str">
        <f>IF(NOTA[[#This Row],[JUMLAH]]="","",NOTA[[#This Row],[DISC 1-]]+NOTA[[#This Row],[DISC 2-]]+NOTA[[#This Row],[DISC 3-]])</f>
        <v/>
      </c>
      <c r="AA250" s="42" t="str">
        <f>IF(NOTA[[#This Row],[JUMLAH]]="","",NOTA[[#This Row],[JUMLAH]]-NOTA[[#This Row],[DISC]])</f>
        <v/>
      </c>
      <c r="AB250" s="42"/>
      <c r="AC2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0" s="42" t="str">
        <f>IF(OR(NOTA[[#This Row],[QTY]]="",NOTA[[#This Row],[HARGA SATUAN]]="",),"",NOTA[[#This Row],[QTY]]*NOTA[[#This Row],[HARGA SATUAN]])</f>
        <v/>
      </c>
      <c r="AG250" s="36" t="str">
        <f ca="1">IF(NOTA[[#This Row],[ID_H]]="","",INDEX(NOTA[TANGGAL],MATCH(,INDIRECT(ADDRESS(ROW(NOTA[TANGGAL]),COLUMN(NOTA[TANGGAL]))&amp;":"&amp;ADDRESS(ROW(),COLUMN(NOTA[TANGGAL]))),-1)))</f>
        <v/>
      </c>
      <c r="AH250" s="36" t="str">
        <f ca="1">IF(NOTA[[#This Row],[ID_H]]="","",INDEX(NOTA[TGL.NOTA],MATCH(,INDIRECT(ADDRESS(ROW(NOTA[TGL.NOTA]),COLUMN(NOTA[TGL.NOTA]))&amp;":"&amp;ADDRESS(ROW(),COLUMN(NOTA[TGL.NOTA]))),-1)))</f>
        <v/>
      </c>
      <c r="AI250" s="36" t="str">
        <f ca="1">IF(NOTA[[#This Row],[ID_H]]="","",INDEX(NOTA[NO.NOTA],MATCH(NOTA[[#This Row],[ID_H]],NOTA[ID_H],0)))</f>
        <v/>
      </c>
      <c r="AJ250" s="38" t="str">
        <f ca="1">IF(NOTA[[#This Row],[NAMA BARANG]]="","",INDEX(NOTA[SUPPLIER],MATCH(,INDIRECT(ADDRESS(ROW(NOTA[ID]),COLUMN(NOTA[ID]))&amp;":"&amp;ADDRESS(ROW(),COLUMN(NOTA[ID]))),-1)))</f>
        <v/>
      </c>
      <c r="AK250" s="38" t="str">
        <f ca="1">IF(NOTA[[#This Row],[ID_H]]="","",IF(NOTA[[#This Row],[FAKTUR]]="",INDIRECT(ADDRESS(ROW()-1,COLUMN())),NOTA[[#This Row],[FAKTUR]]))</f>
        <v/>
      </c>
      <c r="AL250" s="35" t="str">
        <f ca="1">IF(NOTA[[#This Row],[ID]]="","",COUNTIF(NOTA[ID_H],NOTA[[#This Row],[ID_H]]))</f>
        <v/>
      </c>
      <c r="AM250" s="35" t="str">
        <f ca="1">IF(NOTA[[#This Row],[TGL.NOTA]]="",IF(NOTA[[#This Row],[SUPPLIER_H]]="","",AM249),MONTH(NOTA[[#This Row],[TGL.NOTA]]))</f>
        <v/>
      </c>
      <c r="AN2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0" s="35" t="str">
        <f>IF(NOTA[[#This Row],[CONCAT1]]="","",MATCH(NOTA[[#This Row],[CONCAT1]],[3]!db[NB NOTA_C],0))</f>
        <v/>
      </c>
      <c r="AS250" s="35" t="str">
        <f>IF(NOTA[[#This Row],[Column5]]="","",TRUE)</f>
        <v/>
      </c>
      <c r="AT250" s="35" t="str">
        <f ca="1">IF(NOTA[[#This Row],[ID_H]]="","",IF(NOTA[[#This Row],[Column3]]=TRUE,NOTA[[#This Row],[Column5]],INDEX([3]!db[QTY/ CTN],NOTA[[#This Row],[//DB]])))</f>
        <v/>
      </c>
      <c r="AU2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0" s="35" t="str">
        <f ca="1">IF(NOTA[[#This Row],[ID_H]]="","",MATCH(NOTA[[#This Row],[NB NOTA_C_QTY]],[3]!db[NB NOTA_C_QTY+F],0))</f>
        <v/>
      </c>
      <c r="AW250" s="43" t="str">
        <f ca="1">IF(NOTA[[#This Row],[NB NOTA_C_QTY]]="","",ROW()-2)</f>
        <v/>
      </c>
    </row>
    <row r="251" spans="1:49" ht="20.100000000000001" customHeight="1">
      <c r="A251" s="38">
        <f ca="1">IF(INDIRECT(ADDRESS(ROW()-1,COLUMN(NOTA[[#Headers],[ID]])))="ID",1,IF(NOTA[[#This Row],[FAKTUR]]="","",COUNT(INDIRECT(ADDRESS(ROW(NOTA[ID]),COLUMN(NOTA[ID]))&amp;":"&amp;ADDRESS(ROW()-1,COLUMN(NOTA[ID]))))+1))</f>
        <v>63</v>
      </c>
      <c r="B251" s="35">
        <f ca="1">IF(NOTA[[#This Row],[NAMA BARANG]]="","",INDEX(NOTA[ID],MATCH(,INDIRECT(ADDRESS(ROW(NOTA[ID]),COLUMN(NOTA[ID]))&amp;":"&amp;ADDRESS(ROW(),COLUMN(NOTA[ID]))),-1)))</f>
        <v>63</v>
      </c>
      <c r="C251" s="45"/>
      <c r="D251" s="35" t="s">
        <v>268</v>
      </c>
      <c r="E251" s="35" t="s">
        <v>49</v>
      </c>
      <c r="F251" s="46" t="s">
        <v>445</v>
      </c>
      <c r="G251" s="35"/>
      <c r="H251" s="36">
        <v>45495</v>
      </c>
      <c r="I251" s="35"/>
      <c r="J251" s="35" t="s">
        <v>271</v>
      </c>
      <c r="K251" s="37">
        <v>12</v>
      </c>
      <c r="L251" s="35">
        <v>720</v>
      </c>
      <c r="M251" s="35" t="s">
        <v>50</v>
      </c>
      <c r="N251" s="38">
        <v>31000</v>
      </c>
      <c r="O251" s="39"/>
      <c r="P251" s="47" t="s">
        <v>70</v>
      </c>
      <c r="Q251" s="48">
        <v>0.19</v>
      </c>
      <c r="R251" s="41">
        <v>0.1</v>
      </c>
      <c r="T251" s="42"/>
      <c r="U251" s="44"/>
      <c r="V251" s="42">
        <f>IF(NOTA[[#This Row],[HARGA/ CTN]]="",NOTA[[#This Row],[JUMLAH_H]],NOTA[[#This Row],[HARGA/ CTN]]*IF(NOTA[[#This Row],[C]]="",0,NOTA[[#This Row],[C]]))</f>
        <v>22320000</v>
      </c>
      <c r="W251" s="42">
        <f>IF(NOTA[[#This Row],[JUMLAH]]="","",NOTA[[#This Row],[JUMLAH]]*NOTA[[#This Row],[Column6]])</f>
        <v>4240800</v>
      </c>
      <c r="X251" s="42">
        <f>IF(NOTA[[#This Row],[JUMLAH]]="","",(NOTA[[#This Row],[JUMLAH]]-NOTA[[#This Row],[DISC 1-]])*NOTA[[#This Row],[Column7]])</f>
        <v>1807920</v>
      </c>
      <c r="Y251" s="42">
        <f>IF(NOTA[[#This Row],[JUMLAH]]="","",(NOTA[[#This Row],[JUMLAH]]-NOTA[[#This Row],[DISC 1-]]-NOTA[[#This Row],[DISC 2-]])*NOTA[[#This Row],[Column8]])</f>
        <v>0</v>
      </c>
      <c r="Z251" s="42">
        <f>IF(NOTA[[#This Row],[JUMLAH]]="","",NOTA[[#This Row],[DISC 1-]]+NOTA[[#This Row],[DISC 2-]]+NOTA[[#This Row],[DISC 3-]])</f>
        <v>6048720</v>
      </c>
      <c r="AA251" s="42">
        <f>IF(NOTA[[#This Row],[JUMLAH]]="","",NOTA[[#This Row],[JUMLAH]]-NOTA[[#This Row],[DISC]])</f>
        <v>16271280</v>
      </c>
      <c r="AB251" s="42"/>
      <c r="AC2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1" s="3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51" s="42">
        <f>IF(OR(NOTA[[#This Row],[QTY]]="",NOTA[[#This Row],[HARGA SATUAN]]="",),"",NOTA[[#This Row],[QTY]]*NOTA[[#This Row],[HARGA SATUAN]])</f>
        <v>22320000</v>
      </c>
      <c r="AG251" s="36">
        <f ca="1">IF(NOTA[[#This Row],[ID_H]]="","",INDEX(NOTA[TANGGAL],MATCH(,INDIRECT(ADDRESS(ROW(NOTA[TANGGAL]),COLUMN(NOTA[TANGGAL]))&amp;":"&amp;ADDRESS(ROW(),COLUMN(NOTA[TANGGAL]))),-1)))</f>
        <v>45498</v>
      </c>
      <c r="AH251" s="36">
        <f ca="1">IF(NOTA[[#This Row],[ID_H]]="","",INDEX(NOTA[TGL.NOTA],MATCH(,INDIRECT(ADDRESS(ROW(NOTA[TGL.NOTA]),COLUMN(NOTA[TGL.NOTA]))&amp;":"&amp;ADDRESS(ROW(),COLUMN(NOTA[TGL.NOTA]))),-1)))</f>
        <v>45495</v>
      </c>
      <c r="AI251" s="36" t="str">
        <f ca="1">IF(NOTA[[#This Row],[ID_H]]="","",INDEX(NOTA[NO.NOTA],MATCH(NOTA[[#This Row],[ID_H]],NOTA[ID_H],0)))</f>
        <v>CDS2407063</v>
      </c>
      <c r="AJ251" s="38" t="str">
        <f ca="1">IF(NOTA[[#This Row],[NAMA BARANG]]="","",INDEX(NOTA[SUPPLIER],MATCH(,INDIRECT(ADDRESS(ROW(NOTA[ID]),COLUMN(NOTA[ID]))&amp;":"&amp;ADDRESS(ROW(),COLUMN(NOTA[ID]))),-1)))</f>
        <v>D-R ORIGINAL</v>
      </c>
      <c r="AK251" s="38" t="str">
        <f ca="1">IF(NOTA[[#This Row],[ID_H]]="","",IF(NOTA[[#This Row],[FAKTUR]]="",INDIRECT(ADDRESS(ROW()-1,COLUMN())),NOTA[[#This Row],[FAKTUR]]))</f>
        <v>UNTANA</v>
      </c>
      <c r="AL251" s="35">
        <f ca="1">IF(NOTA[[#This Row],[ID]]="","",COUNTIF(NOTA[ID_H],NOTA[[#This Row],[ID_H]]))</f>
        <v>2</v>
      </c>
      <c r="AM251" s="35">
        <f>IF(NOTA[[#This Row],[TGL.NOTA]]="",IF(NOTA[[#This Row],[SUPPLIER_H]]="","",AM250),MONTH(NOTA[[#This Row],[TGL.NOTA]]))</f>
        <v>7</v>
      </c>
      <c r="AN251" s="35" t="str">
        <f>LOWER(SUBSTITUTE(SUBSTITUTE(SUBSTITUTE(SUBSTITUTE(SUBSTITUTE(SUBSTITUTE(SUBSTITUTE(SUBSTITUTE(SUBSTITUTE(NOTA[[#This Row],[NAMA BARANG]]," ",),".",""),"-",""),"(",""),")",""),",",""),"/",""),"""",""),"+",""))</f>
        <v>cutterbesar88taco</v>
      </c>
      <c r="AO2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cutterbesar88taco18600000,190,1</v>
      </c>
      <c r="AP2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cutterbesar88taco18600000,190,1</v>
      </c>
      <c r="AQ251" s="35" t="str">
        <f>IF(NOTA[[#This Row],[SUPPLIER]]="","",NOTA[[#This Row],[SUPPLIER]]&amp;NOTA[[#This Row],[FAKTUR]]&amp;NOTA[[#This Row],[NO.NOTA]]&amp;NOTA[[#This Row],[NO.SJ]]&amp;NOTA[[#This Row],[TGL.NOTA]]&amp;NOTA[[#This Row],[CONCAT1]])</f>
        <v>D-R ORIGINALUNTANACDS240706345495cutterbesar88taco</v>
      </c>
      <c r="AR251" s="35">
        <f>IF(NOTA[[#This Row],[CONCAT1]]="","",MATCH(NOTA[[#This Row],[CONCAT1]],[3]!db[NB NOTA_C],0))</f>
        <v>791</v>
      </c>
      <c r="AS251" s="35" t="b">
        <f>IF(NOTA[[#This Row],[Column5]]="","",TRUE)</f>
        <v>1</v>
      </c>
      <c r="AT251" s="35" t="str">
        <f ca="1">IF(NOTA[[#This Row],[ID_H]]="","",IF(NOTA[[#This Row],[Column3]]=TRUE,NOTA[[#This Row],[Column5]],INDEX([3]!db[QTY/ CTN],NOTA[[#This Row],[//DB]])))</f>
        <v>60 LSN</v>
      </c>
      <c r="AU2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cutterbesar88taco60lsnuntana</v>
      </c>
      <c r="AV251" s="35">
        <f ca="1">IF(NOTA[[#This Row],[ID_H]]="","",MATCH(NOTA[[#This Row],[NB NOTA_C_QTY]],[3]!db[NB NOTA_C_QTY+F],0))</f>
        <v>791</v>
      </c>
      <c r="AW251" s="43">
        <f ca="1">IF(NOTA[[#This Row],[NB NOTA_C_QTY]]="","",ROW()-2)</f>
        <v>249</v>
      </c>
    </row>
    <row r="252" spans="1:49" ht="20.100000000000001" customHeight="1">
      <c r="A2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5">
        <f ca="1">IF(NOTA[[#This Row],[NAMA BARANG]]="","",INDEX(NOTA[ID],MATCH(,INDIRECT(ADDRESS(ROW(NOTA[ID]),COLUMN(NOTA[ID]))&amp;":"&amp;ADDRESS(ROW(),COLUMN(NOTA[ID]))),-1)))</f>
        <v>63</v>
      </c>
      <c r="C252" s="45"/>
      <c r="F252" s="46"/>
      <c r="G252" s="35"/>
      <c r="H252" s="36"/>
      <c r="I252" s="35"/>
      <c r="J252" s="35" t="s">
        <v>271</v>
      </c>
      <c r="K252" s="37">
        <v>1</v>
      </c>
      <c r="L252" s="35">
        <v>60</v>
      </c>
      <c r="M252" s="35" t="s">
        <v>50</v>
      </c>
      <c r="N252" s="38">
        <v>31000</v>
      </c>
      <c r="O252" s="39"/>
      <c r="P252" s="47" t="s">
        <v>70</v>
      </c>
      <c r="Q252" s="48">
        <v>1</v>
      </c>
      <c r="R252" s="41"/>
      <c r="T252" s="42"/>
      <c r="U252" s="44" t="s">
        <v>71</v>
      </c>
      <c r="V252" s="42">
        <f>IF(NOTA[[#This Row],[HARGA/ CTN]]="",NOTA[[#This Row],[JUMLAH_H]],NOTA[[#This Row],[HARGA/ CTN]]*IF(NOTA[[#This Row],[C]]="",0,NOTA[[#This Row],[C]]))</f>
        <v>1860000</v>
      </c>
      <c r="W252" s="42">
        <f>IF(NOTA[[#This Row],[JUMLAH]]="","",NOTA[[#This Row],[JUMLAH]]*NOTA[[#This Row],[Column6]])</f>
        <v>1860000</v>
      </c>
      <c r="X252" s="42">
        <f>IF(NOTA[[#This Row],[JUMLAH]]="","",(NOTA[[#This Row],[JUMLAH]]-NOTA[[#This Row],[DISC 1-]])*NOTA[[#This Row],[Column7]])</f>
        <v>0</v>
      </c>
      <c r="Y252" s="42">
        <f>IF(NOTA[[#This Row],[JUMLAH]]="","",(NOTA[[#This Row],[JUMLAH]]-NOTA[[#This Row],[DISC 1-]]-NOTA[[#This Row],[DISC 2-]])*NOTA[[#This Row],[Column8]])</f>
        <v>0</v>
      </c>
      <c r="Z252" s="42">
        <f>IF(NOTA[[#This Row],[JUMLAH]]="","",NOTA[[#This Row],[DISC 1-]]+NOTA[[#This Row],[DISC 2-]]+NOTA[[#This Row],[DISC 3-]])</f>
        <v>1860000</v>
      </c>
      <c r="AA252" s="42">
        <f>IF(NOTA[[#This Row],[JUMLAH]]="","",NOTA[[#This Row],[JUMLAH]]-NOTA[[#This Row],[DISC]])</f>
        <v>0</v>
      </c>
      <c r="AB252" s="42"/>
      <c r="AC25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7908720</v>
      </c>
      <c r="AD252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16271280</v>
      </c>
      <c r="AE252" s="3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52" s="42">
        <f>IF(OR(NOTA[[#This Row],[QTY]]="",NOTA[[#This Row],[HARGA SATUAN]]="",),"",NOTA[[#This Row],[QTY]]*NOTA[[#This Row],[HARGA SATUAN]])</f>
        <v>1860000</v>
      </c>
      <c r="AG252" s="36">
        <f ca="1">IF(NOTA[[#This Row],[ID_H]]="","",INDEX(NOTA[TANGGAL],MATCH(,INDIRECT(ADDRESS(ROW(NOTA[TANGGAL]),COLUMN(NOTA[TANGGAL]))&amp;":"&amp;ADDRESS(ROW(),COLUMN(NOTA[TANGGAL]))),-1)))</f>
        <v>45498</v>
      </c>
      <c r="AH252" s="36">
        <f ca="1">IF(NOTA[[#This Row],[ID_H]]="","",INDEX(NOTA[TGL.NOTA],MATCH(,INDIRECT(ADDRESS(ROW(NOTA[TGL.NOTA]),COLUMN(NOTA[TGL.NOTA]))&amp;":"&amp;ADDRESS(ROW(),COLUMN(NOTA[TGL.NOTA]))),-1)))</f>
        <v>45495</v>
      </c>
      <c r="AI252" s="36" t="str">
        <f ca="1">IF(NOTA[[#This Row],[ID_H]]="","",INDEX(NOTA[NO.NOTA],MATCH(NOTA[[#This Row],[ID_H]],NOTA[ID_H],0)))</f>
        <v>CDS2407063</v>
      </c>
      <c r="AJ252" s="38" t="str">
        <f ca="1">IF(NOTA[[#This Row],[NAMA BARANG]]="","",INDEX(NOTA[SUPPLIER],MATCH(,INDIRECT(ADDRESS(ROW(NOTA[ID]),COLUMN(NOTA[ID]))&amp;":"&amp;ADDRESS(ROW(),COLUMN(NOTA[ID]))),-1)))</f>
        <v>D-R ORIGINAL</v>
      </c>
      <c r="AK252" s="38" t="str">
        <f ca="1">IF(NOTA[[#This Row],[ID_H]]="","",IF(NOTA[[#This Row],[FAKTUR]]="",INDIRECT(ADDRESS(ROW()-1,COLUMN())),NOTA[[#This Row],[FAKTUR]]))</f>
        <v>UNTANA</v>
      </c>
      <c r="AL252" s="35" t="str">
        <f ca="1">IF(NOTA[[#This Row],[ID]]="","",COUNTIF(NOTA[ID_H],NOTA[[#This Row],[ID_H]]))</f>
        <v/>
      </c>
      <c r="AM252" s="35">
        <f ca="1">IF(NOTA[[#This Row],[TGL.NOTA]]="",IF(NOTA[[#This Row],[SUPPLIER_H]]="","",AM251),MONTH(NOTA[[#This Row],[TGL.NOTA]]))</f>
        <v>7</v>
      </c>
      <c r="AN252" s="35" t="str">
        <f>LOWER(SUBSTITUTE(SUBSTITUTE(SUBSTITUTE(SUBSTITUTE(SUBSTITUTE(SUBSTITUTE(SUBSTITUTE(SUBSTITUTE(SUBSTITUTE(NOTA[[#This Row],[NAMA BARANG]]," ",),".",""),"-",""),"(",""),")",""),",",""),"/",""),"""",""),"+",""))</f>
        <v>cutterbesar88taco</v>
      </c>
      <c r="AO2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cutterbesar88taco18600001</v>
      </c>
      <c r="AP2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cutterbesar88taco18600001</v>
      </c>
      <c r="AQ2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2" s="35">
        <f>IF(NOTA[[#This Row],[CONCAT1]]="","",MATCH(NOTA[[#This Row],[CONCAT1]],[3]!db[NB NOTA_C],0))</f>
        <v>791</v>
      </c>
      <c r="AS252" s="35" t="b">
        <f>IF(NOTA[[#This Row],[Column5]]="","",TRUE)</f>
        <v>1</v>
      </c>
      <c r="AT252" s="35" t="str">
        <f ca="1">IF(NOTA[[#This Row],[ID_H]]="","",IF(NOTA[[#This Row],[Column3]]=TRUE,NOTA[[#This Row],[Column5]],INDEX([3]!db[QTY/ CTN],NOTA[[#This Row],[//DB]])))</f>
        <v>60 LSN</v>
      </c>
      <c r="AU2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cutterbesar88taco60lsnuntana</v>
      </c>
      <c r="AV252" s="35">
        <f ca="1">IF(NOTA[[#This Row],[ID_H]]="","",MATCH(NOTA[[#This Row],[NB NOTA_C_QTY]],[3]!db[NB NOTA_C_QTY+F],0))</f>
        <v>791</v>
      </c>
      <c r="AW252" s="43">
        <f ca="1">IF(NOTA[[#This Row],[NB NOTA_C_QTY]]="","",ROW()-2)</f>
        <v>250</v>
      </c>
    </row>
    <row r="253" spans="1:49" ht="20.100000000000001" customHeight="1">
      <c r="A2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5" t="str">
        <f ca="1">IF(NOTA[[#This Row],[NAMA BARANG]]="","",INDEX(NOTA[ID],MATCH(,INDIRECT(ADDRESS(ROW(NOTA[ID]),COLUMN(NOTA[ID]))&amp;":"&amp;ADDRESS(ROW(),COLUMN(NOTA[ID]))),-1)))</f>
        <v/>
      </c>
      <c r="C253" s="45"/>
      <c r="F253" s="46"/>
      <c r="G253" s="35"/>
      <c r="H253" s="36"/>
      <c r="I253" s="35"/>
      <c r="K253" s="37"/>
      <c r="L253" s="35"/>
      <c r="N253" s="38"/>
      <c r="O253" s="39"/>
      <c r="P253" s="47"/>
      <c r="Q253" s="48"/>
      <c r="R253" s="41"/>
      <c r="T253" s="42"/>
      <c r="U253" s="44"/>
      <c r="V253" s="42" t="str">
        <f>IF(NOTA[[#This Row],[HARGA/ CTN]]="",NOTA[[#This Row],[JUMLAH_H]],NOTA[[#This Row],[HARGA/ CTN]]*IF(NOTA[[#This Row],[C]]="",0,NOTA[[#This Row],[C]]))</f>
        <v/>
      </c>
      <c r="W253" s="42" t="str">
        <f>IF(NOTA[[#This Row],[JUMLAH]]="","",NOTA[[#This Row],[JUMLAH]]*NOTA[[#This Row],[Column6]])</f>
        <v/>
      </c>
      <c r="X253" s="42" t="str">
        <f>IF(NOTA[[#This Row],[JUMLAH]]="","",(NOTA[[#This Row],[JUMLAH]]-NOTA[[#This Row],[DISC 1-]])*NOTA[[#This Row],[Column7]])</f>
        <v/>
      </c>
      <c r="Y253" s="42" t="str">
        <f>IF(NOTA[[#This Row],[JUMLAH]]="","",(NOTA[[#This Row],[JUMLAH]]-NOTA[[#This Row],[DISC 1-]]-NOTA[[#This Row],[DISC 2-]])*NOTA[[#This Row],[Column8]])</f>
        <v/>
      </c>
      <c r="Z253" s="42" t="str">
        <f>IF(NOTA[[#This Row],[JUMLAH]]="","",NOTA[[#This Row],[DISC 1-]]+NOTA[[#This Row],[DISC 2-]]+NOTA[[#This Row],[DISC 3-]])</f>
        <v/>
      </c>
      <c r="AA253" s="42" t="str">
        <f>IF(NOTA[[#This Row],[JUMLAH]]="","",NOTA[[#This Row],[JUMLAH]]-NOTA[[#This Row],[DISC]])</f>
        <v/>
      </c>
      <c r="AB253" s="42"/>
      <c r="AC2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3" s="42" t="str">
        <f>IF(OR(NOTA[[#This Row],[QTY]]="",NOTA[[#This Row],[HARGA SATUAN]]="",),"",NOTA[[#This Row],[QTY]]*NOTA[[#This Row],[HARGA SATUAN]])</f>
        <v/>
      </c>
      <c r="AG253" s="36" t="str">
        <f ca="1">IF(NOTA[[#This Row],[ID_H]]="","",INDEX(NOTA[TANGGAL],MATCH(,INDIRECT(ADDRESS(ROW(NOTA[TANGGAL]),COLUMN(NOTA[TANGGAL]))&amp;":"&amp;ADDRESS(ROW(),COLUMN(NOTA[TANGGAL]))),-1)))</f>
        <v/>
      </c>
      <c r="AH253" s="36" t="str">
        <f ca="1">IF(NOTA[[#This Row],[ID_H]]="","",INDEX(NOTA[TGL.NOTA],MATCH(,INDIRECT(ADDRESS(ROW(NOTA[TGL.NOTA]),COLUMN(NOTA[TGL.NOTA]))&amp;":"&amp;ADDRESS(ROW(),COLUMN(NOTA[TGL.NOTA]))),-1)))</f>
        <v/>
      </c>
      <c r="AI253" s="36" t="str">
        <f ca="1">IF(NOTA[[#This Row],[ID_H]]="","",INDEX(NOTA[NO.NOTA],MATCH(NOTA[[#This Row],[ID_H]],NOTA[ID_H],0)))</f>
        <v/>
      </c>
      <c r="AJ253" s="38" t="str">
        <f ca="1">IF(NOTA[[#This Row],[NAMA BARANG]]="","",INDEX(NOTA[SUPPLIER],MATCH(,INDIRECT(ADDRESS(ROW(NOTA[ID]),COLUMN(NOTA[ID]))&amp;":"&amp;ADDRESS(ROW(),COLUMN(NOTA[ID]))),-1)))</f>
        <v/>
      </c>
      <c r="AK253" s="38" t="str">
        <f ca="1">IF(NOTA[[#This Row],[ID_H]]="","",IF(NOTA[[#This Row],[FAKTUR]]="",INDIRECT(ADDRESS(ROW()-1,COLUMN())),NOTA[[#This Row],[FAKTUR]]))</f>
        <v/>
      </c>
      <c r="AL253" s="35" t="str">
        <f ca="1">IF(NOTA[[#This Row],[ID]]="","",COUNTIF(NOTA[ID_H],NOTA[[#This Row],[ID_H]]))</f>
        <v/>
      </c>
      <c r="AM253" s="35" t="str">
        <f ca="1">IF(NOTA[[#This Row],[TGL.NOTA]]="",IF(NOTA[[#This Row],[SUPPLIER_H]]="","",AM252),MONTH(NOTA[[#This Row],[TGL.NOTA]]))</f>
        <v/>
      </c>
      <c r="AN2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3" s="35" t="str">
        <f>IF(NOTA[[#This Row],[CONCAT1]]="","",MATCH(NOTA[[#This Row],[CONCAT1]],[3]!db[NB NOTA_C],0))</f>
        <v/>
      </c>
      <c r="AS253" s="35" t="str">
        <f>IF(NOTA[[#This Row],[Column5]]="","",TRUE)</f>
        <v/>
      </c>
      <c r="AT253" s="35" t="str">
        <f ca="1">IF(NOTA[[#This Row],[ID_H]]="","",IF(NOTA[[#This Row],[Column3]]=TRUE,NOTA[[#This Row],[Column5]],INDEX([3]!db[QTY/ CTN],NOTA[[#This Row],[//DB]])))</f>
        <v/>
      </c>
      <c r="AU2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3" s="35" t="str">
        <f ca="1">IF(NOTA[[#This Row],[ID_H]]="","",MATCH(NOTA[[#This Row],[NB NOTA_C_QTY]],[3]!db[NB NOTA_C_QTY+F],0))</f>
        <v/>
      </c>
      <c r="AW253" s="43" t="str">
        <f ca="1">IF(NOTA[[#This Row],[NB NOTA_C_QTY]]="","",ROW()-2)</f>
        <v/>
      </c>
    </row>
    <row r="254" spans="1:49" ht="20.100000000000001" customHeight="1">
      <c r="A254" s="38">
        <f ca="1">IF(INDIRECT(ADDRESS(ROW()-1,COLUMN(NOTA[[#Headers],[ID]])))="ID",1,IF(NOTA[[#This Row],[FAKTUR]]="","",COUNT(INDIRECT(ADDRESS(ROW(NOTA[ID]),COLUMN(NOTA[ID]))&amp;":"&amp;ADDRESS(ROW()-1,COLUMN(NOTA[ID]))))+1))</f>
        <v>64</v>
      </c>
      <c r="B254" s="35">
        <f ca="1">IF(NOTA[[#This Row],[NAMA BARANG]]="","",INDEX(NOTA[ID],MATCH(,INDIRECT(ADDRESS(ROW(NOTA[ID]),COLUMN(NOTA[ID]))&amp;":"&amp;ADDRESS(ROW(),COLUMN(NOTA[ID]))),-1)))</f>
        <v>64</v>
      </c>
      <c r="C254" s="45"/>
      <c r="D254" s="35" t="s">
        <v>208</v>
      </c>
      <c r="E254" s="35" t="s">
        <v>49</v>
      </c>
      <c r="F254" s="46" t="s">
        <v>446</v>
      </c>
      <c r="G254" s="35"/>
      <c r="H254" s="36">
        <v>45495</v>
      </c>
      <c r="I254" s="35"/>
      <c r="J254" s="50" t="s">
        <v>447</v>
      </c>
      <c r="K254" s="37">
        <v>1</v>
      </c>
      <c r="L254" s="35">
        <v>40</v>
      </c>
      <c r="M254" s="35" t="s">
        <v>51</v>
      </c>
      <c r="N254" s="38">
        <v>51000</v>
      </c>
      <c r="O254" s="39"/>
      <c r="P254" s="47" t="s">
        <v>448</v>
      </c>
      <c r="Q254" s="48"/>
      <c r="R254" s="41"/>
      <c r="T254" s="42"/>
      <c r="U254" s="44"/>
      <c r="V254" s="42">
        <f>IF(NOTA[[#This Row],[HARGA/ CTN]]="",NOTA[[#This Row],[JUMLAH_H]],NOTA[[#This Row],[HARGA/ CTN]]*IF(NOTA[[#This Row],[C]]="",0,NOTA[[#This Row],[C]]))</f>
        <v>2040000</v>
      </c>
      <c r="W254" s="42">
        <f>IF(NOTA[[#This Row],[JUMLAH]]="","",NOTA[[#This Row],[JUMLAH]]*NOTA[[#This Row],[Column6]])</f>
        <v>0</v>
      </c>
      <c r="X254" s="42">
        <f>IF(NOTA[[#This Row],[JUMLAH]]="","",(NOTA[[#This Row],[JUMLAH]]-NOTA[[#This Row],[DISC 1-]])*NOTA[[#This Row],[Column7]])</f>
        <v>0</v>
      </c>
      <c r="Y254" s="42">
        <f>IF(NOTA[[#This Row],[JUMLAH]]="","",(NOTA[[#This Row],[JUMLAH]]-NOTA[[#This Row],[DISC 1-]]-NOTA[[#This Row],[DISC 2-]])*NOTA[[#This Row],[Column8]])</f>
        <v>0</v>
      </c>
      <c r="Z254" s="42">
        <f>IF(NOTA[[#This Row],[JUMLAH]]="","",NOTA[[#This Row],[DISC 1-]]+NOTA[[#This Row],[DISC 2-]]+NOTA[[#This Row],[DISC 3-]])</f>
        <v>0</v>
      </c>
      <c r="AA254" s="42">
        <f>IF(NOTA[[#This Row],[JUMLAH]]="","",NOTA[[#This Row],[JUMLAH]]-NOTA[[#This Row],[DISC]])</f>
        <v>2040000</v>
      </c>
      <c r="AB254" s="42"/>
      <c r="AC2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4" s="3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254" s="42">
        <f>IF(OR(NOTA[[#This Row],[QTY]]="",NOTA[[#This Row],[HARGA SATUAN]]="",),"",NOTA[[#This Row],[QTY]]*NOTA[[#This Row],[HARGA SATUAN]])</f>
        <v>2040000</v>
      </c>
      <c r="AG254" s="36">
        <f ca="1">IF(NOTA[[#This Row],[ID_H]]="","",INDEX(NOTA[TANGGAL],MATCH(,INDIRECT(ADDRESS(ROW(NOTA[TANGGAL]),COLUMN(NOTA[TANGGAL]))&amp;":"&amp;ADDRESS(ROW(),COLUMN(NOTA[TANGGAL]))),-1)))</f>
        <v>45498</v>
      </c>
      <c r="AH254" s="36">
        <f ca="1">IF(NOTA[[#This Row],[ID_H]]="","",INDEX(NOTA[TGL.NOTA],MATCH(,INDIRECT(ADDRESS(ROW(NOTA[TGL.NOTA]),COLUMN(NOTA[TGL.NOTA]))&amp;":"&amp;ADDRESS(ROW(),COLUMN(NOTA[TGL.NOTA]))),-1)))</f>
        <v>45495</v>
      </c>
      <c r="AI254" s="36" t="str">
        <f ca="1">IF(NOTA[[#This Row],[ID_H]]="","",INDEX(NOTA[NO.NOTA],MATCH(NOTA[[#This Row],[ID_H]],NOTA[ID_H],0)))</f>
        <v>SO2024070087011</v>
      </c>
      <c r="AJ254" s="38" t="str">
        <f ca="1">IF(NOTA[[#This Row],[NAMA BARANG]]="","",INDEX(NOTA[SUPPLIER],MATCH(,INDIRECT(ADDRESS(ROW(NOTA[ID]),COLUMN(NOTA[ID]))&amp;":"&amp;ADDRESS(ROW(),COLUMN(NOTA[ID]))),-1)))</f>
        <v>BINTANG SAUDARA</v>
      </c>
      <c r="AK254" s="38" t="str">
        <f ca="1">IF(NOTA[[#This Row],[ID_H]]="","",IF(NOTA[[#This Row],[FAKTUR]]="",INDIRECT(ADDRESS(ROW()-1,COLUMN())),NOTA[[#This Row],[FAKTUR]]))</f>
        <v>UNTANA</v>
      </c>
      <c r="AL254" s="35">
        <f ca="1">IF(NOTA[[#This Row],[ID]]="","",COUNTIF(NOTA[ID_H],NOTA[[#This Row],[ID_H]]))</f>
        <v>3</v>
      </c>
      <c r="AM254" s="35">
        <f>IF(NOTA[[#This Row],[TGL.NOTA]]="",IF(NOTA[[#This Row],[SUPPLIER_H]]="","",AM253),MONTH(NOTA[[#This Row],[TGL.NOTA]]))</f>
        <v>7</v>
      </c>
      <c r="AN254" s="35" t="str">
        <f>LOWER(SUBSTITUTE(SUBSTITUTE(SUBSTITUTE(SUBSTITUTE(SUBSTITUTE(SUBSTITUTE(SUBSTITUTE(SUBSTITUTE(SUBSTITUTE(NOTA[[#This Row],[NAMA BARANG]]," ",),".",""),"-",""),"(",""),")",""),",",""),"/",""),"""",""),"+",""))</f>
        <v>acrylicsisipankertasa4t21x30cm</v>
      </c>
      <c r="AO2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acrylicsisipankertasa4t21x30cm2040000</v>
      </c>
      <c r="AP2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acrylicsisipankertasa4t21x30cm2040000</v>
      </c>
      <c r="AQ254" s="3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SAUDARAUNTANASO202407008701145495acrylicsisipankertasa4t21x30cm</v>
      </c>
      <c r="AR254" s="35">
        <f>IF(NOTA[[#This Row],[CONCAT1]]="","",MATCH(NOTA[[#This Row],[CONCAT1]],[3]!db[NB NOTA_C],0))</f>
        <v>43</v>
      </c>
      <c r="AS254" s="35" t="b">
        <f>IF(NOTA[[#This Row],[Column5]]="","",TRUE)</f>
        <v>1</v>
      </c>
      <c r="AT254" s="35" t="str">
        <f ca="1">IF(NOTA[[#This Row],[ID_H]]="","",IF(NOTA[[#This Row],[Column3]]=TRUE,NOTA[[#This Row],[Column5]],INDEX([3]!db[QTY/ CTN],NOTA[[#This Row],[//DB]])))</f>
        <v>40 PCS</v>
      </c>
      <c r="AU2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acrylicsisipankertasa4t21x30cm40pcsuntana</v>
      </c>
      <c r="AV254" s="35">
        <f ca="1">IF(NOTA[[#This Row],[ID_H]]="","",MATCH(NOTA[[#This Row],[NB NOTA_C_QTY]],[3]!db[NB NOTA_C_QTY+F],0))</f>
        <v>43</v>
      </c>
      <c r="AW254" s="43">
        <f ca="1">IF(NOTA[[#This Row],[NB NOTA_C_QTY]]="","",ROW()-2)</f>
        <v>252</v>
      </c>
    </row>
    <row r="255" spans="1:49" ht="20.100000000000001" customHeight="1">
      <c r="A2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5">
        <f ca="1">IF(NOTA[[#This Row],[NAMA BARANG]]="","",INDEX(NOTA[ID],MATCH(,INDIRECT(ADDRESS(ROW(NOTA[ID]),COLUMN(NOTA[ID]))&amp;":"&amp;ADDRESS(ROW(),COLUMN(NOTA[ID]))),-1)))</f>
        <v>64</v>
      </c>
      <c r="C255" s="45"/>
      <c r="F255" s="46"/>
      <c r="G255" s="35"/>
      <c r="H255" s="36"/>
      <c r="I255" s="35"/>
      <c r="J255" s="1" t="s">
        <v>464</v>
      </c>
      <c r="K255" s="37">
        <v>1</v>
      </c>
      <c r="L255" s="35">
        <v>60</v>
      </c>
      <c r="M255" s="35" t="s">
        <v>51</v>
      </c>
      <c r="N255" s="38">
        <v>28500</v>
      </c>
      <c r="O255" s="39"/>
      <c r="P255" s="47" t="s">
        <v>414</v>
      </c>
      <c r="Q255" s="48"/>
      <c r="R255" s="41"/>
      <c r="T255" s="42"/>
      <c r="U255" s="44"/>
      <c r="V255" s="42">
        <f>IF(NOTA[[#This Row],[HARGA/ CTN]]="",NOTA[[#This Row],[JUMLAH_H]],NOTA[[#This Row],[HARGA/ CTN]]*IF(NOTA[[#This Row],[C]]="",0,NOTA[[#This Row],[C]]))</f>
        <v>1710000</v>
      </c>
      <c r="W255" s="42">
        <f>IF(NOTA[[#This Row],[JUMLAH]]="","",NOTA[[#This Row],[JUMLAH]]*NOTA[[#This Row],[Column6]])</f>
        <v>0</v>
      </c>
      <c r="X255" s="42">
        <f>IF(NOTA[[#This Row],[JUMLAH]]="","",(NOTA[[#This Row],[JUMLAH]]-NOTA[[#This Row],[DISC 1-]])*NOTA[[#This Row],[Column7]])</f>
        <v>0</v>
      </c>
      <c r="Y255" s="42">
        <f>IF(NOTA[[#This Row],[JUMLAH]]="","",(NOTA[[#This Row],[JUMLAH]]-NOTA[[#This Row],[DISC 1-]]-NOTA[[#This Row],[DISC 2-]])*NOTA[[#This Row],[Column8]])</f>
        <v>0</v>
      </c>
      <c r="Z255" s="42">
        <f>IF(NOTA[[#This Row],[JUMLAH]]="","",NOTA[[#This Row],[DISC 1-]]+NOTA[[#This Row],[DISC 2-]]+NOTA[[#This Row],[DISC 3-]])</f>
        <v>0</v>
      </c>
      <c r="AA255" s="42">
        <f>IF(NOTA[[#This Row],[JUMLAH]]="","",NOTA[[#This Row],[JUMLAH]]-NOTA[[#This Row],[DISC]])</f>
        <v>1710000</v>
      </c>
      <c r="AB255" s="42"/>
      <c r="AC2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5" s="3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255" s="42">
        <f>IF(OR(NOTA[[#This Row],[QTY]]="",NOTA[[#This Row],[HARGA SATUAN]]="",),"",NOTA[[#This Row],[QTY]]*NOTA[[#This Row],[HARGA SATUAN]])</f>
        <v>1710000</v>
      </c>
      <c r="AG255" s="36">
        <f ca="1">IF(NOTA[[#This Row],[ID_H]]="","",INDEX(NOTA[TANGGAL],MATCH(,INDIRECT(ADDRESS(ROW(NOTA[TANGGAL]),COLUMN(NOTA[TANGGAL]))&amp;":"&amp;ADDRESS(ROW(),COLUMN(NOTA[TANGGAL]))),-1)))</f>
        <v>45498</v>
      </c>
      <c r="AH255" s="36">
        <f ca="1">IF(NOTA[[#This Row],[ID_H]]="","",INDEX(NOTA[TGL.NOTA],MATCH(,INDIRECT(ADDRESS(ROW(NOTA[TGL.NOTA]),COLUMN(NOTA[TGL.NOTA]))&amp;":"&amp;ADDRESS(ROW(),COLUMN(NOTA[TGL.NOTA]))),-1)))</f>
        <v>45495</v>
      </c>
      <c r="AI255" s="36" t="str">
        <f ca="1">IF(NOTA[[#This Row],[ID_H]]="","",INDEX(NOTA[NO.NOTA],MATCH(NOTA[[#This Row],[ID_H]],NOTA[ID_H],0)))</f>
        <v>SO2024070087011</v>
      </c>
      <c r="AJ255" s="38" t="str">
        <f ca="1">IF(NOTA[[#This Row],[NAMA BARANG]]="","",INDEX(NOTA[SUPPLIER],MATCH(,INDIRECT(ADDRESS(ROW(NOTA[ID]),COLUMN(NOTA[ID]))&amp;":"&amp;ADDRESS(ROW(),COLUMN(NOTA[ID]))),-1)))</f>
        <v>BINTANG SAUDARA</v>
      </c>
      <c r="AK255" s="38" t="str">
        <f ca="1">IF(NOTA[[#This Row],[ID_H]]="","",IF(NOTA[[#This Row],[FAKTUR]]="",INDIRECT(ADDRESS(ROW()-1,COLUMN())),NOTA[[#This Row],[FAKTUR]]))</f>
        <v>UNTANA</v>
      </c>
      <c r="AL255" s="35" t="str">
        <f ca="1">IF(NOTA[[#This Row],[ID]]="","",COUNTIF(NOTA[ID_H],NOTA[[#This Row],[ID_H]]))</f>
        <v/>
      </c>
      <c r="AM255" s="35">
        <f ca="1">IF(NOTA[[#This Row],[TGL.NOTA]]="",IF(NOTA[[#This Row],[SUPPLIER_H]]="","",AM254),MONTH(NOTA[[#This Row],[TGL.NOTA]]))</f>
        <v>7</v>
      </c>
      <c r="AN255" s="35" t="str">
        <f>LOWER(SUBSTITUTE(SUBSTITUTE(SUBSTITUTE(SUBSTITUTE(SUBSTITUTE(SUBSTITUTE(SUBSTITUTE(SUBSTITUTE(SUBSTITUTE(NOTA[[#This Row],[NAMA BARANG]]," ",),".",""),"-",""),"(",""),")",""),",",""),"/",""),"""",""),"+",""))</f>
        <v>acrylicsisipankertasa5t15x21cm</v>
      </c>
      <c r="AO2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acrylicsisipankertasa5t15x21cm1710000</v>
      </c>
      <c r="AP2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acrylicsisipankertasa5t15x21cm1710000</v>
      </c>
      <c r="AQ2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5" s="35">
        <f>IF(NOTA[[#This Row],[CONCAT1]]="","",MATCH(NOTA[[#This Row],[CONCAT1]],[3]!db[NB NOTA_C],0))</f>
        <v>45</v>
      </c>
      <c r="AS255" s="35" t="b">
        <f>IF(NOTA[[#This Row],[Column5]]="","",TRUE)</f>
        <v>1</v>
      </c>
      <c r="AT255" s="35" t="str">
        <f ca="1">IF(NOTA[[#This Row],[ID_H]]="","",IF(NOTA[[#This Row],[Column3]]=TRUE,NOTA[[#This Row],[Column5]],INDEX([3]!db[QTY/ CTN],NOTA[[#This Row],[//DB]])))</f>
        <v>60 PCS</v>
      </c>
      <c r="AU2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V255" s="35">
        <f ca="1">IF(NOTA[[#This Row],[ID_H]]="","",MATCH(NOTA[[#This Row],[NB NOTA_C_QTY]],[3]!db[NB NOTA_C_QTY+F],0))</f>
        <v>45</v>
      </c>
      <c r="AW255" s="43">
        <f ca="1">IF(NOTA[[#This Row],[NB NOTA_C_QTY]]="","",ROW()-2)</f>
        <v>253</v>
      </c>
    </row>
    <row r="256" spans="1:49" ht="20.100000000000001" customHeight="1">
      <c r="A2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5">
        <f ca="1">IF(NOTA[[#This Row],[NAMA BARANG]]="","",INDEX(NOTA[ID],MATCH(,INDIRECT(ADDRESS(ROW(NOTA[ID]),COLUMN(NOTA[ID]))&amp;":"&amp;ADDRESS(ROW(),COLUMN(NOTA[ID]))),-1)))</f>
        <v>64</v>
      </c>
      <c r="C256" s="45"/>
      <c r="F256" s="46"/>
      <c r="G256" s="35"/>
      <c r="H256" s="36"/>
      <c r="I256" s="35"/>
      <c r="J256" s="50" t="s">
        <v>449</v>
      </c>
      <c r="K256" s="37">
        <v>1</v>
      </c>
      <c r="L256" s="35">
        <v>40</v>
      </c>
      <c r="M256" s="35" t="s">
        <v>51</v>
      </c>
      <c r="N256" s="38">
        <v>50000</v>
      </c>
      <c r="O256" s="39"/>
      <c r="P256" s="47" t="s">
        <v>448</v>
      </c>
      <c r="Q256" s="48"/>
      <c r="R256" s="41"/>
      <c r="T256" s="42"/>
      <c r="U256" s="44"/>
      <c r="V256" s="42">
        <f>IF(NOTA[[#This Row],[HARGA/ CTN]]="",NOTA[[#This Row],[JUMLAH_H]],NOTA[[#This Row],[HARGA/ CTN]]*IF(NOTA[[#This Row],[C]]="",0,NOTA[[#This Row],[C]]))</f>
        <v>2000000</v>
      </c>
      <c r="W256" s="42">
        <f>IF(NOTA[[#This Row],[JUMLAH]]="","",NOTA[[#This Row],[JUMLAH]]*NOTA[[#This Row],[Column6]])</f>
        <v>0</v>
      </c>
      <c r="X256" s="42">
        <f>IF(NOTA[[#This Row],[JUMLAH]]="","",(NOTA[[#This Row],[JUMLAH]]-NOTA[[#This Row],[DISC 1-]])*NOTA[[#This Row],[Column7]])</f>
        <v>0</v>
      </c>
      <c r="Y256" s="42">
        <f>IF(NOTA[[#This Row],[JUMLAH]]="","",(NOTA[[#This Row],[JUMLAH]]-NOTA[[#This Row],[DISC 1-]]-NOTA[[#This Row],[DISC 2-]])*NOTA[[#This Row],[Column8]])</f>
        <v>0</v>
      </c>
      <c r="Z256" s="42">
        <f>IF(NOTA[[#This Row],[JUMLAH]]="","",NOTA[[#This Row],[DISC 1-]]+NOTA[[#This Row],[DISC 2-]]+NOTA[[#This Row],[DISC 3-]])</f>
        <v>0</v>
      </c>
      <c r="AA256" s="42">
        <f>IF(NOTA[[#This Row],[JUMLAH]]="","",NOTA[[#This Row],[JUMLAH]]-NOTA[[#This Row],[DISC]])</f>
        <v>2000000</v>
      </c>
      <c r="AB256" s="42"/>
      <c r="AC25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56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5750000</v>
      </c>
      <c r="AE256" s="38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256" s="42">
        <f>IF(OR(NOTA[[#This Row],[QTY]]="",NOTA[[#This Row],[HARGA SATUAN]]="",),"",NOTA[[#This Row],[QTY]]*NOTA[[#This Row],[HARGA SATUAN]])</f>
        <v>2000000</v>
      </c>
      <c r="AG256" s="36">
        <f ca="1">IF(NOTA[[#This Row],[ID_H]]="","",INDEX(NOTA[TANGGAL],MATCH(,INDIRECT(ADDRESS(ROW(NOTA[TANGGAL]),COLUMN(NOTA[TANGGAL]))&amp;":"&amp;ADDRESS(ROW(),COLUMN(NOTA[TANGGAL]))),-1)))</f>
        <v>45498</v>
      </c>
      <c r="AH256" s="36">
        <f ca="1">IF(NOTA[[#This Row],[ID_H]]="","",INDEX(NOTA[TGL.NOTA],MATCH(,INDIRECT(ADDRESS(ROW(NOTA[TGL.NOTA]),COLUMN(NOTA[TGL.NOTA]))&amp;":"&amp;ADDRESS(ROW(),COLUMN(NOTA[TGL.NOTA]))),-1)))</f>
        <v>45495</v>
      </c>
      <c r="AI256" s="36" t="str">
        <f ca="1">IF(NOTA[[#This Row],[ID_H]]="","",INDEX(NOTA[NO.NOTA],MATCH(NOTA[[#This Row],[ID_H]],NOTA[ID_H],0)))</f>
        <v>SO2024070087011</v>
      </c>
      <c r="AJ256" s="38" t="str">
        <f ca="1">IF(NOTA[[#This Row],[NAMA BARANG]]="","",INDEX(NOTA[SUPPLIER],MATCH(,INDIRECT(ADDRESS(ROW(NOTA[ID]),COLUMN(NOTA[ID]))&amp;":"&amp;ADDRESS(ROW(),COLUMN(NOTA[ID]))),-1)))</f>
        <v>BINTANG SAUDARA</v>
      </c>
      <c r="AK256" s="38" t="str">
        <f ca="1">IF(NOTA[[#This Row],[ID_H]]="","",IF(NOTA[[#This Row],[FAKTUR]]="",INDIRECT(ADDRESS(ROW()-1,COLUMN())),NOTA[[#This Row],[FAKTUR]]))</f>
        <v>UNTANA</v>
      </c>
      <c r="AL256" s="35" t="str">
        <f ca="1">IF(NOTA[[#This Row],[ID]]="","",COUNTIF(NOTA[ID_H],NOTA[[#This Row],[ID_H]]))</f>
        <v/>
      </c>
      <c r="AM256" s="35">
        <f ca="1">IF(NOTA[[#This Row],[TGL.NOTA]]="",IF(NOTA[[#This Row],[SUPPLIER_H]]="","",AM255),MONTH(NOTA[[#This Row],[TGL.NOTA]]))</f>
        <v>7</v>
      </c>
      <c r="AN256" s="35" t="str">
        <f>LOWER(SUBSTITUTE(SUBSTITUTE(SUBSTITUTE(SUBSTITUTE(SUBSTITUTE(SUBSTITUTE(SUBSTITUTE(SUBSTITUTE(SUBSTITUTE(NOTA[[#This Row],[NAMA BARANG]]," ",),".",""),"-",""),"(",""),")",""),",",""),"/",""),"""",""),"+",""))</f>
        <v>acrylicsisipankertasfolio215x33cm</v>
      </c>
      <c r="AO2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acrylicsisipankertasfolio215x33cm2000000</v>
      </c>
      <c r="AP2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acrylicsisipankertasfolio215x33cm2000000</v>
      </c>
      <c r="AQ2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6" s="35">
        <f>IF(NOTA[[#This Row],[CONCAT1]]="","",MATCH(NOTA[[#This Row],[CONCAT1]],[3]!db[NB NOTA_C],0))</f>
        <v>47</v>
      </c>
      <c r="AS256" s="35" t="b">
        <f>IF(NOTA[[#This Row],[Column5]]="","",TRUE)</f>
        <v>1</v>
      </c>
      <c r="AT256" s="35" t="str">
        <f ca="1">IF(NOTA[[#This Row],[ID_H]]="","",IF(NOTA[[#This Row],[Column3]]=TRUE,NOTA[[#This Row],[Column5]],INDEX([3]!db[QTY/ CTN],NOTA[[#This Row],[//DB]])))</f>
        <v>40 PCS</v>
      </c>
      <c r="AU2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acrylicsisipankertasfolio215x33cm40pcsuntana</v>
      </c>
      <c r="AV256" s="35">
        <f ca="1">IF(NOTA[[#This Row],[ID_H]]="","",MATCH(NOTA[[#This Row],[NB NOTA_C_QTY]],[3]!db[NB NOTA_C_QTY+F],0))</f>
        <v>47</v>
      </c>
      <c r="AW256" s="43">
        <f ca="1">IF(NOTA[[#This Row],[NB NOTA_C_QTY]]="","",ROW()-2)</f>
        <v>254</v>
      </c>
    </row>
    <row r="257" spans="1:49" ht="20.100000000000001" customHeight="1">
      <c r="A2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5" t="str">
        <f ca="1">IF(NOTA[[#This Row],[NAMA BARANG]]="","",INDEX(NOTA[ID],MATCH(,INDIRECT(ADDRESS(ROW(NOTA[ID]),COLUMN(NOTA[ID]))&amp;":"&amp;ADDRESS(ROW(),COLUMN(NOTA[ID]))),-1)))</f>
        <v/>
      </c>
      <c r="C257" s="45"/>
      <c r="F257" s="46"/>
      <c r="G257" s="35"/>
      <c r="H257" s="36"/>
      <c r="I257" s="35"/>
      <c r="K257" s="37"/>
      <c r="L257" s="35"/>
      <c r="N257" s="38"/>
      <c r="O257" s="39"/>
      <c r="P257" s="47"/>
      <c r="Q257" s="48"/>
      <c r="R257" s="41"/>
      <c r="T257" s="42"/>
      <c r="U257" s="44"/>
      <c r="V257" s="42" t="str">
        <f>IF(NOTA[[#This Row],[HARGA/ CTN]]="",NOTA[[#This Row],[JUMLAH_H]],NOTA[[#This Row],[HARGA/ CTN]]*IF(NOTA[[#This Row],[C]]="",0,NOTA[[#This Row],[C]]))</f>
        <v/>
      </c>
      <c r="W257" s="42" t="str">
        <f>IF(NOTA[[#This Row],[JUMLAH]]="","",NOTA[[#This Row],[JUMLAH]]*NOTA[[#This Row],[Column6]])</f>
        <v/>
      </c>
      <c r="X257" s="42" t="str">
        <f>IF(NOTA[[#This Row],[JUMLAH]]="","",(NOTA[[#This Row],[JUMLAH]]-NOTA[[#This Row],[DISC 1-]])*NOTA[[#This Row],[Column7]])</f>
        <v/>
      </c>
      <c r="Y257" s="42" t="str">
        <f>IF(NOTA[[#This Row],[JUMLAH]]="","",(NOTA[[#This Row],[JUMLAH]]-NOTA[[#This Row],[DISC 1-]]-NOTA[[#This Row],[DISC 2-]])*NOTA[[#This Row],[Column8]])</f>
        <v/>
      </c>
      <c r="Z257" s="42" t="str">
        <f>IF(NOTA[[#This Row],[JUMLAH]]="","",NOTA[[#This Row],[DISC 1-]]+NOTA[[#This Row],[DISC 2-]]+NOTA[[#This Row],[DISC 3-]])</f>
        <v/>
      </c>
      <c r="AA257" s="42" t="str">
        <f>IF(NOTA[[#This Row],[JUMLAH]]="","",NOTA[[#This Row],[JUMLAH]]-NOTA[[#This Row],[DISC]])</f>
        <v/>
      </c>
      <c r="AB257" s="42"/>
      <c r="AC2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7" s="42" t="str">
        <f>IF(OR(NOTA[[#This Row],[QTY]]="",NOTA[[#This Row],[HARGA SATUAN]]="",),"",NOTA[[#This Row],[QTY]]*NOTA[[#This Row],[HARGA SATUAN]])</f>
        <v/>
      </c>
      <c r="AG257" s="36" t="str">
        <f ca="1">IF(NOTA[[#This Row],[ID_H]]="","",INDEX(NOTA[TANGGAL],MATCH(,INDIRECT(ADDRESS(ROW(NOTA[TANGGAL]),COLUMN(NOTA[TANGGAL]))&amp;":"&amp;ADDRESS(ROW(),COLUMN(NOTA[TANGGAL]))),-1)))</f>
        <v/>
      </c>
      <c r="AH257" s="36" t="str">
        <f ca="1">IF(NOTA[[#This Row],[ID_H]]="","",INDEX(NOTA[TGL.NOTA],MATCH(,INDIRECT(ADDRESS(ROW(NOTA[TGL.NOTA]),COLUMN(NOTA[TGL.NOTA]))&amp;":"&amp;ADDRESS(ROW(),COLUMN(NOTA[TGL.NOTA]))),-1)))</f>
        <v/>
      </c>
      <c r="AI257" s="36" t="str">
        <f ca="1">IF(NOTA[[#This Row],[ID_H]]="","",INDEX(NOTA[NO.NOTA],MATCH(NOTA[[#This Row],[ID_H]],NOTA[ID_H],0)))</f>
        <v/>
      </c>
      <c r="AJ257" s="38" t="str">
        <f ca="1">IF(NOTA[[#This Row],[NAMA BARANG]]="","",INDEX(NOTA[SUPPLIER],MATCH(,INDIRECT(ADDRESS(ROW(NOTA[ID]),COLUMN(NOTA[ID]))&amp;":"&amp;ADDRESS(ROW(),COLUMN(NOTA[ID]))),-1)))</f>
        <v/>
      </c>
      <c r="AK257" s="38" t="str">
        <f ca="1">IF(NOTA[[#This Row],[ID_H]]="","",IF(NOTA[[#This Row],[FAKTUR]]="",INDIRECT(ADDRESS(ROW()-1,COLUMN())),NOTA[[#This Row],[FAKTUR]]))</f>
        <v/>
      </c>
      <c r="AL257" s="35" t="str">
        <f ca="1">IF(NOTA[[#This Row],[ID]]="","",COUNTIF(NOTA[ID_H],NOTA[[#This Row],[ID_H]]))</f>
        <v/>
      </c>
      <c r="AM257" s="35" t="str">
        <f ca="1">IF(NOTA[[#This Row],[TGL.NOTA]]="",IF(NOTA[[#This Row],[SUPPLIER_H]]="","",#REF!),MONTH(NOTA[[#This Row],[TGL.NOTA]]))</f>
        <v/>
      </c>
      <c r="AN2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7" s="35" t="str">
        <f>IF(NOTA[[#This Row],[CONCAT1]]="","",MATCH(NOTA[[#This Row],[CONCAT1]],[3]!db[NB NOTA_C],0))</f>
        <v/>
      </c>
      <c r="AS257" s="35" t="str">
        <f>IF(NOTA[[#This Row],[Column5]]="","",TRUE)</f>
        <v/>
      </c>
      <c r="AT257" s="35" t="str">
        <f ca="1">IF(NOTA[[#This Row],[ID_H]]="","",IF(NOTA[[#This Row],[Column3]]=TRUE,NOTA[[#This Row],[Column5]],INDEX([3]!db[QTY/ CTN],NOTA[[#This Row],[//DB]])))</f>
        <v/>
      </c>
      <c r="AU2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57" s="35" t="str">
        <f ca="1">IF(NOTA[[#This Row],[ID_H]]="","",MATCH(NOTA[[#This Row],[NB NOTA_C_QTY]],[3]!db[NB NOTA_C_QTY+F],0))</f>
        <v/>
      </c>
      <c r="AW257" s="43" t="str">
        <f ca="1">IF(NOTA[[#This Row],[NB NOTA_C_QTY]]="","",ROW()-2)</f>
        <v/>
      </c>
    </row>
    <row r="258" spans="1:49" ht="20.100000000000001" customHeight="1">
      <c r="A258" s="38">
        <f ca="1">IF(INDIRECT(ADDRESS(ROW()-1,COLUMN(NOTA[[#Headers],[ID]])))="ID",1,IF(NOTA[[#This Row],[FAKTUR]]="","",COUNT(INDIRECT(ADDRESS(ROW(NOTA[ID]),COLUMN(NOTA[ID]))&amp;":"&amp;ADDRESS(ROW()-1,COLUMN(NOTA[ID]))))+1))</f>
        <v>65</v>
      </c>
      <c r="B258" s="35">
        <f ca="1">IF(NOTA[[#This Row],[NAMA BARANG]]="","",INDEX(NOTA[ID],MATCH(,INDIRECT(ADDRESS(ROW(NOTA[ID]),COLUMN(NOTA[ID]))&amp;":"&amp;ADDRESS(ROW(),COLUMN(NOTA[ID]))),-1)))</f>
        <v>65</v>
      </c>
      <c r="C258" s="45"/>
      <c r="D258" s="35" t="s">
        <v>450</v>
      </c>
      <c r="E258" s="35" t="s">
        <v>49</v>
      </c>
      <c r="F258" s="46" t="s">
        <v>451</v>
      </c>
      <c r="G258" s="35"/>
      <c r="H258" s="36">
        <v>45500</v>
      </c>
      <c r="I258" s="35"/>
      <c r="J258" s="50" t="s">
        <v>452</v>
      </c>
      <c r="K258" s="37">
        <v>15</v>
      </c>
      <c r="L258" s="35">
        <v>375</v>
      </c>
      <c r="M258" s="35" t="s">
        <v>145</v>
      </c>
      <c r="N258" s="38">
        <v>39000</v>
      </c>
      <c r="O258" s="39"/>
      <c r="P258" s="47" t="s">
        <v>465</v>
      </c>
      <c r="Q258" s="48"/>
      <c r="R258" s="41"/>
      <c r="T258" s="42"/>
      <c r="U258" s="44"/>
      <c r="V258" s="42">
        <f>IF(NOTA[[#This Row],[HARGA/ CTN]]="",NOTA[[#This Row],[JUMLAH_H]],NOTA[[#This Row],[HARGA/ CTN]]*IF(NOTA[[#This Row],[C]]="",0,NOTA[[#This Row],[C]]))</f>
        <v>14625000</v>
      </c>
      <c r="W258" s="42">
        <f>IF(NOTA[[#This Row],[JUMLAH]]="","",NOTA[[#This Row],[JUMLAH]]*NOTA[[#This Row],[Column6]])</f>
        <v>0</v>
      </c>
      <c r="X258" s="42">
        <f>IF(NOTA[[#This Row],[JUMLAH]]="","",(NOTA[[#This Row],[JUMLAH]]-NOTA[[#This Row],[DISC 1-]])*NOTA[[#This Row],[Column7]])</f>
        <v>0</v>
      </c>
      <c r="Y258" s="42">
        <f>IF(NOTA[[#This Row],[JUMLAH]]="","",(NOTA[[#This Row],[JUMLAH]]-NOTA[[#This Row],[DISC 1-]]-NOTA[[#This Row],[DISC 2-]])*NOTA[[#This Row],[Column8]])</f>
        <v>0</v>
      </c>
      <c r="Z258" s="42">
        <f>IF(NOTA[[#This Row],[JUMLAH]]="","",NOTA[[#This Row],[DISC 1-]]+NOTA[[#This Row],[DISC 2-]]+NOTA[[#This Row],[DISC 3-]])</f>
        <v>0</v>
      </c>
      <c r="AA258" s="42">
        <f>IF(NOTA[[#This Row],[JUMLAH]]="","",NOTA[[#This Row],[JUMLAH]]-NOTA[[#This Row],[DISC]])</f>
        <v>14625000</v>
      </c>
      <c r="AB258" s="42"/>
      <c r="AC2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8" s="3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258" s="42">
        <f>IF(OR(NOTA[[#This Row],[QTY]]="",NOTA[[#This Row],[HARGA SATUAN]]="",),"",NOTA[[#This Row],[QTY]]*NOTA[[#This Row],[HARGA SATUAN]])</f>
        <v>14625000</v>
      </c>
      <c r="AG258" s="36">
        <f ca="1">IF(NOTA[[#This Row],[ID_H]]="","",INDEX(NOTA[TANGGAL],MATCH(,INDIRECT(ADDRESS(ROW(NOTA[TANGGAL]),COLUMN(NOTA[TANGGAL]))&amp;":"&amp;ADDRESS(ROW(),COLUMN(NOTA[TANGGAL]))),-1)))</f>
        <v>45498</v>
      </c>
      <c r="AH258" s="36">
        <f ca="1">IF(NOTA[[#This Row],[ID_H]]="","",INDEX(NOTA[TGL.NOTA],MATCH(,INDIRECT(ADDRESS(ROW(NOTA[TGL.NOTA]),COLUMN(NOTA[TGL.NOTA]))&amp;":"&amp;ADDRESS(ROW(),COLUMN(NOTA[TGL.NOTA]))),-1)))</f>
        <v>45500</v>
      </c>
      <c r="AI258" s="36" t="str">
        <f ca="1">IF(NOTA[[#This Row],[ID_H]]="","",INDEX(NOTA[NO.NOTA],MATCH(NOTA[[#This Row],[ID_H]],NOTA[ID_H],0)))</f>
        <v>SI-2024/07-0207/M</v>
      </c>
      <c r="AJ258" s="38" t="str">
        <f ca="1">IF(NOTA[[#This Row],[NAMA BARANG]]="","",INDEX(NOTA[SUPPLIER],MATCH(,INDIRECT(ADDRESS(ROW(NOTA[ID]),COLUMN(NOTA[ID]))&amp;":"&amp;ADDRESS(ROW(),COLUMN(NOTA[ID]))),-1)))</f>
        <v>WIN'S SENTOSA</v>
      </c>
      <c r="AK258" s="38" t="str">
        <f ca="1">IF(NOTA[[#This Row],[ID_H]]="","",IF(NOTA[[#This Row],[FAKTUR]]="",INDIRECT(ADDRESS(ROW()-1,COLUMN())),NOTA[[#This Row],[FAKTUR]]))</f>
        <v>UNTANA</v>
      </c>
      <c r="AL258" s="35">
        <f ca="1">IF(NOTA[[#This Row],[ID]]="","",COUNTIF(NOTA[ID_H],NOTA[[#This Row],[ID_H]]))</f>
        <v>4</v>
      </c>
      <c r="AM258" s="35">
        <f>IF(NOTA[[#This Row],[TGL.NOTA]]="",IF(NOTA[[#This Row],[SUPPLIER_H]]="","",AM257),MONTH(NOTA[[#This Row],[TGL.NOTA]]))</f>
        <v>7</v>
      </c>
      <c r="AN258" s="35" t="str">
        <f>LOWER(SUBSTITUTE(SUBSTITUTE(SUBSTITUTE(SUBSTITUTE(SUBSTITUTE(SUBSTITUTE(SUBSTITUTE(SUBSTITUTE(SUBSTITUTE(NOTA[[#This Row],[NAMA BARANG]]," ",),".",""),"-",""),"(",""),")",""),",",""),"/",""),"""",""),"+",""))</f>
        <v>gluestick7x29</v>
      </c>
      <c r="AO2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gluestick7x29975000</v>
      </c>
      <c r="AP2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gluestick7x29975000</v>
      </c>
      <c r="AQ258" s="35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SENTOSAUNTANASI-2024/07-0207/M45500gluestick7x29</v>
      </c>
      <c r="AR258" s="35">
        <f>IF(NOTA[[#This Row],[CONCAT1]]="","",MATCH(NOTA[[#This Row],[CONCAT1]],[3]!db[NB NOTA_C],0))</f>
        <v>1384</v>
      </c>
      <c r="AS258" s="35" t="b">
        <f>IF(NOTA[[#This Row],[Column5]]="","",TRUE)</f>
        <v>1</v>
      </c>
      <c r="AT258" s="35" t="str">
        <f ca="1">IF(NOTA[[#This Row],[ID_H]]="","",IF(NOTA[[#This Row],[Column3]]=TRUE,NOTA[[#This Row],[Column5]],INDEX([3]!db[QTY/ CTN],NOTA[[#This Row],[//DB]])))</f>
        <v>25 PAK</v>
      </c>
      <c r="AU2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gluestick7x2925pakuntana</v>
      </c>
      <c r="AV258" s="35">
        <f ca="1">IF(NOTA[[#This Row],[ID_H]]="","",MATCH(NOTA[[#This Row],[NB NOTA_C_QTY]],[3]!db[NB NOTA_C_QTY+F],0))</f>
        <v>1384</v>
      </c>
      <c r="AW258" s="43">
        <f ca="1">IF(NOTA[[#This Row],[NB NOTA_C_QTY]]="","",ROW()-2)</f>
        <v>256</v>
      </c>
    </row>
    <row r="259" spans="1:49" ht="20.100000000000001" customHeight="1">
      <c r="A2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5">
        <f ca="1">IF(NOTA[[#This Row],[NAMA BARANG]]="","",INDEX(NOTA[ID],MATCH(,INDIRECT(ADDRESS(ROW(NOTA[ID]),COLUMN(NOTA[ID]))&amp;":"&amp;ADDRESS(ROW(),COLUMN(NOTA[ID]))),-1)))</f>
        <v>65</v>
      </c>
      <c r="C259" s="45"/>
      <c r="F259" s="46"/>
      <c r="G259" s="35"/>
      <c r="H259" s="36"/>
      <c r="I259" s="35"/>
      <c r="J259" s="35" t="s">
        <v>453</v>
      </c>
      <c r="K259" s="37">
        <v>10</v>
      </c>
      <c r="L259" s="35">
        <v>250</v>
      </c>
      <c r="M259" s="35" t="s">
        <v>145</v>
      </c>
      <c r="N259" s="38">
        <v>39000</v>
      </c>
      <c r="O259" s="39"/>
      <c r="P259" s="47" t="s">
        <v>465</v>
      </c>
      <c r="Q259" s="48"/>
      <c r="R259" s="41"/>
      <c r="T259" s="42"/>
      <c r="U259" s="44"/>
      <c r="V259" s="42">
        <f>IF(NOTA[[#This Row],[HARGA/ CTN]]="",NOTA[[#This Row],[JUMLAH_H]],NOTA[[#This Row],[HARGA/ CTN]]*IF(NOTA[[#This Row],[C]]="",0,NOTA[[#This Row],[C]]))</f>
        <v>9750000</v>
      </c>
      <c r="W259" s="42">
        <f>IF(NOTA[[#This Row],[JUMLAH]]="","",NOTA[[#This Row],[JUMLAH]]*NOTA[[#This Row],[Column6]])</f>
        <v>0</v>
      </c>
      <c r="X259" s="42">
        <f>IF(NOTA[[#This Row],[JUMLAH]]="","",(NOTA[[#This Row],[JUMLAH]]-NOTA[[#This Row],[DISC 1-]])*NOTA[[#This Row],[Column7]])</f>
        <v>0</v>
      </c>
      <c r="Y259" s="42">
        <f>IF(NOTA[[#This Row],[JUMLAH]]="","",(NOTA[[#This Row],[JUMLAH]]-NOTA[[#This Row],[DISC 1-]]-NOTA[[#This Row],[DISC 2-]])*NOTA[[#This Row],[Column8]])</f>
        <v>0</v>
      </c>
      <c r="Z259" s="42">
        <f>IF(NOTA[[#This Row],[JUMLAH]]="","",NOTA[[#This Row],[DISC 1-]]+NOTA[[#This Row],[DISC 2-]]+NOTA[[#This Row],[DISC 3-]])</f>
        <v>0</v>
      </c>
      <c r="AA259" s="42">
        <f>IF(NOTA[[#This Row],[JUMLAH]]="","",NOTA[[#This Row],[JUMLAH]]-NOTA[[#This Row],[DISC]])</f>
        <v>9750000</v>
      </c>
      <c r="AB259" s="42"/>
      <c r="AC2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59" s="3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F259" s="42">
        <f>IF(OR(NOTA[[#This Row],[QTY]]="",NOTA[[#This Row],[HARGA SATUAN]]="",),"",NOTA[[#This Row],[QTY]]*NOTA[[#This Row],[HARGA SATUAN]])</f>
        <v>9750000</v>
      </c>
      <c r="AG259" s="36">
        <f ca="1">IF(NOTA[[#This Row],[ID_H]]="","",INDEX(NOTA[TANGGAL],MATCH(,INDIRECT(ADDRESS(ROW(NOTA[TANGGAL]),COLUMN(NOTA[TANGGAL]))&amp;":"&amp;ADDRESS(ROW(),COLUMN(NOTA[TANGGAL]))),-1)))</f>
        <v>45498</v>
      </c>
      <c r="AH259" s="36">
        <f ca="1">IF(NOTA[[#This Row],[ID_H]]="","",INDEX(NOTA[TGL.NOTA],MATCH(,INDIRECT(ADDRESS(ROW(NOTA[TGL.NOTA]),COLUMN(NOTA[TGL.NOTA]))&amp;":"&amp;ADDRESS(ROW(),COLUMN(NOTA[TGL.NOTA]))),-1)))</f>
        <v>45500</v>
      </c>
      <c r="AI259" s="36" t="str">
        <f ca="1">IF(NOTA[[#This Row],[ID_H]]="","",INDEX(NOTA[NO.NOTA],MATCH(NOTA[[#This Row],[ID_H]],NOTA[ID_H],0)))</f>
        <v>SI-2024/07-0207/M</v>
      </c>
      <c r="AJ259" s="38" t="str">
        <f ca="1">IF(NOTA[[#This Row],[NAMA BARANG]]="","",INDEX(NOTA[SUPPLIER],MATCH(,INDIRECT(ADDRESS(ROW(NOTA[ID]),COLUMN(NOTA[ID]))&amp;":"&amp;ADDRESS(ROW(),COLUMN(NOTA[ID]))),-1)))</f>
        <v>WIN'S SENTOSA</v>
      </c>
      <c r="AK259" s="38" t="str">
        <f ca="1">IF(NOTA[[#This Row],[ID_H]]="","",IF(NOTA[[#This Row],[FAKTUR]]="",INDIRECT(ADDRESS(ROW()-1,COLUMN())),NOTA[[#This Row],[FAKTUR]]))</f>
        <v>UNTANA</v>
      </c>
      <c r="AL259" s="35" t="str">
        <f ca="1">IF(NOTA[[#This Row],[ID]]="","",COUNTIF(NOTA[ID_H],NOTA[[#This Row],[ID_H]]))</f>
        <v/>
      </c>
      <c r="AM259" s="35">
        <f ca="1">IF(NOTA[[#This Row],[TGL.NOTA]]="",IF(NOTA[[#This Row],[SUPPLIER_H]]="","",AM258),MONTH(NOTA[[#This Row],[TGL.NOTA]]))</f>
        <v>7</v>
      </c>
      <c r="AN259" s="35" t="str">
        <f>LOWER(SUBSTITUTE(SUBSTITUTE(SUBSTITUTE(SUBSTITUTE(SUBSTITUTE(SUBSTITUTE(SUBSTITUTE(SUBSTITUTE(SUBSTITUTE(NOTA[[#This Row],[NAMA BARANG]]," ",),".",""),"-",""),"(",""),")",""),",",""),"/",""),"""",""),"+",""))</f>
        <v>gluestick11x29</v>
      </c>
      <c r="AO2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gluestick11x29975000</v>
      </c>
      <c r="AP2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gluestick11x29975000</v>
      </c>
      <c r="AQ2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9" s="35">
        <f>IF(NOTA[[#This Row],[CONCAT1]]="","",MATCH(NOTA[[#This Row],[CONCAT1]],[3]!db[NB NOTA_C],0))</f>
        <v>1382</v>
      </c>
      <c r="AS259" s="35" t="b">
        <f>IF(NOTA[[#This Row],[Column5]]="","",TRUE)</f>
        <v>1</v>
      </c>
      <c r="AT259" s="35" t="str">
        <f ca="1">IF(NOTA[[#This Row],[ID_H]]="","",IF(NOTA[[#This Row],[Column3]]=TRUE,NOTA[[#This Row],[Column5]],INDEX([3]!db[QTY/ CTN],NOTA[[#This Row],[//DB]])))</f>
        <v>25 PAK</v>
      </c>
      <c r="AU2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gluestick11x2925pakuntana</v>
      </c>
      <c r="AV259" s="35">
        <f ca="1">IF(NOTA[[#This Row],[ID_H]]="","",MATCH(NOTA[[#This Row],[NB NOTA_C_QTY]],[3]!db[NB NOTA_C_QTY+F],0))</f>
        <v>1382</v>
      </c>
      <c r="AW259" s="43">
        <f ca="1">IF(NOTA[[#This Row],[NB NOTA_C_QTY]]="","",ROW()-2)</f>
        <v>257</v>
      </c>
    </row>
    <row r="260" spans="1:49" ht="20.100000000000001" customHeight="1">
      <c r="A2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5">
        <f ca="1">IF(NOTA[[#This Row],[NAMA BARANG]]="","",INDEX(NOTA[ID],MATCH(,INDIRECT(ADDRESS(ROW(NOTA[ID]),COLUMN(NOTA[ID]))&amp;":"&amp;ADDRESS(ROW(),COLUMN(NOTA[ID]))),-1)))</f>
        <v>65</v>
      </c>
      <c r="C260" s="45"/>
      <c r="F260" s="46"/>
      <c r="G260" s="35"/>
      <c r="H260" s="36"/>
      <c r="I260" s="35"/>
      <c r="J260" s="50" t="s">
        <v>454</v>
      </c>
      <c r="K260" s="37">
        <v>3</v>
      </c>
      <c r="L260" s="35">
        <v>360</v>
      </c>
      <c r="M260" s="35" t="s">
        <v>51</v>
      </c>
      <c r="N260" s="38">
        <v>13750</v>
      </c>
      <c r="O260" s="39"/>
      <c r="P260" s="47" t="s">
        <v>315</v>
      </c>
      <c r="Q260" s="48"/>
      <c r="R260" s="41"/>
      <c r="T260" s="42"/>
      <c r="U260" s="44"/>
      <c r="V260" s="42">
        <f>IF(NOTA[[#This Row],[HARGA/ CTN]]="",NOTA[[#This Row],[JUMLAH_H]],NOTA[[#This Row],[HARGA/ CTN]]*IF(NOTA[[#This Row],[C]]="",0,NOTA[[#This Row],[C]]))</f>
        <v>4950000</v>
      </c>
      <c r="W260" s="42">
        <f>IF(NOTA[[#This Row],[JUMLAH]]="","",NOTA[[#This Row],[JUMLAH]]*NOTA[[#This Row],[Column6]])</f>
        <v>0</v>
      </c>
      <c r="X260" s="42">
        <f>IF(NOTA[[#This Row],[JUMLAH]]="","",(NOTA[[#This Row],[JUMLAH]]-NOTA[[#This Row],[DISC 1-]])*NOTA[[#This Row],[Column7]])</f>
        <v>0</v>
      </c>
      <c r="Y260" s="42">
        <f>IF(NOTA[[#This Row],[JUMLAH]]="","",(NOTA[[#This Row],[JUMLAH]]-NOTA[[#This Row],[DISC 1-]]-NOTA[[#This Row],[DISC 2-]])*NOTA[[#This Row],[Column8]])</f>
        <v>0</v>
      </c>
      <c r="Z260" s="42">
        <f>IF(NOTA[[#This Row],[JUMLAH]]="","",NOTA[[#This Row],[DISC 1-]]+NOTA[[#This Row],[DISC 2-]]+NOTA[[#This Row],[DISC 3-]])</f>
        <v>0</v>
      </c>
      <c r="AA260" s="42">
        <f>IF(NOTA[[#This Row],[JUMLAH]]="","",NOTA[[#This Row],[JUMLAH]]-NOTA[[#This Row],[DISC]])</f>
        <v>4950000</v>
      </c>
      <c r="AB260" s="42"/>
      <c r="AC2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0" s="38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260" s="42">
        <f>IF(OR(NOTA[[#This Row],[QTY]]="",NOTA[[#This Row],[HARGA SATUAN]]="",),"",NOTA[[#This Row],[QTY]]*NOTA[[#This Row],[HARGA SATUAN]])</f>
        <v>4950000</v>
      </c>
      <c r="AG260" s="36">
        <f ca="1">IF(NOTA[[#This Row],[ID_H]]="","",INDEX(NOTA[TANGGAL],MATCH(,INDIRECT(ADDRESS(ROW(NOTA[TANGGAL]),COLUMN(NOTA[TANGGAL]))&amp;":"&amp;ADDRESS(ROW(),COLUMN(NOTA[TANGGAL]))),-1)))</f>
        <v>45498</v>
      </c>
      <c r="AH260" s="36">
        <f ca="1">IF(NOTA[[#This Row],[ID_H]]="","",INDEX(NOTA[TGL.NOTA],MATCH(,INDIRECT(ADDRESS(ROW(NOTA[TGL.NOTA]),COLUMN(NOTA[TGL.NOTA]))&amp;":"&amp;ADDRESS(ROW(),COLUMN(NOTA[TGL.NOTA]))),-1)))</f>
        <v>45500</v>
      </c>
      <c r="AI260" s="36" t="str">
        <f ca="1">IF(NOTA[[#This Row],[ID_H]]="","",INDEX(NOTA[NO.NOTA],MATCH(NOTA[[#This Row],[ID_H]],NOTA[ID_H],0)))</f>
        <v>SI-2024/07-0207/M</v>
      </c>
      <c r="AJ260" s="38" t="str">
        <f ca="1">IF(NOTA[[#This Row],[NAMA BARANG]]="","",INDEX(NOTA[SUPPLIER],MATCH(,INDIRECT(ADDRESS(ROW(NOTA[ID]),COLUMN(NOTA[ID]))&amp;":"&amp;ADDRESS(ROW(),COLUMN(NOTA[ID]))),-1)))</f>
        <v>WIN'S SENTOSA</v>
      </c>
      <c r="AK260" s="38" t="str">
        <f ca="1">IF(NOTA[[#This Row],[ID_H]]="","",IF(NOTA[[#This Row],[FAKTUR]]="",INDIRECT(ADDRESS(ROW()-1,COLUMN())),NOTA[[#This Row],[FAKTUR]]))</f>
        <v>UNTANA</v>
      </c>
      <c r="AL260" s="35" t="str">
        <f ca="1">IF(NOTA[[#This Row],[ID]]="","",COUNTIF(NOTA[ID_H],NOTA[[#This Row],[ID_H]]))</f>
        <v/>
      </c>
      <c r="AM260" s="35">
        <f ca="1">IF(NOTA[[#This Row],[TGL.NOTA]]="",IF(NOTA[[#This Row],[SUPPLIER_H]]="","",AM259),MONTH(NOTA[[#This Row],[TGL.NOTA]]))</f>
        <v>7</v>
      </c>
      <c r="AN260" s="35" t="str">
        <f>LOWER(SUBSTITUTE(SUBSTITUTE(SUBSTITUTE(SUBSTITUTE(SUBSTITUTE(SUBSTITUTE(SUBSTITUTE(SUBSTITUTE(SUBSTITUTE(NOTA[[#This Row],[NAMA BARANG]]," ",),".",""),"-",""),"(",""),")",""),",",""),"/",""),"""",""),"+",""))</f>
        <v>terompettrow02</v>
      </c>
      <c r="AO2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terompettrow021650000</v>
      </c>
      <c r="AP2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terompettrow021650000</v>
      </c>
      <c r="AQ2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0" s="35">
        <f>IF(NOTA[[#This Row],[CONCAT1]]="","",MATCH(NOTA[[#This Row],[CONCAT1]],[3]!db[NB NOTA_C],0))</f>
        <v>3467</v>
      </c>
      <c r="AS260" s="35" t="b">
        <f>IF(NOTA[[#This Row],[Column5]]="","",TRUE)</f>
        <v>1</v>
      </c>
      <c r="AT260" s="35" t="str">
        <f ca="1">IF(NOTA[[#This Row],[ID_H]]="","",IF(NOTA[[#This Row],[Column3]]=TRUE,NOTA[[#This Row],[Column5]],INDEX([3]!db[QTY/ CTN],NOTA[[#This Row],[//DB]])))</f>
        <v>120 PCS</v>
      </c>
      <c r="AU2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terompettrow02120pcsuntana</v>
      </c>
      <c r="AV260" s="35" t="e">
        <f ca="1">IF(NOTA[[#This Row],[ID_H]]="","",MATCH(NOTA[[#This Row],[NB NOTA_C_QTY]],[3]!db[NB NOTA_C_QTY+F],0))</f>
        <v>#N/A</v>
      </c>
      <c r="AW260" s="43">
        <f ca="1">IF(NOTA[[#This Row],[NB NOTA_C_QTY]]="","",ROW()-2)</f>
        <v>258</v>
      </c>
    </row>
    <row r="261" spans="1:49" ht="20.100000000000001" customHeight="1">
      <c r="A2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5">
        <f ca="1">IF(NOTA[[#This Row],[NAMA BARANG]]="","",INDEX(NOTA[ID],MATCH(,INDIRECT(ADDRESS(ROW(NOTA[ID]),COLUMN(NOTA[ID]))&amp;":"&amp;ADDRESS(ROW(),COLUMN(NOTA[ID]))),-1)))</f>
        <v>65</v>
      </c>
      <c r="C261" s="45"/>
      <c r="F261" s="46"/>
      <c r="G261" s="35"/>
      <c r="H261" s="36"/>
      <c r="I261" s="35"/>
      <c r="J261" s="35" t="s">
        <v>455</v>
      </c>
      <c r="K261" s="37">
        <v>2</v>
      </c>
      <c r="L261" s="35">
        <v>80</v>
      </c>
      <c r="M261" s="35" t="s">
        <v>146</v>
      </c>
      <c r="N261" s="38">
        <v>40000</v>
      </c>
      <c r="O261" s="39"/>
      <c r="P261" s="47" t="s">
        <v>466</v>
      </c>
      <c r="Q261" s="48"/>
      <c r="R261" s="41"/>
      <c r="T261" s="42"/>
      <c r="U261" s="44"/>
      <c r="V261" s="42">
        <f>IF(NOTA[[#This Row],[HARGA/ CTN]]="",NOTA[[#This Row],[JUMLAH_H]],NOTA[[#This Row],[HARGA/ CTN]]*IF(NOTA[[#This Row],[C]]="",0,NOTA[[#This Row],[C]]))</f>
        <v>3200000</v>
      </c>
      <c r="W261" s="42">
        <f>IF(NOTA[[#This Row],[JUMLAH]]="","",NOTA[[#This Row],[JUMLAH]]*NOTA[[#This Row],[Column6]])</f>
        <v>0</v>
      </c>
      <c r="X261" s="42">
        <f>IF(NOTA[[#This Row],[JUMLAH]]="","",(NOTA[[#This Row],[JUMLAH]]-NOTA[[#This Row],[DISC 1-]])*NOTA[[#This Row],[Column7]])</f>
        <v>0</v>
      </c>
      <c r="Y261" s="42">
        <f>IF(NOTA[[#This Row],[JUMLAH]]="","",(NOTA[[#This Row],[JUMLAH]]-NOTA[[#This Row],[DISC 1-]]-NOTA[[#This Row],[DISC 2-]])*NOTA[[#This Row],[Column8]])</f>
        <v>0</v>
      </c>
      <c r="Z261" s="42">
        <f>IF(NOTA[[#This Row],[JUMLAH]]="","",NOTA[[#This Row],[DISC 1-]]+NOTA[[#This Row],[DISC 2-]]+NOTA[[#This Row],[DISC 3-]])</f>
        <v>0</v>
      </c>
      <c r="AA261" s="42">
        <f>IF(NOTA[[#This Row],[JUMLAH]]="","",NOTA[[#This Row],[JUMLAH]]-NOTA[[#This Row],[DISC]])</f>
        <v>3200000</v>
      </c>
      <c r="AB261" s="42"/>
      <c r="AC26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61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32525000</v>
      </c>
      <c r="AE261" s="38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61" s="42">
        <f>IF(OR(NOTA[[#This Row],[QTY]]="",NOTA[[#This Row],[HARGA SATUAN]]="",),"",NOTA[[#This Row],[QTY]]*NOTA[[#This Row],[HARGA SATUAN]])</f>
        <v>3200000</v>
      </c>
      <c r="AG261" s="36">
        <f ca="1">IF(NOTA[[#This Row],[ID_H]]="","",INDEX(NOTA[TANGGAL],MATCH(,INDIRECT(ADDRESS(ROW(NOTA[TANGGAL]),COLUMN(NOTA[TANGGAL]))&amp;":"&amp;ADDRESS(ROW(),COLUMN(NOTA[TANGGAL]))),-1)))</f>
        <v>45498</v>
      </c>
      <c r="AH261" s="36">
        <f ca="1">IF(NOTA[[#This Row],[ID_H]]="","",INDEX(NOTA[TGL.NOTA],MATCH(,INDIRECT(ADDRESS(ROW(NOTA[TGL.NOTA]),COLUMN(NOTA[TGL.NOTA]))&amp;":"&amp;ADDRESS(ROW(),COLUMN(NOTA[TGL.NOTA]))),-1)))</f>
        <v>45500</v>
      </c>
      <c r="AI261" s="36" t="str">
        <f ca="1">IF(NOTA[[#This Row],[ID_H]]="","",INDEX(NOTA[NO.NOTA],MATCH(NOTA[[#This Row],[ID_H]],NOTA[ID_H],0)))</f>
        <v>SI-2024/07-0207/M</v>
      </c>
      <c r="AJ261" s="38" t="str">
        <f ca="1">IF(NOTA[[#This Row],[NAMA BARANG]]="","",INDEX(NOTA[SUPPLIER],MATCH(,INDIRECT(ADDRESS(ROW(NOTA[ID]),COLUMN(NOTA[ID]))&amp;":"&amp;ADDRESS(ROW(),COLUMN(NOTA[ID]))),-1)))</f>
        <v>WIN'S SENTOSA</v>
      </c>
      <c r="AK261" s="38" t="str">
        <f ca="1">IF(NOTA[[#This Row],[ID_H]]="","",IF(NOTA[[#This Row],[FAKTUR]]="",INDIRECT(ADDRESS(ROW()-1,COLUMN())),NOTA[[#This Row],[FAKTUR]]))</f>
        <v>UNTANA</v>
      </c>
      <c r="AL261" s="35" t="str">
        <f ca="1">IF(NOTA[[#This Row],[ID]]="","",COUNTIF(NOTA[ID_H],NOTA[[#This Row],[ID_H]]))</f>
        <v/>
      </c>
      <c r="AM261" s="35">
        <f ca="1">IF(NOTA[[#This Row],[TGL.NOTA]]="",IF(NOTA[[#This Row],[SUPPLIER_H]]="","",AM260),MONTH(NOTA[[#This Row],[TGL.NOTA]]))</f>
        <v>7</v>
      </c>
      <c r="AN261" s="35" t="str">
        <f>LOWER(SUBSTITUTE(SUBSTITUTE(SUBSTITUTE(SUBSTITUTE(SUBSTITUTE(SUBSTITUTE(SUBSTITUTE(SUBSTITUTE(SUBSTITUTE(NOTA[[#This Row],[NAMA BARANG]]," ",),".",""),"-",""),"(",""),")",""),",",""),"/",""),"""",""),"+",""))</f>
        <v>ruler30cmisi40</v>
      </c>
      <c r="AO2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ruler30cmisi401600000</v>
      </c>
      <c r="AP2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ruler30cmisi401600000</v>
      </c>
      <c r="AQ2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1" s="35">
        <f>IF(NOTA[[#This Row],[CONCAT1]]="","",MATCH(NOTA[[#This Row],[CONCAT1]],[3]!db[NB NOTA_C],0))</f>
        <v>2238</v>
      </c>
      <c r="AS261" s="35" t="b">
        <f>IF(NOTA[[#This Row],[Column5]]="","",TRUE)</f>
        <v>1</v>
      </c>
      <c r="AT261" s="35" t="str">
        <f ca="1">IF(NOTA[[#This Row],[ID_H]]="","",IF(NOTA[[#This Row],[Column3]]=TRUE,NOTA[[#This Row],[Column5]],INDEX([3]!db[QTY/ CTN],NOTA[[#This Row],[//DB]])))</f>
        <v>40 BOX</v>
      </c>
      <c r="AU2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ruler30cmisi4040boxuntana</v>
      </c>
      <c r="AV261" s="35">
        <f ca="1">IF(NOTA[[#This Row],[ID_H]]="","",MATCH(NOTA[[#This Row],[NB NOTA_C_QTY]],[3]!db[NB NOTA_C_QTY+F],0))</f>
        <v>2238</v>
      </c>
      <c r="AW261" s="43">
        <f ca="1">IF(NOTA[[#This Row],[NB NOTA_C_QTY]]="","",ROW()-2)</f>
        <v>259</v>
      </c>
    </row>
    <row r="262" spans="1:49" ht="20.100000000000001" customHeight="1">
      <c r="A2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5" t="str">
        <f ca="1">IF(NOTA[[#This Row],[NAMA BARANG]]="","",INDEX(NOTA[ID],MATCH(,INDIRECT(ADDRESS(ROW(NOTA[ID]),COLUMN(NOTA[ID]))&amp;":"&amp;ADDRESS(ROW(),COLUMN(NOTA[ID]))),-1)))</f>
        <v/>
      </c>
      <c r="C262" s="45"/>
      <c r="F262" s="46"/>
      <c r="G262" s="35"/>
      <c r="H262" s="36"/>
      <c r="I262" s="35"/>
      <c r="J262" s="50"/>
      <c r="K262" s="37"/>
      <c r="L262" s="35"/>
      <c r="N262" s="38"/>
      <c r="O262" s="39"/>
      <c r="P262" s="47"/>
      <c r="Q262" s="48"/>
      <c r="R262" s="41"/>
      <c r="T262" s="42"/>
      <c r="U262" s="44"/>
      <c r="V262" s="42" t="str">
        <f>IF(NOTA[[#This Row],[HARGA/ CTN]]="",NOTA[[#This Row],[JUMLAH_H]],NOTA[[#This Row],[HARGA/ CTN]]*IF(NOTA[[#This Row],[C]]="",0,NOTA[[#This Row],[C]]))</f>
        <v/>
      </c>
      <c r="W262" s="42" t="str">
        <f>IF(NOTA[[#This Row],[JUMLAH]]="","",NOTA[[#This Row],[JUMLAH]]*NOTA[[#This Row],[Column6]])</f>
        <v/>
      </c>
      <c r="X262" s="42" t="str">
        <f>IF(NOTA[[#This Row],[JUMLAH]]="","",(NOTA[[#This Row],[JUMLAH]]-NOTA[[#This Row],[DISC 1-]])*NOTA[[#This Row],[Column7]])</f>
        <v/>
      </c>
      <c r="Y262" s="42" t="str">
        <f>IF(NOTA[[#This Row],[JUMLAH]]="","",(NOTA[[#This Row],[JUMLAH]]-NOTA[[#This Row],[DISC 1-]]-NOTA[[#This Row],[DISC 2-]])*NOTA[[#This Row],[Column8]])</f>
        <v/>
      </c>
      <c r="Z262" s="42" t="str">
        <f>IF(NOTA[[#This Row],[JUMLAH]]="","",NOTA[[#This Row],[DISC 1-]]+NOTA[[#This Row],[DISC 2-]]+NOTA[[#This Row],[DISC 3-]])</f>
        <v/>
      </c>
      <c r="AA262" s="42" t="str">
        <f>IF(NOTA[[#This Row],[JUMLAH]]="","",NOTA[[#This Row],[JUMLAH]]-NOTA[[#This Row],[DISC]])</f>
        <v/>
      </c>
      <c r="AB262" s="42"/>
      <c r="AC2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2" s="42" t="str">
        <f>IF(OR(NOTA[[#This Row],[QTY]]="",NOTA[[#This Row],[HARGA SATUAN]]="",),"",NOTA[[#This Row],[QTY]]*NOTA[[#This Row],[HARGA SATUAN]])</f>
        <v/>
      </c>
      <c r="AG262" s="36" t="str">
        <f ca="1">IF(NOTA[[#This Row],[ID_H]]="","",INDEX(NOTA[TANGGAL],MATCH(,INDIRECT(ADDRESS(ROW(NOTA[TANGGAL]),COLUMN(NOTA[TANGGAL]))&amp;":"&amp;ADDRESS(ROW(),COLUMN(NOTA[TANGGAL]))),-1)))</f>
        <v/>
      </c>
      <c r="AH262" s="36" t="str">
        <f ca="1">IF(NOTA[[#This Row],[ID_H]]="","",INDEX(NOTA[TGL.NOTA],MATCH(,INDIRECT(ADDRESS(ROW(NOTA[TGL.NOTA]),COLUMN(NOTA[TGL.NOTA]))&amp;":"&amp;ADDRESS(ROW(),COLUMN(NOTA[TGL.NOTA]))),-1)))</f>
        <v/>
      </c>
      <c r="AI262" s="36" t="str">
        <f ca="1">IF(NOTA[[#This Row],[ID_H]]="","",INDEX(NOTA[NO.NOTA],MATCH(NOTA[[#This Row],[ID_H]],NOTA[ID_H],0)))</f>
        <v/>
      </c>
      <c r="AJ262" s="38" t="str">
        <f ca="1">IF(NOTA[[#This Row],[NAMA BARANG]]="","",INDEX(NOTA[SUPPLIER],MATCH(,INDIRECT(ADDRESS(ROW(NOTA[ID]),COLUMN(NOTA[ID]))&amp;":"&amp;ADDRESS(ROW(),COLUMN(NOTA[ID]))),-1)))</f>
        <v/>
      </c>
      <c r="AK262" s="38" t="str">
        <f ca="1">IF(NOTA[[#This Row],[ID_H]]="","",IF(NOTA[[#This Row],[FAKTUR]]="",INDIRECT(ADDRESS(ROW()-1,COLUMN())),NOTA[[#This Row],[FAKTUR]]))</f>
        <v/>
      </c>
      <c r="AL262" s="35" t="str">
        <f ca="1">IF(NOTA[[#This Row],[ID]]="","",COUNTIF(NOTA[ID_H],NOTA[[#This Row],[ID_H]]))</f>
        <v/>
      </c>
      <c r="AM262" s="35" t="str">
        <f ca="1">IF(NOTA[[#This Row],[TGL.NOTA]]="",IF(NOTA[[#This Row],[SUPPLIER_H]]="","",AM261),MONTH(NOTA[[#This Row],[TGL.NOTA]]))</f>
        <v/>
      </c>
      <c r="AN2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2" s="35" t="str">
        <f>IF(NOTA[[#This Row],[CONCAT1]]="","",MATCH(NOTA[[#This Row],[CONCAT1]],[3]!db[NB NOTA_C],0))</f>
        <v/>
      </c>
      <c r="AS262" s="35" t="str">
        <f>IF(NOTA[[#This Row],[Column5]]="","",TRUE)</f>
        <v/>
      </c>
      <c r="AT262" s="35" t="str">
        <f ca="1">IF(NOTA[[#This Row],[ID_H]]="","",IF(NOTA[[#This Row],[Column3]]=TRUE,NOTA[[#This Row],[Column5]],INDEX([3]!db[QTY/ CTN],NOTA[[#This Row],[//DB]])))</f>
        <v/>
      </c>
      <c r="AU2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2" s="35" t="str">
        <f ca="1">IF(NOTA[[#This Row],[ID_H]]="","",MATCH(NOTA[[#This Row],[NB NOTA_C_QTY]],[3]!db[NB NOTA_C_QTY+F],0))</f>
        <v/>
      </c>
      <c r="AW262" s="43" t="str">
        <f ca="1">IF(NOTA[[#This Row],[NB NOTA_C_QTY]]="","",ROW()-2)</f>
        <v/>
      </c>
    </row>
    <row r="263" spans="1:49" ht="20.100000000000001" customHeight="1">
      <c r="A263" s="38">
        <f ca="1">IF(INDIRECT(ADDRESS(ROW()-1,COLUMN(NOTA[[#Headers],[ID]])))="ID",1,IF(NOTA[[#This Row],[FAKTUR]]="","",COUNT(INDIRECT(ADDRESS(ROW(NOTA[ID]),COLUMN(NOTA[ID]))&amp;":"&amp;ADDRESS(ROW()-1,COLUMN(NOTA[ID]))))+1))</f>
        <v>66</v>
      </c>
      <c r="B263" s="35">
        <f ca="1">IF(NOTA[[#This Row],[NAMA BARANG]]="","",INDEX(NOTA[ID],MATCH(,INDIRECT(ADDRESS(ROW(NOTA[ID]),COLUMN(NOTA[ID]))&amp;":"&amp;ADDRESS(ROW(),COLUMN(NOTA[ID]))),-1)))</f>
        <v>66</v>
      </c>
      <c r="C263" s="45"/>
      <c r="D263" s="35" t="s">
        <v>456</v>
      </c>
      <c r="E263" s="35" t="s">
        <v>49</v>
      </c>
      <c r="F263" s="46" t="s">
        <v>457</v>
      </c>
      <c r="G263" s="35"/>
      <c r="H263" s="36">
        <v>45496</v>
      </c>
      <c r="I263" s="35"/>
      <c r="J263" s="50" t="s">
        <v>458</v>
      </c>
      <c r="K263" s="37">
        <v>1</v>
      </c>
      <c r="L263" s="35">
        <v>144</v>
      </c>
      <c r="M263" s="35" t="s">
        <v>50</v>
      </c>
      <c r="N263" s="38">
        <v>17500</v>
      </c>
      <c r="O263" s="39"/>
      <c r="P263" s="47" t="s">
        <v>203</v>
      </c>
      <c r="Q263" s="48"/>
      <c r="R263" s="41"/>
      <c r="T263" s="42"/>
      <c r="U263" s="44"/>
      <c r="V263" s="42">
        <f>IF(NOTA[[#This Row],[HARGA/ CTN]]="",NOTA[[#This Row],[JUMLAH_H]],NOTA[[#This Row],[HARGA/ CTN]]*IF(NOTA[[#This Row],[C]]="",0,NOTA[[#This Row],[C]]))</f>
        <v>2520000</v>
      </c>
      <c r="W263" s="42">
        <f>IF(NOTA[[#This Row],[JUMLAH]]="","",NOTA[[#This Row],[JUMLAH]]*NOTA[[#This Row],[Column6]])</f>
        <v>0</v>
      </c>
      <c r="X263" s="42">
        <f>IF(NOTA[[#This Row],[JUMLAH]]="","",(NOTA[[#This Row],[JUMLAH]]-NOTA[[#This Row],[DISC 1-]])*NOTA[[#This Row],[Column7]])</f>
        <v>0</v>
      </c>
      <c r="Y263" s="42">
        <f>IF(NOTA[[#This Row],[JUMLAH]]="","",(NOTA[[#This Row],[JUMLAH]]-NOTA[[#This Row],[DISC 1-]]-NOTA[[#This Row],[DISC 2-]])*NOTA[[#This Row],[Column8]])</f>
        <v>0</v>
      </c>
      <c r="Z263" s="42">
        <f>IF(NOTA[[#This Row],[JUMLAH]]="","",NOTA[[#This Row],[DISC 1-]]+NOTA[[#This Row],[DISC 2-]]+NOTA[[#This Row],[DISC 3-]])</f>
        <v>0</v>
      </c>
      <c r="AA263" s="42">
        <f>IF(NOTA[[#This Row],[JUMLAH]]="","",NOTA[[#This Row],[JUMLAH]]-NOTA[[#This Row],[DISC]])</f>
        <v>2520000</v>
      </c>
      <c r="AB263" s="42"/>
      <c r="AC2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3" s="38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263" s="42">
        <f>IF(OR(NOTA[[#This Row],[QTY]]="",NOTA[[#This Row],[HARGA SATUAN]]="",),"",NOTA[[#This Row],[QTY]]*NOTA[[#This Row],[HARGA SATUAN]])</f>
        <v>2520000</v>
      </c>
      <c r="AG263" s="36">
        <f ca="1">IF(NOTA[[#This Row],[ID_H]]="","",INDEX(NOTA[TANGGAL],MATCH(,INDIRECT(ADDRESS(ROW(NOTA[TANGGAL]),COLUMN(NOTA[TANGGAL]))&amp;":"&amp;ADDRESS(ROW(),COLUMN(NOTA[TANGGAL]))),-1)))</f>
        <v>45498</v>
      </c>
      <c r="AH263" s="36">
        <f ca="1">IF(NOTA[[#This Row],[ID_H]]="","",INDEX(NOTA[TGL.NOTA],MATCH(,INDIRECT(ADDRESS(ROW(NOTA[TGL.NOTA]),COLUMN(NOTA[TGL.NOTA]))&amp;":"&amp;ADDRESS(ROW(),COLUMN(NOTA[TGL.NOTA]))),-1)))</f>
        <v>45496</v>
      </c>
      <c r="AI263" s="36" t="str">
        <f ca="1">IF(NOTA[[#This Row],[ID_H]]="","",INDEX(NOTA[NO.NOTA],MATCH(NOTA[[#This Row],[ID_H]],NOTA[ID_H],0)))</f>
        <v>JUG225824</v>
      </c>
      <c r="AJ263" s="38" t="str">
        <f ca="1">IF(NOTA[[#This Row],[NAMA BARANG]]="","",INDEX(NOTA[SUPPLIER],MATCH(,INDIRECT(ADDRESS(ROW(NOTA[ID]),COLUMN(NOTA[ID]))&amp;":"&amp;ADDRESS(ROW(),COLUMN(NOTA[ID]))),-1)))</f>
        <v>DB STATIONERI</v>
      </c>
      <c r="AK263" s="38" t="str">
        <f ca="1">IF(NOTA[[#This Row],[ID_H]]="","",IF(NOTA[[#This Row],[FAKTUR]]="",INDIRECT(ADDRESS(ROW()-1,COLUMN())),NOTA[[#This Row],[FAKTUR]]))</f>
        <v>UNTANA</v>
      </c>
      <c r="AL263" s="35">
        <f ca="1">IF(NOTA[[#This Row],[ID]]="","",COUNTIF(NOTA[ID_H],NOTA[[#This Row],[ID_H]]))</f>
        <v>5</v>
      </c>
      <c r="AM263" s="35">
        <f>IF(NOTA[[#This Row],[TGL.NOTA]]="",IF(NOTA[[#This Row],[SUPPLIER_H]]="","",AM262),MONTH(NOTA[[#This Row],[TGL.NOTA]]))</f>
        <v>7</v>
      </c>
      <c r="AN263" s="35" t="str">
        <f>LOWER(SUBSTITUTE(SUBSTITUTE(SUBSTITUTE(SUBSTITUTE(SUBSTITUTE(SUBSTITUTE(SUBSTITUTE(SUBSTITUTE(SUBSTITUTE(NOTA[[#This Row],[NAMA BARANG]]," ",),".",""),"-",""),"(",""),")",""),",",""),"/",""),"""",""),"+",""))</f>
        <v>mekpensiltizotm01730</v>
      </c>
      <c r="AO2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mekpensiltizotm017302520000</v>
      </c>
      <c r="AP2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mekpensiltizotm017302520000</v>
      </c>
      <c r="AQ263" s="35" t="str">
        <f>IF(NOTA[[#This Row],[SUPPLIER]]="","",NOTA[[#This Row],[SUPPLIER]]&amp;NOTA[[#This Row],[FAKTUR]]&amp;NOTA[[#This Row],[NO.NOTA]]&amp;NOTA[[#This Row],[NO.SJ]]&amp;NOTA[[#This Row],[TGL.NOTA]]&amp;NOTA[[#This Row],[CONCAT1]])</f>
        <v>DB STATIONERIUNTANAJUG22582445496mekpensiltizotm01730</v>
      </c>
      <c r="AR263" s="35">
        <f>IF(NOTA[[#This Row],[CONCAT1]]="","",MATCH(NOTA[[#This Row],[CONCAT1]],[3]!db[NB NOTA_C],0))</f>
        <v>2167</v>
      </c>
      <c r="AS263" s="35" t="b">
        <f>IF(NOTA[[#This Row],[Column5]]="","",TRUE)</f>
        <v>1</v>
      </c>
      <c r="AT263" s="35" t="str">
        <f ca="1">IF(NOTA[[#This Row],[ID_H]]="","",IF(NOTA[[#This Row],[Column3]]=TRUE,NOTA[[#This Row],[Column5]],INDEX([3]!db[QTY/ CTN],NOTA[[#This Row],[//DB]])))</f>
        <v>144 LSN</v>
      </c>
      <c r="AU2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mekpensiltizotm01730144lsnuntana</v>
      </c>
      <c r="AV263" s="35">
        <f ca="1">IF(NOTA[[#This Row],[ID_H]]="","",MATCH(NOTA[[#This Row],[NB NOTA_C_QTY]],[3]!db[NB NOTA_C_QTY+F],0))</f>
        <v>2167</v>
      </c>
      <c r="AW263" s="43">
        <f ca="1">IF(NOTA[[#This Row],[NB NOTA_C_QTY]]="","",ROW()-2)</f>
        <v>261</v>
      </c>
    </row>
    <row r="264" spans="1:49" ht="20.100000000000001" customHeight="1">
      <c r="A2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5">
        <f ca="1">IF(NOTA[[#This Row],[NAMA BARANG]]="","",INDEX(NOTA[ID],MATCH(,INDIRECT(ADDRESS(ROW(NOTA[ID]),COLUMN(NOTA[ID]))&amp;":"&amp;ADDRESS(ROW(),COLUMN(NOTA[ID]))),-1)))</f>
        <v>66</v>
      </c>
      <c r="C264" s="45"/>
      <c r="F264" s="46"/>
      <c r="G264" s="35"/>
      <c r="H264" s="36"/>
      <c r="I264" s="35"/>
      <c r="J264" s="50" t="s">
        <v>459</v>
      </c>
      <c r="K264" s="37">
        <v>1</v>
      </c>
      <c r="L264" s="35">
        <v>180</v>
      </c>
      <c r="M264" s="35" t="s">
        <v>51</v>
      </c>
      <c r="N264" s="38">
        <v>17000</v>
      </c>
      <c r="O264" s="39"/>
      <c r="P264" s="47" t="s">
        <v>460</v>
      </c>
      <c r="Q264" s="48"/>
      <c r="R264" s="41"/>
      <c r="T264" s="42"/>
      <c r="U264" s="44"/>
      <c r="V264" s="42">
        <f>IF(NOTA[[#This Row],[HARGA/ CTN]]="",NOTA[[#This Row],[JUMLAH_H]],NOTA[[#This Row],[HARGA/ CTN]]*IF(NOTA[[#This Row],[C]]="",0,NOTA[[#This Row],[C]]))</f>
        <v>3060000</v>
      </c>
      <c r="W264" s="42">
        <f>IF(NOTA[[#This Row],[JUMLAH]]="","",NOTA[[#This Row],[JUMLAH]]*NOTA[[#This Row],[Column6]])</f>
        <v>0</v>
      </c>
      <c r="X264" s="42">
        <f>IF(NOTA[[#This Row],[JUMLAH]]="","",(NOTA[[#This Row],[JUMLAH]]-NOTA[[#This Row],[DISC 1-]])*NOTA[[#This Row],[Column7]])</f>
        <v>0</v>
      </c>
      <c r="Y264" s="42">
        <f>IF(NOTA[[#This Row],[JUMLAH]]="","",(NOTA[[#This Row],[JUMLAH]]-NOTA[[#This Row],[DISC 1-]]-NOTA[[#This Row],[DISC 2-]])*NOTA[[#This Row],[Column8]])</f>
        <v>0</v>
      </c>
      <c r="Z264" s="42">
        <f>IF(NOTA[[#This Row],[JUMLAH]]="","",NOTA[[#This Row],[DISC 1-]]+NOTA[[#This Row],[DISC 2-]]+NOTA[[#This Row],[DISC 3-]])</f>
        <v>0</v>
      </c>
      <c r="AA264" s="42">
        <f>IF(NOTA[[#This Row],[JUMLAH]]="","",NOTA[[#This Row],[JUMLAH]]-NOTA[[#This Row],[DISC]])</f>
        <v>3060000</v>
      </c>
      <c r="AB264" s="42"/>
      <c r="AC2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4" s="3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264" s="42">
        <f>IF(OR(NOTA[[#This Row],[QTY]]="",NOTA[[#This Row],[HARGA SATUAN]]="",),"",NOTA[[#This Row],[QTY]]*NOTA[[#This Row],[HARGA SATUAN]])</f>
        <v>3060000</v>
      </c>
      <c r="AG264" s="36">
        <f ca="1">IF(NOTA[[#This Row],[ID_H]]="","",INDEX(NOTA[TANGGAL],MATCH(,INDIRECT(ADDRESS(ROW(NOTA[TANGGAL]),COLUMN(NOTA[TANGGAL]))&amp;":"&amp;ADDRESS(ROW(),COLUMN(NOTA[TANGGAL]))),-1)))</f>
        <v>45498</v>
      </c>
      <c r="AH264" s="36">
        <f ca="1">IF(NOTA[[#This Row],[ID_H]]="","",INDEX(NOTA[TGL.NOTA],MATCH(,INDIRECT(ADDRESS(ROW(NOTA[TGL.NOTA]),COLUMN(NOTA[TGL.NOTA]))&amp;":"&amp;ADDRESS(ROW(),COLUMN(NOTA[TGL.NOTA]))),-1)))</f>
        <v>45496</v>
      </c>
      <c r="AI264" s="36" t="str">
        <f ca="1">IF(NOTA[[#This Row],[ID_H]]="","",INDEX(NOTA[NO.NOTA],MATCH(NOTA[[#This Row],[ID_H]],NOTA[ID_H],0)))</f>
        <v>JUG225824</v>
      </c>
      <c r="AJ264" s="38" t="str">
        <f ca="1">IF(NOTA[[#This Row],[NAMA BARANG]]="","",INDEX(NOTA[SUPPLIER],MATCH(,INDIRECT(ADDRESS(ROW(NOTA[ID]),COLUMN(NOTA[ID]))&amp;":"&amp;ADDRESS(ROW(),COLUMN(NOTA[ID]))),-1)))</f>
        <v>DB STATIONERI</v>
      </c>
      <c r="AK264" s="38" t="str">
        <f ca="1">IF(NOTA[[#This Row],[ID_H]]="","",IF(NOTA[[#This Row],[FAKTUR]]="",INDIRECT(ADDRESS(ROW()-1,COLUMN())),NOTA[[#This Row],[FAKTUR]]))</f>
        <v>UNTANA</v>
      </c>
      <c r="AL264" s="35" t="str">
        <f ca="1">IF(NOTA[[#This Row],[ID]]="","",COUNTIF(NOTA[ID_H],NOTA[[#This Row],[ID_H]]))</f>
        <v/>
      </c>
      <c r="AM264" s="35">
        <f ca="1">IF(NOTA[[#This Row],[TGL.NOTA]]="",IF(NOTA[[#This Row],[SUPPLIER_H]]="","",AM263),MONTH(NOTA[[#This Row],[TGL.NOTA]]))</f>
        <v>7</v>
      </c>
      <c r="AN264" s="35" t="str">
        <f>LOWER(SUBSTITUTE(SUBSTITUTE(SUBSTITUTE(SUBSTITUTE(SUBSTITUTE(SUBSTITUTE(SUBSTITUTE(SUBSTITUTE(SUBSTITUTE(NOTA[[#This Row],[NAMA BARANG]]," ",),".",""),"-",""),"(",""),")",""),",",""),"/",""),"""",""),"+",""))</f>
        <v>tpbdxlgbd19127</v>
      </c>
      <c r="AO2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tpbdxlgbd191273060000</v>
      </c>
      <c r="AP2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tpbdxlgbd191273060000</v>
      </c>
      <c r="AQ2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4" s="35">
        <f>IF(NOTA[[#This Row],[CONCAT1]]="","",MATCH(NOTA[[#This Row],[CONCAT1]],[3]!db[NB NOTA_C],0))</f>
        <v>3421</v>
      </c>
      <c r="AS264" s="35" t="b">
        <f>IF(NOTA[[#This Row],[Column5]]="","",TRUE)</f>
        <v>1</v>
      </c>
      <c r="AT264" s="35" t="str">
        <f ca="1">IF(NOTA[[#This Row],[ID_H]]="","",IF(NOTA[[#This Row],[Column3]]=TRUE,NOTA[[#This Row],[Column5]],INDEX([3]!db[QTY/ CTN],NOTA[[#This Row],[//DB]])))</f>
        <v>180 PCS</v>
      </c>
      <c r="AU2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tpbdxlgbd19127180pcsuntana</v>
      </c>
      <c r="AV264" s="35">
        <f ca="1">IF(NOTA[[#This Row],[ID_H]]="","",MATCH(NOTA[[#This Row],[NB NOTA_C_QTY]],[3]!db[NB NOTA_C_QTY+F],0))</f>
        <v>3421</v>
      </c>
      <c r="AW264" s="43">
        <f ca="1">IF(NOTA[[#This Row],[NB NOTA_C_QTY]]="","",ROW()-2)</f>
        <v>262</v>
      </c>
    </row>
    <row r="265" spans="1:49" ht="20.100000000000001" customHeight="1">
      <c r="A2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5">
        <f ca="1">IF(NOTA[[#This Row],[NAMA BARANG]]="","",INDEX(NOTA[ID],MATCH(,INDIRECT(ADDRESS(ROW(NOTA[ID]),COLUMN(NOTA[ID]))&amp;":"&amp;ADDRESS(ROW(),COLUMN(NOTA[ID]))),-1)))</f>
        <v>66</v>
      </c>
      <c r="C265" s="45"/>
      <c r="F265" s="46"/>
      <c r="G265" s="35"/>
      <c r="H265" s="36"/>
      <c r="I265" s="35"/>
      <c r="J265" s="35" t="s">
        <v>461</v>
      </c>
      <c r="K265" s="37">
        <v>1</v>
      </c>
      <c r="L265" s="35">
        <v>180</v>
      </c>
      <c r="M265" s="35" t="s">
        <v>51</v>
      </c>
      <c r="N265" s="38">
        <v>16000</v>
      </c>
      <c r="O265" s="39"/>
      <c r="P265" s="47" t="s">
        <v>460</v>
      </c>
      <c r="Q265" s="48"/>
      <c r="R265" s="41"/>
      <c r="T265" s="42"/>
      <c r="U265" s="44"/>
      <c r="V265" s="42">
        <f>IF(NOTA[[#This Row],[HARGA/ CTN]]="",NOTA[[#This Row],[JUMLAH_H]],NOTA[[#This Row],[HARGA/ CTN]]*IF(NOTA[[#This Row],[C]]="",0,NOTA[[#This Row],[C]]))</f>
        <v>2880000</v>
      </c>
      <c r="W265" s="42">
        <f>IF(NOTA[[#This Row],[JUMLAH]]="","",NOTA[[#This Row],[JUMLAH]]*NOTA[[#This Row],[Column6]])</f>
        <v>0</v>
      </c>
      <c r="X265" s="42">
        <f>IF(NOTA[[#This Row],[JUMLAH]]="","",(NOTA[[#This Row],[JUMLAH]]-NOTA[[#This Row],[DISC 1-]])*NOTA[[#This Row],[Column7]])</f>
        <v>0</v>
      </c>
      <c r="Y265" s="42">
        <f>IF(NOTA[[#This Row],[JUMLAH]]="","",(NOTA[[#This Row],[JUMLAH]]-NOTA[[#This Row],[DISC 1-]]-NOTA[[#This Row],[DISC 2-]])*NOTA[[#This Row],[Column8]])</f>
        <v>0</v>
      </c>
      <c r="Z265" s="42">
        <f>IF(NOTA[[#This Row],[JUMLAH]]="","",NOTA[[#This Row],[DISC 1-]]+NOTA[[#This Row],[DISC 2-]]+NOTA[[#This Row],[DISC 3-]])</f>
        <v>0</v>
      </c>
      <c r="AA265" s="42">
        <f>IF(NOTA[[#This Row],[JUMLAH]]="","",NOTA[[#This Row],[JUMLAH]]-NOTA[[#This Row],[DISC]])</f>
        <v>2880000</v>
      </c>
      <c r="AB265" s="42"/>
      <c r="AC2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5" s="3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65" s="42">
        <f>IF(OR(NOTA[[#This Row],[QTY]]="",NOTA[[#This Row],[HARGA SATUAN]]="",),"",NOTA[[#This Row],[QTY]]*NOTA[[#This Row],[HARGA SATUAN]])</f>
        <v>2880000</v>
      </c>
      <c r="AG265" s="36">
        <f ca="1">IF(NOTA[[#This Row],[ID_H]]="","",INDEX(NOTA[TANGGAL],MATCH(,INDIRECT(ADDRESS(ROW(NOTA[TANGGAL]),COLUMN(NOTA[TANGGAL]))&amp;":"&amp;ADDRESS(ROW(),COLUMN(NOTA[TANGGAL]))),-1)))</f>
        <v>45498</v>
      </c>
      <c r="AH265" s="36">
        <f ca="1">IF(NOTA[[#This Row],[ID_H]]="","",INDEX(NOTA[TGL.NOTA],MATCH(,INDIRECT(ADDRESS(ROW(NOTA[TGL.NOTA]),COLUMN(NOTA[TGL.NOTA]))&amp;":"&amp;ADDRESS(ROW(),COLUMN(NOTA[TGL.NOTA]))),-1)))</f>
        <v>45496</v>
      </c>
      <c r="AI265" s="36" t="str">
        <f ca="1">IF(NOTA[[#This Row],[ID_H]]="","",INDEX(NOTA[NO.NOTA],MATCH(NOTA[[#This Row],[ID_H]],NOTA[ID_H],0)))</f>
        <v>JUG225824</v>
      </c>
      <c r="AJ265" s="38" t="str">
        <f ca="1">IF(NOTA[[#This Row],[NAMA BARANG]]="","",INDEX(NOTA[SUPPLIER],MATCH(,INDIRECT(ADDRESS(ROW(NOTA[ID]),COLUMN(NOTA[ID]))&amp;":"&amp;ADDRESS(ROW(),COLUMN(NOTA[ID]))),-1)))</f>
        <v>DB STATIONERI</v>
      </c>
      <c r="AK265" s="38" t="str">
        <f ca="1">IF(NOTA[[#This Row],[ID_H]]="","",IF(NOTA[[#This Row],[FAKTUR]]="",INDIRECT(ADDRESS(ROW()-1,COLUMN())),NOTA[[#This Row],[FAKTUR]]))</f>
        <v>UNTANA</v>
      </c>
      <c r="AL265" s="35" t="str">
        <f ca="1">IF(NOTA[[#This Row],[ID]]="","",COUNTIF(NOTA[ID_H],NOTA[[#This Row],[ID_H]]))</f>
        <v/>
      </c>
      <c r="AM265" s="35">
        <f ca="1">IF(NOTA[[#This Row],[TGL.NOTA]]="",IF(NOTA[[#This Row],[SUPPLIER_H]]="","",AM264),MONTH(NOTA[[#This Row],[TGL.NOTA]]))</f>
        <v>7</v>
      </c>
      <c r="AN265" s="35" t="str">
        <f>LOWER(SUBSTITUTE(SUBSTITUTE(SUBSTITUTE(SUBSTITUTE(SUBSTITUTE(SUBSTITUTE(SUBSTITUTE(SUBSTITUTE(SUBSTITUTE(NOTA[[#This Row],[NAMA BARANG]]," ",),".",""),"-",""),"(",""),")",""),",",""),"/",""),"""",""),"+",""))</f>
        <v>tpbdxlgbd19327</v>
      </c>
      <c r="AO2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tpbdxlgbd193272880000</v>
      </c>
      <c r="AP2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tpbdxlgbd193272880000</v>
      </c>
      <c r="AQ2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5" s="35">
        <f>IF(NOTA[[#This Row],[CONCAT1]]="","",MATCH(NOTA[[#This Row],[CONCAT1]],[3]!db[NB NOTA_C],0))</f>
        <v>3422</v>
      </c>
      <c r="AS265" s="35" t="b">
        <f>IF(NOTA[[#This Row],[Column5]]="","",TRUE)</f>
        <v>1</v>
      </c>
      <c r="AT265" s="35" t="str">
        <f ca="1">IF(NOTA[[#This Row],[ID_H]]="","",IF(NOTA[[#This Row],[Column3]]=TRUE,NOTA[[#This Row],[Column5]],INDEX([3]!db[QTY/ CTN],NOTA[[#This Row],[//DB]])))</f>
        <v>180 PCS</v>
      </c>
      <c r="AU2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tpbdxlgbd19327180pcsuntana</v>
      </c>
      <c r="AV265" s="35">
        <f ca="1">IF(NOTA[[#This Row],[ID_H]]="","",MATCH(NOTA[[#This Row],[NB NOTA_C_QTY]],[3]!db[NB NOTA_C_QTY+F],0))</f>
        <v>3422</v>
      </c>
      <c r="AW265" s="43">
        <f ca="1">IF(NOTA[[#This Row],[NB NOTA_C_QTY]]="","",ROW()-2)</f>
        <v>263</v>
      </c>
    </row>
    <row r="266" spans="1:49" ht="20.100000000000001" customHeight="1">
      <c r="A2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5">
        <f ca="1">IF(NOTA[[#This Row],[NAMA BARANG]]="","",INDEX(NOTA[ID],MATCH(,INDIRECT(ADDRESS(ROW(NOTA[ID]),COLUMN(NOTA[ID]))&amp;":"&amp;ADDRESS(ROW(),COLUMN(NOTA[ID]))),-1)))</f>
        <v>66</v>
      </c>
      <c r="C266" s="45"/>
      <c r="F266" s="46"/>
      <c r="G266" s="35"/>
      <c r="H266" s="36"/>
      <c r="I266" s="35"/>
      <c r="J266" s="35" t="s">
        <v>462</v>
      </c>
      <c r="K266" s="37">
        <v>1</v>
      </c>
      <c r="L266" s="35">
        <v>180</v>
      </c>
      <c r="M266" s="35" t="s">
        <v>51</v>
      </c>
      <c r="N266" s="38">
        <v>16000</v>
      </c>
      <c r="O266" s="39"/>
      <c r="P266" s="47" t="s">
        <v>460</v>
      </c>
      <c r="Q266" s="48"/>
      <c r="R266" s="41"/>
      <c r="T266" s="42"/>
      <c r="U266" s="44"/>
      <c r="V266" s="42">
        <f>IF(NOTA[[#This Row],[HARGA/ CTN]]="",NOTA[[#This Row],[JUMLAH_H]],NOTA[[#This Row],[HARGA/ CTN]]*IF(NOTA[[#This Row],[C]]="",0,NOTA[[#This Row],[C]]))</f>
        <v>2880000</v>
      </c>
      <c r="W266" s="42">
        <f>IF(NOTA[[#This Row],[JUMLAH]]="","",NOTA[[#This Row],[JUMLAH]]*NOTA[[#This Row],[Column6]])</f>
        <v>0</v>
      </c>
      <c r="X266" s="42">
        <f>IF(NOTA[[#This Row],[JUMLAH]]="","",(NOTA[[#This Row],[JUMLAH]]-NOTA[[#This Row],[DISC 1-]])*NOTA[[#This Row],[Column7]])</f>
        <v>0</v>
      </c>
      <c r="Y266" s="42">
        <f>IF(NOTA[[#This Row],[JUMLAH]]="","",(NOTA[[#This Row],[JUMLAH]]-NOTA[[#This Row],[DISC 1-]]-NOTA[[#This Row],[DISC 2-]])*NOTA[[#This Row],[Column8]])</f>
        <v>0</v>
      </c>
      <c r="Z266" s="42">
        <f>IF(NOTA[[#This Row],[JUMLAH]]="","",NOTA[[#This Row],[DISC 1-]]+NOTA[[#This Row],[DISC 2-]]+NOTA[[#This Row],[DISC 3-]])</f>
        <v>0</v>
      </c>
      <c r="AA266" s="42">
        <f>IF(NOTA[[#This Row],[JUMLAH]]="","",NOTA[[#This Row],[JUMLAH]]-NOTA[[#This Row],[DISC]])</f>
        <v>2880000</v>
      </c>
      <c r="AB266" s="42"/>
      <c r="AC2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6" s="3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66" s="42">
        <f>IF(OR(NOTA[[#This Row],[QTY]]="",NOTA[[#This Row],[HARGA SATUAN]]="",),"",NOTA[[#This Row],[QTY]]*NOTA[[#This Row],[HARGA SATUAN]])</f>
        <v>2880000</v>
      </c>
      <c r="AG266" s="36">
        <f ca="1">IF(NOTA[[#This Row],[ID_H]]="","",INDEX(NOTA[TANGGAL],MATCH(,INDIRECT(ADDRESS(ROW(NOTA[TANGGAL]),COLUMN(NOTA[TANGGAL]))&amp;":"&amp;ADDRESS(ROW(),COLUMN(NOTA[TANGGAL]))),-1)))</f>
        <v>45498</v>
      </c>
      <c r="AH266" s="36">
        <f ca="1">IF(NOTA[[#This Row],[ID_H]]="","",INDEX(NOTA[TGL.NOTA],MATCH(,INDIRECT(ADDRESS(ROW(NOTA[TGL.NOTA]),COLUMN(NOTA[TGL.NOTA]))&amp;":"&amp;ADDRESS(ROW(),COLUMN(NOTA[TGL.NOTA]))),-1)))</f>
        <v>45496</v>
      </c>
      <c r="AI266" s="36" t="str">
        <f ca="1">IF(NOTA[[#This Row],[ID_H]]="","",INDEX(NOTA[NO.NOTA],MATCH(NOTA[[#This Row],[ID_H]],NOTA[ID_H],0)))</f>
        <v>JUG225824</v>
      </c>
      <c r="AJ266" s="38" t="str">
        <f ca="1">IF(NOTA[[#This Row],[NAMA BARANG]]="","",INDEX(NOTA[SUPPLIER],MATCH(,INDIRECT(ADDRESS(ROW(NOTA[ID]),COLUMN(NOTA[ID]))&amp;":"&amp;ADDRESS(ROW(),COLUMN(NOTA[ID]))),-1)))</f>
        <v>DB STATIONERI</v>
      </c>
      <c r="AK266" s="38" t="str">
        <f ca="1">IF(NOTA[[#This Row],[ID_H]]="","",IF(NOTA[[#This Row],[FAKTUR]]="",INDIRECT(ADDRESS(ROW()-1,COLUMN())),NOTA[[#This Row],[FAKTUR]]))</f>
        <v>UNTANA</v>
      </c>
      <c r="AL266" s="35" t="str">
        <f ca="1">IF(NOTA[[#This Row],[ID]]="","",COUNTIF(NOTA[ID_H],NOTA[[#This Row],[ID_H]]))</f>
        <v/>
      </c>
      <c r="AM266" s="35">
        <f ca="1">IF(NOTA[[#This Row],[TGL.NOTA]]="",IF(NOTA[[#This Row],[SUPPLIER_H]]="","",AM265),MONTH(NOTA[[#This Row],[TGL.NOTA]]))</f>
        <v>7</v>
      </c>
      <c r="AN266" s="35" t="str">
        <f>LOWER(SUBSTITUTE(SUBSTITUTE(SUBSTITUTE(SUBSTITUTE(SUBSTITUTE(SUBSTITUTE(SUBSTITUTE(SUBSTITUTE(SUBSTITUTE(NOTA[[#This Row],[NAMA BARANG]]," ",),".",""),"-",""),"(",""),")",""),",",""),"/",""),"""",""),"+",""))</f>
        <v>tpbdxlgbd19426</v>
      </c>
      <c r="AO2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tpbdxlgbd194262880000</v>
      </c>
      <c r="AP2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tpbdxlgbd194262880000</v>
      </c>
      <c r="AQ2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6" s="35">
        <f>IF(NOTA[[#This Row],[CONCAT1]]="","",MATCH(NOTA[[#This Row],[CONCAT1]],[3]!db[NB NOTA_C],0))</f>
        <v>3423</v>
      </c>
      <c r="AS266" s="35" t="b">
        <f>IF(NOTA[[#This Row],[Column5]]="","",TRUE)</f>
        <v>1</v>
      </c>
      <c r="AT266" s="35" t="str">
        <f ca="1">IF(NOTA[[#This Row],[ID_H]]="","",IF(NOTA[[#This Row],[Column3]]=TRUE,NOTA[[#This Row],[Column5]],INDEX([3]!db[QTY/ CTN],NOTA[[#This Row],[//DB]])))</f>
        <v>180 PCS</v>
      </c>
      <c r="AU2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tpbdxlgbd19426180pcsuntana</v>
      </c>
      <c r="AV266" s="35">
        <f ca="1">IF(NOTA[[#This Row],[ID_H]]="","",MATCH(NOTA[[#This Row],[NB NOTA_C_QTY]],[3]!db[NB NOTA_C_QTY+F],0))</f>
        <v>3423</v>
      </c>
      <c r="AW266" s="43">
        <f ca="1">IF(NOTA[[#This Row],[NB NOTA_C_QTY]]="","",ROW()-2)</f>
        <v>264</v>
      </c>
    </row>
    <row r="267" spans="1:49" ht="20.100000000000001" customHeight="1">
      <c r="A2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5">
        <f ca="1">IF(NOTA[[#This Row],[NAMA BARANG]]="","",INDEX(NOTA[ID],MATCH(,INDIRECT(ADDRESS(ROW(NOTA[ID]),COLUMN(NOTA[ID]))&amp;":"&amp;ADDRESS(ROW(),COLUMN(NOTA[ID]))),-1)))</f>
        <v>66</v>
      </c>
      <c r="C267" s="45"/>
      <c r="F267" s="46"/>
      <c r="G267" s="35"/>
      <c r="H267" s="36"/>
      <c r="I267" s="35"/>
      <c r="J267" s="35" t="s">
        <v>463</v>
      </c>
      <c r="K267" s="37">
        <v>1</v>
      </c>
      <c r="L267" s="35">
        <v>180</v>
      </c>
      <c r="M267" s="35" t="s">
        <v>51</v>
      </c>
      <c r="N267" s="38">
        <v>11000</v>
      </c>
      <c r="O267" s="39"/>
      <c r="P267" s="47" t="s">
        <v>460</v>
      </c>
      <c r="Q267" s="48"/>
      <c r="R267" s="41"/>
      <c r="T267" s="42"/>
      <c r="U267" s="44"/>
      <c r="V267" s="42">
        <f>IF(NOTA[[#This Row],[HARGA/ CTN]]="",NOTA[[#This Row],[JUMLAH_H]],NOTA[[#This Row],[HARGA/ CTN]]*IF(NOTA[[#This Row],[C]]="",0,NOTA[[#This Row],[C]]))</f>
        <v>1980000</v>
      </c>
      <c r="W267" s="42">
        <f>IF(NOTA[[#This Row],[JUMLAH]]="","",NOTA[[#This Row],[JUMLAH]]*NOTA[[#This Row],[Column6]])</f>
        <v>0</v>
      </c>
      <c r="X267" s="42">
        <f>IF(NOTA[[#This Row],[JUMLAH]]="","",(NOTA[[#This Row],[JUMLAH]]-NOTA[[#This Row],[DISC 1-]])*NOTA[[#This Row],[Column7]])</f>
        <v>0</v>
      </c>
      <c r="Y267" s="42">
        <f>IF(NOTA[[#This Row],[JUMLAH]]="","",(NOTA[[#This Row],[JUMLAH]]-NOTA[[#This Row],[DISC 1-]]-NOTA[[#This Row],[DISC 2-]])*NOTA[[#This Row],[Column8]])</f>
        <v>0</v>
      </c>
      <c r="Z267" s="42">
        <f>IF(NOTA[[#This Row],[JUMLAH]]="","",NOTA[[#This Row],[DISC 1-]]+NOTA[[#This Row],[DISC 2-]]+NOTA[[#This Row],[DISC 3-]])</f>
        <v>0</v>
      </c>
      <c r="AA267" s="42">
        <f>IF(NOTA[[#This Row],[JUMLAH]]="","",NOTA[[#This Row],[JUMLAH]]-NOTA[[#This Row],[DISC]])</f>
        <v>1980000</v>
      </c>
      <c r="AB267" s="42"/>
      <c r="AC26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>0</v>
      </c>
      <c r="AD267" s="4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>13320000</v>
      </c>
      <c r="AE267" s="3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267" s="42">
        <f>IF(OR(NOTA[[#This Row],[QTY]]="",NOTA[[#This Row],[HARGA SATUAN]]="",),"",NOTA[[#This Row],[QTY]]*NOTA[[#This Row],[HARGA SATUAN]])</f>
        <v>1980000</v>
      </c>
      <c r="AG267" s="36">
        <f ca="1">IF(NOTA[[#This Row],[ID_H]]="","",INDEX(NOTA[TANGGAL],MATCH(,INDIRECT(ADDRESS(ROW(NOTA[TANGGAL]),COLUMN(NOTA[TANGGAL]))&amp;":"&amp;ADDRESS(ROW(),COLUMN(NOTA[TANGGAL]))),-1)))</f>
        <v>45498</v>
      </c>
      <c r="AH267" s="36">
        <f ca="1">IF(NOTA[[#This Row],[ID_H]]="","",INDEX(NOTA[TGL.NOTA],MATCH(,INDIRECT(ADDRESS(ROW(NOTA[TGL.NOTA]),COLUMN(NOTA[TGL.NOTA]))&amp;":"&amp;ADDRESS(ROW(),COLUMN(NOTA[TGL.NOTA]))),-1)))</f>
        <v>45496</v>
      </c>
      <c r="AI267" s="36" t="str">
        <f ca="1">IF(NOTA[[#This Row],[ID_H]]="","",INDEX(NOTA[NO.NOTA],MATCH(NOTA[[#This Row],[ID_H]],NOTA[ID_H],0)))</f>
        <v>JUG225824</v>
      </c>
      <c r="AJ267" s="38" t="str">
        <f ca="1">IF(NOTA[[#This Row],[NAMA BARANG]]="","",INDEX(NOTA[SUPPLIER],MATCH(,INDIRECT(ADDRESS(ROW(NOTA[ID]),COLUMN(NOTA[ID]))&amp;":"&amp;ADDRESS(ROW(),COLUMN(NOTA[ID]))),-1)))</f>
        <v>DB STATIONERI</v>
      </c>
      <c r="AK267" s="38" t="str">
        <f ca="1">IF(NOTA[[#This Row],[ID_H]]="","",IF(NOTA[[#This Row],[FAKTUR]]="",INDIRECT(ADDRESS(ROW()-1,COLUMN())),NOTA[[#This Row],[FAKTUR]]))</f>
        <v>UNTANA</v>
      </c>
      <c r="AL267" s="35" t="str">
        <f ca="1">IF(NOTA[[#This Row],[ID]]="","",COUNTIF(NOTA[ID_H],NOTA[[#This Row],[ID_H]]))</f>
        <v/>
      </c>
      <c r="AM267" s="35">
        <f ca="1">IF(NOTA[[#This Row],[TGL.NOTA]]="",IF(NOTA[[#This Row],[SUPPLIER_H]]="","",AM266),MONTH(NOTA[[#This Row],[TGL.NOTA]]))</f>
        <v>7</v>
      </c>
      <c r="AN267" s="35" t="str">
        <f>LOWER(SUBSTITUTE(SUBSTITUTE(SUBSTITUTE(SUBSTITUTE(SUBSTITUTE(SUBSTITUTE(SUBSTITUTE(SUBSTITUTE(SUBSTITUTE(NOTA[[#This Row],[NAMA BARANG]]," ",),".",""),"-",""),"(",""),")",""),",",""),"/",""),"""",""),"+",""))</f>
        <v>tpbdxlgbd33123</v>
      </c>
      <c r="AO2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>tpbdxlgbd331231980000</v>
      </c>
      <c r="AP2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>tpbdxlgbd331231980000</v>
      </c>
      <c r="AQ2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7" s="35">
        <f>IF(NOTA[[#This Row],[CONCAT1]]="","",MATCH(NOTA[[#This Row],[CONCAT1]],[3]!db[NB NOTA_C],0))</f>
        <v>3426</v>
      </c>
      <c r="AS267" s="35" t="b">
        <f>IF(NOTA[[#This Row],[Column5]]="","",TRUE)</f>
        <v>1</v>
      </c>
      <c r="AT267" s="35" t="str">
        <f ca="1">IF(NOTA[[#This Row],[ID_H]]="","",IF(NOTA[[#This Row],[Column3]]=TRUE,NOTA[[#This Row],[Column5]],INDEX([3]!db[QTY/ CTN],NOTA[[#This Row],[//DB]])))</f>
        <v>180 PCS</v>
      </c>
      <c r="AU2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tpbdxlgbd33123180pcsuntana</v>
      </c>
      <c r="AV267" s="35">
        <f ca="1">IF(NOTA[[#This Row],[ID_H]]="","",MATCH(NOTA[[#This Row],[NB NOTA_C_QTY]],[3]!db[NB NOTA_C_QTY+F],0))</f>
        <v>3426</v>
      </c>
      <c r="AW267" s="43">
        <f ca="1">IF(NOTA[[#This Row],[NB NOTA_C_QTY]]="","",ROW()-2)</f>
        <v>265</v>
      </c>
    </row>
    <row r="268" spans="1:49" ht="20.100000000000001" customHeight="1">
      <c r="A2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5" t="str">
        <f ca="1">IF(NOTA[[#This Row],[NAMA BARANG]]="","",INDEX(NOTA[ID],MATCH(,INDIRECT(ADDRESS(ROW(NOTA[ID]),COLUMN(NOTA[ID]))&amp;":"&amp;ADDRESS(ROW(),COLUMN(NOTA[ID]))),-1)))</f>
        <v/>
      </c>
      <c r="C268" s="45"/>
      <c r="F268" s="46"/>
      <c r="G268" s="35"/>
      <c r="H268" s="36"/>
      <c r="I268" s="35"/>
      <c r="K268" s="37"/>
      <c r="L268" s="35"/>
      <c r="N268" s="38"/>
      <c r="O268" s="39"/>
      <c r="P268" s="47"/>
      <c r="Q268" s="48"/>
      <c r="R268" s="41"/>
      <c r="T268" s="42"/>
      <c r="U268" s="44"/>
      <c r="V268" s="42" t="str">
        <f>IF(NOTA[[#This Row],[HARGA/ CTN]]="",NOTA[[#This Row],[JUMLAH_H]],NOTA[[#This Row],[HARGA/ CTN]]*IF(NOTA[[#This Row],[C]]="",0,NOTA[[#This Row],[C]]))</f>
        <v/>
      </c>
      <c r="W268" s="42" t="str">
        <f>IF(NOTA[[#This Row],[JUMLAH]]="","",NOTA[[#This Row],[JUMLAH]]*NOTA[[#This Row],[Column6]])</f>
        <v/>
      </c>
      <c r="X268" s="42" t="str">
        <f>IF(NOTA[[#This Row],[JUMLAH]]="","",(NOTA[[#This Row],[JUMLAH]]-NOTA[[#This Row],[DISC 1-]])*NOTA[[#This Row],[Column7]])</f>
        <v/>
      </c>
      <c r="Y268" s="42" t="str">
        <f>IF(NOTA[[#This Row],[JUMLAH]]="","",(NOTA[[#This Row],[JUMLAH]]-NOTA[[#This Row],[DISC 1-]]-NOTA[[#This Row],[DISC 2-]])*NOTA[[#This Row],[Column8]])</f>
        <v/>
      </c>
      <c r="Z268" s="42" t="str">
        <f>IF(NOTA[[#This Row],[JUMLAH]]="","",NOTA[[#This Row],[DISC 1-]]+NOTA[[#This Row],[DISC 2-]]+NOTA[[#This Row],[DISC 3-]])</f>
        <v/>
      </c>
      <c r="AA268" s="42" t="str">
        <f>IF(NOTA[[#This Row],[JUMLAH]]="","",NOTA[[#This Row],[JUMLAH]]-NOTA[[#This Row],[DISC]])</f>
        <v/>
      </c>
      <c r="AB268" s="42"/>
      <c r="AC2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8" s="42" t="str">
        <f>IF(OR(NOTA[[#This Row],[QTY]]="",NOTA[[#This Row],[HARGA SATUAN]]="",),"",NOTA[[#This Row],[QTY]]*NOTA[[#This Row],[HARGA SATUAN]])</f>
        <v/>
      </c>
      <c r="AG268" s="36" t="str">
        <f ca="1">IF(NOTA[[#This Row],[ID_H]]="","",INDEX(NOTA[TANGGAL],MATCH(,INDIRECT(ADDRESS(ROW(NOTA[TANGGAL]),COLUMN(NOTA[TANGGAL]))&amp;":"&amp;ADDRESS(ROW(),COLUMN(NOTA[TANGGAL]))),-1)))</f>
        <v/>
      </c>
      <c r="AH268" s="36" t="str">
        <f ca="1">IF(NOTA[[#This Row],[ID_H]]="","",INDEX(NOTA[TGL.NOTA],MATCH(,INDIRECT(ADDRESS(ROW(NOTA[TGL.NOTA]),COLUMN(NOTA[TGL.NOTA]))&amp;":"&amp;ADDRESS(ROW(),COLUMN(NOTA[TGL.NOTA]))),-1)))</f>
        <v/>
      </c>
      <c r="AI268" s="36" t="str">
        <f ca="1">IF(NOTA[[#This Row],[ID_H]]="","",INDEX(NOTA[NO.NOTA],MATCH(NOTA[[#This Row],[ID_H]],NOTA[ID_H],0)))</f>
        <v/>
      </c>
      <c r="AJ268" s="38" t="str">
        <f ca="1">IF(NOTA[[#This Row],[NAMA BARANG]]="","",INDEX(NOTA[SUPPLIER],MATCH(,INDIRECT(ADDRESS(ROW(NOTA[ID]),COLUMN(NOTA[ID]))&amp;":"&amp;ADDRESS(ROW(),COLUMN(NOTA[ID]))),-1)))</f>
        <v/>
      </c>
      <c r="AK268" s="38" t="str">
        <f ca="1">IF(NOTA[[#This Row],[ID_H]]="","",IF(NOTA[[#This Row],[FAKTUR]]="",INDIRECT(ADDRESS(ROW()-1,COLUMN())),NOTA[[#This Row],[FAKTUR]]))</f>
        <v/>
      </c>
      <c r="AL268" s="35" t="str">
        <f ca="1">IF(NOTA[[#This Row],[ID]]="","",COUNTIF(NOTA[ID_H],NOTA[[#This Row],[ID_H]]))</f>
        <v/>
      </c>
      <c r="AM268" s="35" t="str">
        <f ca="1">IF(NOTA[[#This Row],[TGL.NOTA]]="",IF(NOTA[[#This Row],[SUPPLIER_H]]="","",AM267),MONTH(NOTA[[#This Row],[TGL.NOTA]]))</f>
        <v/>
      </c>
      <c r="AN2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8" s="35" t="str">
        <f>IF(NOTA[[#This Row],[CONCAT1]]="","",MATCH(NOTA[[#This Row],[CONCAT1]],[3]!db[NB NOTA_C],0))</f>
        <v/>
      </c>
      <c r="AS268" s="35" t="str">
        <f>IF(NOTA[[#This Row],[Column5]]="","",TRUE)</f>
        <v/>
      </c>
      <c r="AT268" s="35" t="str">
        <f ca="1">IF(NOTA[[#This Row],[ID_H]]="","",IF(NOTA[[#This Row],[Column3]]=TRUE,NOTA[[#This Row],[Column5]],INDEX([3]!db[QTY/ CTN],NOTA[[#This Row],[//DB]])))</f>
        <v/>
      </c>
      <c r="AU2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8" s="35" t="str">
        <f ca="1">IF(NOTA[[#This Row],[ID_H]]="","",MATCH(NOTA[[#This Row],[NB NOTA_C_QTY]],[3]!db[NB NOTA_C_QTY+F],0))</f>
        <v/>
      </c>
      <c r="AW268" s="43" t="str">
        <f ca="1">IF(NOTA[[#This Row],[NB NOTA_C_QTY]]="","",ROW()-2)</f>
        <v/>
      </c>
    </row>
    <row r="269" spans="1:49" ht="20.100000000000001" customHeight="1">
      <c r="A2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5" t="str">
        <f ca="1">IF(NOTA[[#This Row],[NAMA BARANG]]="","",INDEX(NOTA[ID],MATCH(,INDIRECT(ADDRESS(ROW(NOTA[ID]),COLUMN(NOTA[ID]))&amp;":"&amp;ADDRESS(ROW(),COLUMN(NOTA[ID]))),-1)))</f>
        <v/>
      </c>
      <c r="C269" s="45"/>
      <c r="F269" s="46"/>
      <c r="G269" s="35"/>
      <c r="H269" s="36"/>
      <c r="I269" s="35"/>
      <c r="K269" s="37"/>
      <c r="L269" s="35"/>
      <c r="N269" s="38"/>
      <c r="O269" s="39"/>
      <c r="P269" s="47"/>
      <c r="Q269" s="48"/>
      <c r="R269" s="41"/>
      <c r="T269" s="42"/>
      <c r="U269" s="44"/>
      <c r="V269" s="42" t="str">
        <f>IF(NOTA[[#This Row],[HARGA/ CTN]]="",NOTA[[#This Row],[JUMLAH_H]],NOTA[[#This Row],[HARGA/ CTN]]*IF(NOTA[[#This Row],[C]]="",0,NOTA[[#This Row],[C]]))</f>
        <v/>
      </c>
      <c r="W269" s="42" t="str">
        <f>IF(NOTA[[#This Row],[JUMLAH]]="","",NOTA[[#This Row],[JUMLAH]]*NOTA[[#This Row],[Column6]])</f>
        <v/>
      </c>
      <c r="X269" s="42" t="str">
        <f>IF(NOTA[[#This Row],[JUMLAH]]="","",(NOTA[[#This Row],[JUMLAH]]-NOTA[[#This Row],[DISC 1-]])*NOTA[[#This Row],[Column7]])</f>
        <v/>
      </c>
      <c r="Y269" s="42" t="str">
        <f>IF(NOTA[[#This Row],[JUMLAH]]="","",(NOTA[[#This Row],[JUMLAH]]-NOTA[[#This Row],[DISC 1-]]-NOTA[[#This Row],[DISC 2-]])*NOTA[[#This Row],[Column8]])</f>
        <v/>
      </c>
      <c r="Z269" s="42" t="str">
        <f>IF(NOTA[[#This Row],[JUMLAH]]="","",NOTA[[#This Row],[DISC 1-]]+NOTA[[#This Row],[DISC 2-]]+NOTA[[#This Row],[DISC 3-]])</f>
        <v/>
      </c>
      <c r="AA269" s="42" t="str">
        <f>IF(NOTA[[#This Row],[JUMLAH]]="","",NOTA[[#This Row],[JUMLAH]]-NOTA[[#This Row],[DISC]])</f>
        <v/>
      </c>
      <c r="AB269" s="42"/>
      <c r="AC2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9" s="42" t="str">
        <f>IF(OR(NOTA[[#This Row],[QTY]]="",NOTA[[#This Row],[HARGA SATUAN]]="",),"",NOTA[[#This Row],[QTY]]*NOTA[[#This Row],[HARGA SATUAN]])</f>
        <v/>
      </c>
      <c r="AG269" s="36" t="str">
        <f ca="1">IF(NOTA[[#This Row],[ID_H]]="","",INDEX(NOTA[TANGGAL],MATCH(,INDIRECT(ADDRESS(ROW(NOTA[TANGGAL]),COLUMN(NOTA[TANGGAL]))&amp;":"&amp;ADDRESS(ROW(),COLUMN(NOTA[TANGGAL]))),-1)))</f>
        <v/>
      </c>
      <c r="AH269" s="36" t="str">
        <f ca="1">IF(NOTA[[#This Row],[ID_H]]="","",INDEX(NOTA[TGL.NOTA],MATCH(,INDIRECT(ADDRESS(ROW(NOTA[TGL.NOTA]),COLUMN(NOTA[TGL.NOTA]))&amp;":"&amp;ADDRESS(ROW(),COLUMN(NOTA[TGL.NOTA]))),-1)))</f>
        <v/>
      </c>
      <c r="AI269" s="36" t="str">
        <f ca="1">IF(NOTA[[#This Row],[ID_H]]="","",INDEX(NOTA[NO.NOTA],MATCH(NOTA[[#This Row],[ID_H]],NOTA[ID_H],0)))</f>
        <v/>
      </c>
      <c r="AJ269" s="38" t="str">
        <f ca="1">IF(NOTA[[#This Row],[NAMA BARANG]]="","",INDEX(NOTA[SUPPLIER],MATCH(,INDIRECT(ADDRESS(ROW(NOTA[ID]),COLUMN(NOTA[ID]))&amp;":"&amp;ADDRESS(ROW(),COLUMN(NOTA[ID]))),-1)))</f>
        <v/>
      </c>
      <c r="AK269" s="38" t="str">
        <f ca="1">IF(NOTA[[#This Row],[ID_H]]="","",IF(NOTA[[#This Row],[FAKTUR]]="",INDIRECT(ADDRESS(ROW()-1,COLUMN())),NOTA[[#This Row],[FAKTUR]]))</f>
        <v/>
      </c>
      <c r="AL269" s="35" t="str">
        <f ca="1">IF(NOTA[[#This Row],[ID]]="","",COUNTIF(NOTA[ID_H],NOTA[[#This Row],[ID_H]]))</f>
        <v/>
      </c>
      <c r="AM269" s="35" t="str">
        <f ca="1">IF(NOTA[[#This Row],[TGL.NOTA]]="",IF(NOTA[[#This Row],[SUPPLIER_H]]="","",AM268),MONTH(NOTA[[#This Row],[TGL.NOTA]]))</f>
        <v/>
      </c>
      <c r="AN2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9" s="35" t="str">
        <f>IF(NOTA[[#This Row],[CONCAT1]]="","",MATCH(NOTA[[#This Row],[CONCAT1]],[3]!db[NB NOTA_C],0))</f>
        <v/>
      </c>
      <c r="AS269" s="35" t="str">
        <f>IF(NOTA[[#This Row],[Column5]]="","",TRUE)</f>
        <v/>
      </c>
      <c r="AT269" s="35" t="str">
        <f ca="1">IF(NOTA[[#This Row],[ID_H]]="","",IF(NOTA[[#This Row],[Column3]]=TRUE,NOTA[[#This Row],[Column5]],INDEX([3]!db[QTY/ CTN],NOTA[[#This Row],[//DB]])))</f>
        <v/>
      </c>
      <c r="AU2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69" s="35" t="str">
        <f ca="1">IF(NOTA[[#This Row],[ID_H]]="","",MATCH(NOTA[[#This Row],[NB NOTA_C_QTY]],[3]!db[NB NOTA_C_QTY+F],0))</f>
        <v/>
      </c>
      <c r="AW269" s="43" t="str">
        <f ca="1">IF(NOTA[[#This Row],[NB NOTA_C_QTY]]="","",ROW()-2)</f>
        <v/>
      </c>
    </row>
    <row r="270" spans="1:49" ht="20.100000000000001" customHeight="1">
      <c r="A2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5" t="str">
        <f ca="1">IF(NOTA[[#This Row],[NAMA BARANG]]="","",INDEX(NOTA[ID],MATCH(,INDIRECT(ADDRESS(ROW(NOTA[ID]),COLUMN(NOTA[ID]))&amp;":"&amp;ADDRESS(ROW(),COLUMN(NOTA[ID]))),-1)))</f>
        <v/>
      </c>
      <c r="C270" s="45"/>
      <c r="F270" s="46"/>
      <c r="G270" s="35"/>
      <c r="H270" s="36"/>
      <c r="I270" s="35"/>
      <c r="K270" s="37"/>
      <c r="L270" s="35"/>
      <c r="N270" s="38"/>
      <c r="O270" s="39"/>
      <c r="P270" s="47"/>
      <c r="Q270" s="48"/>
      <c r="R270" s="41"/>
      <c r="T270" s="42"/>
      <c r="U270" s="44"/>
      <c r="V270" s="42" t="str">
        <f>IF(NOTA[[#This Row],[HARGA/ CTN]]="",NOTA[[#This Row],[JUMLAH_H]],NOTA[[#This Row],[HARGA/ CTN]]*IF(NOTA[[#This Row],[C]]="",0,NOTA[[#This Row],[C]]))</f>
        <v/>
      </c>
      <c r="W270" s="42" t="str">
        <f>IF(NOTA[[#This Row],[JUMLAH]]="","",NOTA[[#This Row],[JUMLAH]]*NOTA[[#This Row],[Column6]])</f>
        <v/>
      </c>
      <c r="X270" s="42" t="str">
        <f>IF(NOTA[[#This Row],[JUMLAH]]="","",(NOTA[[#This Row],[JUMLAH]]-NOTA[[#This Row],[DISC 1-]])*NOTA[[#This Row],[Column7]])</f>
        <v/>
      </c>
      <c r="Y270" s="42" t="str">
        <f>IF(NOTA[[#This Row],[JUMLAH]]="","",(NOTA[[#This Row],[JUMLAH]]-NOTA[[#This Row],[DISC 1-]]-NOTA[[#This Row],[DISC 2-]])*NOTA[[#This Row],[Column8]])</f>
        <v/>
      </c>
      <c r="Z270" s="42" t="str">
        <f>IF(NOTA[[#This Row],[JUMLAH]]="","",NOTA[[#This Row],[DISC 1-]]+NOTA[[#This Row],[DISC 2-]]+NOTA[[#This Row],[DISC 3-]])</f>
        <v/>
      </c>
      <c r="AA270" s="42" t="str">
        <f>IF(NOTA[[#This Row],[JUMLAH]]="","",NOTA[[#This Row],[JUMLAH]]-NOTA[[#This Row],[DISC]])</f>
        <v/>
      </c>
      <c r="AB270" s="42"/>
      <c r="AC2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0" s="42" t="str">
        <f>IF(OR(NOTA[[#This Row],[QTY]]="",NOTA[[#This Row],[HARGA SATUAN]]="",),"",NOTA[[#This Row],[QTY]]*NOTA[[#This Row],[HARGA SATUAN]])</f>
        <v/>
      </c>
      <c r="AG270" s="36" t="str">
        <f ca="1">IF(NOTA[[#This Row],[ID_H]]="","",INDEX(NOTA[TANGGAL],MATCH(,INDIRECT(ADDRESS(ROW(NOTA[TANGGAL]),COLUMN(NOTA[TANGGAL]))&amp;":"&amp;ADDRESS(ROW(),COLUMN(NOTA[TANGGAL]))),-1)))</f>
        <v/>
      </c>
      <c r="AH270" s="36" t="str">
        <f ca="1">IF(NOTA[[#This Row],[ID_H]]="","",INDEX(NOTA[TGL.NOTA],MATCH(,INDIRECT(ADDRESS(ROW(NOTA[TGL.NOTA]),COLUMN(NOTA[TGL.NOTA]))&amp;":"&amp;ADDRESS(ROW(),COLUMN(NOTA[TGL.NOTA]))),-1)))</f>
        <v/>
      </c>
      <c r="AI270" s="36" t="str">
        <f ca="1">IF(NOTA[[#This Row],[ID_H]]="","",INDEX(NOTA[NO.NOTA],MATCH(NOTA[[#This Row],[ID_H]],NOTA[ID_H],0)))</f>
        <v/>
      </c>
      <c r="AJ270" s="38" t="str">
        <f ca="1">IF(NOTA[[#This Row],[NAMA BARANG]]="","",INDEX(NOTA[SUPPLIER],MATCH(,INDIRECT(ADDRESS(ROW(NOTA[ID]),COLUMN(NOTA[ID]))&amp;":"&amp;ADDRESS(ROW(),COLUMN(NOTA[ID]))),-1)))</f>
        <v/>
      </c>
      <c r="AK270" s="38" t="str">
        <f ca="1">IF(NOTA[[#This Row],[ID_H]]="","",IF(NOTA[[#This Row],[FAKTUR]]="",INDIRECT(ADDRESS(ROW()-1,COLUMN())),NOTA[[#This Row],[FAKTUR]]))</f>
        <v/>
      </c>
      <c r="AL270" s="35" t="str">
        <f ca="1">IF(NOTA[[#This Row],[ID]]="","",COUNTIF(NOTA[ID_H],NOTA[[#This Row],[ID_H]]))</f>
        <v/>
      </c>
      <c r="AM270" s="35" t="str">
        <f ca="1">IF(NOTA[[#This Row],[TGL.NOTA]]="",IF(NOTA[[#This Row],[SUPPLIER_H]]="","",AM269),MONTH(NOTA[[#This Row],[TGL.NOTA]]))</f>
        <v/>
      </c>
      <c r="AN2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0" s="35" t="str">
        <f>IF(NOTA[[#This Row],[CONCAT1]]="","",MATCH(NOTA[[#This Row],[CONCAT1]],[3]!db[NB NOTA_C],0))</f>
        <v/>
      </c>
      <c r="AS270" s="35" t="str">
        <f>IF(NOTA[[#This Row],[Column5]]="","",TRUE)</f>
        <v/>
      </c>
      <c r="AT270" s="35" t="str">
        <f ca="1">IF(NOTA[[#This Row],[ID_H]]="","",IF(NOTA[[#This Row],[Column3]]=TRUE,NOTA[[#This Row],[Column5]],INDEX([3]!db[QTY/ CTN],NOTA[[#This Row],[//DB]])))</f>
        <v/>
      </c>
      <c r="AU2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0" s="35" t="str">
        <f ca="1">IF(NOTA[[#This Row],[ID_H]]="","",MATCH(NOTA[[#This Row],[NB NOTA_C_QTY]],[3]!db[NB NOTA_C_QTY+F],0))</f>
        <v/>
      </c>
      <c r="AW270" s="43" t="str">
        <f ca="1">IF(NOTA[[#This Row],[NB NOTA_C_QTY]]="","",ROW()-2)</f>
        <v/>
      </c>
    </row>
    <row r="271" spans="1:49" ht="20.100000000000001" customHeight="1">
      <c r="A2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5" t="str">
        <f ca="1">IF(NOTA[[#This Row],[NAMA BARANG]]="","",INDEX(NOTA[ID],MATCH(,INDIRECT(ADDRESS(ROW(NOTA[ID]),COLUMN(NOTA[ID]))&amp;":"&amp;ADDRESS(ROW(),COLUMN(NOTA[ID]))),-1)))</f>
        <v/>
      </c>
      <c r="C271" s="45"/>
      <c r="F271" s="46"/>
      <c r="G271" s="35"/>
      <c r="H271" s="36"/>
      <c r="I271" s="35"/>
      <c r="K271" s="37"/>
      <c r="L271" s="35"/>
      <c r="N271" s="38"/>
      <c r="O271" s="39"/>
      <c r="P271" s="47"/>
      <c r="Q271" s="48"/>
      <c r="R271" s="41"/>
      <c r="T271" s="42"/>
      <c r="U271" s="44"/>
      <c r="V271" s="42" t="str">
        <f>IF(NOTA[[#This Row],[HARGA/ CTN]]="",NOTA[[#This Row],[JUMLAH_H]],NOTA[[#This Row],[HARGA/ CTN]]*IF(NOTA[[#This Row],[C]]="",0,NOTA[[#This Row],[C]]))</f>
        <v/>
      </c>
      <c r="W271" s="42" t="str">
        <f>IF(NOTA[[#This Row],[JUMLAH]]="","",NOTA[[#This Row],[JUMLAH]]*NOTA[[#This Row],[Column6]])</f>
        <v/>
      </c>
      <c r="X271" s="42" t="str">
        <f>IF(NOTA[[#This Row],[JUMLAH]]="","",(NOTA[[#This Row],[JUMLAH]]-NOTA[[#This Row],[DISC 1-]])*NOTA[[#This Row],[Column7]])</f>
        <v/>
      </c>
      <c r="Y271" s="42" t="str">
        <f>IF(NOTA[[#This Row],[JUMLAH]]="","",(NOTA[[#This Row],[JUMLAH]]-NOTA[[#This Row],[DISC 1-]]-NOTA[[#This Row],[DISC 2-]])*NOTA[[#This Row],[Column8]])</f>
        <v/>
      </c>
      <c r="Z271" s="42" t="str">
        <f>IF(NOTA[[#This Row],[JUMLAH]]="","",NOTA[[#This Row],[DISC 1-]]+NOTA[[#This Row],[DISC 2-]]+NOTA[[#This Row],[DISC 3-]])</f>
        <v/>
      </c>
      <c r="AA271" s="42" t="str">
        <f>IF(NOTA[[#This Row],[JUMLAH]]="","",NOTA[[#This Row],[JUMLAH]]-NOTA[[#This Row],[DISC]])</f>
        <v/>
      </c>
      <c r="AB271" s="42"/>
      <c r="AC2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1" s="42" t="str">
        <f>IF(OR(NOTA[[#This Row],[QTY]]="",NOTA[[#This Row],[HARGA SATUAN]]="",),"",NOTA[[#This Row],[QTY]]*NOTA[[#This Row],[HARGA SATUAN]])</f>
        <v/>
      </c>
      <c r="AG271" s="36" t="str">
        <f ca="1">IF(NOTA[[#This Row],[ID_H]]="","",INDEX(NOTA[TANGGAL],MATCH(,INDIRECT(ADDRESS(ROW(NOTA[TANGGAL]),COLUMN(NOTA[TANGGAL]))&amp;":"&amp;ADDRESS(ROW(),COLUMN(NOTA[TANGGAL]))),-1)))</f>
        <v/>
      </c>
      <c r="AH271" s="36" t="str">
        <f ca="1">IF(NOTA[[#This Row],[ID_H]]="","",INDEX(NOTA[TGL.NOTA],MATCH(,INDIRECT(ADDRESS(ROW(NOTA[TGL.NOTA]),COLUMN(NOTA[TGL.NOTA]))&amp;":"&amp;ADDRESS(ROW(),COLUMN(NOTA[TGL.NOTA]))),-1)))</f>
        <v/>
      </c>
      <c r="AI271" s="36" t="str">
        <f ca="1">IF(NOTA[[#This Row],[ID_H]]="","",INDEX(NOTA[NO.NOTA],MATCH(NOTA[[#This Row],[ID_H]],NOTA[ID_H],0)))</f>
        <v/>
      </c>
      <c r="AJ271" s="38" t="str">
        <f ca="1">IF(NOTA[[#This Row],[NAMA BARANG]]="","",INDEX(NOTA[SUPPLIER],MATCH(,INDIRECT(ADDRESS(ROW(NOTA[ID]),COLUMN(NOTA[ID]))&amp;":"&amp;ADDRESS(ROW(),COLUMN(NOTA[ID]))),-1)))</f>
        <v/>
      </c>
      <c r="AK271" s="38" t="str">
        <f ca="1">IF(NOTA[[#This Row],[ID_H]]="","",IF(NOTA[[#This Row],[FAKTUR]]="",INDIRECT(ADDRESS(ROW()-1,COLUMN())),NOTA[[#This Row],[FAKTUR]]))</f>
        <v/>
      </c>
      <c r="AL271" s="35" t="str">
        <f ca="1">IF(NOTA[[#This Row],[ID]]="","",COUNTIF(NOTA[ID_H],NOTA[[#This Row],[ID_H]]))</f>
        <v/>
      </c>
      <c r="AM271" s="35" t="str">
        <f ca="1">IF(NOTA[[#This Row],[TGL.NOTA]]="",IF(NOTA[[#This Row],[SUPPLIER_H]]="","",AM270),MONTH(NOTA[[#This Row],[TGL.NOTA]]))</f>
        <v/>
      </c>
      <c r="AN2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1" s="35" t="str">
        <f>IF(NOTA[[#This Row],[CONCAT1]]="","",MATCH(NOTA[[#This Row],[CONCAT1]],[3]!db[NB NOTA_C],0))</f>
        <v/>
      </c>
      <c r="AS271" s="35" t="str">
        <f>IF(NOTA[[#This Row],[Column5]]="","",TRUE)</f>
        <v/>
      </c>
      <c r="AT271" s="35" t="str">
        <f ca="1">IF(NOTA[[#This Row],[ID_H]]="","",IF(NOTA[[#This Row],[Column3]]=TRUE,NOTA[[#This Row],[Column5]],INDEX([3]!db[QTY/ CTN],NOTA[[#This Row],[//DB]])))</f>
        <v/>
      </c>
      <c r="AU2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1" s="35" t="str">
        <f ca="1">IF(NOTA[[#This Row],[ID_H]]="","",MATCH(NOTA[[#This Row],[NB NOTA_C_QTY]],[3]!db[NB NOTA_C_QTY+F],0))</f>
        <v/>
      </c>
      <c r="AW271" s="43" t="str">
        <f ca="1">IF(NOTA[[#This Row],[NB NOTA_C_QTY]]="","",ROW()-2)</f>
        <v/>
      </c>
    </row>
    <row r="272" spans="1:49" ht="20.100000000000001" customHeight="1">
      <c r="A2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5" t="str">
        <f ca="1">IF(NOTA[[#This Row],[NAMA BARANG]]="","",INDEX(NOTA[ID],MATCH(,INDIRECT(ADDRESS(ROW(NOTA[ID]),COLUMN(NOTA[ID]))&amp;":"&amp;ADDRESS(ROW(),COLUMN(NOTA[ID]))),-1)))</f>
        <v/>
      </c>
      <c r="C272" s="45"/>
      <c r="F272" s="46"/>
      <c r="G272" s="35"/>
      <c r="H272" s="36"/>
      <c r="I272" s="35"/>
      <c r="K272" s="37"/>
      <c r="L272" s="35"/>
      <c r="N272" s="38"/>
      <c r="O272" s="39"/>
      <c r="P272" s="47"/>
      <c r="Q272" s="48"/>
      <c r="R272" s="41"/>
      <c r="T272" s="42"/>
      <c r="U272" s="44"/>
      <c r="V272" s="42" t="str">
        <f>IF(NOTA[[#This Row],[HARGA/ CTN]]="",NOTA[[#This Row],[JUMLAH_H]],NOTA[[#This Row],[HARGA/ CTN]]*IF(NOTA[[#This Row],[C]]="",0,NOTA[[#This Row],[C]]))</f>
        <v/>
      </c>
      <c r="W272" s="42" t="str">
        <f>IF(NOTA[[#This Row],[JUMLAH]]="","",NOTA[[#This Row],[JUMLAH]]*NOTA[[#This Row],[Column6]])</f>
        <v/>
      </c>
      <c r="X272" s="42" t="str">
        <f>IF(NOTA[[#This Row],[JUMLAH]]="","",(NOTA[[#This Row],[JUMLAH]]-NOTA[[#This Row],[DISC 1-]])*NOTA[[#This Row],[Column7]])</f>
        <v/>
      </c>
      <c r="Y272" s="42" t="str">
        <f>IF(NOTA[[#This Row],[JUMLAH]]="","",(NOTA[[#This Row],[JUMLAH]]-NOTA[[#This Row],[DISC 1-]]-NOTA[[#This Row],[DISC 2-]])*NOTA[[#This Row],[Column8]])</f>
        <v/>
      </c>
      <c r="Z272" s="42" t="str">
        <f>IF(NOTA[[#This Row],[JUMLAH]]="","",NOTA[[#This Row],[DISC 1-]]+NOTA[[#This Row],[DISC 2-]]+NOTA[[#This Row],[DISC 3-]])</f>
        <v/>
      </c>
      <c r="AA272" s="42" t="str">
        <f>IF(NOTA[[#This Row],[JUMLAH]]="","",NOTA[[#This Row],[JUMLAH]]-NOTA[[#This Row],[DISC]])</f>
        <v/>
      </c>
      <c r="AB272" s="42"/>
      <c r="AC2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42" t="str">
        <f>IF(OR(NOTA[[#This Row],[QTY]]="",NOTA[[#This Row],[HARGA SATUAN]]="",),"",NOTA[[#This Row],[QTY]]*NOTA[[#This Row],[HARGA SATUAN]])</f>
        <v/>
      </c>
      <c r="AG272" s="36" t="str">
        <f ca="1">IF(NOTA[[#This Row],[ID_H]]="","",INDEX(NOTA[TANGGAL],MATCH(,INDIRECT(ADDRESS(ROW(NOTA[TANGGAL]),COLUMN(NOTA[TANGGAL]))&amp;":"&amp;ADDRESS(ROW(),COLUMN(NOTA[TANGGAL]))),-1)))</f>
        <v/>
      </c>
      <c r="AH272" s="36" t="str">
        <f ca="1">IF(NOTA[[#This Row],[ID_H]]="","",INDEX(NOTA[TGL.NOTA],MATCH(,INDIRECT(ADDRESS(ROW(NOTA[TGL.NOTA]),COLUMN(NOTA[TGL.NOTA]))&amp;":"&amp;ADDRESS(ROW(),COLUMN(NOTA[TGL.NOTA]))),-1)))</f>
        <v/>
      </c>
      <c r="AI272" s="36" t="str">
        <f ca="1">IF(NOTA[[#This Row],[ID_H]]="","",INDEX(NOTA[NO.NOTA],MATCH(NOTA[[#This Row],[ID_H]],NOTA[ID_H],0)))</f>
        <v/>
      </c>
      <c r="AJ272" s="38" t="str">
        <f ca="1">IF(NOTA[[#This Row],[NAMA BARANG]]="","",INDEX(NOTA[SUPPLIER],MATCH(,INDIRECT(ADDRESS(ROW(NOTA[ID]),COLUMN(NOTA[ID]))&amp;":"&amp;ADDRESS(ROW(),COLUMN(NOTA[ID]))),-1)))</f>
        <v/>
      </c>
      <c r="AK272" s="38" t="str">
        <f ca="1">IF(NOTA[[#This Row],[ID_H]]="","",IF(NOTA[[#This Row],[FAKTUR]]="",INDIRECT(ADDRESS(ROW()-1,COLUMN())),NOTA[[#This Row],[FAKTUR]]))</f>
        <v/>
      </c>
      <c r="AL272" s="35" t="str">
        <f ca="1">IF(NOTA[[#This Row],[ID]]="","",COUNTIF(NOTA[ID_H],NOTA[[#This Row],[ID_H]]))</f>
        <v/>
      </c>
      <c r="AM272" s="35" t="str">
        <f ca="1">IF(NOTA[[#This Row],[TGL.NOTA]]="",IF(NOTA[[#This Row],[SUPPLIER_H]]="","",AM271),MONTH(NOTA[[#This Row],[TGL.NOTA]]))</f>
        <v/>
      </c>
      <c r="AN2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2" s="35" t="str">
        <f>IF(NOTA[[#This Row],[CONCAT1]]="","",MATCH(NOTA[[#This Row],[CONCAT1]],[3]!db[NB NOTA_C],0))</f>
        <v/>
      </c>
      <c r="AS272" s="35" t="str">
        <f>IF(NOTA[[#This Row],[Column5]]="","",TRUE)</f>
        <v/>
      </c>
      <c r="AT272" s="35" t="str">
        <f ca="1">IF(NOTA[[#This Row],[ID_H]]="","",IF(NOTA[[#This Row],[Column3]]=TRUE,NOTA[[#This Row],[Column5]],INDEX([3]!db[QTY/ CTN],NOTA[[#This Row],[//DB]])))</f>
        <v/>
      </c>
      <c r="AU2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2" s="35" t="str">
        <f ca="1">IF(NOTA[[#This Row],[ID_H]]="","",MATCH(NOTA[[#This Row],[NB NOTA_C_QTY]],[3]!db[NB NOTA_C_QTY+F],0))</f>
        <v/>
      </c>
      <c r="AW272" s="43" t="str">
        <f ca="1">IF(NOTA[[#This Row],[NB NOTA_C_QTY]]="","",ROW()-2)</f>
        <v/>
      </c>
    </row>
    <row r="273" spans="1:49" ht="20.100000000000001" customHeight="1">
      <c r="A2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5" t="str">
        <f ca="1">IF(NOTA[[#This Row],[NAMA BARANG]]="","",INDEX(NOTA[ID],MATCH(,INDIRECT(ADDRESS(ROW(NOTA[ID]),COLUMN(NOTA[ID]))&amp;":"&amp;ADDRESS(ROW(),COLUMN(NOTA[ID]))),-1)))</f>
        <v/>
      </c>
      <c r="C273" s="45"/>
      <c r="F273" s="46"/>
      <c r="G273" s="35"/>
      <c r="H273" s="36"/>
      <c r="I273" s="35"/>
      <c r="K273" s="37"/>
      <c r="L273" s="35"/>
      <c r="N273" s="38"/>
      <c r="O273" s="39"/>
      <c r="P273" s="47"/>
      <c r="Q273" s="48"/>
      <c r="R273" s="41"/>
      <c r="T273" s="42"/>
      <c r="U273" s="44"/>
      <c r="V273" s="42" t="str">
        <f>IF(NOTA[[#This Row],[HARGA/ CTN]]="",NOTA[[#This Row],[JUMLAH_H]],NOTA[[#This Row],[HARGA/ CTN]]*IF(NOTA[[#This Row],[C]]="",0,NOTA[[#This Row],[C]]))</f>
        <v/>
      </c>
      <c r="W273" s="42" t="str">
        <f>IF(NOTA[[#This Row],[JUMLAH]]="","",NOTA[[#This Row],[JUMLAH]]*NOTA[[#This Row],[Column6]])</f>
        <v/>
      </c>
      <c r="X273" s="42" t="str">
        <f>IF(NOTA[[#This Row],[JUMLAH]]="","",(NOTA[[#This Row],[JUMLAH]]-NOTA[[#This Row],[DISC 1-]])*NOTA[[#This Row],[Column7]])</f>
        <v/>
      </c>
      <c r="Y273" s="42" t="str">
        <f>IF(NOTA[[#This Row],[JUMLAH]]="","",(NOTA[[#This Row],[JUMLAH]]-NOTA[[#This Row],[DISC 1-]]-NOTA[[#This Row],[DISC 2-]])*NOTA[[#This Row],[Column8]])</f>
        <v/>
      </c>
      <c r="Z273" s="42" t="str">
        <f>IF(NOTA[[#This Row],[JUMLAH]]="","",NOTA[[#This Row],[DISC 1-]]+NOTA[[#This Row],[DISC 2-]]+NOTA[[#This Row],[DISC 3-]])</f>
        <v/>
      </c>
      <c r="AA273" s="42" t="str">
        <f>IF(NOTA[[#This Row],[JUMLAH]]="","",NOTA[[#This Row],[JUMLAH]]-NOTA[[#This Row],[DISC]])</f>
        <v/>
      </c>
      <c r="AB273" s="42"/>
      <c r="AC2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3" s="42" t="str">
        <f>IF(OR(NOTA[[#This Row],[QTY]]="",NOTA[[#This Row],[HARGA SATUAN]]="",),"",NOTA[[#This Row],[QTY]]*NOTA[[#This Row],[HARGA SATUAN]])</f>
        <v/>
      </c>
      <c r="AG273" s="36" t="str">
        <f ca="1">IF(NOTA[[#This Row],[ID_H]]="","",INDEX(NOTA[TANGGAL],MATCH(,INDIRECT(ADDRESS(ROW(NOTA[TANGGAL]),COLUMN(NOTA[TANGGAL]))&amp;":"&amp;ADDRESS(ROW(),COLUMN(NOTA[TANGGAL]))),-1)))</f>
        <v/>
      </c>
      <c r="AH273" s="36" t="str">
        <f ca="1">IF(NOTA[[#This Row],[ID_H]]="","",INDEX(NOTA[TGL.NOTA],MATCH(,INDIRECT(ADDRESS(ROW(NOTA[TGL.NOTA]),COLUMN(NOTA[TGL.NOTA]))&amp;":"&amp;ADDRESS(ROW(),COLUMN(NOTA[TGL.NOTA]))),-1)))</f>
        <v/>
      </c>
      <c r="AI273" s="36" t="str">
        <f ca="1">IF(NOTA[[#This Row],[ID_H]]="","",INDEX(NOTA[NO.NOTA],MATCH(NOTA[[#This Row],[ID_H]],NOTA[ID_H],0)))</f>
        <v/>
      </c>
      <c r="AJ273" s="38" t="str">
        <f ca="1">IF(NOTA[[#This Row],[NAMA BARANG]]="","",INDEX(NOTA[SUPPLIER],MATCH(,INDIRECT(ADDRESS(ROW(NOTA[ID]),COLUMN(NOTA[ID]))&amp;":"&amp;ADDRESS(ROW(),COLUMN(NOTA[ID]))),-1)))</f>
        <v/>
      </c>
      <c r="AK273" s="38" t="str">
        <f ca="1">IF(NOTA[[#This Row],[ID_H]]="","",IF(NOTA[[#This Row],[FAKTUR]]="",INDIRECT(ADDRESS(ROW()-1,COLUMN())),NOTA[[#This Row],[FAKTUR]]))</f>
        <v/>
      </c>
      <c r="AL273" s="35" t="str">
        <f ca="1">IF(NOTA[[#This Row],[ID]]="","",COUNTIF(NOTA[ID_H],NOTA[[#This Row],[ID_H]]))</f>
        <v/>
      </c>
      <c r="AM273" s="35" t="str">
        <f ca="1">IF(NOTA[[#This Row],[TGL.NOTA]]="",IF(NOTA[[#This Row],[SUPPLIER_H]]="","",AM272),MONTH(NOTA[[#This Row],[TGL.NOTA]]))</f>
        <v/>
      </c>
      <c r="AN2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3" s="35" t="str">
        <f>IF(NOTA[[#This Row],[CONCAT1]]="","",MATCH(NOTA[[#This Row],[CONCAT1]],[3]!db[NB NOTA_C],0))</f>
        <v/>
      </c>
      <c r="AS273" s="35" t="str">
        <f>IF(NOTA[[#This Row],[Column5]]="","",TRUE)</f>
        <v/>
      </c>
      <c r="AT273" s="35" t="str">
        <f ca="1">IF(NOTA[[#This Row],[ID_H]]="","",IF(NOTA[[#This Row],[Column3]]=TRUE,NOTA[[#This Row],[Column5]],INDEX([3]!db[QTY/ CTN],NOTA[[#This Row],[//DB]])))</f>
        <v/>
      </c>
      <c r="AU2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3" s="35" t="str">
        <f ca="1">IF(NOTA[[#This Row],[ID_H]]="","",MATCH(NOTA[[#This Row],[NB NOTA_C_QTY]],[3]!db[NB NOTA_C_QTY+F],0))</f>
        <v/>
      </c>
      <c r="AW273" s="43" t="str">
        <f ca="1">IF(NOTA[[#This Row],[NB NOTA_C_QTY]]="","",ROW()-2)</f>
        <v/>
      </c>
    </row>
    <row r="274" spans="1:49" ht="20.100000000000001" customHeight="1">
      <c r="A2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5" t="str">
        <f ca="1">IF(NOTA[[#This Row],[NAMA BARANG]]="","",INDEX(NOTA[ID],MATCH(,INDIRECT(ADDRESS(ROW(NOTA[ID]),COLUMN(NOTA[ID]))&amp;":"&amp;ADDRESS(ROW(),COLUMN(NOTA[ID]))),-1)))</f>
        <v/>
      </c>
      <c r="C274" s="45"/>
      <c r="F274" s="46"/>
      <c r="G274" s="35"/>
      <c r="H274" s="36"/>
      <c r="I274" s="35"/>
      <c r="K274" s="37"/>
      <c r="L274" s="35"/>
      <c r="N274" s="38"/>
      <c r="O274" s="39"/>
      <c r="P274" s="47"/>
      <c r="Q274" s="48"/>
      <c r="R274" s="41"/>
      <c r="T274" s="42"/>
      <c r="U274" s="44"/>
      <c r="V274" s="42" t="str">
        <f>IF(NOTA[[#This Row],[HARGA/ CTN]]="",NOTA[[#This Row],[JUMLAH_H]],NOTA[[#This Row],[HARGA/ CTN]]*IF(NOTA[[#This Row],[C]]="",0,NOTA[[#This Row],[C]]))</f>
        <v/>
      </c>
      <c r="W274" s="42" t="str">
        <f>IF(NOTA[[#This Row],[JUMLAH]]="","",NOTA[[#This Row],[JUMLAH]]*NOTA[[#This Row],[Column6]])</f>
        <v/>
      </c>
      <c r="X274" s="42" t="str">
        <f>IF(NOTA[[#This Row],[JUMLAH]]="","",(NOTA[[#This Row],[JUMLAH]]-NOTA[[#This Row],[DISC 1-]])*NOTA[[#This Row],[Column7]])</f>
        <v/>
      </c>
      <c r="Y274" s="42" t="str">
        <f>IF(NOTA[[#This Row],[JUMLAH]]="","",(NOTA[[#This Row],[JUMLAH]]-NOTA[[#This Row],[DISC 1-]]-NOTA[[#This Row],[DISC 2-]])*NOTA[[#This Row],[Column8]])</f>
        <v/>
      </c>
      <c r="Z274" s="42" t="str">
        <f>IF(NOTA[[#This Row],[JUMLAH]]="","",NOTA[[#This Row],[DISC 1-]]+NOTA[[#This Row],[DISC 2-]]+NOTA[[#This Row],[DISC 3-]])</f>
        <v/>
      </c>
      <c r="AA274" s="42" t="str">
        <f>IF(NOTA[[#This Row],[JUMLAH]]="","",NOTA[[#This Row],[JUMLAH]]-NOTA[[#This Row],[DISC]])</f>
        <v/>
      </c>
      <c r="AB274" s="42"/>
      <c r="AC2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4" s="42" t="str">
        <f>IF(OR(NOTA[[#This Row],[QTY]]="",NOTA[[#This Row],[HARGA SATUAN]]="",),"",NOTA[[#This Row],[QTY]]*NOTA[[#This Row],[HARGA SATUAN]])</f>
        <v/>
      </c>
      <c r="AG274" s="36" t="str">
        <f ca="1">IF(NOTA[[#This Row],[ID_H]]="","",INDEX(NOTA[TANGGAL],MATCH(,INDIRECT(ADDRESS(ROW(NOTA[TANGGAL]),COLUMN(NOTA[TANGGAL]))&amp;":"&amp;ADDRESS(ROW(),COLUMN(NOTA[TANGGAL]))),-1)))</f>
        <v/>
      </c>
      <c r="AH274" s="36" t="str">
        <f ca="1">IF(NOTA[[#This Row],[ID_H]]="","",INDEX(NOTA[TGL.NOTA],MATCH(,INDIRECT(ADDRESS(ROW(NOTA[TGL.NOTA]),COLUMN(NOTA[TGL.NOTA]))&amp;":"&amp;ADDRESS(ROW(),COLUMN(NOTA[TGL.NOTA]))),-1)))</f>
        <v/>
      </c>
      <c r="AI274" s="36" t="str">
        <f ca="1">IF(NOTA[[#This Row],[ID_H]]="","",INDEX(NOTA[NO.NOTA],MATCH(NOTA[[#This Row],[ID_H]],NOTA[ID_H],0)))</f>
        <v/>
      </c>
      <c r="AJ274" s="38" t="str">
        <f ca="1">IF(NOTA[[#This Row],[NAMA BARANG]]="","",INDEX(NOTA[SUPPLIER],MATCH(,INDIRECT(ADDRESS(ROW(NOTA[ID]),COLUMN(NOTA[ID]))&amp;":"&amp;ADDRESS(ROW(),COLUMN(NOTA[ID]))),-1)))</f>
        <v/>
      </c>
      <c r="AK274" s="38" t="str">
        <f ca="1">IF(NOTA[[#This Row],[ID_H]]="","",IF(NOTA[[#This Row],[FAKTUR]]="",INDIRECT(ADDRESS(ROW()-1,COLUMN())),NOTA[[#This Row],[FAKTUR]]))</f>
        <v/>
      </c>
      <c r="AL274" s="35" t="str">
        <f ca="1">IF(NOTA[[#This Row],[ID]]="","",COUNTIF(NOTA[ID_H],NOTA[[#This Row],[ID_H]]))</f>
        <v/>
      </c>
      <c r="AM274" s="35" t="str">
        <f ca="1">IF(NOTA[[#This Row],[TGL.NOTA]]="",IF(NOTA[[#This Row],[SUPPLIER_H]]="","",AM273),MONTH(NOTA[[#This Row],[TGL.NOTA]]))</f>
        <v/>
      </c>
      <c r="AN2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4" s="35" t="str">
        <f>IF(NOTA[[#This Row],[CONCAT1]]="","",MATCH(NOTA[[#This Row],[CONCAT1]],[3]!db[NB NOTA_C],0))</f>
        <v/>
      </c>
      <c r="AS274" s="35" t="str">
        <f>IF(NOTA[[#This Row],[Column5]]="","",TRUE)</f>
        <v/>
      </c>
      <c r="AT274" s="35" t="str">
        <f ca="1">IF(NOTA[[#This Row],[ID_H]]="","",IF(NOTA[[#This Row],[Column3]]=TRUE,NOTA[[#This Row],[Column5]],INDEX([3]!db[QTY/ CTN],NOTA[[#This Row],[//DB]])))</f>
        <v/>
      </c>
      <c r="AU2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4" s="35" t="str">
        <f ca="1">IF(NOTA[[#This Row],[ID_H]]="","",MATCH(NOTA[[#This Row],[NB NOTA_C_QTY]],[3]!db[NB NOTA_C_QTY+F],0))</f>
        <v/>
      </c>
      <c r="AW274" s="43" t="str">
        <f ca="1">IF(NOTA[[#This Row],[NB NOTA_C_QTY]]="","",ROW()-2)</f>
        <v/>
      </c>
    </row>
    <row r="275" spans="1:49" ht="20.100000000000001" customHeight="1">
      <c r="A2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5" t="str">
        <f ca="1">IF(NOTA[[#This Row],[NAMA BARANG]]="","",INDEX(NOTA[ID],MATCH(,INDIRECT(ADDRESS(ROW(NOTA[ID]),COLUMN(NOTA[ID]))&amp;":"&amp;ADDRESS(ROW(),COLUMN(NOTA[ID]))),-1)))</f>
        <v/>
      </c>
      <c r="C275" s="45"/>
      <c r="F275" s="46"/>
      <c r="G275" s="35"/>
      <c r="H275" s="36"/>
      <c r="I275" s="35"/>
      <c r="K275" s="37"/>
      <c r="L275" s="35"/>
      <c r="N275" s="38"/>
      <c r="O275" s="39"/>
      <c r="P275" s="47"/>
      <c r="Q275" s="48"/>
      <c r="R275" s="41"/>
      <c r="T275" s="42"/>
      <c r="U275" s="44"/>
      <c r="V275" s="42" t="str">
        <f>IF(NOTA[[#This Row],[HARGA/ CTN]]="",NOTA[[#This Row],[JUMLAH_H]],NOTA[[#This Row],[HARGA/ CTN]]*IF(NOTA[[#This Row],[C]]="",0,NOTA[[#This Row],[C]]))</f>
        <v/>
      </c>
      <c r="W275" s="42" t="str">
        <f>IF(NOTA[[#This Row],[JUMLAH]]="","",NOTA[[#This Row],[JUMLAH]]*NOTA[[#This Row],[Column6]])</f>
        <v/>
      </c>
      <c r="X275" s="42" t="str">
        <f>IF(NOTA[[#This Row],[JUMLAH]]="","",(NOTA[[#This Row],[JUMLAH]]-NOTA[[#This Row],[DISC 1-]])*NOTA[[#This Row],[Column7]])</f>
        <v/>
      </c>
      <c r="Y275" s="42" t="str">
        <f>IF(NOTA[[#This Row],[JUMLAH]]="","",(NOTA[[#This Row],[JUMLAH]]-NOTA[[#This Row],[DISC 1-]]-NOTA[[#This Row],[DISC 2-]])*NOTA[[#This Row],[Column8]])</f>
        <v/>
      </c>
      <c r="Z275" s="42" t="str">
        <f>IF(NOTA[[#This Row],[JUMLAH]]="","",NOTA[[#This Row],[DISC 1-]]+NOTA[[#This Row],[DISC 2-]]+NOTA[[#This Row],[DISC 3-]])</f>
        <v/>
      </c>
      <c r="AA275" s="42" t="str">
        <f>IF(NOTA[[#This Row],[JUMLAH]]="","",NOTA[[#This Row],[JUMLAH]]-NOTA[[#This Row],[DISC]])</f>
        <v/>
      </c>
      <c r="AB275" s="42"/>
      <c r="AC2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5" s="42" t="str">
        <f>IF(OR(NOTA[[#This Row],[QTY]]="",NOTA[[#This Row],[HARGA SATUAN]]="",),"",NOTA[[#This Row],[QTY]]*NOTA[[#This Row],[HARGA SATUAN]])</f>
        <v/>
      </c>
      <c r="AG275" s="36" t="str">
        <f ca="1">IF(NOTA[[#This Row],[ID_H]]="","",INDEX(NOTA[TANGGAL],MATCH(,INDIRECT(ADDRESS(ROW(NOTA[TANGGAL]),COLUMN(NOTA[TANGGAL]))&amp;":"&amp;ADDRESS(ROW(),COLUMN(NOTA[TANGGAL]))),-1)))</f>
        <v/>
      </c>
      <c r="AH275" s="36" t="str">
        <f ca="1">IF(NOTA[[#This Row],[ID_H]]="","",INDEX(NOTA[TGL.NOTA],MATCH(,INDIRECT(ADDRESS(ROW(NOTA[TGL.NOTA]),COLUMN(NOTA[TGL.NOTA]))&amp;":"&amp;ADDRESS(ROW(),COLUMN(NOTA[TGL.NOTA]))),-1)))</f>
        <v/>
      </c>
      <c r="AI275" s="36" t="str">
        <f ca="1">IF(NOTA[[#This Row],[ID_H]]="","",INDEX(NOTA[NO.NOTA],MATCH(NOTA[[#This Row],[ID_H]],NOTA[ID_H],0)))</f>
        <v/>
      </c>
      <c r="AJ275" s="38" t="str">
        <f ca="1">IF(NOTA[[#This Row],[NAMA BARANG]]="","",INDEX(NOTA[SUPPLIER],MATCH(,INDIRECT(ADDRESS(ROW(NOTA[ID]),COLUMN(NOTA[ID]))&amp;":"&amp;ADDRESS(ROW(),COLUMN(NOTA[ID]))),-1)))</f>
        <v/>
      </c>
      <c r="AK275" s="38" t="str">
        <f ca="1">IF(NOTA[[#This Row],[ID_H]]="","",IF(NOTA[[#This Row],[FAKTUR]]="",INDIRECT(ADDRESS(ROW()-1,COLUMN())),NOTA[[#This Row],[FAKTUR]]))</f>
        <v/>
      </c>
      <c r="AL275" s="35" t="str">
        <f ca="1">IF(NOTA[[#This Row],[ID]]="","",COUNTIF(NOTA[ID_H],NOTA[[#This Row],[ID_H]]))</f>
        <v/>
      </c>
      <c r="AM275" s="35" t="str">
        <f ca="1">IF(NOTA[[#This Row],[TGL.NOTA]]="",IF(NOTA[[#This Row],[SUPPLIER_H]]="","",AM274),MONTH(NOTA[[#This Row],[TGL.NOTA]]))</f>
        <v/>
      </c>
      <c r="AN2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5" s="35" t="str">
        <f>IF(NOTA[[#This Row],[CONCAT1]]="","",MATCH(NOTA[[#This Row],[CONCAT1]],[3]!db[NB NOTA_C],0))</f>
        <v/>
      </c>
      <c r="AS275" s="35" t="str">
        <f>IF(NOTA[[#This Row],[Column5]]="","",TRUE)</f>
        <v/>
      </c>
      <c r="AT275" s="35" t="str">
        <f ca="1">IF(NOTA[[#This Row],[ID_H]]="","",IF(NOTA[[#This Row],[Column3]]=TRUE,NOTA[[#This Row],[Column5]],INDEX([3]!db[QTY/ CTN],NOTA[[#This Row],[//DB]])))</f>
        <v/>
      </c>
      <c r="AU2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5" s="35" t="str">
        <f ca="1">IF(NOTA[[#This Row],[ID_H]]="","",MATCH(NOTA[[#This Row],[NB NOTA_C_QTY]],[3]!db[NB NOTA_C_QTY+F],0))</f>
        <v/>
      </c>
      <c r="AW275" s="43" t="str">
        <f ca="1">IF(NOTA[[#This Row],[NB NOTA_C_QTY]]="","",ROW()-2)</f>
        <v/>
      </c>
    </row>
    <row r="276" spans="1:49" ht="20.100000000000001" customHeight="1">
      <c r="A2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5" t="str">
        <f ca="1">IF(NOTA[[#This Row],[NAMA BARANG]]="","",INDEX(NOTA[ID],MATCH(,INDIRECT(ADDRESS(ROW(NOTA[ID]),COLUMN(NOTA[ID]))&amp;":"&amp;ADDRESS(ROW(),COLUMN(NOTA[ID]))),-1)))</f>
        <v/>
      </c>
      <c r="C276" s="45"/>
      <c r="F276" s="46"/>
      <c r="G276" s="35"/>
      <c r="H276" s="36"/>
      <c r="I276" s="35"/>
      <c r="K276" s="37"/>
      <c r="L276" s="35"/>
      <c r="N276" s="38"/>
      <c r="O276" s="39"/>
      <c r="P276" s="47"/>
      <c r="Q276" s="48"/>
      <c r="R276" s="41"/>
      <c r="T276" s="42"/>
      <c r="U276" s="44"/>
      <c r="V276" s="42" t="str">
        <f>IF(NOTA[[#This Row],[HARGA/ CTN]]="",NOTA[[#This Row],[JUMLAH_H]],NOTA[[#This Row],[HARGA/ CTN]]*IF(NOTA[[#This Row],[C]]="",0,NOTA[[#This Row],[C]]))</f>
        <v/>
      </c>
      <c r="W276" s="42" t="str">
        <f>IF(NOTA[[#This Row],[JUMLAH]]="","",NOTA[[#This Row],[JUMLAH]]*NOTA[[#This Row],[Column6]])</f>
        <v/>
      </c>
      <c r="X276" s="42" t="str">
        <f>IF(NOTA[[#This Row],[JUMLAH]]="","",(NOTA[[#This Row],[JUMLAH]]-NOTA[[#This Row],[DISC 1-]])*NOTA[[#This Row],[Column7]])</f>
        <v/>
      </c>
      <c r="Y276" s="42" t="str">
        <f>IF(NOTA[[#This Row],[JUMLAH]]="","",(NOTA[[#This Row],[JUMLAH]]-NOTA[[#This Row],[DISC 1-]]-NOTA[[#This Row],[DISC 2-]])*NOTA[[#This Row],[Column8]])</f>
        <v/>
      </c>
      <c r="Z276" s="42" t="str">
        <f>IF(NOTA[[#This Row],[JUMLAH]]="","",NOTA[[#This Row],[DISC 1-]]+NOTA[[#This Row],[DISC 2-]]+NOTA[[#This Row],[DISC 3-]])</f>
        <v/>
      </c>
      <c r="AA276" s="42" t="str">
        <f>IF(NOTA[[#This Row],[JUMLAH]]="","",NOTA[[#This Row],[JUMLAH]]-NOTA[[#This Row],[DISC]])</f>
        <v/>
      </c>
      <c r="AB276" s="42"/>
      <c r="AC2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6" s="42" t="str">
        <f>IF(OR(NOTA[[#This Row],[QTY]]="",NOTA[[#This Row],[HARGA SATUAN]]="",),"",NOTA[[#This Row],[QTY]]*NOTA[[#This Row],[HARGA SATUAN]])</f>
        <v/>
      </c>
      <c r="AG276" s="36" t="str">
        <f ca="1">IF(NOTA[[#This Row],[ID_H]]="","",INDEX(NOTA[TANGGAL],MATCH(,INDIRECT(ADDRESS(ROW(NOTA[TANGGAL]),COLUMN(NOTA[TANGGAL]))&amp;":"&amp;ADDRESS(ROW(),COLUMN(NOTA[TANGGAL]))),-1)))</f>
        <v/>
      </c>
      <c r="AH276" s="36" t="str">
        <f ca="1">IF(NOTA[[#This Row],[ID_H]]="","",INDEX(NOTA[TGL.NOTA],MATCH(,INDIRECT(ADDRESS(ROW(NOTA[TGL.NOTA]),COLUMN(NOTA[TGL.NOTA]))&amp;":"&amp;ADDRESS(ROW(),COLUMN(NOTA[TGL.NOTA]))),-1)))</f>
        <v/>
      </c>
      <c r="AI276" s="36" t="str">
        <f ca="1">IF(NOTA[[#This Row],[ID_H]]="","",INDEX(NOTA[NO.NOTA],MATCH(NOTA[[#This Row],[ID_H]],NOTA[ID_H],0)))</f>
        <v/>
      </c>
      <c r="AJ276" s="38" t="str">
        <f ca="1">IF(NOTA[[#This Row],[NAMA BARANG]]="","",INDEX(NOTA[SUPPLIER],MATCH(,INDIRECT(ADDRESS(ROW(NOTA[ID]),COLUMN(NOTA[ID]))&amp;":"&amp;ADDRESS(ROW(),COLUMN(NOTA[ID]))),-1)))</f>
        <v/>
      </c>
      <c r="AK276" s="38" t="str">
        <f ca="1">IF(NOTA[[#This Row],[ID_H]]="","",IF(NOTA[[#This Row],[FAKTUR]]="",INDIRECT(ADDRESS(ROW()-1,COLUMN())),NOTA[[#This Row],[FAKTUR]]))</f>
        <v/>
      </c>
      <c r="AL276" s="35" t="str">
        <f ca="1">IF(NOTA[[#This Row],[ID]]="","",COUNTIF(NOTA[ID_H],NOTA[[#This Row],[ID_H]]))</f>
        <v/>
      </c>
      <c r="AM276" s="35" t="str">
        <f ca="1">IF(NOTA[[#This Row],[TGL.NOTA]]="",IF(NOTA[[#This Row],[SUPPLIER_H]]="","",AM275),MONTH(NOTA[[#This Row],[TGL.NOTA]]))</f>
        <v/>
      </c>
      <c r="AN2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6" s="35" t="str">
        <f>IF(NOTA[[#This Row],[CONCAT1]]="","",MATCH(NOTA[[#This Row],[CONCAT1]],[3]!db[NB NOTA_C],0))</f>
        <v/>
      </c>
      <c r="AS276" s="35" t="str">
        <f>IF(NOTA[[#This Row],[Column5]]="","",TRUE)</f>
        <v/>
      </c>
      <c r="AT276" s="35" t="str">
        <f ca="1">IF(NOTA[[#This Row],[ID_H]]="","",IF(NOTA[[#This Row],[Column3]]=TRUE,NOTA[[#This Row],[Column5]],INDEX([3]!db[QTY/ CTN],NOTA[[#This Row],[//DB]])))</f>
        <v/>
      </c>
      <c r="AU2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6" s="35" t="str">
        <f ca="1">IF(NOTA[[#This Row],[ID_H]]="","",MATCH(NOTA[[#This Row],[NB NOTA_C_QTY]],[3]!db[NB NOTA_C_QTY+F],0))</f>
        <v/>
      </c>
      <c r="AW276" s="43" t="str">
        <f ca="1">IF(NOTA[[#This Row],[NB NOTA_C_QTY]]="","",ROW()-2)</f>
        <v/>
      </c>
    </row>
    <row r="277" spans="1:49" ht="20.100000000000001" customHeight="1">
      <c r="A2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5" t="str">
        <f ca="1">IF(NOTA[[#This Row],[NAMA BARANG]]="","",INDEX(NOTA[ID],MATCH(,INDIRECT(ADDRESS(ROW(NOTA[ID]),COLUMN(NOTA[ID]))&amp;":"&amp;ADDRESS(ROW(),COLUMN(NOTA[ID]))),-1)))</f>
        <v/>
      </c>
      <c r="C277" s="45"/>
      <c r="F277" s="46"/>
      <c r="G277" s="35"/>
      <c r="H277" s="36"/>
      <c r="I277" s="35"/>
      <c r="K277" s="37"/>
      <c r="L277" s="35"/>
      <c r="N277" s="38"/>
      <c r="O277" s="39"/>
      <c r="P277" s="47"/>
      <c r="Q277" s="48"/>
      <c r="R277" s="41"/>
      <c r="T277" s="42"/>
      <c r="U277" s="44"/>
      <c r="V277" s="42" t="str">
        <f>IF(NOTA[[#This Row],[HARGA/ CTN]]="",NOTA[[#This Row],[JUMLAH_H]],NOTA[[#This Row],[HARGA/ CTN]]*IF(NOTA[[#This Row],[C]]="",0,NOTA[[#This Row],[C]]))</f>
        <v/>
      </c>
      <c r="W277" s="42" t="str">
        <f>IF(NOTA[[#This Row],[JUMLAH]]="","",NOTA[[#This Row],[JUMLAH]]*NOTA[[#This Row],[Column6]])</f>
        <v/>
      </c>
      <c r="X277" s="42" t="str">
        <f>IF(NOTA[[#This Row],[JUMLAH]]="","",(NOTA[[#This Row],[JUMLAH]]-NOTA[[#This Row],[DISC 1-]])*NOTA[[#This Row],[Column7]])</f>
        <v/>
      </c>
      <c r="Y277" s="42" t="str">
        <f>IF(NOTA[[#This Row],[JUMLAH]]="","",(NOTA[[#This Row],[JUMLAH]]-NOTA[[#This Row],[DISC 1-]]-NOTA[[#This Row],[DISC 2-]])*NOTA[[#This Row],[Column8]])</f>
        <v/>
      </c>
      <c r="Z277" s="42" t="str">
        <f>IF(NOTA[[#This Row],[JUMLAH]]="","",NOTA[[#This Row],[DISC 1-]]+NOTA[[#This Row],[DISC 2-]]+NOTA[[#This Row],[DISC 3-]])</f>
        <v/>
      </c>
      <c r="AA277" s="42" t="str">
        <f>IF(NOTA[[#This Row],[JUMLAH]]="","",NOTA[[#This Row],[JUMLAH]]-NOTA[[#This Row],[DISC]])</f>
        <v/>
      </c>
      <c r="AB277" s="42"/>
      <c r="AC2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42" t="str">
        <f>IF(OR(NOTA[[#This Row],[QTY]]="",NOTA[[#This Row],[HARGA SATUAN]]="",),"",NOTA[[#This Row],[QTY]]*NOTA[[#This Row],[HARGA SATUAN]])</f>
        <v/>
      </c>
      <c r="AG277" s="36" t="str">
        <f ca="1">IF(NOTA[[#This Row],[ID_H]]="","",INDEX(NOTA[TANGGAL],MATCH(,INDIRECT(ADDRESS(ROW(NOTA[TANGGAL]),COLUMN(NOTA[TANGGAL]))&amp;":"&amp;ADDRESS(ROW(),COLUMN(NOTA[TANGGAL]))),-1)))</f>
        <v/>
      </c>
      <c r="AH277" s="36" t="str">
        <f ca="1">IF(NOTA[[#This Row],[ID_H]]="","",INDEX(NOTA[TGL.NOTA],MATCH(,INDIRECT(ADDRESS(ROW(NOTA[TGL.NOTA]),COLUMN(NOTA[TGL.NOTA]))&amp;":"&amp;ADDRESS(ROW(),COLUMN(NOTA[TGL.NOTA]))),-1)))</f>
        <v/>
      </c>
      <c r="AI277" s="36" t="str">
        <f ca="1">IF(NOTA[[#This Row],[ID_H]]="","",INDEX(NOTA[NO.NOTA],MATCH(NOTA[[#This Row],[ID_H]],NOTA[ID_H],0)))</f>
        <v/>
      </c>
      <c r="AJ277" s="38" t="str">
        <f ca="1">IF(NOTA[[#This Row],[NAMA BARANG]]="","",INDEX(NOTA[SUPPLIER],MATCH(,INDIRECT(ADDRESS(ROW(NOTA[ID]),COLUMN(NOTA[ID]))&amp;":"&amp;ADDRESS(ROW(),COLUMN(NOTA[ID]))),-1)))</f>
        <v/>
      </c>
      <c r="AK277" s="38" t="str">
        <f ca="1">IF(NOTA[[#This Row],[ID_H]]="","",IF(NOTA[[#This Row],[FAKTUR]]="",INDIRECT(ADDRESS(ROW()-1,COLUMN())),NOTA[[#This Row],[FAKTUR]]))</f>
        <v/>
      </c>
      <c r="AL277" s="35" t="str">
        <f ca="1">IF(NOTA[[#This Row],[ID]]="","",COUNTIF(NOTA[ID_H],NOTA[[#This Row],[ID_H]]))</f>
        <v/>
      </c>
      <c r="AM277" s="35" t="str">
        <f ca="1">IF(NOTA[[#This Row],[TGL.NOTA]]="",IF(NOTA[[#This Row],[SUPPLIER_H]]="","",AM276),MONTH(NOTA[[#This Row],[TGL.NOTA]]))</f>
        <v/>
      </c>
      <c r="AN2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7" s="35" t="str">
        <f>IF(NOTA[[#This Row],[CONCAT1]]="","",MATCH(NOTA[[#This Row],[CONCAT1]],[3]!db[NB NOTA_C],0))</f>
        <v/>
      </c>
      <c r="AS277" s="35" t="str">
        <f>IF(NOTA[[#This Row],[Column5]]="","",TRUE)</f>
        <v/>
      </c>
      <c r="AT277" s="35" t="str">
        <f ca="1">IF(NOTA[[#This Row],[ID_H]]="","",IF(NOTA[[#This Row],[Column3]]=TRUE,NOTA[[#This Row],[Column5]],INDEX([3]!db[QTY/ CTN],NOTA[[#This Row],[//DB]])))</f>
        <v/>
      </c>
      <c r="AU2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7" s="35" t="str">
        <f ca="1">IF(NOTA[[#This Row],[ID_H]]="","",MATCH(NOTA[[#This Row],[NB NOTA_C_QTY]],[3]!db[NB NOTA_C_QTY+F],0))</f>
        <v/>
      </c>
      <c r="AW277" s="43" t="str">
        <f ca="1">IF(NOTA[[#This Row],[NB NOTA_C_QTY]]="","",ROW()-2)</f>
        <v/>
      </c>
    </row>
    <row r="278" spans="1:49" ht="20.100000000000001" customHeight="1">
      <c r="A2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5" t="str">
        <f ca="1">IF(NOTA[[#This Row],[NAMA BARANG]]="","",INDEX(NOTA[ID],MATCH(,INDIRECT(ADDRESS(ROW(NOTA[ID]),COLUMN(NOTA[ID]))&amp;":"&amp;ADDRESS(ROW(),COLUMN(NOTA[ID]))),-1)))</f>
        <v/>
      </c>
      <c r="C278" s="45"/>
      <c r="F278" s="46"/>
      <c r="G278" s="35"/>
      <c r="H278" s="36"/>
      <c r="I278" s="35"/>
      <c r="K278" s="37"/>
      <c r="L278" s="35"/>
      <c r="N278" s="38"/>
      <c r="O278" s="39"/>
      <c r="P278" s="47"/>
      <c r="Q278" s="48"/>
      <c r="R278" s="41"/>
      <c r="T278" s="42"/>
      <c r="U278" s="44"/>
      <c r="V278" s="42" t="str">
        <f>IF(NOTA[[#This Row],[HARGA/ CTN]]="",NOTA[[#This Row],[JUMLAH_H]],NOTA[[#This Row],[HARGA/ CTN]]*IF(NOTA[[#This Row],[C]]="",0,NOTA[[#This Row],[C]]))</f>
        <v/>
      </c>
      <c r="W278" s="42" t="str">
        <f>IF(NOTA[[#This Row],[JUMLAH]]="","",NOTA[[#This Row],[JUMLAH]]*NOTA[[#This Row],[Column6]])</f>
        <v/>
      </c>
      <c r="X278" s="42" t="str">
        <f>IF(NOTA[[#This Row],[JUMLAH]]="","",(NOTA[[#This Row],[JUMLAH]]-NOTA[[#This Row],[DISC 1-]])*NOTA[[#This Row],[Column7]])</f>
        <v/>
      </c>
      <c r="Y278" s="42" t="str">
        <f>IF(NOTA[[#This Row],[JUMLAH]]="","",(NOTA[[#This Row],[JUMLAH]]-NOTA[[#This Row],[DISC 1-]]-NOTA[[#This Row],[DISC 2-]])*NOTA[[#This Row],[Column8]])</f>
        <v/>
      </c>
      <c r="Z278" s="42" t="str">
        <f>IF(NOTA[[#This Row],[JUMLAH]]="","",NOTA[[#This Row],[DISC 1-]]+NOTA[[#This Row],[DISC 2-]]+NOTA[[#This Row],[DISC 3-]])</f>
        <v/>
      </c>
      <c r="AA278" s="42" t="str">
        <f>IF(NOTA[[#This Row],[JUMLAH]]="","",NOTA[[#This Row],[JUMLAH]]-NOTA[[#This Row],[DISC]])</f>
        <v/>
      </c>
      <c r="AB278" s="42"/>
      <c r="AC2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8" s="42" t="str">
        <f>IF(OR(NOTA[[#This Row],[QTY]]="",NOTA[[#This Row],[HARGA SATUAN]]="",),"",NOTA[[#This Row],[QTY]]*NOTA[[#This Row],[HARGA SATUAN]])</f>
        <v/>
      </c>
      <c r="AG278" s="36" t="str">
        <f ca="1">IF(NOTA[[#This Row],[ID_H]]="","",INDEX(NOTA[TANGGAL],MATCH(,INDIRECT(ADDRESS(ROW(NOTA[TANGGAL]),COLUMN(NOTA[TANGGAL]))&amp;":"&amp;ADDRESS(ROW(),COLUMN(NOTA[TANGGAL]))),-1)))</f>
        <v/>
      </c>
      <c r="AH278" s="36" t="str">
        <f ca="1">IF(NOTA[[#This Row],[ID_H]]="","",INDEX(NOTA[TGL.NOTA],MATCH(,INDIRECT(ADDRESS(ROW(NOTA[TGL.NOTA]),COLUMN(NOTA[TGL.NOTA]))&amp;":"&amp;ADDRESS(ROW(),COLUMN(NOTA[TGL.NOTA]))),-1)))</f>
        <v/>
      </c>
      <c r="AI278" s="36" t="str">
        <f ca="1">IF(NOTA[[#This Row],[ID_H]]="","",INDEX(NOTA[NO.NOTA],MATCH(NOTA[[#This Row],[ID_H]],NOTA[ID_H],0)))</f>
        <v/>
      </c>
      <c r="AJ278" s="38" t="str">
        <f ca="1">IF(NOTA[[#This Row],[NAMA BARANG]]="","",INDEX(NOTA[SUPPLIER],MATCH(,INDIRECT(ADDRESS(ROW(NOTA[ID]),COLUMN(NOTA[ID]))&amp;":"&amp;ADDRESS(ROW(),COLUMN(NOTA[ID]))),-1)))</f>
        <v/>
      </c>
      <c r="AK278" s="38" t="str">
        <f ca="1">IF(NOTA[[#This Row],[ID_H]]="","",IF(NOTA[[#This Row],[FAKTUR]]="",INDIRECT(ADDRESS(ROW()-1,COLUMN())),NOTA[[#This Row],[FAKTUR]]))</f>
        <v/>
      </c>
      <c r="AL278" s="35" t="str">
        <f ca="1">IF(NOTA[[#This Row],[ID]]="","",COUNTIF(NOTA[ID_H],NOTA[[#This Row],[ID_H]]))</f>
        <v/>
      </c>
      <c r="AM278" s="35" t="str">
        <f ca="1">IF(NOTA[[#This Row],[TGL.NOTA]]="",IF(NOTA[[#This Row],[SUPPLIER_H]]="","",AM277),MONTH(NOTA[[#This Row],[TGL.NOTA]]))</f>
        <v/>
      </c>
      <c r="AN2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8" s="35" t="str">
        <f>IF(NOTA[[#This Row],[CONCAT1]]="","",MATCH(NOTA[[#This Row],[CONCAT1]],[3]!db[NB NOTA_C],0))</f>
        <v/>
      </c>
      <c r="AS278" s="35" t="str">
        <f>IF(NOTA[[#This Row],[Column5]]="","",TRUE)</f>
        <v/>
      </c>
      <c r="AT278" s="35" t="str">
        <f ca="1">IF(NOTA[[#This Row],[ID_H]]="","",IF(NOTA[[#This Row],[Column3]]=TRUE,NOTA[[#This Row],[Column5]],INDEX([3]!db[QTY/ CTN],NOTA[[#This Row],[//DB]])))</f>
        <v/>
      </c>
      <c r="AU2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8" s="35" t="str">
        <f ca="1">IF(NOTA[[#This Row],[ID_H]]="","",MATCH(NOTA[[#This Row],[NB NOTA_C_QTY]],[3]!db[NB NOTA_C_QTY+F],0))</f>
        <v/>
      </c>
      <c r="AW278" s="43" t="str">
        <f ca="1">IF(NOTA[[#This Row],[NB NOTA_C_QTY]]="","",ROW()-2)</f>
        <v/>
      </c>
    </row>
    <row r="279" spans="1:49" ht="20.100000000000001" customHeight="1">
      <c r="A2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5" t="str">
        <f ca="1">IF(NOTA[[#This Row],[NAMA BARANG]]="","",INDEX(NOTA[ID],MATCH(,INDIRECT(ADDRESS(ROW(NOTA[ID]),COLUMN(NOTA[ID]))&amp;":"&amp;ADDRESS(ROW(),COLUMN(NOTA[ID]))),-1)))</f>
        <v/>
      </c>
      <c r="C279" s="45"/>
      <c r="F279" s="46"/>
      <c r="G279" s="35"/>
      <c r="H279" s="36"/>
      <c r="I279" s="35"/>
      <c r="K279" s="37"/>
      <c r="L279" s="35"/>
      <c r="N279" s="38"/>
      <c r="O279" s="39"/>
      <c r="P279" s="47"/>
      <c r="Q279" s="48"/>
      <c r="R279" s="41"/>
      <c r="T279" s="42"/>
      <c r="U279" s="44"/>
      <c r="V279" s="42" t="str">
        <f>IF(NOTA[[#This Row],[HARGA/ CTN]]="",NOTA[[#This Row],[JUMLAH_H]],NOTA[[#This Row],[HARGA/ CTN]]*IF(NOTA[[#This Row],[C]]="",0,NOTA[[#This Row],[C]]))</f>
        <v/>
      </c>
      <c r="W279" s="42" t="str">
        <f>IF(NOTA[[#This Row],[JUMLAH]]="","",NOTA[[#This Row],[JUMLAH]]*NOTA[[#This Row],[Column6]])</f>
        <v/>
      </c>
      <c r="X279" s="42" t="str">
        <f>IF(NOTA[[#This Row],[JUMLAH]]="","",(NOTA[[#This Row],[JUMLAH]]-NOTA[[#This Row],[DISC 1-]])*NOTA[[#This Row],[Column7]])</f>
        <v/>
      </c>
      <c r="Y279" s="42" t="str">
        <f>IF(NOTA[[#This Row],[JUMLAH]]="","",(NOTA[[#This Row],[JUMLAH]]-NOTA[[#This Row],[DISC 1-]]-NOTA[[#This Row],[DISC 2-]])*NOTA[[#This Row],[Column8]])</f>
        <v/>
      </c>
      <c r="Z279" s="42" t="str">
        <f>IF(NOTA[[#This Row],[JUMLAH]]="","",NOTA[[#This Row],[DISC 1-]]+NOTA[[#This Row],[DISC 2-]]+NOTA[[#This Row],[DISC 3-]])</f>
        <v/>
      </c>
      <c r="AA279" s="42" t="str">
        <f>IF(NOTA[[#This Row],[JUMLAH]]="","",NOTA[[#This Row],[JUMLAH]]-NOTA[[#This Row],[DISC]])</f>
        <v/>
      </c>
      <c r="AB279" s="42"/>
      <c r="AC2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9" s="42" t="str">
        <f>IF(OR(NOTA[[#This Row],[QTY]]="",NOTA[[#This Row],[HARGA SATUAN]]="",),"",NOTA[[#This Row],[QTY]]*NOTA[[#This Row],[HARGA SATUAN]])</f>
        <v/>
      </c>
      <c r="AG279" s="36" t="str">
        <f ca="1">IF(NOTA[[#This Row],[ID_H]]="","",INDEX(NOTA[TANGGAL],MATCH(,INDIRECT(ADDRESS(ROW(NOTA[TANGGAL]),COLUMN(NOTA[TANGGAL]))&amp;":"&amp;ADDRESS(ROW(),COLUMN(NOTA[TANGGAL]))),-1)))</f>
        <v/>
      </c>
      <c r="AH279" s="36" t="str">
        <f ca="1">IF(NOTA[[#This Row],[ID_H]]="","",INDEX(NOTA[TGL.NOTA],MATCH(,INDIRECT(ADDRESS(ROW(NOTA[TGL.NOTA]),COLUMN(NOTA[TGL.NOTA]))&amp;":"&amp;ADDRESS(ROW(),COLUMN(NOTA[TGL.NOTA]))),-1)))</f>
        <v/>
      </c>
      <c r="AI279" s="36" t="str">
        <f ca="1">IF(NOTA[[#This Row],[ID_H]]="","",INDEX(NOTA[NO.NOTA],MATCH(NOTA[[#This Row],[ID_H]],NOTA[ID_H],0)))</f>
        <v/>
      </c>
      <c r="AJ279" s="38" t="str">
        <f ca="1">IF(NOTA[[#This Row],[NAMA BARANG]]="","",INDEX(NOTA[SUPPLIER],MATCH(,INDIRECT(ADDRESS(ROW(NOTA[ID]),COLUMN(NOTA[ID]))&amp;":"&amp;ADDRESS(ROW(),COLUMN(NOTA[ID]))),-1)))</f>
        <v/>
      </c>
      <c r="AK279" s="38" t="str">
        <f ca="1">IF(NOTA[[#This Row],[ID_H]]="","",IF(NOTA[[#This Row],[FAKTUR]]="",INDIRECT(ADDRESS(ROW()-1,COLUMN())),NOTA[[#This Row],[FAKTUR]]))</f>
        <v/>
      </c>
      <c r="AL279" s="35" t="str">
        <f ca="1">IF(NOTA[[#This Row],[ID]]="","",COUNTIF(NOTA[ID_H],NOTA[[#This Row],[ID_H]]))</f>
        <v/>
      </c>
      <c r="AM279" s="35" t="str">
        <f ca="1">IF(NOTA[[#This Row],[TGL.NOTA]]="",IF(NOTA[[#This Row],[SUPPLIER_H]]="","",AM278),MONTH(NOTA[[#This Row],[TGL.NOTA]]))</f>
        <v/>
      </c>
      <c r="AN2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9" s="35" t="str">
        <f>IF(NOTA[[#This Row],[CONCAT1]]="","",MATCH(NOTA[[#This Row],[CONCAT1]],[3]!db[NB NOTA_C],0))</f>
        <v/>
      </c>
      <c r="AS279" s="35" t="str">
        <f>IF(NOTA[[#This Row],[Column5]]="","",TRUE)</f>
        <v/>
      </c>
      <c r="AT279" s="35" t="str">
        <f ca="1">IF(NOTA[[#This Row],[ID_H]]="","",IF(NOTA[[#This Row],[Column3]]=TRUE,NOTA[[#This Row],[Column5]],INDEX([3]!db[QTY/ CTN],NOTA[[#This Row],[//DB]])))</f>
        <v/>
      </c>
      <c r="AU2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79" s="35" t="str">
        <f ca="1">IF(NOTA[[#This Row],[ID_H]]="","",MATCH(NOTA[[#This Row],[NB NOTA_C_QTY]],[3]!db[NB NOTA_C_QTY+F],0))</f>
        <v/>
      </c>
      <c r="AW279" s="43" t="str">
        <f ca="1">IF(NOTA[[#This Row],[NB NOTA_C_QTY]]="","",ROW()-2)</f>
        <v/>
      </c>
    </row>
    <row r="280" spans="1:49" ht="20.100000000000001" customHeight="1">
      <c r="A2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5" t="str">
        <f ca="1">IF(NOTA[[#This Row],[NAMA BARANG]]="","",INDEX(NOTA[ID],MATCH(,INDIRECT(ADDRESS(ROW(NOTA[ID]),COLUMN(NOTA[ID]))&amp;":"&amp;ADDRESS(ROW(),COLUMN(NOTA[ID]))),-1)))</f>
        <v/>
      </c>
      <c r="C280" s="45"/>
      <c r="F280" s="46"/>
      <c r="G280" s="35"/>
      <c r="H280" s="36"/>
      <c r="I280" s="35"/>
      <c r="K280" s="37"/>
      <c r="L280" s="35"/>
      <c r="N280" s="38"/>
      <c r="O280" s="39"/>
      <c r="P280" s="47"/>
      <c r="Q280" s="48"/>
      <c r="R280" s="41"/>
      <c r="T280" s="42"/>
      <c r="U280" s="44"/>
      <c r="V280" s="42" t="str">
        <f>IF(NOTA[[#This Row],[HARGA/ CTN]]="",NOTA[[#This Row],[JUMLAH_H]],NOTA[[#This Row],[HARGA/ CTN]]*IF(NOTA[[#This Row],[C]]="",0,NOTA[[#This Row],[C]]))</f>
        <v/>
      </c>
      <c r="W280" s="42" t="str">
        <f>IF(NOTA[[#This Row],[JUMLAH]]="","",NOTA[[#This Row],[JUMLAH]]*NOTA[[#This Row],[Column6]])</f>
        <v/>
      </c>
      <c r="X280" s="42" t="str">
        <f>IF(NOTA[[#This Row],[JUMLAH]]="","",(NOTA[[#This Row],[JUMLAH]]-NOTA[[#This Row],[DISC 1-]])*NOTA[[#This Row],[Column7]])</f>
        <v/>
      </c>
      <c r="Y280" s="42" t="str">
        <f>IF(NOTA[[#This Row],[JUMLAH]]="","",(NOTA[[#This Row],[JUMLAH]]-NOTA[[#This Row],[DISC 1-]]-NOTA[[#This Row],[DISC 2-]])*NOTA[[#This Row],[Column8]])</f>
        <v/>
      </c>
      <c r="Z280" s="42" t="str">
        <f>IF(NOTA[[#This Row],[JUMLAH]]="","",NOTA[[#This Row],[DISC 1-]]+NOTA[[#This Row],[DISC 2-]]+NOTA[[#This Row],[DISC 3-]])</f>
        <v/>
      </c>
      <c r="AA280" s="42" t="str">
        <f>IF(NOTA[[#This Row],[JUMLAH]]="","",NOTA[[#This Row],[JUMLAH]]-NOTA[[#This Row],[DISC]])</f>
        <v/>
      </c>
      <c r="AB280" s="42"/>
      <c r="AC2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0" s="42" t="str">
        <f>IF(OR(NOTA[[#This Row],[QTY]]="",NOTA[[#This Row],[HARGA SATUAN]]="",),"",NOTA[[#This Row],[QTY]]*NOTA[[#This Row],[HARGA SATUAN]])</f>
        <v/>
      </c>
      <c r="AG280" s="36" t="str">
        <f ca="1">IF(NOTA[[#This Row],[ID_H]]="","",INDEX(NOTA[TANGGAL],MATCH(,INDIRECT(ADDRESS(ROW(NOTA[TANGGAL]),COLUMN(NOTA[TANGGAL]))&amp;":"&amp;ADDRESS(ROW(),COLUMN(NOTA[TANGGAL]))),-1)))</f>
        <v/>
      </c>
      <c r="AH280" s="36" t="str">
        <f ca="1">IF(NOTA[[#This Row],[ID_H]]="","",INDEX(NOTA[TGL.NOTA],MATCH(,INDIRECT(ADDRESS(ROW(NOTA[TGL.NOTA]),COLUMN(NOTA[TGL.NOTA]))&amp;":"&amp;ADDRESS(ROW(),COLUMN(NOTA[TGL.NOTA]))),-1)))</f>
        <v/>
      </c>
      <c r="AI280" s="36" t="str">
        <f ca="1">IF(NOTA[[#This Row],[ID_H]]="","",INDEX(NOTA[NO.NOTA],MATCH(NOTA[[#This Row],[ID_H]],NOTA[ID_H],0)))</f>
        <v/>
      </c>
      <c r="AJ280" s="38" t="str">
        <f ca="1">IF(NOTA[[#This Row],[NAMA BARANG]]="","",INDEX(NOTA[SUPPLIER],MATCH(,INDIRECT(ADDRESS(ROW(NOTA[ID]),COLUMN(NOTA[ID]))&amp;":"&amp;ADDRESS(ROW(),COLUMN(NOTA[ID]))),-1)))</f>
        <v/>
      </c>
      <c r="AK280" s="38" t="str">
        <f ca="1">IF(NOTA[[#This Row],[ID_H]]="","",IF(NOTA[[#This Row],[FAKTUR]]="",INDIRECT(ADDRESS(ROW()-1,COLUMN())),NOTA[[#This Row],[FAKTUR]]))</f>
        <v/>
      </c>
      <c r="AL280" s="35" t="str">
        <f ca="1">IF(NOTA[[#This Row],[ID]]="","",COUNTIF(NOTA[ID_H],NOTA[[#This Row],[ID_H]]))</f>
        <v/>
      </c>
      <c r="AM280" s="35" t="str">
        <f ca="1">IF(NOTA[[#This Row],[TGL.NOTA]]="",IF(NOTA[[#This Row],[SUPPLIER_H]]="","",AM279),MONTH(NOTA[[#This Row],[TGL.NOTA]]))</f>
        <v/>
      </c>
      <c r="AN2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0" s="35" t="str">
        <f>IF(NOTA[[#This Row],[CONCAT1]]="","",MATCH(NOTA[[#This Row],[CONCAT1]],[3]!db[NB NOTA_C],0))</f>
        <v/>
      </c>
      <c r="AS280" s="35" t="str">
        <f>IF(NOTA[[#This Row],[Column5]]="","",TRUE)</f>
        <v/>
      </c>
      <c r="AT280" s="35" t="str">
        <f ca="1">IF(NOTA[[#This Row],[ID_H]]="","",IF(NOTA[[#This Row],[Column3]]=TRUE,NOTA[[#This Row],[Column5]],INDEX([3]!db[QTY/ CTN],NOTA[[#This Row],[//DB]])))</f>
        <v/>
      </c>
      <c r="AU2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0" s="35" t="str">
        <f ca="1">IF(NOTA[[#This Row],[ID_H]]="","",MATCH(NOTA[[#This Row],[NB NOTA_C_QTY]],[3]!db[NB NOTA_C_QTY+F],0))</f>
        <v/>
      </c>
      <c r="AW280" s="43" t="str">
        <f ca="1">IF(NOTA[[#This Row],[NB NOTA_C_QTY]]="","",ROW()-2)</f>
        <v/>
      </c>
    </row>
    <row r="281" spans="1:49" ht="20.100000000000001" customHeight="1">
      <c r="A2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5" t="str">
        <f ca="1">IF(NOTA[[#This Row],[NAMA BARANG]]="","",INDEX(NOTA[ID],MATCH(,INDIRECT(ADDRESS(ROW(NOTA[ID]),COLUMN(NOTA[ID]))&amp;":"&amp;ADDRESS(ROW(),COLUMN(NOTA[ID]))),-1)))</f>
        <v/>
      </c>
      <c r="C281" s="45"/>
      <c r="F281" s="46"/>
      <c r="G281" s="35"/>
      <c r="H281" s="36"/>
      <c r="I281" s="35"/>
      <c r="K281" s="37"/>
      <c r="L281" s="35"/>
      <c r="N281" s="38"/>
      <c r="O281" s="39"/>
      <c r="P281" s="47"/>
      <c r="Q281" s="48"/>
      <c r="R281" s="41"/>
      <c r="T281" s="42"/>
      <c r="U281" s="44"/>
      <c r="V281" s="42" t="str">
        <f>IF(NOTA[[#This Row],[HARGA/ CTN]]="",NOTA[[#This Row],[JUMLAH_H]],NOTA[[#This Row],[HARGA/ CTN]]*IF(NOTA[[#This Row],[C]]="",0,NOTA[[#This Row],[C]]))</f>
        <v/>
      </c>
      <c r="W281" s="42" t="str">
        <f>IF(NOTA[[#This Row],[JUMLAH]]="","",NOTA[[#This Row],[JUMLAH]]*NOTA[[#This Row],[Column6]])</f>
        <v/>
      </c>
      <c r="X281" s="42" t="str">
        <f>IF(NOTA[[#This Row],[JUMLAH]]="","",(NOTA[[#This Row],[JUMLAH]]-NOTA[[#This Row],[DISC 1-]])*NOTA[[#This Row],[Column7]])</f>
        <v/>
      </c>
      <c r="Y281" s="42" t="str">
        <f>IF(NOTA[[#This Row],[JUMLAH]]="","",(NOTA[[#This Row],[JUMLAH]]-NOTA[[#This Row],[DISC 1-]]-NOTA[[#This Row],[DISC 2-]])*NOTA[[#This Row],[Column8]])</f>
        <v/>
      </c>
      <c r="Z281" s="42" t="str">
        <f>IF(NOTA[[#This Row],[JUMLAH]]="","",NOTA[[#This Row],[DISC 1-]]+NOTA[[#This Row],[DISC 2-]]+NOTA[[#This Row],[DISC 3-]])</f>
        <v/>
      </c>
      <c r="AA281" s="42" t="str">
        <f>IF(NOTA[[#This Row],[JUMLAH]]="","",NOTA[[#This Row],[JUMLAH]]-NOTA[[#This Row],[DISC]])</f>
        <v/>
      </c>
      <c r="AB281" s="42"/>
      <c r="AC2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1" s="42" t="str">
        <f>IF(OR(NOTA[[#This Row],[QTY]]="",NOTA[[#This Row],[HARGA SATUAN]]="",),"",NOTA[[#This Row],[QTY]]*NOTA[[#This Row],[HARGA SATUAN]])</f>
        <v/>
      </c>
      <c r="AG281" s="36" t="str">
        <f ca="1">IF(NOTA[[#This Row],[ID_H]]="","",INDEX(NOTA[TANGGAL],MATCH(,INDIRECT(ADDRESS(ROW(NOTA[TANGGAL]),COLUMN(NOTA[TANGGAL]))&amp;":"&amp;ADDRESS(ROW(),COLUMN(NOTA[TANGGAL]))),-1)))</f>
        <v/>
      </c>
      <c r="AH281" s="36" t="str">
        <f ca="1">IF(NOTA[[#This Row],[ID_H]]="","",INDEX(NOTA[TGL.NOTA],MATCH(,INDIRECT(ADDRESS(ROW(NOTA[TGL.NOTA]),COLUMN(NOTA[TGL.NOTA]))&amp;":"&amp;ADDRESS(ROW(),COLUMN(NOTA[TGL.NOTA]))),-1)))</f>
        <v/>
      </c>
      <c r="AI281" s="36" t="str">
        <f ca="1">IF(NOTA[[#This Row],[ID_H]]="","",INDEX(NOTA[NO.NOTA],MATCH(NOTA[[#This Row],[ID_H]],NOTA[ID_H],0)))</f>
        <v/>
      </c>
      <c r="AJ281" s="38" t="str">
        <f ca="1">IF(NOTA[[#This Row],[NAMA BARANG]]="","",INDEX(NOTA[SUPPLIER],MATCH(,INDIRECT(ADDRESS(ROW(NOTA[ID]),COLUMN(NOTA[ID]))&amp;":"&amp;ADDRESS(ROW(),COLUMN(NOTA[ID]))),-1)))</f>
        <v/>
      </c>
      <c r="AK281" s="38" t="str">
        <f ca="1">IF(NOTA[[#This Row],[ID_H]]="","",IF(NOTA[[#This Row],[FAKTUR]]="",INDIRECT(ADDRESS(ROW()-1,COLUMN())),NOTA[[#This Row],[FAKTUR]]))</f>
        <v/>
      </c>
      <c r="AL281" s="35" t="str">
        <f ca="1">IF(NOTA[[#This Row],[ID]]="","",COUNTIF(NOTA[ID_H],NOTA[[#This Row],[ID_H]]))</f>
        <v/>
      </c>
      <c r="AM281" s="35" t="str">
        <f ca="1">IF(NOTA[[#This Row],[TGL.NOTA]]="",IF(NOTA[[#This Row],[SUPPLIER_H]]="","",AM280),MONTH(NOTA[[#This Row],[TGL.NOTA]]))</f>
        <v/>
      </c>
      <c r="AN2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1" s="35" t="str">
        <f>IF(NOTA[[#This Row],[CONCAT1]]="","",MATCH(NOTA[[#This Row],[CONCAT1]],[3]!db[NB NOTA_C],0))</f>
        <v/>
      </c>
      <c r="AS281" s="35" t="str">
        <f>IF(NOTA[[#This Row],[Column5]]="","",TRUE)</f>
        <v/>
      </c>
      <c r="AT281" s="35" t="str">
        <f ca="1">IF(NOTA[[#This Row],[ID_H]]="","",IF(NOTA[[#This Row],[Column3]]=TRUE,NOTA[[#This Row],[Column5]],INDEX([3]!db[QTY/ CTN],NOTA[[#This Row],[//DB]])))</f>
        <v/>
      </c>
      <c r="AU2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1" s="35" t="str">
        <f ca="1">IF(NOTA[[#This Row],[ID_H]]="","",MATCH(NOTA[[#This Row],[NB NOTA_C_QTY]],[3]!db[NB NOTA_C_QTY+F],0))</f>
        <v/>
      </c>
      <c r="AW281" s="43" t="str">
        <f ca="1">IF(NOTA[[#This Row],[NB NOTA_C_QTY]]="","",ROW()-2)</f>
        <v/>
      </c>
    </row>
    <row r="282" spans="1:49" ht="20.100000000000001" customHeight="1">
      <c r="A2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5" t="str">
        <f ca="1">IF(NOTA[[#This Row],[NAMA BARANG]]="","",INDEX(NOTA[ID],MATCH(,INDIRECT(ADDRESS(ROW(NOTA[ID]),COLUMN(NOTA[ID]))&amp;":"&amp;ADDRESS(ROW(),COLUMN(NOTA[ID]))),-1)))</f>
        <v/>
      </c>
      <c r="C282" s="45"/>
      <c r="F282" s="46"/>
      <c r="G282" s="35"/>
      <c r="H282" s="36"/>
      <c r="I282" s="35"/>
      <c r="K282" s="37"/>
      <c r="L282" s="35"/>
      <c r="N282" s="38"/>
      <c r="O282" s="39"/>
      <c r="P282" s="47"/>
      <c r="Q282" s="48"/>
      <c r="R282" s="41"/>
      <c r="T282" s="42"/>
      <c r="U282" s="44"/>
      <c r="V282" s="42" t="str">
        <f>IF(NOTA[[#This Row],[HARGA/ CTN]]="",NOTA[[#This Row],[JUMLAH_H]],NOTA[[#This Row],[HARGA/ CTN]]*IF(NOTA[[#This Row],[C]]="",0,NOTA[[#This Row],[C]]))</f>
        <v/>
      </c>
      <c r="W282" s="42" t="str">
        <f>IF(NOTA[[#This Row],[JUMLAH]]="","",NOTA[[#This Row],[JUMLAH]]*NOTA[[#This Row],[Column6]])</f>
        <v/>
      </c>
      <c r="X282" s="42" t="str">
        <f>IF(NOTA[[#This Row],[JUMLAH]]="","",(NOTA[[#This Row],[JUMLAH]]-NOTA[[#This Row],[DISC 1-]])*NOTA[[#This Row],[Column7]])</f>
        <v/>
      </c>
      <c r="Y282" s="42" t="str">
        <f>IF(NOTA[[#This Row],[JUMLAH]]="","",(NOTA[[#This Row],[JUMLAH]]-NOTA[[#This Row],[DISC 1-]]-NOTA[[#This Row],[DISC 2-]])*NOTA[[#This Row],[Column8]])</f>
        <v/>
      </c>
      <c r="Z282" s="42" t="str">
        <f>IF(NOTA[[#This Row],[JUMLAH]]="","",NOTA[[#This Row],[DISC 1-]]+NOTA[[#This Row],[DISC 2-]]+NOTA[[#This Row],[DISC 3-]])</f>
        <v/>
      </c>
      <c r="AA282" s="42" t="str">
        <f>IF(NOTA[[#This Row],[JUMLAH]]="","",NOTA[[#This Row],[JUMLAH]]-NOTA[[#This Row],[DISC]])</f>
        <v/>
      </c>
      <c r="AB282" s="42"/>
      <c r="AC2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2" s="42" t="str">
        <f>IF(OR(NOTA[[#This Row],[QTY]]="",NOTA[[#This Row],[HARGA SATUAN]]="",),"",NOTA[[#This Row],[QTY]]*NOTA[[#This Row],[HARGA SATUAN]])</f>
        <v/>
      </c>
      <c r="AG282" s="36" t="str">
        <f ca="1">IF(NOTA[[#This Row],[ID_H]]="","",INDEX(NOTA[TANGGAL],MATCH(,INDIRECT(ADDRESS(ROW(NOTA[TANGGAL]),COLUMN(NOTA[TANGGAL]))&amp;":"&amp;ADDRESS(ROW(),COLUMN(NOTA[TANGGAL]))),-1)))</f>
        <v/>
      </c>
      <c r="AH282" s="36" t="str">
        <f ca="1">IF(NOTA[[#This Row],[ID_H]]="","",INDEX(NOTA[TGL.NOTA],MATCH(,INDIRECT(ADDRESS(ROW(NOTA[TGL.NOTA]),COLUMN(NOTA[TGL.NOTA]))&amp;":"&amp;ADDRESS(ROW(),COLUMN(NOTA[TGL.NOTA]))),-1)))</f>
        <v/>
      </c>
      <c r="AI282" s="36" t="str">
        <f ca="1">IF(NOTA[[#This Row],[ID_H]]="","",INDEX(NOTA[NO.NOTA],MATCH(NOTA[[#This Row],[ID_H]],NOTA[ID_H],0)))</f>
        <v/>
      </c>
      <c r="AJ282" s="38" t="str">
        <f ca="1">IF(NOTA[[#This Row],[NAMA BARANG]]="","",INDEX(NOTA[SUPPLIER],MATCH(,INDIRECT(ADDRESS(ROW(NOTA[ID]),COLUMN(NOTA[ID]))&amp;":"&amp;ADDRESS(ROW(),COLUMN(NOTA[ID]))),-1)))</f>
        <v/>
      </c>
      <c r="AK282" s="38" t="str">
        <f ca="1">IF(NOTA[[#This Row],[ID_H]]="","",IF(NOTA[[#This Row],[FAKTUR]]="",INDIRECT(ADDRESS(ROW()-1,COLUMN())),NOTA[[#This Row],[FAKTUR]]))</f>
        <v/>
      </c>
      <c r="AL282" s="35" t="str">
        <f ca="1">IF(NOTA[[#This Row],[ID]]="","",COUNTIF(NOTA[ID_H],NOTA[[#This Row],[ID_H]]))</f>
        <v/>
      </c>
      <c r="AM282" s="35" t="str">
        <f ca="1">IF(NOTA[[#This Row],[TGL.NOTA]]="",IF(NOTA[[#This Row],[SUPPLIER_H]]="","",AM281),MONTH(NOTA[[#This Row],[TGL.NOTA]]))</f>
        <v/>
      </c>
      <c r="AN2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2" s="35" t="str">
        <f>IF(NOTA[[#This Row],[CONCAT1]]="","",MATCH(NOTA[[#This Row],[CONCAT1]],[3]!db[NB NOTA_C],0))</f>
        <v/>
      </c>
      <c r="AS282" s="35" t="str">
        <f>IF(NOTA[[#This Row],[Column5]]="","",TRUE)</f>
        <v/>
      </c>
      <c r="AT282" s="35" t="str">
        <f ca="1">IF(NOTA[[#This Row],[ID_H]]="","",IF(NOTA[[#This Row],[Column3]]=TRUE,NOTA[[#This Row],[Column5]],INDEX([3]!db[QTY/ CTN],NOTA[[#This Row],[//DB]])))</f>
        <v/>
      </c>
      <c r="AU2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2" s="35" t="str">
        <f ca="1">IF(NOTA[[#This Row],[ID_H]]="","",MATCH(NOTA[[#This Row],[NB NOTA_C_QTY]],[3]!db[NB NOTA_C_QTY+F],0))</f>
        <v/>
      </c>
      <c r="AW282" s="43" t="str">
        <f ca="1">IF(NOTA[[#This Row],[NB NOTA_C_QTY]]="","",ROW()-2)</f>
        <v/>
      </c>
    </row>
    <row r="283" spans="1:49" ht="20.100000000000001" customHeight="1">
      <c r="A2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5" t="str">
        <f ca="1">IF(NOTA[[#This Row],[NAMA BARANG]]="","",INDEX(NOTA[ID],MATCH(,INDIRECT(ADDRESS(ROW(NOTA[ID]),COLUMN(NOTA[ID]))&amp;":"&amp;ADDRESS(ROW(),COLUMN(NOTA[ID]))),-1)))</f>
        <v/>
      </c>
      <c r="C283" s="45"/>
      <c r="F283" s="46"/>
      <c r="G283" s="35"/>
      <c r="H283" s="36"/>
      <c r="I283" s="35"/>
      <c r="K283" s="37"/>
      <c r="L283" s="35"/>
      <c r="N283" s="38"/>
      <c r="O283" s="39"/>
      <c r="P283" s="47"/>
      <c r="Q283" s="48"/>
      <c r="R283" s="41"/>
      <c r="T283" s="42"/>
      <c r="U283" s="44"/>
      <c r="V283" s="42" t="str">
        <f>IF(NOTA[[#This Row],[HARGA/ CTN]]="",NOTA[[#This Row],[JUMLAH_H]],NOTA[[#This Row],[HARGA/ CTN]]*IF(NOTA[[#This Row],[C]]="",0,NOTA[[#This Row],[C]]))</f>
        <v/>
      </c>
      <c r="W283" s="42" t="str">
        <f>IF(NOTA[[#This Row],[JUMLAH]]="","",NOTA[[#This Row],[JUMLAH]]*NOTA[[#This Row],[Column6]])</f>
        <v/>
      </c>
      <c r="X283" s="42" t="str">
        <f>IF(NOTA[[#This Row],[JUMLAH]]="","",(NOTA[[#This Row],[JUMLAH]]-NOTA[[#This Row],[DISC 1-]])*NOTA[[#This Row],[Column7]])</f>
        <v/>
      </c>
      <c r="Y283" s="42" t="str">
        <f>IF(NOTA[[#This Row],[JUMLAH]]="","",(NOTA[[#This Row],[JUMLAH]]-NOTA[[#This Row],[DISC 1-]]-NOTA[[#This Row],[DISC 2-]])*NOTA[[#This Row],[Column8]])</f>
        <v/>
      </c>
      <c r="Z283" s="42" t="str">
        <f>IF(NOTA[[#This Row],[JUMLAH]]="","",NOTA[[#This Row],[DISC 1-]]+NOTA[[#This Row],[DISC 2-]]+NOTA[[#This Row],[DISC 3-]])</f>
        <v/>
      </c>
      <c r="AA283" s="42" t="str">
        <f>IF(NOTA[[#This Row],[JUMLAH]]="","",NOTA[[#This Row],[JUMLAH]]-NOTA[[#This Row],[DISC]])</f>
        <v/>
      </c>
      <c r="AB283" s="42"/>
      <c r="AC2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3" s="42" t="str">
        <f>IF(OR(NOTA[[#This Row],[QTY]]="",NOTA[[#This Row],[HARGA SATUAN]]="",),"",NOTA[[#This Row],[QTY]]*NOTA[[#This Row],[HARGA SATUAN]])</f>
        <v/>
      </c>
      <c r="AG283" s="36" t="str">
        <f ca="1">IF(NOTA[[#This Row],[ID_H]]="","",INDEX(NOTA[TANGGAL],MATCH(,INDIRECT(ADDRESS(ROW(NOTA[TANGGAL]),COLUMN(NOTA[TANGGAL]))&amp;":"&amp;ADDRESS(ROW(),COLUMN(NOTA[TANGGAL]))),-1)))</f>
        <v/>
      </c>
      <c r="AH283" s="36" t="str">
        <f ca="1">IF(NOTA[[#This Row],[ID_H]]="","",INDEX(NOTA[TGL.NOTA],MATCH(,INDIRECT(ADDRESS(ROW(NOTA[TGL.NOTA]),COLUMN(NOTA[TGL.NOTA]))&amp;":"&amp;ADDRESS(ROW(),COLUMN(NOTA[TGL.NOTA]))),-1)))</f>
        <v/>
      </c>
      <c r="AI283" s="36" t="str">
        <f ca="1">IF(NOTA[[#This Row],[ID_H]]="","",INDEX(NOTA[NO.NOTA],MATCH(NOTA[[#This Row],[ID_H]],NOTA[ID_H],0)))</f>
        <v/>
      </c>
      <c r="AJ283" s="38" t="str">
        <f ca="1">IF(NOTA[[#This Row],[NAMA BARANG]]="","",INDEX(NOTA[SUPPLIER],MATCH(,INDIRECT(ADDRESS(ROW(NOTA[ID]),COLUMN(NOTA[ID]))&amp;":"&amp;ADDRESS(ROW(),COLUMN(NOTA[ID]))),-1)))</f>
        <v/>
      </c>
      <c r="AK283" s="38" t="str">
        <f ca="1">IF(NOTA[[#This Row],[ID_H]]="","",IF(NOTA[[#This Row],[FAKTUR]]="",INDIRECT(ADDRESS(ROW()-1,COLUMN())),NOTA[[#This Row],[FAKTUR]]))</f>
        <v/>
      </c>
      <c r="AL283" s="35" t="str">
        <f ca="1">IF(NOTA[[#This Row],[ID]]="","",COUNTIF(NOTA[ID_H],NOTA[[#This Row],[ID_H]]))</f>
        <v/>
      </c>
      <c r="AM283" s="35" t="str">
        <f ca="1">IF(NOTA[[#This Row],[TGL.NOTA]]="",IF(NOTA[[#This Row],[SUPPLIER_H]]="","",AM282),MONTH(NOTA[[#This Row],[TGL.NOTA]]))</f>
        <v/>
      </c>
      <c r="AN2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3" s="35" t="str">
        <f>IF(NOTA[[#This Row],[CONCAT1]]="","",MATCH(NOTA[[#This Row],[CONCAT1]],[3]!db[NB NOTA_C],0))</f>
        <v/>
      </c>
      <c r="AS283" s="35" t="str">
        <f>IF(NOTA[[#This Row],[Column5]]="","",TRUE)</f>
        <v/>
      </c>
      <c r="AT283" s="35" t="str">
        <f ca="1">IF(NOTA[[#This Row],[ID_H]]="","",IF(NOTA[[#This Row],[Column3]]=TRUE,NOTA[[#This Row],[Column5]],INDEX([3]!db[QTY/ CTN],NOTA[[#This Row],[//DB]])))</f>
        <v/>
      </c>
      <c r="AU2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3" s="35" t="str">
        <f ca="1">IF(NOTA[[#This Row],[ID_H]]="","",MATCH(NOTA[[#This Row],[NB NOTA_C_QTY]],[3]!db[NB NOTA_C_QTY+F],0))</f>
        <v/>
      </c>
      <c r="AW283" s="43" t="str">
        <f ca="1">IF(NOTA[[#This Row],[NB NOTA_C_QTY]]="","",ROW()-2)</f>
        <v/>
      </c>
    </row>
    <row r="284" spans="1:49" ht="20.100000000000001" customHeight="1">
      <c r="A2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5" t="str">
        <f ca="1">IF(NOTA[[#This Row],[NAMA BARANG]]="","",INDEX(NOTA[ID],MATCH(,INDIRECT(ADDRESS(ROW(NOTA[ID]),COLUMN(NOTA[ID]))&amp;":"&amp;ADDRESS(ROW(),COLUMN(NOTA[ID]))),-1)))</f>
        <v/>
      </c>
      <c r="C284" s="45"/>
      <c r="F284" s="46"/>
      <c r="G284" s="35"/>
      <c r="H284" s="36"/>
      <c r="I284" s="35"/>
      <c r="K284" s="37"/>
      <c r="L284" s="35"/>
      <c r="N284" s="38"/>
      <c r="O284" s="39"/>
      <c r="P284" s="47"/>
      <c r="Q284" s="48"/>
      <c r="R284" s="41"/>
      <c r="T284" s="42"/>
      <c r="U284" s="44"/>
      <c r="V284" s="42" t="str">
        <f>IF(NOTA[[#This Row],[HARGA/ CTN]]="",NOTA[[#This Row],[JUMLAH_H]],NOTA[[#This Row],[HARGA/ CTN]]*IF(NOTA[[#This Row],[C]]="",0,NOTA[[#This Row],[C]]))</f>
        <v/>
      </c>
      <c r="W284" s="42" t="str">
        <f>IF(NOTA[[#This Row],[JUMLAH]]="","",NOTA[[#This Row],[JUMLAH]]*NOTA[[#This Row],[Column6]])</f>
        <v/>
      </c>
      <c r="X284" s="42" t="str">
        <f>IF(NOTA[[#This Row],[JUMLAH]]="","",(NOTA[[#This Row],[JUMLAH]]-NOTA[[#This Row],[DISC 1-]])*NOTA[[#This Row],[Column7]])</f>
        <v/>
      </c>
      <c r="Y284" s="42" t="str">
        <f>IF(NOTA[[#This Row],[JUMLAH]]="","",(NOTA[[#This Row],[JUMLAH]]-NOTA[[#This Row],[DISC 1-]]-NOTA[[#This Row],[DISC 2-]])*NOTA[[#This Row],[Column8]])</f>
        <v/>
      </c>
      <c r="Z284" s="42" t="str">
        <f>IF(NOTA[[#This Row],[JUMLAH]]="","",NOTA[[#This Row],[DISC 1-]]+NOTA[[#This Row],[DISC 2-]]+NOTA[[#This Row],[DISC 3-]])</f>
        <v/>
      </c>
      <c r="AA284" s="42" t="str">
        <f>IF(NOTA[[#This Row],[JUMLAH]]="","",NOTA[[#This Row],[JUMLAH]]-NOTA[[#This Row],[DISC]])</f>
        <v/>
      </c>
      <c r="AB284" s="42"/>
      <c r="AC2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42" t="str">
        <f>IF(OR(NOTA[[#This Row],[QTY]]="",NOTA[[#This Row],[HARGA SATUAN]]="",),"",NOTA[[#This Row],[QTY]]*NOTA[[#This Row],[HARGA SATUAN]])</f>
        <v/>
      </c>
      <c r="AG284" s="36" t="str">
        <f ca="1">IF(NOTA[[#This Row],[ID_H]]="","",INDEX(NOTA[TANGGAL],MATCH(,INDIRECT(ADDRESS(ROW(NOTA[TANGGAL]),COLUMN(NOTA[TANGGAL]))&amp;":"&amp;ADDRESS(ROW(),COLUMN(NOTA[TANGGAL]))),-1)))</f>
        <v/>
      </c>
      <c r="AH284" s="36" t="str">
        <f ca="1">IF(NOTA[[#This Row],[ID_H]]="","",INDEX(NOTA[TGL.NOTA],MATCH(,INDIRECT(ADDRESS(ROW(NOTA[TGL.NOTA]),COLUMN(NOTA[TGL.NOTA]))&amp;":"&amp;ADDRESS(ROW(),COLUMN(NOTA[TGL.NOTA]))),-1)))</f>
        <v/>
      </c>
      <c r="AI284" s="36" t="str">
        <f ca="1">IF(NOTA[[#This Row],[ID_H]]="","",INDEX(NOTA[NO.NOTA],MATCH(NOTA[[#This Row],[ID_H]],NOTA[ID_H],0)))</f>
        <v/>
      </c>
      <c r="AJ284" s="38" t="str">
        <f ca="1">IF(NOTA[[#This Row],[NAMA BARANG]]="","",INDEX(NOTA[SUPPLIER],MATCH(,INDIRECT(ADDRESS(ROW(NOTA[ID]),COLUMN(NOTA[ID]))&amp;":"&amp;ADDRESS(ROW(),COLUMN(NOTA[ID]))),-1)))</f>
        <v/>
      </c>
      <c r="AK284" s="38" t="str">
        <f ca="1">IF(NOTA[[#This Row],[ID_H]]="","",IF(NOTA[[#This Row],[FAKTUR]]="",INDIRECT(ADDRESS(ROW()-1,COLUMN())),NOTA[[#This Row],[FAKTUR]]))</f>
        <v/>
      </c>
      <c r="AL284" s="35" t="str">
        <f ca="1">IF(NOTA[[#This Row],[ID]]="","",COUNTIF(NOTA[ID_H],NOTA[[#This Row],[ID_H]]))</f>
        <v/>
      </c>
      <c r="AM284" s="35" t="str">
        <f ca="1">IF(NOTA[[#This Row],[TGL.NOTA]]="",IF(NOTA[[#This Row],[SUPPLIER_H]]="","",AM283),MONTH(NOTA[[#This Row],[TGL.NOTA]]))</f>
        <v/>
      </c>
      <c r="AN2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4" s="35" t="str">
        <f>IF(NOTA[[#This Row],[CONCAT1]]="","",MATCH(NOTA[[#This Row],[CONCAT1]],[3]!db[NB NOTA_C],0))</f>
        <v/>
      </c>
      <c r="AS284" s="35" t="str">
        <f>IF(NOTA[[#This Row],[Column5]]="","",TRUE)</f>
        <v/>
      </c>
      <c r="AT284" s="35" t="str">
        <f ca="1">IF(NOTA[[#This Row],[ID_H]]="","",IF(NOTA[[#This Row],[Column3]]=TRUE,NOTA[[#This Row],[Column5]],INDEX([3]!db[QTY/ CTN],NOTA[[#This Row],[//DB]])))</f>
        <v/>
      </c>
      <c r="AU2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4" s="35" t="str">
        <f ca="1">IF(NOTA[[#This Row],[ID_H]]="","",MATCH(NOTA[[#This Row],[NB NOTA_C_QTY]],[3]!db[NB NOTA_C_QTY+F],0))</f>
        <v/>
      </c>
      <c r="AW284" s="43" t="str">
        <f ca="1">IF(NOTA[[#This Row],[NB NOTA_C_QTY]]="","",ROW()-2)</f>
        <v/>
      </c>
    </row>
    <row r="285" spans="1:49" ht="20.100000000000001" customHeight="1">
      <c r="A2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5" t="str">
        <f ca="1">IF(NOTA[[#This Row],[NAMA BARANG]]="","",INDEX(NOTA[ID],MATCH(,INDIRECT(ADDRESS(ROW(NOTA[ID]),COLUMN(NOTA[ID]))&amp;":"&amp;ADDRESS(ROW(),COLUMN(NOTA[ID]))),-1)))</f>
        <v/>
      </c>
      <c r="C285" s="45"/>
      <c r="F285" s="46"/>
      <c r="G285" s="35"/>
      <c r="H285" s="36"/>
      <c r="I285" s="35"/>
      <c r="K285" s="37"/>
      <c r="L285" s="35"/>
      <c r="N285" s="38"/>
      <c r="O285" s="39"/>
      <c r="P285" s="47"/>
      <c r="Q285" s="48"/>
      <c r="R285" s="41"/>
      <c r="T285" s="42"/>
      <c r="U285" s="44"/>
      <c r="V285" s="42" t="str">
        <f>IF(NOTA[[#This Row],[HARGA/ CTN]]="",NOTA[[#This Row],[JUMLAH_H]],NOTA[[#This Row],[HARGA/ CTN]]*IF(NOTA[[#This Row],[C]]="",0,NOTA[[#This Row],[C]]))</f>
        <v/>
      </c>
      <c r="W285" s="42" t="str">
        <f>IF(NOTA[[#This Row],[JUMLAH]]="","",NOTA[[#This Row],[JUMLAH]]*NOTA[[#This Row],[Column6]])</f>
        <v/>
      </c>
      <c r="X285" s="42" t="str">
        <f>IF(NOTA[[#This Row],[JUMLAH]]="","",(NOTA[[#This Row],[JUMLAH]]-NOTA[[#This Row],[DISC 1-]])*NOTA[[#This Row],[Column7]])</f>
        <v/>
      </c>
      <c r="Y285" s="42" t="str">
        <f>IF(NOTA[[#This Row],[JUMLAH]]="","",(NOTA[[#This Row],[JUMLAH]]-NOTA[[#This Row],[DISC 1-]]-NOTA[[#This Row],[DISC 2-]])*NOTA[[#This Row],[Column8]])</f>
        <v/>
      </c>
      <c r="Z285" s="42" t="str">
        <f>IF(NOTA[[#This Row],[JUMLAH]]="","",NOTA[[#This Row],[DISC 1-]]+NOTA[[#This Row],[DISC 2-]]+NOTA[[#This Row],[DISC 3-]])</f>
        <v/>
      </c>
      <c r="AA285" s="42" t="str">
        <f>IF(NOTA[[#This Row],[JUMLAH]]="","",NOTA[[#This Row],[JUMLAH]]-NOTA[[#This Row],[DISC]])</f>
        <v/>
      </c>
      <c r="AB285" s="42"/>
      <c r="AC2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5" s="42" t="str">
        <f>IF(OR(NOTA[[#This Row],[QTY]]="",NOTA[[#This Row],[HARGA SATUAN]]="",),"",NOTA[[#This Row],[QTY]]*NOTA[[#This Row],[HARGA SATUAN]])</f>
        <v/>
      </c>
      <c r="AG285" s="36" t="str">
        <f ca="1">IF(NOTA[[#This Row],[ID_H]]="","",INDEX(NOTA[TANGGAL],MATCH(,INDIRECT(ADDRESS(ROW(NOTA[TANGGAL]),COLUMN(NOTA[TANGGAL]))&amp;":"&amp;ADDRESS(ROW(),COLUMN(NOTA[TANGGAL]))),-1)))</f>
        <v/>
      </c>
      <c r="AH285" s="36" t="str">
        <f ca="1">IF(NOTA[[#This Row],[ID_H]]="","",INDEX(NOTA[TGL.NOTA],MATCH(,INDIRECT(ADDRESS(ROW(NOTA[TGL.NOTA]),COLUMN(NOTA[TGL.NOTA]))&amp;":"&amp;ADDRESS(ROW(),COLUMN(NOTA[TGL.NOTA]))),-1)))</f>
        <v/>
      </c>
      <c r="AI285" s="36" t="str">
        <f ca="1">IF(NOTA[[#This Row],[ID_H]]="","",INDEX(NOTA[NO.NOTA],MATCH(NOTA[[#This Row],[ID_H]],NOTA[ID_H],0)))</f>
        <v/>
      </c>
      <c r="AJ285" s="38" t="str">
        <f ca="1">IF(NOTA[[#This Row],[NAMA BARANG]]="","",INDEX(NOTA[SUPPLIER],MATCH(,INDIRECT(ADDRESS(ROW(NOTA[ID]),COLUMN(NOTA[ID]))&amp;":"&amp;ADDRESS(ROW(),COLUMN(NOTA[ID]))),-1)))</f>
        <v/>
      </c>
      <c r="AK285" s="38" t="str">
        <f ca="1">IF(NOTA[[#This Row],[ID_H]]="","",IF(NOTA[[#This Row],[FAKTUR]]="",INDIRECT(ADDRESS(ROW()-1,COLUMN())),NOTA[[#This Row],[FAKTUR]]))</f>
        <v/>
      </c>
      <c r="AL285" s="35" t="str">
        <f ca="1">IF(NOTA[[#This Row],[ID]]="","",COUNTIF(NOTA[ID_H],NOTA[[#This Row],[ID_H]]))</f>
        <v/>
      </c>
      <c r="AM285" s="35" t="str">
        <f ca="1">IF(NOTA[[#This Row],[TGL.NOTA]]="",IF(NOTA[[#This Row],[SUPPLIER_H]]="","",AM284),MONTH(NOTA[[#This Row],[TGL.NOTA]]))</f>
        <v/>
      </c>
      <c r="AN2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5" s="35" t="str">
        <f>IF(NOTA[[#This Row],[CONCAT1]]="","",MATCH(NOTA[[#This Row],[CONCAT1]],[3]!db[NB NOTA_C],0))</f>
        <v/>
      </c>
      <c r="AS285" s="35" t="str">
        <f>IF(NOTA[[#This Row],[Column5]]="","",TRUE)</f>
        <v/>
      </c>
      <c r="AT285" s="35" t="str">
        <f ca="1">IF(NOTA[[#This Row],[ID_H]]="","",IF(NOTA[[#This Row],[Column3]]=TRUE,NOTA[[#This Row],[Column5]],INDEX([3]!db[QTY/ CTN],NOTA[[#This Row],[//DB]])))</f>
        <v/>
      </c>
      <c r="AU2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5" s="35" t="str">
        <f ca="1">IF(NOTA[[#This Row],[ID_H]]="","",MATCH(NOTA[[#This Row],[NB NOTA_C_QTY]],[3]!db[NB NOTA_C_QTY+F],0))</f>
        <v/>
      </c>
      <c r="AW285" s="43" t="str">
        <f ca="1">IF(NOTA[[#This Row],[NB NOTA_C_QTY]]="","",ROW()-2)</f>
        <v/>
      </c>
    </row>
    <row r="286" spans="1:49" ht="20.100000000000001" customHeight="1">
      <c r="A2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5" t="str">
        <f ca="1">IF(NOTA[[#This Row],[NAMA BARANG]]="","",INDEX(NOTA[ID],MATCH(,INDIRECT(ADDRESS(ROW(NOTA[ID]),COLUMN(NOTA[ID]))&amp;":"&amp;ADDRESS(ROW(),COLUMN(NOTA[ID]))),-1)))</f>
        <v/>
      </c>
      <c r="C286" s="45"/>
      <c r="F286" s="46"/>
      <c r="G286" s="35"/>
      <c r="H286" s="36"/>
      <c r="I286" s="35"/>
      <c r="K286" s="37"/>
      <c r="L286" s="35"/>
      <c r="N286" s="38"/>
      <c r="O286" s="39"/>
      <c r="P286" s="47"/>
      <c r="Q286" s="48"/>
      <c r="R286" s="41"/>
      <c r="T286" s="42"/>
      <c r="U286" s="44"/>
      <c r="V286" s="42" t="str">
        <f>IF(NOTA[[#This Row],[HARGA/ CTN]]="",NOTA[[#This Row],[JUMLAH_H]],NOTA[[#This Row],[HARGA/ CTN]]*IF(NOTA[[#This Row],[C]]="",0,NOTA[[#This Row],[C]]))</f>
        <v/>
      </c>
      <c r="W286" s="42" t="str">
        <f>IF(NOTA[[#This Row],[JUMLAH]]="","",NOTA[[#This Row],[JUMLAH]]*NOTA[[#This Row],[Column6]])</f>
        <v/>
      </c>
      <c r="X286" s="42" t="str">
        <f>IF(NOTA[[#This Row],[JUMLAH]]="","",(NOTA[[#This Row],[JUMLAH]]-NOTA[[#This Row],[DISC 1-]])*NOTA[[#This Row],[Column7]])</f>
        <v/>
      </c>
      <c r="Y286" s="42" t="str">
        <f>IF(NOTA[[#This Row],[JUMLAH]]="","",(NOTA[[#This Row],[JUMLAH]]-NOTA[[#This Row],[DISC 1-]]-NOTA[[#This Row],[DISC 2-]])*NOTA[[#This Row],[Column8]])</f>
        <v/>
      </c>
      <c r="Z286" s="42" t="str">
        <f>IF(NOTA[[#This Row],[JUMLAH]]="","",NOTA[[#This Row],[DISC 1-]]+NOTA[[#This Row],[DISC 2-]]+NOTA[[#This Row],[DISC 3-]])</f>
        <v/>
      </c>
      <c r="AA286" s="42" t="str">
        <f>IF(NOTA[[#This Row],[JUMLAH]]="","",NOTA[[#This Row],[JUMLAH]]-NOTA[[#This Row],[DISC]])</f>
        <v/>
      </c>
      <c r="AB286" s="42"/>
      <c r="AC2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6" s="42" t="str">
        <f>IF(OR(NOTA[[#This Row],[QTY]]="",NOTA[[#This Row],[HARGA SATUAN]]="",),"",NOTA[[#This Row],[QTY]]*NOTA[[#This Row],[HARGA SATUAN]])</f>
        <v/>
      </c>
      <c r="AG286" s="36" t="str">
        <f ca="1">IF(NOTA[[#This Row],[ID_H]]="","",INDEX(NOTA[TANGGAL],MATCH(,INDIRECT(ADDRESS(ROW(NOTA[TANGGAL]),COLUMN(NOTA[TANGGAL]))&amp;":"&amp;ADDRESS(ROW(),COLUMN(NOTA[TANGGAL]))),-1)))</f>
        <v/>
      </c>
      <c r="AH286" s="36" t="str">
        <f ca="1">IF(NOTA[[#This Row],[ID_H]]="","",INDEX(NOTA[TGL.NOTA],MATCH(,INDIRECT(ADDRESS(ROW(NOTA[TGL.NOTA]),COLUMN(NOTA[TGL.NOTA]))&amp;":"&amp;ADDRESS(ROW(),COLUMN(NOTA[TGL.NOTA]))),-1)))</f>
        <v/>
      </c>
      <c r="AI286" s="36" t="str">
        <f ca="1">IF(NOTA[[#This Row],[ID_H]]="","",INDEX(NOTA[NO.NOTA],MATCH(NOTA[[#This Row],[ID_H]],NOTA[ID_H],0)))</f>
        <v/>
      </c>
      <c r="AJ286" s="38" t="str">
        <f ca="1">IF(NOTA[[#This Row],[NAMA BARANG]]="","",INDEX(NOTA[SUPPLIER],MATCH(,INDIRECT(ADDRESS(ROW(NOTA[ID]),COLUMN(NOTA[ID]))&amp;":"&amp;ADDRESS(ROW(),COLUMN(NOTA[ID]))),-1)))</f>
        <v/>
      </c>
      <c r="AK286" s="38" t="str">
        <f ca="1">IF(NOTA[[#This Row],[ID_H]]="","",IF(NOTA[[#This Row],[FAKTUR]]="",INDIRECT(ADDRESS(ROW()-1,COLUMN())),NOTA[[#This Row],[FAKTUR]]))</f>
        <v/>
      </c>
      <c r="AL286" s="35" t="str">
        <f ca="1">IF(NOTA[[#This Row],[ID]]="","",COUNTIF(NOTA[ID_H],NOTA[[#This Row],[ID_H]]))</f>
        <v/>
      </c>
      <c r="AM286" s="35" t="str">
        <f ca="1">IF(NOTA[[#This Row],[TGL.NOTA]]="",IF(NOTA[[#This Row],[SUPPLIER_H]]="","",AM285),MONTH(NOTA[[#This Row],[TGL.NOTA]]))</f>
        <v/>
      </c>
      <c r="AN2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6" s="35" t="str">
        <f>IF(NOTA[[#This Row],[CONCAT1]]="","",MATCH(NOTA[[#This Row],[CONCAT1]],[3]!db[NB NOTA_C],0))</f>
        <v/>
      </c>
      <c r="AS286" s="35" t="str">
        <f>IF(NOTA[[#This Row],[Column5]]="","",TRUE)</f>
        <v/>
      </c>
      <c r="AT286" s="35" t="str">
        <f ca="1">IF(NOTA[[#This Row],[ID_H]]="","",IF(NOTA[[#This Row],[Column3]]=TRUE,NOTA[[#This Row],[Column5]],INDEX([3]!db[QTY/ CTN],NOTA[[#This Row],[//DB]])))</f>
        <v/>
      </c>
      <c r="AU2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6" s="35" t="str">
        <f ca="1">IF(NOTA[[#This Row],[ID_H]]="","",MATCH(NOTA[[#This Row],[NB NOTA_C_QTY]],[3]!db[NB NOTA_C_QTY+F],0))</f>
        <v/>
      </c>
      <c r="AW286" s="43" t="str">
        <f ca="1">IF(NOTA[[#This Row],[NB NOTA_C_QTY]]="","",ROW()-2)</f>
        <v/>
      </c>
    </row>
    <row r="287" spans="1:49" ht="20.100000000000001" customHeight="1">
      <c r="A2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5" t="str">
        <f ca="1">IF(NOTA[[#This Row],[NAMA BARANG]]="","",INDEX(NOTA[ID],MATCH(,INDIRECT(ADDRESS(ROW(NOTA[ID]),COLUMN(NOTA[ID]))&amp;":"&amp;ADDRESS(ROW(),COLUMN(NOTA[ID]))),-1)))</f>
        <v/>
      </c>
      <c r="C287" s="45"/>
      <c r="F287" s="46"/>
      <c r="G287" s="35"/>
      <c r="H287" s="36"/>
      <c r="I287" s="35"/>
      <c r="K287" s="37"/>
      <c r="L287" s="35"/>
      <c r="N287" s="38"/>
      <c r="O287" s="39"/>
      <c r="P287" s="47"/>
      <c r="Q287" s="48"/>
      <c r="R287" s="41"/>
      <c r="T287" s="42"/>
      <c r="U287" s="44"/>
      <c r="V287" s="42" t="str">
        <f>IF(NOTA[[#This Row],[HARGA/ CTN]]="",NOTA[[#This Row],[JUMLAH_H]],NOTA[[#This Row],[HARGA/ CTN]]*IF(NOTA[[#This Row],[C]]="",0,NOTA[[#This Row],[C]]))</f>
        <v/>
      </c>
      <c r="W287" s="42" t="str">
        <f>IF(NOTA[[#This Row],[JUMLAH]]="","",NOTA[[#This Row],[JUMLAH]]*NOTA[[#This Row],[Column6]])</f>
        <v/>
      </c>
      <c r="X287" s="42" t="str">
        <f>IF(NOTA[[#This Row],[JUMLAH]]="","",(NOTA[[#This Row],[JUMLAH]]-NOTA[[#This Row],[DISC 1-]])*NOTA[[#This Row],[Column7]])</f>
        <v/>
      </c>
      <c r="Y287" s="42" t="str">
        <f>IF(NOTA[[#This Row],[JUMLAH]]="","",(NOTA[[#This Row],[JUMLAH]]-NOTA[[#This Row],[DISC 1-]]-NOTA[[#This Row],[DISC 2-]])*NOTA[[#This Row],[Column8]])</f>
        <v/>
      </c>
      <c r="Z287" s="42" t="str">
        <f>IF(NOTA[[#This Row],[JUMLAH]]="","",NOTA[[#This Row],[DISC 1-]]+NOTA[[#This Row],[DISC 2-]]+NOTA[[#This Row],[DISC 3-]])</f>
        <v/>
      </c>
      <c r="AA287" s="42" t="str">
        <f>IF(NOTA[[#This Row],[JUMLAH]]="","",NOTA[[#This Row],[JUMLAH]]-NOTA[[#This Row],[DISC]])</f>
        <v/>
      </c>
      <c r="AB287" s="42"/>
      <c r="AC2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7" s="42" t="str">
        <f>IF(OR(NOTA[[#This Row],[QTY]]="",NOTA[[#This Row],[HARGA SATUAN]]="",),"",NOTA[[#This Row],[QTY]]*NOTA[[#This Row],[HARGA SATUAN]])</f>
        <v/>
      </c>
      <c r="AG287" s="36" t="str">
        <f ca="1">IF(NOTA[[#This Row],[ID_H]]="","",INDEX(NOTA[TANGGAL],MATCH(,INDIRECT(ADDRESS(ROW(NOTA[TANGGAL]),COLUMN(NOTA[TANGGAL]))&amp;":"&amp;ADDRESS(ROW(),COLUMN(NOTA[TANGGAL]))),-1)))</f>
        <v/>
      </c>
      <c r="AH287" s="36" t="str">
        <f ca="1">IF(NOTA[[#This Row],[ID_H]]="","",INDEX(NOTA[TGL.NOTA],MATCH(,INDIRECT(ADDRESS(ROW(NOTA[TGL.NOTA]),COLUMN(NOTA[TGL.NOTA]))&amp;":"&amp;ADDRESS(ROW(),COLUMN(NOTA[TGL.NOTA]))),-1)))</f>
        <v/>
      </c>
      <c r="AI287" s="36" t="str">
        <f ca="1">IF(NOTA[[#This Row],[ID_H]]="","",INDEX(NOTA[NO.NOTA],MATCH(NOTA[[#This Row],[ID_H]],NOTA[ID_H],0)))</f>
        <v/>
      </c>
      <c r="AJ287" s="38" t="str">
        <f ca="1">IF(NOTA[[#This Row],[NAMA BARANG]]="","",INDEX(NOTA[SUPPLIER],MATCH(,INDIRECT(ADDRESS(ROW(NOTA[ID]),COLUMN(NOTA[ID]))&amp;":"&amp;ADDRESS(ROW(),COLUMN(NOTA[ID]))),-1)))</f>
        <v/>
      </c>
      <c r="AK287" s="38" t="str">
        <f ca="1">IF(NOTA[[#This Row],[ID_H]]="","",IF(NOTA[[#This Row],[FAKTUR]]="",INDIRECT(ADDRESS(ROW()-1,COLUMN())),NOTA[[#This Row],[FAKTUR]]))</f>
        <v/>
      </c>
      <c r="AL287" s="35" t="str">
        <f ca="1">IF(NOTA[[#This Row],[ID]]="","",COUNTIF(NOTA[ID_H],NOTA[[#This Row],[ID_H]]))</f>
        <v/>
      </c>
      <c r="AM287" s="35" t="str">
        <f ca="1">IF(NOTA[[#This Row],[TGL.NOTA]]="",IF(NOTA[[#This Row],[SUPPLIER_H]]="","",AM286),MONTH(NOTA[[#This Row],[TGL.NOTA]]))</f>
        <v/>
      </c>
      <c r="AN2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7" s="35" t="str">
        <f>IF(NOTA[[#This Row],[CONCAT1]]="","",MATCH(NOTA[[#This Row],[CONCAT1]],[3]!db[NB NOTA_C],0))</f>
        <v/>
      </c>
      <c r="AS287" s="35" t="str">
        <f>IF(NOTA[[#This Row],[Column5]]="","",TRUE)</f>
        <v/>
      </c>
      <c r="AT287" s="35" t="str">
        <f ca="1">IF(NOTA[[#This Row],[ID_H]]="","",IF(NOTA[[#This Row],[Column3]]=TRUE,NOTA[[#This Row],[Column5]],INDEX([3]!db[QTY/ CTN],NOTA[[#This Row],[//DB]])))</f>
        <v/>
      </c>
      <c r="AU2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7" s="35" t="str">
        <f ca="1">IF(NOTA[[#This Row],[ID_H]]="","",MATCH(NOTA[[#This Row],[NB NOTA_C_QTY]],[3]!db[NB NOTA_C_QTY+F],0))</f>
        <v/>
      </c>
      <c r="AW287" s="43" t="str">
        <f ca="1">IF(NOTA[[#This Row],[NB NOTA_C_QTY]]="","",ROW()-2)</f>
        <v/>
      </c>
    </row>
    <row r="288" spans="1:49" ht="20.100000000000001" customHeight="1">
      <c r="A2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5" t="str">
        <f ca="1">IF(NOTA[[#This Row],[NAMA BARANG]]="","",INDEX(NOTA[ID],MATCH(,INDIRECT(ADDRESS(ROW(NOTA[ID]),COLUMN(NOTA[ID]))&amp;":"&amp;ADDRESS(ROW(),COLUMN(NOTA[ID]))),-1)))</f>
        <v/>
      </c>
      <c r="C288" s="45"/>
      <c r="F288" s="46"/>
      <c r="G288" s="35"/>
      <c r="H288" s="36"/>
      <c r="I288" s="35"/>
      <c r="K288" s="37"/>
      <c r="L288" s="35"/>
      <c r="N288" s="38"/>
      <c r="O288" s="39"/>
      <c r="P288" s="47"/>
      <c r="Q288" s="48"/>
      <c r="R288" s="41"/>
      <c r="T288" s="42"/>
      <c r="U288" s="44"/>
      <c r="V288" s="42" t="str">
        <f>IF(NOTA[[#This Row],[HARGA/ CTN]]="",NOTA[[#This Row],[JUMLAH_H]],NOTA[[#This Row],[HARGA/ CTN]]*IF(NOTA[[#This Row],[C]]="",0,NOTA[[#This Row],[C]]))</f>
        <v/>
      </c>
      <c r="W288" s="42" t="str">
        <f>IF(NOTA[[#This Row],[JUMLAH]]="","",NOTA[[#This Row],[JUMLAH]]*NOTA[[#This Row],[Column6]])</f>
        <v/>
      </c>
      <c r="X288" s="42" t="str">
        <f>IF(NOTA[[#This Row],[JUMLAH]]="","",(NOTA[[#This Row],[JUMLAH]]-NOTA[[#This Row],[DISC 1-]])*NOTA[[#This Row],[Column7]])</f>
        <v/>
      </c>
      <c r="Y288" s="42" t="str">
        <f>IF(NOTA[[#This Row],[JUMLAH]]="","",(NOTA[[#This Row],[JUMLAH]]-NOTA[[#This Row],[DISC 1-]]-NOTA[[#This Row],[DISC 2-]])*NOTA[[#This Row],[Column8]])</f>
        <v/>
      </c>
      <c r="Z288" s="42" t="str">
        <f>IF(NOTA[[#This Row],[JUMLAH]]="","",NOTA[[#This Row],[DISC 1-]]+NOTA[[#This Row],[DISC 2-]]+NOTA[[#This Row],[DISC 3-]])</f>
        <v/>
      </c>
      <c r="AA288" s="42" t="str">
        <f>IF(NOTA[[#This Row],[JUMLAH]]="","",NOTA[[#This Row],[JUMLAH]]-NOTA[[#This Row],[DISC]])</f>
        <v/>
      </c>
      <c r="AB288" s="42"/>
      <c r="AC2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42" t="str">
        <f>IF(OR(NOTA[[#This Row],[QTY]]="",NOTA[[#This Row],[HARGA SATUAN]]="",),"",NOTA[[#This Row],[QTY]]*NOTA[[#This Row],[HARGA SATUAN]])</f>
        <v/>
      </c>
      <c r="AG288" s="36" t="str">
        <f ca="1">IF(NOTA[[#This Row],[ID_H]]="","",INDEX(NOTA[TANGGAL],MATCH(,INDIRECT(ADDRESS(ROW(NOTA[TANGGAL]),COLUMN(NOTA[TANGGAL]))&amp;":"&amp;ADDRESS(ROW(),COLUMN(NOTA[TANGGAL]))),-1)))</f>
        <v/>
      </c>
      <c r="AH288" s="36" t="str">
        <f ca="1">IF(NOTA[[#This Row],[ID_H]]="","",INDEX(NOTA[TGL.NOTA],MATCH(,INDIRECT(ADDRESS(ROW(NOTA[TGL.NOTA]),COLUMN(NOTA[TGL.NOTA]))&amp;":"&amp;ADDRESS(ROW(),COLUMN(NOTA[TGL.NOTA]))),-1)))</f>
        <v/>
      </c>
      <c r="AI288" s="36" t="str">
        <f ca="1">IF(NOTA[[#This Row],[ID_H]]="","",INDEX(NOTA[NO.NOTA],MATCH(NOTA[[#This Row],[ID_H]],NOTA[ID_H],0)))</f>
        <v/>
      </c>
      <c r="AJ288" s="38" t="str">
        <f ca="1">IF(NOTA[[#This Row],[NAMA BARANG]]="","",INDEX(NOTA[SUPPLIER],MATCH(,INDIRECT(ADDRESS(ROW(NOTA[ID]),COLUMN(NOTA[ID]))&amp;":"&amp;ADDRESS(ROW(),COLUMN(NOTA[ID]))),-1)))</f>
        <v/>
      </c>
      <c r="AK288" s="38" t="str">
        <f ca="1">IF(NOTA[[#This Row],[ID_H]]="","",IF(NOTA[[#This Row],[FAKTUR]]="",INDIRECT(ADDRESS(ROW()-1,COLUMN())),NOTA[[#This Row],[FAKTUR]]))</f>
        <v/>
      </c>
      <c r="AL288" s="35" t="str">
        <f ca="1">IF(NOTA[[#This Row],[ID]]="","",COUNTIF(NOTA[ID_H],NOTA[[#This Row],[ID_H]]))</f>
        <v/>
      </c>
      <c r="AM288" s="35" t="str">
        <f ca="1">IF(NOTA[[#This Row],[TGL.NOTA]]="",IF(NOTA[[#This Row],[SUPPLIER_H]]="","",AM287),MONTH(NOTA[[#This Row],[TGL.NOTA]]))</f>
        <v/>
      </c>
      <c r="AN2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8" s="35" t="str">
        <f>IF(NOTA[[#This Row],[CONCAT1]]="","",MATCH(NOTA[[#This Row],[CONCAT1]],[3]!db[NB NOTA_C],0))</f>
        <v/>
      </c>
      <c r="AS288" s="35" t="str">
        <f>IF(NOTA[[#This Row],[Column5]]="","",TRUE)</f>
        <v/>
      </c>
      <c r="AT288" s="35" t="str">
        <f ca="1">IF(NOTA[[#This Row],[ID_H]]="","",IF(NOTA[[#This Row],[Column3]]=TRUE,NOTA[[#This Row],[Column5]],INDEX([3]!db[QTY/ CTN],NOTA[[#This Row],[//DB]])))</f>
        <v/>
      </c>
      <c r="AU2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8" s="35" t="str">
        <f ca="1">IF(NOTA[[#This Row],[ID_H]]="","",MATCH(NOTA[[#This Row],[NB NOTA_C_QTY]],[3]!db[NB NOTA_C_QTY+F],0))</f>
        <v/>
      </c>
      <c r="AW288" s="43" t="str">
        <f ca="1">IF(NOTA[[#This Row],[NB NOTA_C_QTY]]="","",ROW()-2)</f>
        <v/>
      </c>
    </row>
    <row r="289" spans="1:49" ht="20.100000000000001" customHeight="1">
      <c r="A2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5" t="str">
        <f ca="1">IF(NOTA[[#This Row],[NAMA BARANG]]="","",INDEX(NOTA[ID],MATCH(,INDIRECT(ADDRESS(ROW(NOTA[ID]),COLUMN(NOTA[ID]))&amp;":"&amp;ADDRESS(ROW(),COLUMN(NOTA[ID]))),-1)))</f>
        <v/>
      </c>
      <c r="C289" s="45"/>
      <c r="F289" s="46"/>
      <c r="G289" s="35"/>
      <c r="H289" s="36"/>
      <c r="I289" s="35"/>
      <c r="K289" s="37"/>
      <c r="L289" s="35"/>
      <c r="N289" s="38"/>
      <c r="O289" s="39"/>
      <c r="P289" s="47"/>
      <c r="Q289" s="48"/>
      <c r="R289" s="41"/>
      <c r="T289" s="42"/>
      <c r="U289" s="44"/>
      <c r="V289" s="42" t="str">
        <f>IF(NOTA[[#This Row],[HARGA/ CTN]]="",NOTA[[#This Row],[JUMLAH_H]],NOTA[[#This Row],[HARGA/ CTN]]*IF(NOTA[[#This Row],[C]]="",0,NOTA[[#This Row],[C]]))</f>
        <v/>
      </c>
      <c r="W289" s="42" t="str">
        <f>IF(NOTA[[#This Row],[JUMLAH]]="","",NOTA[[#This Row],[JUMLAH]]*NOTA[[#This Row],[Column6]])</f>
        <v/>
      </c>
      <c r="X289" s="42" t="str">
        <f>IF(NOTA[[#This Row],[JUMLAH]]="","",(NOTA[[#This Row],[JUMLAH]]-NOTA[[#This Row],[DISC 1-]])*NOTA[[#This Row],[Column7]])</f>
        <v/>
      </c>
      <c r="Y289" s="42" t="str">
        <f>IF(NOTA[[#This Row],[JUMLAH]]="","",(NOTA[[#This Row],[JUMLAH]]-NOTA[[#This Row],[DISC 1-]]-NOTA[[#This Row],[DISC 2-]])*NOTA[[#This Row],[Column8]])</f>
        <v/>
      </c>
      <c r="Z289" s="42" t="str">
        <f>IF(NOTA[[#This Row],[JUMLAH]]="","",NOTA[[#This Row],[DISC 1-]]+NOTA[[#This Row],[DISC 2-]]+NOTA[[#This Row],[DISC 3-]])</f>
        <v/>
      </c>
      <c r="AA289" s="42" t="str">
        <f>IF(NOTA[[#This Row],[JUMLAH]]="","",NOTA[[#This Row],[JUMLAH]]-NOTA[[#This Row],[DISC]])</f>
        <v/>
      </c>
      <c r="AB289" s="42"/>
      <c r="AC2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42" t="str">
        <f>IF(OR(NOTA[[#This Row],[QTY]]="",NOTA[[#This Row],[HARGA SATUAN]]="",),"",NOTA[[#This Row],[QTY]]*NOTA[[#This Row],[HARGA SATUAN]])</f>
        <v/>
      </c>
      <c r="AG289" s="36" t="str">
        <f ca="1">IF(NOTA[[#This Row],[ID_H]]="","",INDEX(NOTA[TANGGAL],MATCH(,INDIRECT(ADDRESS(ROW(NOTA[TANGGAL]),COLUMN(NOTA[TANGGAL]))&amp;":"&amp;ADDRESS(ROW(),COLUMN(NOTA[TANGGAL]))),-1)))</f>
        <v/>
      </c>
      <c r="AH289" s="36" t="str">
        <f ca="1">IF(NOTA[[#This Row],[ID_H]]="","",INDEX(NOTA[TGL.NOTA],MATCH(,INDIRECT(ADDRESS(ROW(NOTA[TGL.NOTA]),COLUMN(NOTA[TGL.NOTA]))&amp;":"&amp;ADDRESS(ROW(),COLUMN(NOTA[TGL.NOTA]))),-1)))</f>
        <v/>
      </c>
      <c r="AI289" s="36" t="str">
        <f ca="1">IF(NOTA[[#This Row],[ID_H]]="","",INDEX(NOTA[NO.NOTA],MATCH(NOTA[[#This Row],[ID_H]],NOTA[ID_H],0)))</f>
        <v/>
      </c>
      <c r="AJ289" s="38" t="str">
        <f ca="1">IF(NOTA[[#This Row],[NAMA BARANG]]="","",INDEX(NOTA[SUPPLIER],MATCH(,INDIRECT(ADDRESS(ROW(NOTA[ID]),COLUMN(NOTA[ID]))&amp;":"&amp;ADDRESS(ROW(),COLUMN(NOTA[ID]))),-1)))</f>
        <v/>
      </c>
      <c r="AK289" s="38" t="str">
        <f ca="1">IF(NOTA[[#This Row],[ID_H]]="","",IF(NOTA[[#This Row],[FAKTUR]]="",INDIRECT(ADDRESS(ROW()-1,COLUMN())),NOTA[[#This Row],[FAKTUR]]))</f>
        <v/>
      </c>
      <c r="AL289" s="35" t="str">
        <f ca="1">IF(NOTA[[#This Row],[ID]]="","",COUNTIF(NOTA[ID_H],NOTA[[#This Row],[ID_H]]))</f>
        <v/>
      </c>
      <c r="AM289" s="35" t="str">
        <f ca="1">IF(NOTA[[#This Row],[TGL.NOTA]]="",IF(NOTA[[#This Row],[SUPPLIER_H]]="","",AM288),MONTH(NOTA[[#This Row],[TGL.NOTA]]))</f>
        <v/>
      </c>
      <c r="AN2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9" s="35" t="str">
        <f>IF(NOTA[[#This Row],[CONCAT1]]="","",MATCH(NOTA[[#This Row],[CONCAT1]],[3]!db[NB NOTA_C],0))</f>
        <v/>
      </c>
      <c r="AS289" s="35" t="str">
        <f>IF(NOTA[[#This Row],[Column5]]="","",TRUE)</f>
        <v/>
      </c>
      <c r="AT289" s="35" t="str">
        <f ca="1">IF(NOTA[[#This Row],[ID_H]]="","",IF(NOTA[[#This Row],[Column3]]=TRUE,NOTA[[#This Row],[Column5]],INDEX([3]!db[QTY/ CTN],NOTA[[#This Row],[//DB]])))</f>
        <v/>
      </c>
      <c r="AU2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89" s="35" t="str">
        <f ca="1">IF(NOTA[[#This Row],[ID_H]]="","",MATCH(NOTA[[#This Row],[NB NOTA_C_QTY]],[3]!db[NB NOTA_C_QTY+F],0))</f>
        <v/>
      </c>
      <c r="AW289" s="43" t="str">
        <f ca="1">IF(NOTA[[#This Row],[NB NOTA_C_QTY]]="","",ROW()-2)</f>
        <v/>
      </c>
    </row>
    <row r="290" spans="1:49" ht="20.100000000000001" customHeight="1">
      <c r="A2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35" t="str">
        <f ca="1">IF(NOTA[[#This Row],[NAMA BARANG]]="","",INDEX(NOTA[ID],MATCH(,INDIRECT(ADDRESS(ROW(NOTA[ID]),COLUMN(NOTA[ID]))&amp;":"&amp;ADDRESS(ROW(),COLUMN(NOTA[ID]))),-1)))</f>
        <v/>
      </c>
      <c r="C290" s="45"/>
      <c r="F290" s="46"/>
      <c r="G290" s="35"/>
      <c r="H290" s="36"/>
      <c r="I290" s="35"/>
      <c r="K290" s="37"/>
      <c r="L290" s="35"/>
      <c r="N290" s="38"/>
      <c r="O290" s="39"/>
      <c r="P290" s="47"/>
      <c r="Q290" s="48"/>
      <c r="R290" s="41"/>
      <c r="T290" s="42"/>
      <c r="U290" s="44"/>
      <c r="V290" s="42" t="str">
        <f>IF(NOTA[[#This Row],[HARGA/ CTN]]="",NOTA[[#This Row],[JUMLAH_H]],NOTA[[#This Row],[HARGA/ CTN]]*IF(NOTA[[#This Row],[C]]="",0,NOTA[[#This Row],[C]]))</f>
        <v/>
      </c>
      <c r="W290" s="42" t="str">
        <f>IF(NOTA[[#This Row],[JUMLAH]]="","",NOTA[[#This Row],[JUMLAH]]*NOTA[[#This Row],[Column6]])</f>
        <v/>
      </c>
      <c r="X290" s="42" t="str">
        <f>IF(NOTA[[#This Row],[JUMLAH]]="","",(NOTA[[#This Row],[JUMLAH]]-NOTA[[#This Row],[DISC 1-]])*NOTA[[#This Row],[Column7]])</f>
        <v/>
      </c>
      <c r="Y290" s="42" t="str">
        <f>IF(NOTA[[#This Row],[JUMLAH]]="","",(NOTA[[#This Row],[JUMLAH]]-NOTA[[#This Row],[DISC 1-]]-NOTA[[#This Row],[DISC 2-]])*NOTA[[#This Row],[Column8]])</f>
        <v/>
      </c>
      <c r="Z290" s="42" t="str">
        <f>IF(NOTA[[#This Row],[JUMLAH]]="","",NOTA[[#This Row],[DISC 1-]]+NOTA[[#This Row],[DISC 2-]]+NOTA[[#This Row],[DISC 3-]])</f>
        <v/>
      </c>
      <c r="AA290" s="42" t="str">
        <f>IF(NOTA[[#This Row],[JUMLAH]]="","",NOTA[[#This Row],[JUMLAH]]-NOTA[[#This Row],[DISC]])</f>
        <v/>
      </c>
      <c r="AB290" s="42"/>
      <c r="AC2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0" s="42" t="str">
        <f>IF(OR(NOTA[[#This Row],[QTY]]="",NOTA[[#This Row],[HARGA SATUAN]]="",),"",NOTA[[#This Row],[QTY]]*NOTA[[#This Row],[HARGA SATUAN]])</f>
        <v/>
      </c>
      <c r="AG290" s="36" t="str">
        <f ca="1">IF(NOTA[[#This Row],[ID_H]]="","",INDEX(NOTA[TANGGAL],MATCH(,INDIRECT(ADDRESS(ROW(NOTA[TANGGAL]),COLUMN(NOTA[TANGGAL]))&amp;":"&amp;ADDRESS(ROW(),COLUMN(NOTA[TANGGAL]))),-1)))</f>
        <v/>
      </c>
      <c r="AH290" s="36" t="str">
        <f ca="1">IF(NOTA[[#This Row],[ID_H]]="","",INDEX(NOTA[TGL.NOTA],MATCH(,INDIRECT(ADDRESS(ROW(NOTA[TGL.NOTA]),COLUMN(NOTA[TGL.NOTA]))&amp;":"&amp;ADDRESS(ROW(),COLUMN(NOTA[TGL.NOTA]))),-1)))</f>
        <v/>
      </c>
      <c r="AI290" s="36" t="str">
        <f ca="1">IF(NOTA[[#This Row],[ID_H]]="","",INDEX(NOTA[NO.NOTA],MATCH(NOTA[[#This Row],[ID_H]],NOTA[ID_H],0)))</f>
        <v/>
      </c>
      <c r="AJ290" s="38" t="str">
        <f ca="1">IF(NOTA[[#This Row],[NAMA BARANG]]="","",INDEX(NOTA[SUPPLIER],MATCH(,INDIRECT(ADDRESS(ROW(NOTA[ID]),COLUMN(NOTA[ID]))&amp;":"&amp;ADDRESS(ROW(),COLUMN(NOTA[ID]))),-1)))</f>
        <v/>
      </c>
      <c r="AK290" s="38" t="str">
        <f ca="1">IF(NOTA[[#This Row],[ID_H]]="","",IF(NOTA[[#This Row],[FAKTUR]]="",INDIRECT(ADDRESS(ROW()-1,COLUMN())),NOTA[[#This Row],[FAKTUR]]))</f>
        <v/>
      </c>
      <c r="AL290" s="35" t="str">
        <f ca="1">IF(NOTA[[#This Row],[ID]]="","",COUNTIF(NOTA[ID_H],NOTA[[#This Row],[ID_H]]))</f>
        <v/>
      </c>
      <c r="AM290" s="35" t="str">
        <f ca="1">IF(NOTA[[#This Row],[TGL.NOTA]]="",IF(NOTA[[#This Row],[SUPPLIER_H]]="","",AM289),MONTH(NOTA[[#This Row],[TGL.NOTA]]))</f>
        <v/>
      </c>
      <c r="AN2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0" s="35" t="str">
        <f>IF(NOTA[[#This Row],[CONCAT1]]="","",MATCH(NOTA[[#This Row],[CONCAT1]],[3]!db[NB NOTA_C],0))</f>
        <v/>
      </c>
      <c r="AS290" s="35" t="str">
        <f>IF(NOTA[[#This Row],[Column5]]="","",TRUE)</f>
        <v/>
      </c>
      <c r="AT290" s="35" t="str">
        <f ca="1">IF(NOTA[[#This Row],[ID_H]]="","",IF(NOTA[[#This Row],[Column3]]=TRUE,NOTA[[#This Row],[Column5]],INDEX([3]!db[QTY/ CTN],NOTA[[#This Row],[//DB]])))</f>
        <v/>
      </c>
      <c r="AU2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0" s="35" t="str">
        <f ca="1">IF(NOTA[[#This Row],[ID_H]]="","",MATCH(NOTA[[#This Row],[NB NOTA_C_QTY]],[3]!db[NB NOTA_C_QTY+F],0))</f>
        <v/>
      </c>
      <c r="AW290" s="43" t="str">
        <f ca="1">IF(NOTA[[#This Row],[NB NOTA_C_QTY]]="","",ROW()-2)</f>
        <v/>
      </c>
    </row>
    <row r="291" spans="1:49" ht="20.100000000000001" customHeight="1">
      <c r="A2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5" t="str">
        <f ca="1">IF(NOTA[[#This Row],[NAMA BARANG]]="","",INDEX(NOTA[ID],MATCH(,INDIRECT(ADDRESS(ROW(NOTA[ID]),COLUMN(NOTA[ID]))&amp;":"&amp;ADDRESS(ROW(),COLUMN(NOTA[ID]))),-1)))</f>
        <v/>
      </c>
      <c r="C291" s="45"/>
      <c r="F291" s="46"/>
      <c r="G291" s="35"/>
      <c r="H291" s="36"/>
      <c r="I291" s="35"/>
      <c r="K291" s="37"/>
      <c r="L291" s="35"/>
      <c r="N291" s="38"/>
      <c r="O291" s="39"/>
      <c r="P291" s="47"/>
      <c r="Q291" s="48"/>
      <c r="R291" s="41"/>
      <c r="T291" s="42"/>
      <c r="U291" s="44"/>
      <c r="V291" s="42" t="str">
        <f>IF(NOTA[[#This Row],[HARGA/ CTN]]="",NOTA[[#This Row],[JUMLAH_H]],NOTA[[#This Row],[HARGA/ CTN]]*IF(NOTA[[#This Row],[C]]="",0,NOTA[[#This Row],[C]]))</f>
        <v/>
      </c>
      <c r="W291" s="42" t="str">
        <f>IF(NOTA[[#This Row],[JUMLAH]]="","",NOTA[[#This Row],[JUMLAH]]*NOTA[[#This Row],[Column6]])</f>
        <v/>
      </c>
      <c r="X291" s="42" t="str">
        <f>IF(NOTA[[#This Row],[JUMLAH]]="","",(NOTA[[#This Row],[JUMLAH]]-NOTA[[#This Row],[DISC 1-]])*NOTA[[#This Row],[Column7]])</f>
        <v/>
      </c>
      <c r="Y291" s="42" t="str">
        <f>IF(NOTA[[#This Row],[JUMLAH]]="","",(NOTA[[#This Row],[JUMLAH]]-NOTA[[#This Row],[DISC 1-]]-NOTA[[#This Row],[DISC 2-]])*NOTA[[#This Row],[Column8]])</f>
        <v/>
      </c>
      <c r="Z291" s="42" t="str">
        <f>IF(NOTA[[#This Row],[JUMLAH]]="","",NOTA[[#This Row],[DISC 1-]]+NOTA[[#This Row],[DISC 2-]]+NOTA[[#This Row],[DISC 3-]])</f>
        <v/>
      </c>
      <c r="AA291" s="42" t="str">
        <f>IF(NOTA[[#This Row],[JUMLAH]]="","",NOTA[[#This Row],[JUMLAH]]-NOTA[[#This Row],[DISC]])</f>
        <v/>
      </c>
      <c r="AB291" s="42"/>
      <c r="AC2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1" s="42" t="str">
        <f>IF(OR(NOTA[[#This Row],[QTY]]="",NOTA[[#This Row],[HARGA SATUAN]]="",),"",NOTA[[#This Row],[QTY]]*NOTA[[#This Row],[HARGA SATUAN]])</f>
        <v/>
      </c>
      <c r="AG291" s="36" t="str">
        <f ca="1">IF(NOTA[[#This Row],[ID_H]]="","",INDEX(NOTA[TANGGAL],MATCH(,INDIRECT(ADDRESS(ROW(NOTA[TANGGAL]),COLUMN(NOTA[TANGGAL]))&amp;":"&amp;ADDRESS(ROW(),COLUMN(NOTA[TANGGAL]))),-1)))</f>
        <v/>
      </c>
      <c r="AH291" s="36" t="str">
        <f ca="1">IF(NOTA[[#This Row],[ID_H]]="","",INDEX(NOTA[TGL.NOTA],MATCH(,INDIRECT(ADDRESS(ROW(NOTA[TGL.NOTA]),COLUMN(NOTA[TGL.NOTA]))&amp;":"&amp;ADDRESS(ROW(),COLUMN(NOTA[TGL.NOTA]))),-1)))</f>
        <v/>
      </c>
      <c r="AI291" s="36" t="str">
        <f ca="1">IF(NOTA[[#This Row],[ID_H]]="","",INDEX(NOTA[NO.NOTA],MATCH(NOTA[[#This Row],[ID_H]],NOTA[ID_H],0)))</f>
        <v/>
      </c>
      <c r="AJ291" s="38" t="str">
        <f ca="1">IF(NOTA[[#This Row],[NAMA BARANG]]="","",INDEX(NOTA[SUPPLIER],MATCH(,INDIRECT(ADDRESS(ROW(NOTA[ID]),COLUMN(NOTA[ID]))&amp;":"&amp;ADDRESS(ROW(),COLUMN(NOTA[ID]))),-1)))</f>
        <v/>
      </c>
      <c r="AK291" s="38" t="str">
        <f ca="1">IF(NOTA[[#This Row],[ID_H]]="","",IF(NOTA[[#This Row],[FAKTUR]]="",INDIRECT(ADDRESS(ROW()-1,COLUMN())),NOTA[[#This Row],[FAKTUR]]))</f>
        <v/>
      </c>
      <c r="AL291" s="35" t="str">
        <f ca="1">IF(NOTA[[#This Row],[ID]]="","",COUNTIF(NOTA[ID_H],NOTA[[#This Row],[ID_H]]))</f>
        <v/>
      </c>
      <c r="AM291" s="35" t="str">
        <f ca="1">IF(NOTA[[#This Row],[TGL.NOTA]]="",IF(NOTA[[#This Row],[SUPPLIER_H]]="","",AM290),MONTH(NOTA[[#This Row],[TGL.NOTA]]))</f>
        <v/>
      </c>
      <c r="AN2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1" s="35" t="str">
        <f>IF(NOTA[[#This Row],[CONCAT1]]="","",MATCH(NOTA[[#This Row],[CONCAT1]],[3]!db[NB NOTA_C],0))</f>
        <v/>
      </c>
      <c r="AS291" s="35" t="str">
        <f>IF(NOTA[[#This Row],[Column5]]="","",TRUE)</f>
        <v/>
      </c>
      <c r="AT291" s="35" t="str">
        <f ca="1">IF(NOTA[[#This Row],[ID_H]]="","",IF(NOTA[[#This Row],[Column3]]=TRUE,NOTA[[#This Row],[Column5]],INDEX([3]!db[QTY/ CTN],NOTA[[#This Row],[//DB]])))</f>
        <v/>
      </c>
      <c r="AU2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1" s="35" t="str">
        <f ca="1">IF(NOTA[[#This Row],[ID_H]]="","",MATCH(NOTA[[#This Row],[NB NOTA_C_QTY]],[3]!db[NB NOTA_C_QTY+F],0))</f>
        <v/>
      </c>
      <c r="AW291" s="43" t="str">
        <f ca="1">IF(NOTA[[#This Row],[NB NOTA_C_QTY]]="","",ROW()-2)</f>
        <v/>
      </c>
    </row>
    <row r="292" spans="1:49" ht="20.100000000000001" customHeight="1">
      <c r="A2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5" t="str">
        <f ca="1">IF(NOTA[[#This Row],[NAMA BARANG]]="","",INDEX(NOTA[ID],MATCH(,INDIRECT(ADDRESS(ROW(NOTA[ID]),COLUMN(NOTA[ID]))&amp;":"&amp;ADDRESS(ROW(),COLUMN(NOTA[ID]))),-1)))</f>
        <v/>
      </c>
      <c r="C292" s="45"/>
      <c r="F292" s="46"/>
      <c r="G292" s="35"/>
      <c r="H292" s="36"/>
      <c r="I292" s="35"/>
      <c r="K292" s="37"/>
      <c r="L292" s="35"/>
      <c r="N292" s="38"/>
      <c r="O292" s="39"/>
      <c r="P292" s="47"/>
      <c r="Q292" s="48"/>
      <c r="R292" s="41"/>
      <c r="T292" s="42"/>
      <c r="U292" s="44"/>
      <c r="V292" s="42" t="str">
        <f>IF(NOTA[[#This Row],[HARGA/ CTN]]="",NOTA[[#This Row],[JUMLAH_H]],NOTA[[#This Row],[HARGA/ CTN]]*IF(NOTA[[#This Row],[C]]="",0,NOTA[[#This Row],[C]]))</f>
        <v/>
      </c>
      <c r="W292" s="42" t="str">
        <f>IF(NOTA[[#This Row],[JUMLAH]]="","",NOTA[[#This Row],[JUMLAH]]*NOTA[[#This Row],[Column6]])</f>
        <v/>
      </c>
      <c r="X292" s="42" t="str">
        <f>IF(NOTA[[#This Row],[JUMLAH]]="","",(NOTA[[#This Row],[JUMLAH]]-NOTA[[#This Row],[DISC 1-]])*NOTA[[#This Row],[Column7]])</f>
        <v/>
      </c>
      <c r="Y292" s="42" t="str">
        <f>IF(NOTA[[#This Row],[JUMLAH]]="","",(NOTA[[#This Row],[JUMLAH]]-NOTA[[#This Row],[DISC 1-]]-NOTA[[#This Row],[DISC 2-]])*NOTA[[#This Row],[Column8]])</f>
        <v/>
      </c>
      <c r="Z292" s="42" t="str">
        <f>IF(NOTA[[#This Row],[JUMLAH]]="","",NOTA[[#This Row],[DISC 1-]]+NOTA[[#This Row],[DISC 2-]]+NOTA[[#This Row],[DISC 3-]])</f>
        <v/>
      </c>
      <c r="AA292" s="42" t="str">
        <f>IF(NOTA[[#This Row],[JUMLAH]]="","",NOTA[[#This Row],[JUMLAH]]-NOTA[[#This Row],[DISC]])</f>
        <v/>
      </c>
      <c r="AB292" s="42"/>
      <c r="AC2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42" t="str">
        <f>IF(OR(NOTA[[#This Row],[QTY]]="",NOTA[[#This Row],[HARGA SATUAN]]="",),"",NOTA[[#This Row],[QTY]]*NOTA[[#This Row],[HARGA SATUAN]])</f>
        <v/>
      </c>
      <c r="AG292" s="36" t="str">
        <f ca="1">IF(NOTA[[#This Row],[ID_H]]="","",INDEX(NOTA[TANGGAL],MATCH(,INDIRECT(ADDRESS(ROW(NOTA[TANGGAL]),COLUMN(NOTA[TANGGAL]))&amp;":"&amp;ADDRESS(ROW(),COLUMN(NOTA[TANGGAL]))),-1)))</f>
        <v/>
      </c>
      <c r="AH292" s="36" t="str">
        <f ca="1">IF(NOTA[[#This Row],[ID_H]]="","",INDEX(NOTA[TGL.NOTA],MATCH(,INDIRECT(ADDRESS(ROW(NOTA[TGL.NOTA]),COLUMN(NOTA[TGL.NOTA]))&amp;":"&amp;ADDRESS(ROW(),COLUMN(NOTA[TGL.NOTA]))),-1)))</f>
        <v/>
      </c>
      <c r="AI292" s="36" t="str">
        <f ca="1">IF(NOTA[[#This Row],[ID_H]]="","",INDEX(NOTA[NO.NOTA],MATCH(NOTA[[#This Row],[ID_H]],NOTA[ID_H],0)))</f>
        <v/>
      </c>
      <c r="AJ292" s="38" t="str">
        <f ca="1">IF(NOTA[[#This Row],[NAMA BARANG]]="","",INDEX(NOTA[SUPPLIER],MATCH(,INDIRECT(ADDRESS(ROW(NOTA[ID]),COLUMN(NOTA[ID]))&amp;":"&amp;ADDRESS(ROW(),COLUMN(NOTA[ID]))),-1)))</f>
        <v/>
      </c>
      <c r="AK292" s="38" t="str">
        <f ca="1">IF(NOTA[[#This Row],[ID_H]]="","",IF(NOTA[[#This Row],[FAKTUR]]="",INDIRECT(ADDRESS(ROW()-1,COLUMN())),NOTA[[#This Row],[FAKTUR]]))</f>
        <v/>
      </c>
      <c r="AL292" s="35" t="str">
        <f ca="1">IF(NOTA[[#This Row],[ID]]="","",COUNTIF(NOTA[ID_H],NOTA[[#This Row],[ID_H]]))</f>
        <v/>
      </c>
      <c r="AM292" s="35" t="str">
        <f ca="1">IF(NOTA[[#This Row],[TGL.NOTA]]="",IF(NOTA[[#This Row],[SUPPLIER_H]]="","",AM291),MONTH(NOTA[[#This Row],[TGL.NOTA]]))</f>
        <v/>
      </c>
      <c r="AN2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2" s="35" t="str">
        <f>IF(NOTA[[#This Row],[CONCAT1]]="","",MATCH(NOTA[[#This Row],[CONCAT1]],[3]!db[NB NOTA_C],0))</f>
        <v/>
      </c>
      <c r="AS292" s="35" t="str">
        <f>IF(NOTA[[#This Row],[Column5]]="","",TRUE)</f>
        <v/>
      </c>
      <c r="AT292" s="35" t="str">
        <f ca="1">IF(NOTA[[#This Row],[ID_H]]="","",IF(NOTA[[#This Row],[Column3]]=TRUE,NOTA[[#This Row],[Column5]],INDEX([3]!db[QTY/ CTN],NOTA[[#This Row],[//DB]])))</f>
        <v/>
      </c>
      <c r="AU2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2" s="35" t="str">
        <f ca="1">IF(NOTA[[#This Row],[ID_H]]="","",MATCH(NOTA[[#This Row],[NB NOTA_C_QTY]],[3]!db[NB NOTA_C_QTY+F],0))</f>
        <v/>
      </c>
      <c r="AW292" s="43" t="str">
        <f ca="1">IF(NOTA[[#This Row],[NB NOTA_C_QTY]]="","",ROW()-2)</f>
        <v/>
      </c>
    </row>
    <row r="293" spans="1:49" ht="20.100000000000001" customHeight="1">
      <c r="A2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5" t="str">
        <f ca="1">IF(NOTA[[#This Row],[NAMA BARANG]]="","",INDEX(NOTA[ID],MATCH(,INDIRECT(ADDRESS(ROW(NOTA[ID]),COLUMN(NOTA[ID]))&amp;":"&amp;ADDRESS(ROW(),COLUMN(NOTA[ID]))),-1)))</f>
        <v/>
      </c>
      <c r="C293" s="45"/>
      <c r="F293" s="46"/>
      <c r="G293" s="35"/>
      <c r="H293" s="36"/>
      <c r="I293" s="35"/>
      <c r="K293" s="37"/>
      <c r="L293" s="35"/>
      <c r="N293" s="38"/>
      <c r="O293" s="39"/>
      <c r="P293" s="47"/>
      <c r="Q293" s="48"/>
      <c r="R293" s="41"/>
      <c r="T293" s="42"/>
      <c r="U293" s="44"/>
      <c r="V293" s="42" t="str">
        <f>IF(NOTA[[#This Row],[HARGA/ CTN]]="",NOTA[[#This Row],[JUMLAH_H]],NOTA[[#This Row],[HARGA/ CTN]]*IF(NOTA[[#This Row],[C]]="",0,NOTA[[#This Row],[C]]))</f>
        <v/>
      </c>
      <c r="W293" s="42" t="str">
        <f>IF(NOTA[[#This Row],[JUMLAH]]="","",NOTA[[#This Row],[JUMLAH]]*NOTA[[#This Row],[Column6]])</f>
        <v/>
      </c>
      <c r="X293" s="42" t="str">
        <f>IF(NOTA[[#This Row],[JUMLAH]]="","",(NOTA[[#This Row],[JUMLAH]]-NOTA[[#This Row],[DISC 1-]])*NOTA[[#This Row],[Column7]])</f>
        <v/>
      </c>
      <c r="Y293" s="42" t="str">
        <f>IF(NOTA[[#This Row],[JUMLAH]]="","",(NOTA[[#This Row],[JUMLAH]]-NOTA[[#This Row],[DISC 1-]]-NOTA[[#This Row],[DISC 2-]])*NOTA[[#This Row],[Column8]])</f>
        <v/>
      </c>
      <c r="Z293" s="42" t="str">
        <f>IF(NOTA[[#This Row],[JUMLAH]]="","",NOTA[[#This Row],[DISC 1-]]+NOTA[[#This Row],[DISC 2-]]+NOTA[[#This Row],[DISC 3-]])</f>
        <v/>
      </c>
      <c r="AA293" s="42" t="str">
        <f>IF(NOTA[[#This Row],[JUMLAH]]="","",NOTA[[#This Row],[JUMLAH]]-NOTA[[#This Row],[DISC]])</f>
        <v/>
      </c>
      <c r="AB293" s="42"/>
      <c r="AC2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3" s="42" t="str">
        <f>IF(OR(NOTA[[#This Row],[QTY]]="",NOTA[[#This Row],[HARGA SATUAN]]="",),"",NOTA[[#This Row],[QTY]]*NOTA[[#This Row],[HARGA SATUAN]])</f>
        <v/>
      </c>
      <c r="AG293" s="36" t="str">
        <f ca="1">IF(NOTA[[#This Row],[ID_H]]="","",INDEX(NOTA[TANGGAL],MATCH(,INDIRECT(ADDRESS(ROW(NOTA[TANGGAL]),COLUMN(NOTA[TANGGAL]))&amp;":"&amp;ADDRESS(ROW(),COLUMN(NOTA[TANGGAL]))),-1)))</f>
        <v/>
      </c>
      <c r="AH293" s="36" t="str">
        <f ca="1">IF(NOTA[[#This Row],[ID_H]]="","",INDEX(NOTA[TGL.NOTA],MATCH(,INDIRECT(ADDRESS(ROW(NOTA[TGL.NOTA]),COLUMN(NOTA[TGL.NOTA]))&amp;":"&amp;ADDRESS(ROW(),COLUMN(NOTA[TGL.NOTA]))),-1)))</f>
        <v/>
      </c>
      <c r="AI293" s="36" t="str">
        <f ca="1">IF(NOTA[[#This Row],[ID_H]]="","",INDEX(NOTA[NO.NOTA],MATCH(NOTA[[#This Row],[ID_H]],NOTA[ID_H],0)))</f>
        <v/>
      </c>
      <c r="AJ293" s="38" t="str">
        <f ca="1">IF(NOTA[[#This Row],[NAMA BARANG]]="","",INDEX(NOTA[SUPPLIER],MATCH(,INDIRECT(ADDRESS(ROW(NOTA[ID]),COLUMN(NOTA[ID]))&amp;":"&amp;ADDRESS(ROW(),COLUMN(NOTA[ID]))),-1)))</f>
        <v/>
      </c>
      <c r="AK293" s="38" t="str">
        <f ca="1">IF(NOTA[[#This Row],[ID_H]]="","",IF(NOTA[[#This Row],[FAKTUR]]="",INDIRECT(ADDRESS(ROW()-1,COLUMN())),NOTA[[#This Row],[FAKTUR]]))</f>
        <v/>
      </c>
      <c r="AL293" s="35" t="str">
        <f ca="1">IF(NOTA[[#This Row],[ID]]="","",COUNTIF(NOTA[ID_H],NOTA[[#This Row],[ID_H]]))</f>
        <v/>
      </c>
      <c r="AM293" s="35" t="str">
        <f ca="1">IF(NOTA[[#This Row],[TGL.NOTA]]="",IF(NOTA[[#This Row],[SUPPLIER_H]]="","",AM292),MONTH(NOTA[[#This Row],[TGL.NOTA]]))</f>
        <v/>
      </c>
      <c r="AN2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3" s="35" t="str">
        <f>IF(NOTA[[#This Row],[CONCAT1]]="","",MATCH(NOTA[[#This Row],[CONCAT1]],[3]!db[NB NOTA_C],0))</f>
        <v/>
      </c>
      <c r="AS293" s="35" t="str">
        <f>IF(NOTA[[#This Row],[Column5]]="","",TRUE)</f>
        <v/>
      </c>
      <c r="AT293" s="35" t="str">
        <f ca="1">IF(NOTA[[#This Row],[ID_H]]="","",IF(NOTA[[#This Row],[Column3]]=TRUE,NOTA[[#This Row],[Column5]],INDEX([3]!db[QTY/ CTN],NOTA[[#This Row],[//DB]])))</f>
        <v/>
      </c>
      <c r="AU2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3" s="35" t="str">
        <f ca="1">IF(NOTA[[#This Row],[ID_H]]="","",MATCH(NOTA[[#This Row],[NB NOTA_C_QTY]],[3]!db[NB NOTA_C_QTY+F],0))</f>
        <v/>
      </c>
      <c r="AW293" s="43" t="str">
        <f ca="1">IF(NOTA[[#This Row],[NB NOTA_C_QTY]]="","",ROW()-2)</f>
        <v/>
      </c>
    </row>
    <row r="294" spans="1:49" ht="20.100000000000001" customHeight="1">
      <c r="A2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5" t="str">
        <f ca="1">IF(NOTA[[#This Row],[NAMA BARANG]]="","",INDEX(NOTA[ID],MATCH(,INDIRECT(ADDRESS(ROW(NOTA[ID]),COLUMN(NOTA[ID]))&amp;":"&amp;ADDRESS(ROW(),COLUMN(NOTA[ID]))),-1)))</f>
        <v/>
      </c>
      <c r="C294" s="45"/>
      <c r="F294" s="46"/>
      <c r="G294" s="35"/>
      <c r="H294" s="36"/>
      <c r="I294" s="35"/>
      <c r="K294" s="37"/>
      <c r="L294" s="35"/>
      <c r="N294" s="38"/>
      <c r="O294" s="39"/>
      <c r="P294" s="47"/>
      <c r="Q294" s="48"/>
      <c r="R294" s="41"/>
      <c r="T294" s="42"/>
      <c r="U294" s="44"/>
      <c r="V294" s="42" t="str">
        <f>IF(NOTA[[#This Row],[HARGA/ CTN]]="",NOTA[[#This Row],[JUMLAH_H]],NOTA[[#This Row],[HARGA/ CTN]]*IF(NOTA[[#This Row],[C]]="",0,NOTA[[#This Row],[C]]))</f>
        <v/>
      </c>
      <c r="W294" s="42" t="str">
        <f>IF(NOTA[[#This Row],[JUMLAH]]="","",NOTA[[#This Row],[JUMLAH]]*NOTA[[#This Row],[Column6]])</f>
        <v/>
      </c>
      <c r="X294" s="42" t="str">
        <f>IF(NOTA[[#This Row],[JUMLAH]]="","",(NOTA[[#This Row],[JUMLAH]]-NOTA[[#This Row],[DISC 1-]])*NOTA[[#This Row],[Column7]])</f>
        <v/>
      </c>
      <c r="Y294" s="42" t="str">
        <f>IF(NOTA[[#This Row],[JUMLAH]]="","",(NOTA[[#This Row],[JUMLAH]]-NOTA[[#This Row],[DISC 1-]]-NOTA[[#This Row],[DISC 2-]])*NOTA[[#This Row],[Column8]])</f>
        <v/>
      </c>
      <c r="Z294" s="42" t="str">
        <f>IF(NOTA[[#This Row],[JUMLAH]]="","",NOTA[[#This Row],[DISC 1-]]+NOTA[[#This Row],[DISC 2-]]+NOTA[[#This Row],[DISC 3-]])</f>
        <v/>
      </c>
      <c r="AA294" s="42" t="str">
        <f>IF(NOTA[[#This Row],[JUMLAH]]="","",NOTA[[#This Row],[JUMLAH]]-NOTA[[#This Row],[DISC]])</f>
        <v/>
      </c>
      <c r="AB294" s="42"/>
      <c r="AC2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4" s="42" t="str">
        <f>IF(OR(NOTA[[#This Row],[QTY]]="",NOTA[[#This Row],[HARGA SATUAN]]="",),"",NOTA[[#This Row],[QTY]]*NOTA[[#This Row],[HARGA SATUAN]])</f>
        <v/>
      </c>
      <c r="AG294" s="36" t="str">
        <f ca="1">IF(NOTA[[#This Row],[ID_H]]="","",INDEX(NOTA[TANGGAL],MATCH(,INDIRECT(ADDRESS(ROW(NOTA[TANGGAL]),COLUMN(NOTA[TANGGAL]))&amp;":"&amp;ADDRESS(ROW(),COLUMN(NOTA[TANGGAL]))),-1)))</f>
        <v/>
      </c>
      <c r="AH294" s="36" t="str">
        <f ca="1">IF(NOTA[[#This Row],[ID_H]]="","",INDEX(NOTA[TGL.NOTA],MATCH(,INDIRECT(ADDRESS(ROW(NOTA[TGL.NOTA]),COLUMN(NOTA[TGL.NOTA]))&amp;":"&amp;ADDRESS(ROW(),COLUMN(NOTA[TGL.NOTA]))),-1)))</f>
        <v/>
      </c>
      <c r="AI294" s="36" t="str">
        <f ca="1">IF(NOTA[[#This Row],[ID_H]]="","",INDEX(NOTA[NO.NOTA],MATCH(NOTA[[#This Row],[ID_H]],NOTA[ID_H],0)))</f>
        <v/>
      </c>
      <c r="AJ294" s="38" t="str">
        <f ca="1">IF(NOTA[[#This Row],[NAMA BARANG]]="","",INDEX(NOTA[SUPPLIER],MATCH(,INDIRECT(ADDRESS(ROW(NOTA[ID]),COLUMN(NOTA[ID]))&amp;":"&amp;ADDRESS(ROW(),COLUMN(NOTA[ID]))),-1)))</f>
        <v/>
      </c>
      <c r="AK294" s="38" t="str">
        <f ca="1">IF(NOTA[[#This Row],[ID_H]]="","",IF(NOTA[[#This Row],[FAKTUR]]="",INDIRECT(ADDRESS(ROW()-1,COLUMN())),NOTA[[#This Row],[FAKTUR]]))</f>
        <v/>
      </c>
      <c r="AL294" s="35" t="str">
        <f ca="1">IF(NOTA[[#This Row],[ID]]="","",COUNTIF(NOTA[ID_H],NOTA[[#This Row],[ID_H]]))</f>
        <v/>
      </c>
      <c r="AM294" s="35" t="str">
        <f ca="1">IF(NOTA[[#This Row],[TGL.NOTA]]="",IF(NOTA[[#This Row],[SUPPLIER_H]]="","",AM293),MONTH(NOTA[[#This Row],[TGL.NOTA]]))</f>
        <v/>
      </c>
      <c r="AN2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4" s="35" t="str">
        <f>IF(NOTA[[#This Row],[CONCAT1]]="","",MATCH(NOTA[[#This Row],[CONCAT1]],[3]!db[NB NOTA_C],0))</f>
        <v/>
      </c>
      <c r="AS294" s="35" t="str">
        <f>IF(NOTA[[#This Row],[Column5]]="","",TRUE)</f>
        <v/>
      </c>
      <c r="AT294" s="35" t="str">
        <f ca="1">IF(NOTA[[#This Row],[ID_H]]="","",IF(NOTA[[#This Row],[Column3]]=TRUE,NOTA[[#This Row],[Column5]],INDEX([3]!db[QTY/ CTN],NOTA[[#This Row],[//DB]])))</f>
        <v/>
      </c>
      <c r="AU2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4" s="35" t="str">
        <f ca="1">IF(NOTA[[#This Row],[ID_H]]="","",MATCH(NOTA[[#This Row],[NB NOTA_C_QTY]],[3]!db[NB NOTA_C_QTY+F],0))</f>
        <v/>
      </c>
      <c r="AW294" s="43" t="str">
        <f ca="1">IF(NOTA[[#This Row],[NB NOTA_C_QTY]]="","",ROW()-2)</f>
        <v/>
      </c>
    </row>
    <row r="295" spans="1:49" ht="20.100000000000001" customHeight="1">
      <c r="A2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5" t="str">
        <f ca="1">IF(NOTA[[#This Row],[NAMA BARANG]]="","",INDEX(NOTA[ID],MATCH(,INDIRECT(ADDRESS(ROW(NOTA[ID]),COLUMN(NOTA[ID]))&amp;":"&amp;ADDRESS(ROW(),COLUMN(NOTA[ID]))),-1)))</f>
        <v/>
      </c>
      <c r="C295" s="45"/>
      <c r="F295" s="46"/>
      <c r="G295" s="35"/>
      <c r="H295" s="36"/>
      <c r="I295" s="35"/>
      <c r="K295" s="37"/>
      <c r="L295" s="35"/>
      <c r="N295" s="38"/>
      <c r="O295" s="39"/>
      <c r="P295" s="47"/>
      <c r="Q295" s="48"/>
      <c r="R295" s="41"/>
      <c r="T295" s="42"/>
      <c r="U295" s="44"/>
      <c r="V295" s="42" t="str">
        <f>IF(NOTA[[#This Row],[HARGA/ CTN]]="",NOTA[[#This Row],[JUMLAH_H]],NOTA[[#This Row],[HARGA/ CTN]]*IF(NOTA[[#This Row],[C]]="",0,NOTA[[#This Row],[C]]))</f>
        <v/>
      </c>
      <c r="W295" s="42" t="str">
        <f>IF(NOTA[[#This Row],[JUMLAH]]="","",NOTA[[#This Row],[JUMLAH]]*NOTA[[#This Row],[Column6]])</f>
        <v/>
      </c>
      <c r="X295" s="42" t="str">
        <f>IF(NOTA[[#This Row],[JUMLAH]]="","",(NOTA[[#This Row],[JUMLAH]]-NOTA[[#This Row],[DISC 1-]])*NOTA[[#This Row],[Column7]])</f>
        <v/>
      </c>
      <c r="Y295" s="42" t="str">
        <f>IF(NOTA[[#This Row],[JUMLAH]]="","",(NOTA[[#This Row],[JUMLAH]]-NOTA[[#This Row],[DISC 1-]]-NOTA[[#This Row],[DISC 2-]])*NOTA[[#This Row],[Column8]])</f>
        <v/>
      </c>
      <c r="Z295" s="42" t="str">
        <f>IF(NOTA[[#This Row],[JUMLAH]]="","",NOTA[[#This Row],[DISC 1-]]+NOTA[[#This Row],[DISC 2-]]+NOTA[[#This Row],[DISC 3-]])</f>
        <v/>
      </c>
      <c r="AA295" s="42" t="str">
        <f>IF(NOTA[[#This Row],[JUMLAH]]="","",NOTA[[#This Row],[JUMLAH]]-NOTA[[#This Row],[DISC]])</f>
        <v/>
      </c>
      <c r="AB295" s="42"/>
      <c r="AC2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5" s="42" t="str">
        <f>IF(OR(NOTA[[#This Row],[QTY]]="",NOTA[[#This Row],[HARGA SATUAN]]="",),"",NOTA[[#This Row],[QTY]]*NOTA[[#This Row],[HARGA SATUAN]])</f>
        <v/>
      </c>
      <c r="AG295" s="36" t="str">
        <f ca="1">IF(NOTA[[#This Row],[ID_H]]="","",INDEX(NOTA[TANGGAL],MATCH(,INDIRECT(ADDRESS(ROW(NOTA[TANGGAL]),COLUMN(NOTA[TANGGAL]))&amp;":"&amp;ADDRESS(ROW(),COLUMN(NOTA[TANGGAL]))),-1)))</f>
        <v/>
      </c>
      <c r="AH295" s="36" t="str">
        <f ca="1">IF(NOTA[[#This Row],[ID_H]]="","",INDEX(NOTA[TGL.NOTA],MATCH(,INDIRECT(ADDRESS(ROW(NOTA[TGL.NOTA]),COLUMN(NOTA[TGL.NOTA]))&amp;":"&amp;ADDRESS(ROW(),COLUMN(NOTA[TGL.NOTA]))),-1)))</f>
        <v/>
      </c>
      <c r="AI295" s="36" t="str">
        <f ca="1">IF(NOTA[[#This Row],[ID_H]]="","",INDEX(NOTA[NO.NOTA],MATCH(NOTA[[#This Row],[ID_H]],NOTA[ID_H],0)))</f>
        <v/>
      </c>
      <c r="AJ295" s="38" t="str">
        <f ca="1">IF(NOTA[[#This Row],[NAMA BARANG]]="","",INDEX(NOTA[SUPPLIER],MATCH(,INDIRECT(ADDRESS(ROW(NOTA[ID]),COLUMN(NOTA[ID]))&amp;":"&amp;ADDRESS(ROW(),COLUMN(NOTA[ID]))),-1)))</f>
        <v/>
      </c>
      <c r="AK295" s="38" t="str">
        <f ca="1">IF(NOTA[[#This Row],[ID_H]]="","",IF(NOTA[[#This Row],[FAKTUR]]="",INDIRECT(ADDRESS(ROW()-1,COLUMN())),NOTA[[#This Row],[FAKTUR]]))</f>
        <v/>
      </c>
      <c r="AL295" s="35" t="str">
        <f ca="1">IF(NOTA[[#This Row],[ID]]="","",COUNTIF(NOTA[ID_H],NOTA[[#This Row],[ID_H]]))</f>
        <v/>
      </c>
      <c r="AM295" s="35" t="str">
        <f ca="1">IF(NOTA[[#This Row],[TGL.NOTA]]="",IF(NOTA[[#This Row],[SUPPLIER_H]]="","",AM294),MONTH(NOTA[[#This Row],[TGL.NOTA]]))</f>
        <v/>
      </c>
      <c r="AN2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5" s="35" t="str">
        <f>IF(NOTA[[#This Row],[CONCAT1]]="","",MATCH(NOTA[[#This Row],[CONCAT1]],[3]!db[NB NOTA_C],0))</f>
        <v/>
      </c>
      <c r="AS295" s="35" t="str">
        <f>IF(NOTA[[#This Row],[Column5]]="","",TRUE)</f>
        <v/>
      </c>
      <c r="AT295" s="35" t="str">
        <f ca="1">IF(NOTA[[#This Row],[ID_H]]="","",IF(NOTA[[#This Row],[Column3]]=TRUE,NOTA[[#This Row],[Column5]],INDEX([3]!db[QTY/ CTN],NOTA[[#This Row],[//DB]])))</f>
        <v/>
      </c>
      <c r="AU2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5" s="35" t="str">
        <f ca="1">IF(NOTA[[#This Row],[ID_H]]="","",MATCH(NOTA[[#This Row],[NB NOTA_C_QTY]],[3]!db[NB NOTA_C_QTY+F],0))</f>
        <v/>
      </c>
      <c r="AW295" s="43" t="str">
        <f ca="1">IF(NOTA[[#This Row],[NB NOTA_C_QTY]]="","",ROW()-2)</f>
        <v/>
      </c>
    </row>
    <row r="296" spans="1:49" ht="20.100000000000001" customHeight="1">
      <c r="A2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5" t="str">
        <f ca="1">IF(NOTA[[#This Row],[NAMA BARANG]]="","",INDEX(NOTA[ID],MATCH(,INDIRECT(ADDRESS(ROW(NOTA[ID]),COLUMN(NOTA[ID]))&amp;":"&amp;ADDRESS(ROW(),COLUMN(NOTA[ID]))),-1)))</f>
        <v/>
      </c>
      <c r="C296" s="45"/>
      <c r="F296" s="46"/>
      <c r="G296" s="35"/>
      <c r="H296" s="36"/>
      <c r="I296" s="35"/>
      <c r="K296" s="37"/>
      <c r="L296" s="35"/>
      <c r="N296" s="38"/>
      <c r="O296" s="39"/>
      <c r="P296" s="47"/>
      <c r="Q296" s="48"/>
      <c r="R296" s="41"/>
      <c r="T296" s="42"/>
      <c r="U296" s="44"/>
      <c r="V296" s="42" t="str">
        <f>IF(NOTA[[#This Row],[HARGA/ CTN]]="",NOTA[[#This Row],[JUMLAH_H]],NOTA[[#This Row],[HARGA/ CTN]]*IF(NOTA[[#This Row],[C]]="",0,NOTA[[#This Row],[C]]))</f>
        <v/>
      </c>
      <c r="W296" s="42" t="str">
        <f>IF(NOTA[[#This Row],[JUMLAH]]="","",NOTA[[#This Row],[JUMLAH]]*NOTA[[#This Row],[Column6]])</f>
        <v/>
      </c>
      <c r="X296" s="42" t="str">
        <f>IF(NOTA[[#This Row],[JUMLAH]]="","",(NOTA[[#This Row],[JUMLAH]]-NOTA[[#This Row],[DISC 1-]])*NOTA[[#This Row],[Column7]])</f>
        <v/>
      </c>
      <c r="Y296" s="42" t="str">
        <f>IF(NOTA[[#This Row],[JUMLAH]]="","",(NOTA[[#This Row],[JUMLAH]]-NOTA[[#This Row],[DISC 1-]]-NOTA[[#This Row],[DISC 2-]])*NOTA[[#This Row],[Column8]])</f>
        <v/>
      </c>
      <c r="Z296" s="42" t="str">
        <f>IF(NOTA[[#This Row],[JUMLAH]]="","",NOTA[[#This Row],[DISC 1-]]+NOTA[[#This Row],[DISC 2-]]+NOTA[[#This Row],[DISC 3-]])</f>
        <v/>
      </c>
      <c r="AA296" s="42" t="str">
        <f>IF(NOTA[[#This Row],[JUMLAH]]="","",NOTA[[#This Row],[JUMLAH]]-NOTA[[#This Row],[DISC]])</f>
        <v/>
      </c>
      <c r="AB296" s="42"/>
      <c r="AC2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42" t="str">
        <f>IF(OR(NOTA[[#This Row],[QTY]]="",NOTA[[#This Row],[HARGA SATUAN]]="",),"",NOTA[[#This Row],[QTY]]*NOTA[[#This Row],[HARGA SATUAN]])</f>
        <v/>
      </c>
      <c r="AG296" s="36" t="str">
        <f ca="1">IF(NOTA[[#This Row],[ID_H]]="","",INDEX(NOTA[TANGGAL],MATCH(,INDIRECT(ADDRESS(ROW(NOTA[TANGGAL]),COLUMN(NOTA[TANGGAL]))&amp;":"&amp;ADDRESS(ROW(),COLUMN(NOTA[TANGGAL]))),-1)))</f>
        <v/>
      </c>
      <c r="AH296" s="36" t="str">
        <f ca="1">IF(NOTA[[#This Row],[ID_H]]="","",INDEX(NOTA[TGL.NOTA],MATCH(,INDIRECT(ADDRESS(ROW(NOTA[TGL.NOTA]),COLUMN(NOTA[TGL.NOTA]))&amp;":"&amp;ADDRESS(ROW(),COLUMN(NOTA[TGL.NOTA]))),-1)))</f>
        <v/>
      </c>
      <c r="AI296" s="36" t="str">
        <f ca="1">IF(NOTA[[#This Row],[ID_H]]="","",INDEX(NOTA[NO.NOTA],MATCH(NOTA[[#This Row],[ID_H]],NOTA[ID_H],0)))</f>
        <v/>
      </c>
      <c r="AJ296" s="38" t="str">
        <f ca="1">IF(NOTA[[#This Row],[NAMA BARANG]]="","",INDEX(NOTA[SUPPLIER],MATCH(,INDIRECT(ADDRESS(ROW(NOTA[ID]),COLUMN(NOTA[ID]))&amp;":"&amp;ADDRESS(ROW(),COLUMN(NOTA[ID]))),-1)))</f>
        <v/>
      </c>
      <c r="AK296" s="38" t="str">
        <f ca="1">IF(NOTA[[#This Row],[ID_H]]="","",IF(NOTA[[#This Row],[FAKTUR]]="",INDIRECT(ADDRESS(ROW()-1,COLUMN())),NOTA[[#This Row],[FAKTUR]]))</f>
        <v/>
      </c>
      <c r="AL296" s="35" t="str">
        <f ca="1">IF(NOTA[[#This Row],[ID]]="","",COUNTIF(NOTA[ID_H],NOTA[[#This Row],[ID_H]]))</f>
        <v/>
      </c>
      <c r="AM296" s="35" t="str">
        <f ca="1">IF(NOTA[[#This Row],[TGL.NOTA]]="",IF(NOTA[[#This Row],[SUPPLIER_H]]="","",AM295),MONTH(NOTA[[#This Row],[TGL.NOTA]]))</f>
        <v/>
      </c>
      <c r="AN2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6" s="35" t="str">
        <f>IF(NOTA[[#This Row],[CONCAT1]]="","",MATCH(NOTA[[#This Row],[CONCAT1]],[3]!db[NB NOTA_C],0))</f>
        <v/>
      </c>
      <c r="AS296" s="35" t="str">
        <f>IF(NOTA[[#This Row],[Column5]]="","",TRUE)</f>
        <v/>
      </c>
      <c r="AT296" s="35" t="str">
        <f ca="1">IF(NOTA[[#This Row],[ID_H]]="","",IF(NOTA[[#This Row],[Column3]]=TRUE,NOTA[[#This Row],[Column5]],INDEX([3]!db[QTY/ CTN],NOTA[[#This Row],[//DB]])))</f>
        <v/>
      </c>
      <c r="AU2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6" s="35" t="str">
        <f ca="1">IF(NOTA[[#This Row],[ID_H]]="","",MATCH(NOTA[[#This Row],[NB NOTA_C_QTY]],[3]!db[NB NOTA_C_QTY+F],0))</f>
        <v/>
      </c>
      <c r="AW296" s="43" t="str">
        <f ca="1">IF(NOTA[[#This Row],[NB NOTA_C_QTY]]="","",ROW()-2)</f>
        <v/>
      </c>
    </row>
    <row r="297" spans="1:49" ht="20.100000000000001" customHeight="1">
      <c r="A2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5" t="str">
        <f ca="1">IF(NOTA[[#This Row],[NAMA BARANG]]="","",INDEX(NOTA[ID],MATCH(,INDIRECT(ADDRESS(ROW(NOTA[ID]),COLUMN(NOTA[ID]))&amp;":"&amp;ADDRESS(ROW(),COLUMN(NOTA[ID]))),-1)))</f>
        <v/>
      </c>
      <c r="C297" s="45"/>
      <c r="F297" s="46"/>
      <c r="G297" s="35"/>
      <c r="H297" s="36"/>
      <c r="I297" s="35"/>
      <c r="K297" s="37"/>
      <c r="L297" s="35"/>
      <c r="N297" s="38"/>
      <c r="O297" s="39"/>
      <c r="P297" s="47"/>
      <c r="Q297" s="48"/>
      <c r="R297" s="41"/>
      <c r="T297" s="42"/>
      <c r="U297" s="44"/>
      <c r="V297" s="42" t="str">
        <f>IF(NOTA[[#This Row],[HARGA/ CTN]]="",NOTA[[#This Row],[JUMLAH_H]],NOTA[[#This Row],[HARGA/ CTN]]*IF(NOTA[[#This Row],[C]]="",0,NOTA[[#This Row],[C]]))</f>
        <v/>
      </c>
      <c r="W297" s="42" t="str">
        <f>IF(NOTA[[#This Row],[JUMLAH]]="","",NOTA[[#This Row],[JUMLAH]]*NOTA[[#This Row],[Column6]])</f>
        <v/>
      </c>
      <c r="X297" s="42" t="str">
        <f>IF(NOTA[[#This Row],[JUMLAH]]="","",(NOTA[[#This Row],[JUMLAH]]-NOTA[[#This Row],[DISC 1-]])*NOTA[[#This Row],[Column7]])</f>
        <v/>
      </c>
      <c r="Y297" s="42" t="str">
        <f>IF(NOTA[[#This Row],[JUMLAH]]="","",(NOTA[[#This Row],[JUMLAH]]-NOTA[[#This Row],[DISC 1-]]-NOTA[[#This Row],[DISC 2-]])*NOTA[[#This Row],[Column8]])</f>
        <v/>
      </c>
      <c r="Z297" s="42" t="str">
        <f>IF(NOTA[[#This Row],[JUMLAH]]="","",NOTA[[#This Row],[DISC 1-]]+NOTA[[#This Row],[DISC 2-]]+NOTA[[#This Row],[DISC 3-]])</f>
        <v/>
      </c>
      <c r="AA297" s="42" t="str">
        <f>IF(NOTA[[#This Row],[JUMLAH]]="","",NOTA[[#This Row],[JUMLAH]]-NOTA[[#This Row],[DISC]])</f>
        <v/>
      </c>
      <c r="AB297" s="42"/>
      <c r="AC2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7" s="42" t="str">
        <f>IF(OR(NOTA[[#This Row],[QTY]]="",NOTA[[#This Row],[HARGA SATUAN]]="",),"",NOTA[[#This Row],[QTY]]*NOTA[[#This Row],[HARGA SATUAN]])</f>
        <v/>
      </c>
      <c r="AG297" s="36" t="str">
        <f ca="1">IF(NOTA[[#This Row],[ID_H]]="","",INDEX(NOTA[TANGGAL],MATCH(,INDIRECT(ADDRESS(ROW(NOTA[TANGGAL]),COLUMN(NOTA[TANGGAL]))&amp;":"&amp;ADDRESS(ROW(),COLUMN(NOTA[TANGGAL]))),-1)))</f>
        <v/>
      </c>
      <c r="AH297" s="36" t="str">
        <f ca="1">IF(NOTA[[#This Row],[ID_H]]="","",INDEX(NOTA[TGL.NOTA],MATCH(,INDIRECT(ADDRESS(ROW(NOTA[TGL.NOTA]),COLUMN(NOTA[TGL.NOTA]))&amp;":"&amp;ADDRESS(ROW(),COLUMN(NOTA[TGL.NOTA]))),-1)))</f>
        <v/>
      </c>
      <c r="AI297" s="36" t="str">
        <f ca="1">IF(NOTA[[#This Row],[ID_H]]="","",INDEX(NOTA[NO.NOTA],MATCH(NOTA[[#This Row],[ID_H]],NOTA[ID_H],0)))</f>
        <v/>
      </c>
      <c r="AJ297" s="38" t="str">
        <f ca="1">IF(NOTA[[#This Row],[NAMA BARANG]]="","",INDEX(NOTA[SUPPLIER],MATCH(,INDIRECT(ADDRESS(ROW(NOTA[ID]),COLUMN(NOTA[ID]))&amp;":"&amp;ADDRESS(ROW(),COLUMN(NOTA[ID]))),-1)))</f>
        <v/>
      </c>
      <c r="AK297" s="38" t="str">
        <f ca="1">IF(NOTA[[#This Row],[ID_H]]="","",IF(NOTA[[#This Row],[FAKTUR]]="",INDIRECT(ADDRESS(ROW()-1,COLUMN())),NOTA[[#This Row],[FAKTUR]]))</f>
        <v/>
      </c>
      <c r="AL297" s="35" t="str">
        <f ca="1">IF(NOTA[[#This Row],[ID]]="","",COUNTIF(NOTA[ID_H],NOTA[[#This Row],[ID_H]]))</f>
        <v/>
      </c>
      <c r="AM297" s="35" t="str">
        <f ca="1">IF(NOTA[[#This Row],[TGL.NOTA]]="",IF(NOTA[[#This Row],[SUPPLIER_H]]="","",AM296),MONTH(NOTA[[#This Row],[TGL.NOTA]]))</f>
        <v/>
      </c>
      <c r="AN2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7" s="35" t="str">
        <f>IF(NOTA[[#This Row],[CONCAT1]]="","",MATCH(NOTA[[#This Row],[CONCAT1]],[3]!db[NB NOTA_C],0))</f>
        <v/>
      </c>
      <c r="AS297" s="35" t="str">
        <f>IF(NOTA[[#This Row],[Column5]]="","",TRUE)</f>
        <v/>
      </c>
      <c r="AT297" s="35" t="str">
        <f ca="1">IF(NOTA[[#This Row],[ID_H]]="","",IF(NOTA[[#This Row],[Column3]]=TRUE,NOTA[[#This Row],[Column5]],INDEX([3]!db[QTY/ CTN],NOTA[[#This Row],[//DB]])))</f>
        <v/>
      </c>
      <c r="AU2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7" s="35" t="str">
        <f ca="1">IF(NOTA[[#This Row],[ID_H]]="","",MATCH(NOTA[[#This Row],[NB NOTA_C_QTY]],[3]!db[NB NOTA_C_QTY+F],0))</f>
        <v/>
      </c>
      <c r="AW297" s="43" t="str">
        <f ca="1">IF(NOTA[[#This Row],[NB NOTA_C_QTY]]="","",ROW()-2)</f>
        <v/>
      </c>
    </row>
    <row r="298" spans="1:49" ht="20.100000000000001" customHeight="1">
      <c r="A2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5" t="str">
        <f ca="1">IF(NOTA[[#This Row],[NAMA BARANG]]="","",INDEX(NOTA[ID],MATCH(,INDIRECT(ADDRESS(ROW(NOTA[ID]),COLUMN(NOTA[ID]))&amp;":"&amp;ADDRESS(ROW(),COLUMN(NOTA[ID]))),-1)))</f>
        <v/>
      </c>
      <c r="C298" s="45"/>
      <c r="F298" s="46"/>
      <c r="G298" s="35"/>
      <c r="H298" s="36"/>
      <c r="I298" s="35"/>
      <c r="K298" s="37"/>
      <c r="L298" s="35"/>
      <c r="N298" s="38"/>
      <c r="O298" s="39"/>
      <c r="P298" s="47"/>
      <c r="Q298" s="48"/>
      <c r="R298" s="41"/>
      <c r="T298" s="42"/>
      <c r="U298" s="44"/>
      <c r="V298" s="42" t="str">
        <f>IF(NOTA[[#This Row],[HARGA/ CTN]]="",NOTA[[#This Row],[JUMLAH_H]],NOTA[[#This Row],[HARGA/ CTN]]*IF(NOTA[[#This Row],[C]]="",0,NOTA[[#This Row],[C]]))</f>
        <v/>
      </c>
      <c r="W298" s="42" t="str">
        <f>IF(NOTA[[#This Row],[JUMLAH]]="","",NOTA[[#This Row],[JUMLAH]]*NOTA[[#This Row],[Column6]])</f>
        <v/>
      </c>
      <c r="X298" s="42" t="str">
        <f>IF(NOTA[[#This Row],[JUMLAH]]="","",(NOTA[[#This Row],[JUMLAH]]-NOTA[[#This Row],[DISC 1-]])*NOTA[[#This Row],[Column7]])</f>
        <v/>
      </c>
      <c r="Y298" s="42" t="str">
        <f>IF(NOTA[[#This Row],[JUMLAH]]="","",(NOTA[[#This Row],[JUMLAH]]-NOTA[[#This Row],[DISC 1-]]-NOTA[[#This Row],[DISC 2-]])*NOTA[[#This Row],[Column8]])</f>
        <v/>
      </c>
      <c r="Z298" s="42" t="str">
        <f>IF(NOTA[[#This Row],[JUMLAH]]="","",NOTA[[#This Row],[DISC 1-]]+NOTA[[#This Row],[DISC 2-]]+NOTA[[#This Row],[DISC 3-]])</f>
        <v/>
      </c>
      <c r="AA298" s="42" t="str">
        <f>IF(NOTA[[#This Row],[JUMLAH]]="","",NOTA[[#This Row],[JUMLAH]]-NOTA[[#This Row],[DISC]])</f>
        <v/>
      </c>
      <c r="AB298" s="42"/>
      <c r="AC2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8" s="42" t="str">
        <f>IF(OR(NOTA[[#This Row],[QTY]]="",NOTA[[#This Row],[HARGA SATUAN]]="",),"",NOTA[[#This Row],[QTY]]*NOTA[[#This Row],[HARGA SATUAN]])</f>
        <v/>
      </c>
      <c r="AG298" s="36" t="str">
        <f ca="1">IF(NOTA[[#This Row],[ID_H]]="","",INDEX(NOTA[TANGGAL],MATCH(,INDIRECT(ADDRESS(ROW(NOTA[TANGGAL]),COLUMN(NOTA[TANGGAL]))&amp;":"&amp;ADDRESS(ROW(),COLUMN(NOTA[TANGGAL]))),-1)))</f>
        <v/>
      </c>
      <c r="AH298" s="36" t="str">
        <f ca="1">IF(NOTA[[#This Row],[ID_H]]="","",INDEX(NOTA[TGL.NOTA],MATCH(,INDIRECT(ADDRESS(ROW(NOTA[TGL.NOTA]),COLUMN(NOTA[TGL.NOTA]))&amp;":"&amp;ADDRESS(ROW(),COLUMN(NOTA[TGL.NOTA]))),-1)))</f>
        <v/>
      </c>
      <c r="AI298" s="36" t="str">
        <f ca="1">IF(NOTA[[#This Row],[ID_H]]="","",INDEX(NOTA[NO.NOTA],MATCH(NOTA[[#This Row],[ID_H]],NOTA[ID_H],0)))</f>
        <v/>
      </c>
      <c r="AJ298" s="38" t="str">
        <f ca="1">IF(NOTA[[#This Row],[NAMA BARANG]]="","",INDEX(NOTA[SUPPLIER],MATCH(,INDIRECT(ADDRESS(ROW(NOTA[ID]),COLUMN(NOTA[ID]))&amp;":"&amp;ADDRESS(ROW(),COLUMN(NOTA[ID]))),-1)))</f>
        <v/>
      </c>
      <c r="AK298" s="38" t="str">
        <f ca="1">IF(NOTA[[#This Row],[ID_H]]="","",IF(NOTA[[#This Row],[FAKTUR]]="",INDIRECT(ADDRESS(ROW()-1,COLUMN())),NOTA[[#This Row],[FAKTUR]]))</f>
        <v/>
      </c>
      <c r="AL298" s="35" t="str">
        <f ca="1">IF(NOTA[[#This Row],[ID]]="","",COUNTIF(NOTA[ID_H],NOTA[[#This Row],[ID_H]]))</f>
        <v/>
      </c>
      <c r="AM298" s="35" t="str">
        <f ca="1">IF(NOTA[[#This Row],[TGL.NOTA]]="",IF(NOTA[[#This Row],[SUPPLIER_H]]="","",AM297),MONTH(NOTA[[#This Row],[TGL.NOTA]]))</f>
        <v/>
      </c>
      <c r="AN2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8" s="35" t="str">
        <f>IF(NOTA[[#This Row],[CONCAT1]]="","",MATCH(NOTA[[#This Row],[CONCAT1]],[3]!db[NB NOTA_C],0))</f>
        <v/>
      </c>
      <c r="AS298" s="35" t="str">
        <f>IF(NOTA[[#This Row],[Column5]]="","",TRUE)</f>
        <v/>
      </c>
      <c r="AT298" s="35" t="str">
        <f ca="1">IF(NOTA[[#This Row],[ID_H]]="","",IF(NOTA[[#This Row],[Column3]]=TRUE,NOTA[[#This Row],[Column5]],INDEX([3]!db[QTY/ CTN],NOTA[[#This Row],[//DB]])))</f>
        <v/>
      </c>
      <c r="AU2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8" s="35" t="str">
        <f ca="1">IF(NOTA[[#This Row],[ID_H]]="","",MATCH(NOTA[[#This Row],[NB NOTA_C_QTY]],[3]!db[NB NOTA_C_QTY+F],0))</f>
        <v/>
      </c>
      <c r="AW298" s="43" t="str">
        <f ca="1">IF(NOTA[[#This Row],[NB NOTA_C_QTY]]="","",ROW()-2)</f>
        <v/>
      </c>
    </row>
    <row r="299" spans="1:49" ht="20.100000000000001" customHeight="1">
      <c r="A2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5" t="str">
        <f ca="1">IF(NOTA[[#This Row],[NAMA BARANG]]="","",INDEX(NOTA[ID],MATCH(,INDIRECT(ADDRESS(ROW(NOTA[ID]),COLUMN(NOTA[ID]))&amp;":"&amp;ADDRESS(ROW(),COLUMN(NOTA[ID]))),-1)))</f>
        <v/>
      </c>
      <c r="C299" s="45"/>
      <c r="F299" s="46"/>
      <c r="G299" s="35"/>
      <c r="H299" s="36"/>
      <c r="I299" s="35"/>
      <c r="K299" s="37"/>
      <c r="L299" s="35"/>
      <c r="N299" s="38"/>
      <c r="O299" s="39"/>
      <c r="P299" s="47"/>
      <c r="Q299" s="48"/>
      <c r="R299" s="41"/>
      <c r="T299" s="42"/>
      <c r="U299" s="44"/>
      <c r="V299" s="42" t="str">
        <f>IF(NOTA[[#This Row],[HARGA/ CTN]]="",NOTA[[#This Row],[JUMLAH_H]],NOTA[[#This Row],[HARGA/ CTN]]*IF(NOTA[[#This Row],[C]]="",0,NOTA[[#This Row],[C]]))</f>
        <v/>
      </c>
      <c r="W299" s="42" t="str">
        <f>IF(NOTA[[#This Row],[JUMLAH]]="","",NOTA[[#This Row],[JUMLAH]]*NOTA[[#This Row],[Column6]])</f>
        <v/>
      </c>
      <c r="X299" s="42" t="str">
        <f>IF(NOTA[[#This Row],[JUMLAH]]="","",(NOTA[[#This Row],[JUMLAH]]-NOTA[[#This Row],[DISC 1-]])*NOTA[[#This Row],[Column7]])</f>
        <v/>
      </c>
      <c r="Y299" s="42" t="str">
        <f>IF(NOTA[[#This Row],[JUMLAH]]="","",(NOTA[[#This Row],[JUMLAH]]-NOTA[[#This Row],[DISC 1-]]-NOTA[[#This Row],[DISC 2-]])*NOTA[[#This Row],[Column8]])</f>
        <v/>
      </c>
      <c r="Z299" s="42" t="str">
        <f>IF(NOTA[[#This Row],[JUMLAH]]="","",NOTA[[#This Row],[DISC 1-]]+NOTA[[#This Row],[DISC 2-]]+NOTA[[#This Row],[DISC 3-]])</f>
        <v/>
      </c>
      <c r="AA299" s="42" t="str">
        <f>IF(NOTA[[#This Row],[JUMLAH]]="","",NOTA[[#This Row],[JUMLAH]]-NOTA[[#This Row],[DISC]])</f>
        <v/>
      </c>
      <c r="AB299" s="42"/>
      <c r="AC2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2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2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9" s="42" t="str">
        <f>IF(OR(NOTA[[#This Row],[QTY]]="",NOTA[[#This Row],[HARGA SATUAN]]="",),"",NOTA[[#This Row],[QTY]]*NOTA[[#This Row],[HARGA SATUAN]])</f>
        <v/>
      </c>
      <c r="AG299" s="36" t="str">
        <f ca="1">IF(NOTA[[#This Row],[ID_H]]="","",INDEX(NOTA[TANGGAL],MATCH(,INDIRECT(ADDRESS(ROW(NOTA[TANGGAL]),COLUMN(NOTA[TANGGAL]))&amp;":"&amp;ADDRESS(ROW(),COLUMN(NOTA[TANGGAL]))),-1)))</f>
        <v/>
      </c>
      <c r="AH299" s="36" t="str">
        <f ca="1">IF(NOTA[[#This Row],[ID_H]]="","",INDEX(NOTA[TGL.NOTA],MATCH(,INDIRECT(ADDRESS(ROW(NOTA[TGL.NOTA]),COLUMN(NOTA[TGL.NOTA]))&amp;":"&amp;ADDRESS(ROW(),COLUMN(NOTA[TGL.NOTA]))),-1)))</f>
        <v/>
      </c>
      <c r="AI299" s="36" t="str">
        <f ca="1">IF(NOTA[[#This Row],[ID_H]]="","",INDEX(NOTA[NO.NOTA],MATCH(NOTA[[#This Row],[ID_H]],NOTA[ID_H],0)))</f>
        <v/>
      </c>
      <c r="AJ299" s="38" t="str">
        <f ca="1">IF(NOTA[[#This Row],[NAMA BARANG]]="","",INDEX(NOTA[SUPPLIER],MATCH(,INDIRECT(ADDRESS(ROW(NOTA[ID]),COLUMN(NOTA[ID]))&amp;":"&amp;ADDRESS(ROW(),COLUMN(NOTA[ID]))),-1)))</f>
        <v/>
      </c>
      <c r="AK299" s="38" t="str">
        <f ca="1">IF(NOTA[[#This Row],[ID_H]]="","",IF(NOTA[[#This Row],[FAKTUR]]="",INDIRECT(ADDRESS(ROW()-1,COLUMN())),NOTA[[#This Row],[FAKTUR]]))</f>
        <v/>
      </c>
      <c r="AL299" s="35" t="str">
        <f ca="1">IF(NOTA[[#This Row],[ID]]="","",COUNTIF(NOTA[ID_H],NOTA[[#This Row],[ID_H]]))</f>
        <v/>
      </c>
      <c r="AM299" s="35" t="str">
        <f ca="1">IF(NOTA[[#This Row],[TGL.NOTA]]="",IF(NOTA[[#This Row],[SUPPLIER_H]]="","",AM298),MONTH(NOTA[[#This Row],[TGL.NOTA]]))</f>
        <v/>
      </c>
      <c r="AN2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2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2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2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9" s="35" t="str">
        <f>IF(NOTA[[#This Row],[CONCAT1]]="","",MATCH(NOTA[[#This Row],[CONCAT1]],[3]!db[NB NOTA_C],0))</f>
        <v/>
      </c>
      <c r="AS299" s="35" t="str">
        <f>IF(NOTA[[#This Row],[Column5]]="","",TRUE)</f>
        <v/>
      </c>
      <c r="AT299" s="35" t="str">
        <f ca="1">IF(NOTA[[#This Row],[ID_H]]="","",IF(NOTA[[#This Row],[Column3]]=TRUE,NOTA[[#This Row],[Column5]],INDEX([3]!db[QTY/ CTN],NOTA[[#This Row],[//DB]])))</f>
        <v/>
      </c>
      <c r="AU2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299" s="35" t="str">
        <f ca="1">IF(NOTA[[#This Row],[ID_H]]="","",MATCH(NOTA[[#This Row],[NB NOTA_C_QTY]],[3]!db[NB NOTA_C_QTY+F],0))</f>
        <v/>
      </c>
      <c r="AW299" s="43" t="str">
        <f ca="1">IF(NOTA[[#This Row],[NB NOTA_C_QTY]]="","",ROW()-2)</f>
        <v/>
      </c>
    </row>
    <row r="300" spans="1:49" ht="20.100000000000001" customHeight="1">
      <c r="A3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5" t="str">
        <f ca="1">IF(NOTA[[#This Row],[NAMA BARANG]]="","",INDEX(NOTA[ID],MATCH(,INDIRECT(ADDRESS(ROW(NOTA[ID]),COLUMN(NOTA[ID]))&amp;":"&amp;ADDRESS(ROW(),COLUMN(NOTA[ID]))),-1)))</f>
        <v/>
      </c>
      <c r="C300" s="45"/>
      <c r="F300" s="46"/>
      <c r="G300" s="35"/>
      <c r="H300" s="36"/>
      <c r="I300" s="35"/>
      <c r="K300" s="37"/>
      <c r="L300" s="35"/>
      <c r="N300" s="38"/>
      <c r="O300" s="39"/>
      <c r="P300" s="47"/>
      <c r="Q300" s="48"/>
      <c r="R300" s="41"/>
      <c r="T300" s="42"/>
      <c r="U300" s="44"/>
      <c r="V300" s="42" t="str">
        <f>IF(NOTA[[#This Row],[HARGA/ CTN]]="",NOTA[[#This Row],[JUMLAH_H]],NOTA[[#This Row],[HARGA/ CTN]]*IF(NOTA[[#This Row],[C]]="",0,NOTA[[#This Row],[C]]))</f>
        <v/>
      </c>
      <c r="W300" s="42" t="str">
        <f>IF(NOTA[[#This Row],[JUMLAH]]="","",NOTA[[#This Row],[JUMLAH]]*NOTA[[#This Row],[Column6]])</f>
        <v/>
      </c>
      <c r="X300" s="42" t="str">
        <f>IF(NOTA[[#This Row],[JUMLAH]]="","",(NOTA[[#This Row],[JUMLAH]]-NOTA[[#This Row],[DISC 1-]])*NOTA[[#This Row],[Column7]])</f>
        <v/>
      </c>
      <c r="Y300" s="42" t="str">
        <f>IF(NOTA[[#This Row],[JUMLAH]]="","",(NOTA[[#This Row],[JUMLAH]]-NOTA[[#This Row],[DISC 1-]]-NOTA[[#This Row],[DISC 2-]])*NOTA[[#This Row],[Column8]])</f>
        <v/>
      </c>
      <c r="Z300" s="42" t="str">
        <f>IF(NOTA[[#This Row],[JUMLAH]]="","",NOTA[[#This Row],[DISC 1-]]+NOTA[[#This Row],[DISC 2-]]+NOTA[[#This Row],[DISC 3-]])</f>
        <v/>
      </c>
      <c r="AA300" s="42" t="str">
        <f>IF(NOTA[[#This Row],[JUMLAH]]="","",NOTA[[#This Row],[JUMLAH]]-NOTA[[#This Row],[DISC]])</f>
        <v/>
      </c>
      <c r="AB300" s="42"/>
      <c r="AC3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0" s="42" t="str">
        <f>IF(OR(NOTA[[#This Row],[QTY]]="",NOTA[[#This Row],[HARGA SATUAN]]="",),"",NOTA[[#This Row],[QTY]]*NOTA[[#This Row],[HARGA SATUAN]])</f>
        <v/>
      </c>
      <c r="AG300" s="36" t="str">
        <f ca="1">IF(NOTA[[#This Row],[ID_H]]="","",INDEX(NOTA[TANGGAL],MATCH(,INDIRECT(ADDRESS(ROW(NOTA[TANGGAL]),COLUMN(NOTA[TANGGAL]))&amp;":"&amp;ADDRESS(ROW(),COLUMN(NOTA[TANGGAL]))),-1)))</f>
        <v/>
      </c>
      <c r="AH300" s="36" t="str">
        <f ca="1">IF(NOTA[[#This Row],[ID_H]]="","",INDEX(NOTA[TGL.NOTA],MATCH(,INDIRECT(ADDRESS(ROW(NOTA[TGL.NOTA]),COLUMN(NOTA[TGL.NOTA]))&amp;":"&amp;ADDRESS(ROW(),COLUMN(NOTA[TGL.NOTA]))),-1)))</f>
        <v/>
      </c>
      <c r="AI300" s="36" t="str">
        <f ca="1">IF(NOTA[[#This Row],[ID_H]]="","",INDEX(NOTA[NO.NOTA],MATCH(NOTA[[#This Row],[ID_H]],NOTA[ID_H],0)))</f>
        <v/>
      </c>
      <c r="AJ300" s="38" t="str">
        <f ca="1">IF(NOTA[[#This Row],[NAMA BARANG]]="","",INDEX(NOTA[SUPPLIER],MATCH(,INDIRECT(ADDRESS(ROW(NOTA[ID]),COLUMN(NOTA[ID]))&amp;":"&amp;ADDRESS(ROW(),COLUMN(NOTA[ID]))),-1)))</f>
        <v/>
      </c>
      <c r="AK300" s="38" t="str">
        <f ca="1">IF(NOTA[[#This Row],[ID_H]]="","",IF(NOTA[[#This Row],[FAKTUR]]="",INDIRECT(ADDRESS(ROW()-1,COLUMN())),NOTA[[#This Row],[FAKTUR]]))</f>
        <v/>
      </c>
      <c r="AL300" s="35" t="str">
        <f ca="1">IF(NOTA[[#This Row],[ID]]="","",COUNTIF(NOTA[ID_H],NOTA[[#This Row],[ID_H]]))</f>
        <v/>
      </c>
      <c r="AM300" s="35" t="str">
        <f ca="1">IF(NOTA[[#This Row],[TGL.NOTA]]="",IF(NOTA[[#This Row],[SUPPLIER_H]]="","",AM299),MONTH(NOTA[[#This Row],[TGL.NOTA]]))</f>
        <v/>
      </c>
      <c r="AN3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0" s="35" t="str">
        <f>IF(NOTA[[#This Row],[CONCAT1]]="","",MATCH(NOTA[[#This Row],[CONCAT1]],[3]!db[NB NOTA_C],0))</f>
        <v/>
      </c>
      <c r="AS300" s="35" t="str">
        <f>IF(NOTA[[#This Row],[Column5]]="","",TRUE)</f>
        <v/>
      </c>
      <c r="AT300" s="35" t="str">
        <f ca="1">IF(NOTA[[#This Row],[ID_H]]="","",IF(NOTA[[#This Row],[Column3]]=TRUE,NOTA[[#This Row],[Column5]],INDEX([3]!db[QTY/ CTN],NOTA[[#This Row],[//DB]])))</f>
        <v/>
      </c>
      <c r="AU3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0" s="35" t="str">
        <f ca="1">IF(NOTA[[#This Row],[ID_H]]="","",MATCH(NOTA[[#This Row],[NB NOTA_C_QTY]],[3]!db[NB NOTA_C_QTY+F],0))</f>
        <v/>
      </c>
      <c r="AW300" s="43" t="str">
        <f ca="1">IF(NOTA[[#This Row],[NB NOTA_C_QTY]]="","",ROW()-2)</f>
        <v/>
      </c>
    </row>
    <row r="301" spans="1:49" ht="20.100000000000001" customHeight="1">
      <c r="A3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5" t="str">
        <f ca="1">IF(NOTA[[#This Row],[NAMA BARANG]]="","",INDEX(NOTA[ID],MATCH(,INDIRECT(ADDRESS(ROW(NOTA[ID]),COLUMN(NOTA[ID]))&amp;":"&amp;ADDRESS(ROW(),COLUMN(NOTA[ID]))),-1)))</f>
        <v/>
      </c>
      <c r="C301" s="45"/>
      <c r="F301" s="46"/>
      <c r="G301" s="35"/>
      <c r="H301" s="36"/>
      <c r="I301" s="35"/>
      <c r="K301" s="37"/>
      <c r="L301" s="35"/>
      <c r="N301" s="38"/>
      <c r="O301" s="39"/>
      <c r="P301" s="47"/>
      <c r="Q301" s="48"/>
      <c r="R301" s="41"/>
      <c r="T301" s="42"/>
      <c r="U301" s="44"/>
      <c r="V301" s="42" t="str">
        <f>IF(NOTA[[#This Row],[HARGA/ CTN]]="",NOTA[[#This Row],[JUMLAH_H]],NOTA[[#This Row],[HARGA/ CTN]]*IF(NOTA[[#This Row],[C]]="",0,NOTA[[#This Row],[C]]))</f>
        <v/>
      </c>
      <c r="W301" s="42" t="str">
        <f>IF(NOTA[[#This Row],[JUMLAH]]="","",NOTA[[#This Row],[JUMLAH]]*NOTA[[#This Row],[Column6]])</f>
        <v/>
      </c>
      <c r="X301" s="42" t="str">
        <f>IF(NOTA[[#This Row],[JUMLAH]]="","",(NOTA[[#This Row],[JUMLAH]]-NOTA[[#This Row],[DISC 1-]])*NOTA[[#This Row],[Column7]])</f>
        <v/>
      </c>
      <c r="Y301" s="42" t="str">
        <f>IF(NOTA[[#This Row],[JUMLAH]]="","",(NOTA[[#This Row],[JUMLAH]]-NOTA[[#This Row],[DISC 1-]]-NOTA[[#This Row],[DISC 2-]])*NOTA[[#This Row],[Column8]])</f>
        <v/>
      </c>
      <c r="Z301" s="42" t="str">
        <f>IF(NOTA[[#This Row],[JUMLAH]]="","",NOTA[[#This Row],[DISC 1-]]+NOTA[[#This Row],[DISC 2-]]+NOTA[[#This Row],[DISC 3-]])</f>
        <v/>
      </c>
      <c r="AA301" s="42" t="str">
        <f>IF(NOTA[[#This Row],[JUMLAH]]="","",NOTA[[#This Row],[JUMLAH]]-NOTA[[#This Row],[DISC]])</f>
        <v/>
      </c>
      <c r="AB301" s="42"/>
      <c r="AC3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1" s="42" t="str">
        <f>IF(OR(NOTA[[#This Row],[QTY]]="",NOTA[[#This Row],[HARGA SATUAN]]="",),"",NOTA[[#This Row],[QTY]]*NOTA[[#This Row],[HARGA SATUAN]])</f>
        <v/>
      </c>
      <c r="AG301" s="36" t="str">
        <f ca="1">IF(NOTA[[#This Row],[ID_H]]="","",INDEX(NOTA[TANGGAL],MATCH(,INDIRECT(ADDRESS(ROW(NOTA[TANGGAL]),COLUMN(NOTA[TANGGAL]))&amp;":"&amp;ADDRESS(ROW(),COLUMN(NOTA[TANGGAL]))),-1)))</f>
        <v/>
      </c>
      <c r="AH301" s="36" t="str">
        <f ca="1">IF(NOTA[[#This Row],[ID_H]]="","",INDEX(NOTA[TGL.NOTA],MATCH(,INDIRECT(ADDRESS(ROW(NOTA[TGL.NOTA]),COLUMN(NOTA[TGL.NOTA]))&amp;":"&amp;ADDRESS(ROW(),COLUMN(NOTA[TGL.NOTA]))),-1)))</f>
        <v/>
      </c>
      <c r="AI301" s="36" t="str">
        <f ca="1">IF(NOTA[[#This Row],[ID_H]]="","",INDEX(NOTA[NO.NOTA],MATCH(NOTA[[#This Row],[ID_H]],NOTA[ID_H],0)))</f>
        <v/>
      </c>
      <c r="AJ301" s="38" t="str">
        <f ca="1">IF(NOTA[[#This Row],[NAMA BARANG]]="","",INDEX(NOTA[SUPPLIER],MATCH(,INDIRECT(ADDRESS(ROW(NOTA[ID]),COLUMN(NOTA[ID]))&amp;":"&amp;ADDRESS(ROW(),COLUMN(NOTA[ID]))),-1)))</f>
        <v/>
      </c>
      <c r="AK301" s="38" t="str">
        <f ca="1">IF(NOTA[[#This Row],[ID_H]]="","",IF(NOTA[[#This Row],[FAKTUR]]="",INDIRECT(ADDRESS(ROW()-1,COLUMN())),NOTA[[#This Row],[FAKTUR]]))</f>
        <v/>
      </c>
      <c r="AL301" s="35" t="str">
        <f ca="1">IF(NOTA[[#This Row],[ID]]="","",COUNTIF(NOTA[ID_H],NOTA[[#This Row],[ID_H]]))</f>
        <v/>
      </c>
      <c r="AM301" s="35" t="str">
        <f ca="1">IF(NOTA[[#This Row],[TGL.NOTA]]="",IF(NOTA[[#This Row],[SUPPLIER_H]]="","",AM300),MONTH(NOTA[[#This Row],[TGL.NOTA]]))</f>
        <v/>
      </c>
      <c r="AN3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1" s="35" t="str">
        <f>IF(NOTA[[#This Row],[CONCAT1]]="","",MATCH(NOTA[[#This Row],[CONCAT1]],[3]!db[NB NOTA_C],0))</f>
        <v/>
      </c>
      <c r="AS301" s="35" t="str">
        <f>IF(NOTA[[#This Row],[Column5]]="","",TRUE)</f>
        <v/>
      </c>
      <c r="AT301" s="35" t="str">
        <f ca="1">IF(NOTA[[#This Row],[ID_H]]="","",IF(NOTA[[#This Row],[Column3]]=TRUE,NOTA[[#This Row],[Column5]],INDEX([3]!db[QTY/ CTN],NOTA[[#This Row],[//DB]])))</f>
        <v/>
      </c>
      <c r="AU3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1" s="35" t="str">
        <f ca="1">IF(NOTA[[#This Row],[ID_H]]="","",MATCH(NOTA[[#This Row],[NB NOTA_C_QTY]],[3]!db[NB NOTA_C_QTY+F],0))</f>
        <v/>
      </c>
      <c r="AW301" s="43" t="str">
        <f ca="1">IF(NOTA[[#This Row],[NB NOTA_C_QTY]]="","",ROW()-2)</f>
        <v/>
      </c>
    </row>
    <row r="302" spans="1:49" ht="20.100000000000001" customHeight="1">
      <c r="A3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5" t="str">
        <f ca="1">IF(NOTA[[#This Row],[NAMA BARANG]]="","",INDEX(NOTA[ID],MATCH(,INDIRECT(ADDRESS(ROW(NOTA[ID]),COLUMN(NOTA[ID]))&amp;":"&amp;ADDRESS(ROW(),COLUMN(NOTA[ID]))),-1)))</f>
        <v/>
      </c>
      <c r="C302" s="45"/>
      <c r="F302" s="46"/>
      <c r="G302" s="35"/>
      <c r="H302" s="36"/>
      <c r="I302" s="35"/>
      <c r="K302" s="37"/>
      <c r="L302" s="35"/>
      <c r="N302" s="38"/>
      <c r="O302" s="39"/>
      <c r="P302" s="47"/>
      <c r="Q302" s="48"/>
      <c r="R302" s="41"/>
      <c r="T302" s="42"/>
      <c r="U302" s="44"/>
      <c r="V302" s="42" t="str">
        <f>IF(NOTA[[#This Row],[HARGA/ CTN]]="",NOTA[[#This Row],[JUMLAH_H]],NOTA[[#This Row],[HARGA/ CTN]]*IF(NOTA[[#This Row],[C]]="",0,NOTA[[#This Row],[C]]))</f>
        <v/>
      </c>
      <c r="W302" s="42" t="str">
        <f>IF(NOTA[[#This Row],[JUMLAH]]="","",NOTA[[#This Row],[JUMLAH]]*NOTA[[#This Row],[Column6]])</f>
        <v/>
      </c>
      <c r="X302" s="42" t="str">
        <f>IF(NOTA[[#This Row],[JUMLAH]]="","",(NOTA[[#This Row],[JUMLAH]]-NOTA[[#This Row],[DISC 1-]])*NOTA[[#This Row],[Column7]])</f>
        <v/>
      </c>
      <c r="Y302" s="42" t="str">
        <f>IF(NOTA[[#This Row],[JUMLAH]]="","",(NOTA[[#This Row],[JUMLAH]]-NOTA[[#This Row],[DISC 1-]]-NOTA[[#This Row],[DISC 2-]])*NOTA[[#This Row],[Column8]])</f>
        <v/>
      </c>
      <c r="Z302" s="42" t="str">
        <f>IF(NOTA[[#This Row],[JUMLAH]]="","",NOTA[[#This Row],[DISC 1-]]+NOTA[[#This Row],[DISC 2-]]+NOTA[[#This Row],[DISC 3-]])</f>
        <v/>
      </c>
      <c r="AA302" s="42" t="str">
        <f>IF(NOTA[[#This Row],[JUMLAH]]="","",NOTA[[#This Row],[JUMLAH]]-NOTA[[#This Row],[DISC]])</f>
        <v/>
      </c>
      <c r="AB302" s="42"/>
      <c r="AC3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2" s="42" t="str">
        <f>IF(OR(NOTA[[#This Row],[QTY]]="",NOTA[[#This Row],[HARGA SATUAN]]="",),"",NOTA[[#This Row],[QTY]]*NOTA[[#This Row],[HARGA SATUAN]])</f>
        <v/>
      </c>
      <c r="AG302" s="36" t="str">
        <f ca="1">IF(NOTA[[#This Row],[ID_H]]="","",INDEX(NOTA[TANGGAL],MATCH(,INDIRECT(ADDRESS(ROW(NOTA[TANGGAL]),COLUMN(NOTA[TANGGAL]))&amp;":"&amp;ADDRESS(ROW(),COLUMN(NOTA[TANGGAL]))),-1)))</f>
        <v/>
      </c>
      <c r="AH302" s="36" t="str">
        <f ca="1">IF(NOTA[[#This Row],[ID_H]]="","",INDEX(NOTA[TGL.NOTA],MATCH(,INDIRECT(ADDRESS(ROW(NOTA[TGL.NOTA]),COLUMN(NOTA[TGL.NOTA]))&amp;":"&amp;ADDRESS(ROW(),COLUMN(NOTA[TGL.NOTA]))),-1)))</f>
        <v/>
      </c>
      <c r="AI302" s="36" t="str">
        <f ca="1">IF(NOTA[[#This Row],[ID_H]]="","",INDEX(NOTA[NO.NOTA],MATCH(NOTA[[#This Row],[ID_H]],NOTA[ID_H],0)))</f>
        <v/>
      </c>
      <c r="AJ302" s="38" t="str">
        <f ca="1">IF(NOTA[[#This Row],[NAMA BARANG]]="","",INDEX(NOTA[SUPPLIER],MATCH(,INDIRECT(ADDRESS(ROW(NOTA[ID]),COLUMN(NOTA[ID]))&amp;":"&amp;ADDRESS(ROW(),COLUMN(NOTA[ID]))),-1)))</f>
        <v/>
      </c>
      <c r="AK302" s="38" t="str">
        <f ca="1">IF(NOTA[[#This Row],[ID_H]]="","",IF(NOTA[[#This Row],[FAKTUR]]="",INDIRECT(ADDRESS(ROW()-1,COLUMN())),NOTA[[#This Row],[FAKTUR]]))</f>
        <v/>
      </c>
      <c r="AL302" s="35" t="str">
        <f ca="1">IF(NOTA[[#This Row],[ID]]="","",COUNTIF(NOTA[ID_H],NOTA[[#This Row],[ID_H]]))</f>
        <v/>
      </c>
      <c r="AM302" s="35" t="str">
        <f ca="1">IF(NOTA[[#This Row],[TGL.NOTA]]="",IF(NOTA[[#This Row],[SUPPLIER_H]]="","",AM301),MONTH(NOTA[[#This Row],[TGL.NOTA]]))</f>
        <v/>
      </c>
      <c r="AN3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2" s="35" t="str">
        <f>IF(NOTA[[#This Row],[CONCAT1]]="","",MATCH(NOTA[[#This Row],[CONCAT1]],[3]!db[NB NOTA_C],0))</f>
        <v/>
      </c>
      <c r="AS302" s="35" t="str">
        <f>IF(NOTA[[#This Row],[Column5]]="","",TRUE)</f>
        <v/>
      </c>
      <c r="AT302" s="35" t="str">
        <f ca="1">IF(NOTA[[#This Row],[ID_H]]="","",IF(NOTA[[#This Row],[Column3]]=TRUE,NOTA[[#This Row],[Column5]],INDEX([3]!db[QTY/ CTN],NOTA[[#This Row],[//DB]])))</f>
        <v/>
      </c>
      <c r="AU3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2" s="35" t="str">
        <f ca="1">IF(NOTA[[#This Row],[ID_H]]="","",MATCH(NOTA[[#This Row],[NB NOTA_C_QTY]],[3]!db[NB NOTA_C_QTY+F],0))</f>
        <v/>
      </c>
      <c r="AW302" s="43" t="str">
        <f ca="1">IF(NOTA[[#This Row],[NB NOTA_C_QTY]]="","",ROW()-2)</f>
        <v/>
      </c>
    </row>
    <row r="303" spans="1:49" ht="20.100000000000001" customHeight="1">
      <c r="A3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5" t="str">
        <f ca="1">IF(NOTA[[#This Row],[NAMA BARANG]]="","",INDEX(NOTA[ID],MATCH(,INDIRECT(ADDRESS(ROW(NOTA[ID]),COLUMN(NOTA[ID]))&amp;":"&amp;ADDRESS(ROW(),COLUMN(NOTA[ID]))),-1)))</f>
        <v/>
      </c>
      <c r="C303" s="45"/>
      <c r="F303" s="46"/>
      <c r="G303" s="35"/>
      <c r="H303" s="36"/>
      <c r="I303" s="35"/>
      <c r="K303" s="37"/>
      <c r="L303" s="35"/>
      <c r="N303" s="38"/>
      <c r="O303" s="39"/>
      <c r="P303" s="47"/>
      <c r="Q303" s="48"/>
      <c r="R303" s="41"/>
      <c r="T303" s="42"/>
      <c r="U303" s="44"/>
      <c r="V303" s="42" t="str">
        <f>IF(NOTA[[#This Row],[HARGA/ CTN]]="",NOTA[[#This Row],[JUMLAH_H]],NOTA[[#This Row],[HARGA/ CTN]]*IF(NOTA[[#This Row],[C]]="",0,NOTA[[#This Row],[C]]))</f>
        <v/>
      </c>
      <c r="W303" s="42" t="str">
        <f>IF(NOTA[[#This Row],[JUMLAH]]="","",NOTA[[#This Row],[JUMLAH]]*NOTA[[#This Row],[Column6]])</f>
        <v/>
      </c>
      <c r="X303" s="42" t="str">
        <f>IF(NOTA[[#This Row],[JUMLAH]]="","",(NOTA[[#This Row],[JUMLAH]]-NOTA[[#This Row],[DISC 1-]])*NOTA[[#This Row],[Column7]])</f>
        <v/>
      </c>
      <c r="Y303" s="42" t="str">
        <f>IF(NOTA[[#This Row],[JUMLAH]]="","",(NOTA[[#This Row],[JUMLAH]]-NOTA[[#This Row],[DISC 1-]]-NOTA[[#This Row],[DISC 2-]])*NOTA[[#This Row],[Column8]])</f>
        <v/>
      </c>
      <c r="Z303" s="42" t="str">
        <f>IF(NOTA[[#This Row],[JUMLAH]]="","",NOTA[[#This Row],[DISC 1-]]+NOTA[[#This Row],[DISC 2-]]+NOTA[[#This Row],[DISC 3-]])</f>
        <v/>
      </c>
      <c r="AA303" s="42" t="str">
        <f>IF(NOTA[[#This Row],[JUMLAH]]="","",NOTA[[#This Row],[JUMLAH]]-NOTA[[#This Row],[DISC]])</f>
        <v/>
      </c>
      <c r="AB303" s="42"/>
      <c r="AC3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3" s="42" t="str">
        <f>IF(OR(NOTA[[#This Row],[QTY]]="",NOTA[[#This Row],[HARGA SATUAN]]="",),"",NOTA[[#This Row],[QTY]]*NOTA[[#This Row],[HARGA SATUAN]])</f>
        <v/>
      </c>
      <c r="AG303" s="36" t="str">
        <f ca="1">IF(NOTA[[#This Row],[ID_H]]="","",INDEX(NOTA[TANGGAL],MATCH(,INDIRECT(ADDRESS(ROW(NOTA[TANGGAL]),COLUMN(NOTA[TANGGAL]))&amp;":"&amp;ADDRESS(ROW(),COLUMN(NOTA[TANGGAL]))),-1)))</f>
        <v/>
      </c>
      <c r="AH303" s="36" t="str">
        <f ca="1">IF(NOTA[[#This Row],[ID_H]]="","",INDEX(NOTA[TGL.NOTA],MATCH(,INDIRECT(ADDRESS(ROW(NOTA[TGL.NOTA]),COLUMN(NOTA[TGL.NOTA]))&amp;":"&amp;ADDRESS(ROW(),COLUMN(NOTA[TGL.NOTA]))),-1)))</f>
        <v/>
      </c>
      <c r="AI303" s="36" t="str">
        <f ca="1">IF(NOTA[[#This Row],[ID_H]]="","",INDEX(NOTA[NO.NOTA],MATCH(NOTA[[#This Row],[ID_H]],NOTA[ID_H],0)))</f>
        <v/>
      </c>
      <c r="AJ303" s="38" t="str">
        <f ca="1">IF(NOTA[[#This Row],[NAMA BARANG]]="","",INDEX(NOTA[SUPPLIER],MATCH(,INDIRECT(ADDRESS(ROW(NOTA[ID]),COLUMN(NOTA[ID]))&amp;":"&amp;ADDRESS(ROW(),COLUMN(NOTA[ID]))),-1)))</f>
        <v/>
      </c>
      <c r="AK303" s="38" t="str">
        <f ca="1">IF(NOTA[[#This Row],[ID_H]]="","",IF(NOTA[[#This Row],[FAKTUR]]="",INDIRECT(ADDRESS(ROW()-1,COLUMN())),NOTA[[#This Row],[FAKTUR]]))</f>
        <v/>
      </c>
      <c r="AL303" s="35" t="str">
        <f ca="1">IF(NOTA[[#This Row],[ID]]="","",COUNTIF(NOTA[ID_H],NOTA[[#This Row],[ID_H]]))</f>
        <v/>
      </c>
      <c r="AM303" s="35" t="str">
        <f ca="1">IF(NOTA[[#This Row],[TGL.NOTA]]="",IF(NOTA[[#This Row],[SUPPLIER_H]]="","",AM302),MONTH(NOTA[[#This Row],[TGL.NOTA]]))</f>
        <v/>
      </c>
      <c r="AN3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3" s="35" t="str">
        <f>IF(NOTA[[#This Row],[CONCAT1]]="","",MATCH(NOTA[[#This Row],[CONCAT1]],[3]!db[NB NOTA_C],0))</f>
        <v/>
      </c>
      <c r="AS303" s="35" t="str">
        <f>IF(NOTA[[#This Row],[Column5]]="","",TRUE)</f>
        <v/>
      </c>
      <c r="AT303" s="35" t="str">
        <f ca="1">IF(NOTA[[#This Row],[ID_H]]="","",IF(NOTA[[#This Row],[Column3]]=TRUE,NOTA[[#This Row],[Column5]],INDEX([3]!db[QTY/ CTN],NOTA[[#This Row],[//DB]])))</f>
        <v/>
      </c>
      <c r="AU3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3" s="35" t="str">
        <f ca="1">IF(NOTA[[#This Row],[ID_H]]="","",MATCH(NOTA[[#This Row],[NB NOTA_C_QTY]],[3]!db[NB NOTA_C_QTY+F],0))</f>
        <v/>
      </c>
      <c r="AW303" s="43" t="str">
        <f ca="1">IF(NOTA[[#This Row],[NB NOTA_C_QTY]]="","",ROW()-2)</f>
        <v/>
      </c>
    </row>
    <row r="304" spans="1:49" ht="20.100000000000001" customHeight="1">
      <c r="A3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5" t="str">
        <f ca="1">IF(NOTA[[#This Row],[NAMA BARANG]]="","",INDEX(NOTA[ID],MATCH(,INDIRECT(ADDRESS(ROW(NOTA[ID]),COLUMN(NOTA[ID]))&amp;":"&amp;ADDRESS(ROW(),COLUMN(NOTA[ID]))),-1)))</f>
        <v/>
      </c>
      <c r="C304" s="45"/>
      <c r="F304" s="46"/>
      <c r="G304" s="35"/>
      <c r="H304" s="36"/>
      <c r="I304" s="35"/>
      <c r="K304" s="37"/>
      <c r="L304" s="35"/>
      <c r="N304" s="38"/>
      <c r="O304" s="39"/>
      <c r="P304" s="47"/>
      <c r="Q304" s="48"/>
      <c r="R304" s="41"/>
      <c r="T304" s="42"/>
      <c r="U304" s="44"/>
      <c r="V304" s="42" t="str">
        <f>IF(NOTA[[#This Row],[HARGA/ CTN]]="",NOTA[[#This Row],[JUMLAH_H]],NOTA[[#This Row],[HARGA/ CTN]]*IF(NOTA[[#This Row],[C]]="",0,NOTA[[#This Row],[C]]))</f>
        <v/>
      </c>
      <c r="W304" s="42" t="str">
        <f>IF(NOTA[[#This Row],[JUMLAH]]="","",NOTA[[#This Row],[JUMLAH]]*NOTA[[#This Row],[Column6]])</f>
        <v/>
      </c>
      <c r="X304" s="42" t="str">
        <f>IF(NOTA[[#This Row],[JUMLAH]]="","",(NOTA[[#This Row],[JUMLAH]]-NOTA[[#This Row],[DISC 1-]])*NOTA[[#This Row],[Column7]])</f>
        <v/>
      </c>
      <c r="Y304" s="42" t="str">
        <f>IF(NOTA[[#This Row],[JUMLAH]]="","",(NOTA[[#This Row],[JUMLAH]]-NOTA[[#This Row],[DISC 1-]]-NOTA[[#This Row],[DISC 2-]])*NOTA[[#This Row],[Column8]])</f>
        <v/>
      </c>
      <c r="Z304" s="42" t="str">
        <f>IF(NOTA[[#This Row],[JUMLAH]]="","",NOTA[[#This Row],[DISC 1-]]+NOTA[[#This Row],[DISC 2-]]+NOTA[[#This Row],[DISC 3-]])</f>
        <v/>
      </c>
      <c r="AA304" s="42" t="str">
        <f>IF(NOTA[[#This Row],[JUMLAH]]="","",NOTA[[#This Row],[JUMLAH]]-NOTA[[#This Row],[DISC]])</f>
        <v/>
      </c>
      <c r="AB304" s="42"/>
      <c r="AC3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42" t="str">
        <f>IF(OR(NOTA[[#This Row],[QTY]]="",NOTA[[#This Row],[HARGA SATUAN]]="",),"",NOTA[[#This Row],[QTY]]*NOTA[[#This Row],[HARGA SATUAN]])</f>
        <v/>
      </c>
      <c r="AG304" s="36" t="str">
        <f ca="1">IF(NOTA[[#This Row],[ID_H]]="","",INDEX(NOTA[TANGGAL],MATCH(,INDIRECT(ADDRESS(ROW(NOTA[TANGGAL]),COLUMN(NOTA[TANGGAL]))&amp;":"&amp;ADDRESS(ROW(),COLUMN(NOTA[TANGGAL]))),-1)))</f>
        <v/>
      </c>
      <c r="AH304" s="36" t="str">
        <f ca="1">IF(NOTA[[#This Row],[ID_H]]="","",INDEX(NOTA[TGL.NOTA],MATCH(,INDIRECT(ADDRESS(ROW(NOTA[TGL.NOTA]),COLUMN(NOTA[TGL.NOTA]))&amp;":"&amp;ADDRESS(ROW(),COLUMN(NOTA[TGL.NOTA]))),-1)))</f>
        <v/>
      </c>
      <c r="AI304" s="36" t="str">
        <f ca="1">IF(NOTA[[#This Row],[ID_H]]="","",INDEX(NOTA[NO.NOTA],MATCH(NOTA[[#This Row],[ID_H]],NOTA[ID_H],0)))</f>
        <v/>
      </c>
      <c r="AJ304" s="38" t="str">
        <f ca="1">IF(NOTA[[#This Row],[NAMA BARANG]]="","",INDEX(NOTA[SUPPLIER],MATCH(,INDIRECT(ADDRESS(ROW(NOTA[ID]),COLUMN(NOTA[ID]))&amp;":"&amp;ADDRESS(ROW(),COLUMN(NOTA[ID]))),-1)))</f>
        <v/>
      </c>
      <c r="AK304" s="38" t="str">
        <f ca="1">IF(NOTA[[#This Row],[ID_H]]="","",IF(NOTA[[#This Row],[FAKTUR]]="",INDIRECT(ADDRESS(ROW()-1,COLUMN())),NOTA[[#This Row],[FAKTUR]]))</f>
        <v/>
      </c>
      <c r="AL304" s="35" t="str">
        <f ca="1">IF(NOTA[[#This Row],[ID]]="","",COUNTIF(NOTA[ID_H],NOTA[[#This Row],[ID_H]]))</f>
        <v/>
      </c>
      <c r="AM304" s="35" t="str">
        <f ca="1">IF(NOTA[[#This Row],[TGL.NOTA]]="",IF(NOTA[[#This Row],[SUPPLIER_H]]="","",AM303),MONTH(NOTA[[#This Row],[TGL.NOTA]]))</f>
        <v/>
      </c>
      <c r="AN3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4" s="35" t="str">
        <f>IF(NOTA[[#This Row],[CONCAT1]]="","",MATCH(NOTA[[#This Row],[CONCAT1]],[3]!db[NB NOTA_C],0))</f>
        <v/>
      </c>
      <c r="AS304" s="35" t="str">
        <f>IF(NOTA[[#This Row],[Column5]]="","",TRUE)</f>
        <v/>
      </c>
      <c r="AT304" s="35" t="str">
        <f ca="1">IF(NOTA[[#This Row],[ID_H]]="","",IF(NOTA[[#This Row],[Column3]]=TRUE,NOTA[[#This Row],[Column5]],INDEX([3]!db[QTY/ CTN],NOTA[[#This Row],[//DB]])))</f>
        <v/>
      </c>
      <c r="AU3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4" s="35" t="str">
        <f ca="1">IF(NOTA[[#This Row],[ID_H]]="","",MATCH(NOTA[[#This Row],[NB NOTA_C_QTY]],[3]!db[NB NOTA_C_QTY+F],0))</f>
        <v/>
      </c>
      <c r="AW304" s="43" t="str">
        <f ca="1">IF(NOTA[[#This Row],[NB NOTA_C_QTY]]="","",ROW()-2)</f>
        <v/>
      </c>
    </row>
    <row r="305" spans="1:49" ht="20.100000000000001" customHeight="1">
      <c r="A3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5" t="str">
        <f ca="1">IF(NOTA[[#This Row],[NAMA BARANG]]="","",INDEX(NOTA[ID],MATCH(,INDIRECT(ADDRESS(ROW(NOTA[ID]),COLUMN(NOTA[ID]))&amp;":"&amp;ADDRESS(ROW(),COLUMN(NOTA[ID]))),-1)))</f>
        <v/>
      </c>
      <c r="C305" s="45"/>
      <c r="F305" s="46"/>
      <c r="G305" s="35"/>
      <c r="H305" s="36"/>
      <c r="I305" s="35"/>
      <c r="K305" s="37"/>
      <c r="L305" s="35"/>
      <c r="N305" s="38"/>
      <c r="O305" s="39"/>
      <c r="P305" s="47"/>
      <c r="Q305" s="48"/>
      <c r="R305" s="41"/>
      <c r="T305" s="42"/>
      <c r="U305" s="44"/>
      <c r="V305" s="42" t="str">
        <f>IF(NOTA[[#This Row],[HARGA/ CTN]]="",NOTA[[#This Row],[JUMLAH_H]],NOTA[[#This Row],[HARGA/ CTN]]*IF(NOTA[[#This Row],[C]]="",0,NOTA[[#This Row],[C]]))</f>
        <v/>
      </c>
      <c r="W305" s="42" t="str">
        <f>IF(NOTA[[#This Row],[JUMLAH]]="","",NOTA[[#This Row],[JUMLAH]]*NOTA[[#This Row],[Column6]])</f>
        <v/>
      </c>
      <c r="X305" s="42" t="str">
        <f>IF(NOTA[[#This Row],[JUMLAH]]="","",(NOTA[[#This Row],[JUMLAH]]-NOTA[[#This Row],[DISC 1-]])*NOTA[[#This Row],[Column7]])</f>
        <v/>
      </c>
      <c r="Y305" s="42" t="str">
        <f>IF(NOTA[[#This Row],[JUMLAH]]="","",(NOTA[[#This Row],[JUMLAH]]-NOTA[[#This Row],[DISC 1-]]-NOTA[[#This Row],[DISC 2-]])*NOTA[[#This Row],[Column8]])</f>
        <v/>
      </c>
      <c r="Z305" s="42" t="str">
        <f>IF(NOTA[[#This Row],[JUMLAH]]="","",NOTA[[#This Row],[DISC 1-]]+NOTA[[#This Row],[DISC 2-]]+NOTA[[#This Row],[DISC 3-]])</f>
        <v/>
      </c>
      <c r="AA305" s="42" t="str">
        <f>IF(NOTA[[#This Row],[JUMLAH]]="","",NOTA[[#This Row],[JUMLAH]]-NOTA[[#This Row],[DISC]])</f>
        <v/>
      </c>
      <c r="AB305" s="42"/>
      <c r="AC3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5" s="42" t="str">
        <f>IF(OR(NOTA[[#This Row],[QTY]]="",NOTA[[#This Row],[HARGA SATUAN]]="",),"",NOTA[[#This Row],[QTY]]*NOTA[[#This Row],[HARGA SATUAN]])</f>
        <v/>
      </c>
      <c r="AG305" s="36" t="str">
        <f ca="1">IF(NOTA[[#This Row],[ID_H]]="","",INDEX(NOTA[TANGGAL],MATCH(,INDIRECT(ADDRESS(ROW(NOTA[TANGGAL]),COLUMN(NOTA[TANGGAL]))&amp;":"&amp;ADDRESS(ROW(),COLUMN(NOTA[TANGGAL]))),-1)))</f>
        <v/>
      </c>
      <c r="AH305" s="36" t="str">
        <f ca="1">IF(NOTA[[#This Row],[ID_H]]="","",INDEX(NOTA[TGL.NOTA],MATCH(,INDIRECT(ADDRESS(ROW(NOTA[TGL.NOTA]),COLUMN(NOTA[TGL.NOTA]))&amp;":"&amp;ADDRESS(ROW(),COLUMN(NOTA[TGL.NOTA]))),-1)))</f>
        <v/>
      </c>
      <c r="AI305" s="36" t="str">
        <f ca="1">IF(NOTA[[#This Row],[ID_H]]="","",INDEX(NOTA[NO.NOTA],MATCH(NOTA[[#This Row],[ID_H]],NOTA[ID_H],0)))</f>
        <v/>
      </c>
      <c r="AJ305" s="38" t="str">
        <f ca="1">IF(NOTA[[#This Row],[NAMA BARANG]]="","",INDEX(NOTA[SUPPLIER],MATCH(,INDIRECT(ADDRESS(ROW(NOTA[ID]),COLUMN(NOTA[ID]))&amp;":"&amp;ADDRESS(ROW(),COLUMN(NOTA[ID]))),-1)))</f>
        <v/>
      </c>
      <c r="AK305" s="38" t="str">
        <f ca="1">IF(NOTA[[#This Row],[ID_H]]="","",IF(NOTA[[#This Row],[FAKTUR]]="",INDIRECT(ADDRESS(ROW()-1,COLUMN())),NOTA[[#This Row],[FAKTUR]]))</f>
        <v/>
      </c>
      <c r="AL305" s="35" t="str">
        <f ca="1">IF(NOTA[[#This Row],[ID]]="","",COUNTIF(NOTA[ID_H],NOTA[[#This Row],[ID_H]]))</f>
        <v/>
      </c>
      <c r="AM305" s="35" t="str">
        <f ca="1">IF(NOTA[[#This Row],[TGL.NOTA]]="",IF(NOTA[[#This Row],[SUPPLIER_H]]="","",AM304),MONTH(NOTA[[#This Row],[TGL.NOTA]]))</f>
        <v/>
      </c>
      <c r="AN3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5" s="35" t="str">
        <f>IF(NOTA[[#This Row],[CONCAT1]]="","",MATCH(NOTA[[#This Row],[CONCAT1]],[3]!db[NB NOTA_C],0))</f>
        <v/>
      </c>
      <c r="AS305" s="35" t="str">
        <f>IF(NOTA[[#This Row],[Column5]]="","",TRUE)</f>
        <v/>
      </c>
      <c r="AT305" s="35" t="str">
        <f ca="1">IF(NOTA[[#This Row],[ID_H]]="","",IF(NOTA[[#This Row],[Column3]]=TRUE,NOTA[[#This Row],[Column5]],INDEX([3]!db[QTY/ CTN],NOTA[[#This Row],[//DB]])))</f>
        <v/>
      </c>
      <c r="AU3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5" s="35" t="str">
        <f ca="1">IF(NOTA[[#This Row],[ID_H]]="","",MATCH(NOTA[[#This Row],[NB NOTA_C_QTY]],[3]!db[NB NOTA_C_QTY+F],0))</f>
        <v/>
      </c>
      <c r="AW305" s="43" t="str">
        <f ca="1">IF(NOTA[[#This Row],[NB NOTA_C_QTY]]="","",ROW()-2)</f>
        <v/>
      </c>
    </row>
    <row r="306" spans="1:49" ht="20.100000000000001" customHeight="1">
      <c r="A3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5" t="str">
        <f ca="1">IF(NOTA[[#This Row],[NAMA BARANG]]="","",INDEX(NOTA[ID],MATCH(,INDIRECT(ADDRESS(ROW(NOTA[ID]),COLUMN(NOTA[ID]))&amp;":"&amp;ADDRESS(ROW(),COLUMN(NOTA[ID]))),-1)))</f>
        <v/>
      </c>
      <c r="C306" s="45"/>
      <c r="F306" s="46"/>
      <c r="G306" s="35"/>
      <c r="H306" s="36"/>
      <c r="I306" s="35"/>
      <c r="K306" s="37"/>
      <c r="L306" s="35"/>
      <c r="N306" s="38"/>
      <c r="O306" s="39"/>
      <c r="P306" s="47"/>
      <c r="Q306" s="48"/>
      <c r="R306" s="41"/>
      <c r="T306" s="42"/>
      <c r="U306" s="44"/>
      <c r="V306" s="42" t="str">
        <f>IF(NOTA[[#This Row],[HARGA/ CTN]]="",NOTA[[#This Row],[JUMLAH_H]],NOTA[[#This Row],[HARGA/ CTN]]*IF(NOTA[[#This Row],[C]]="",0,NOTA[[#This Row],[C]]))</f>
        <v/>
      </c>
      <c r="W306" s="42" t="str">
        <f>IF(NOTA[[#This Row],[JUMLAH]]="","",NOTA[[#This Row],[JUMLAH]]*NOTA[[#This Row],[Column6]])</f>
        <v/>
      </c>
      <c r="X306" s="42" t="str">
        <f>IF(NOTA[[#This Row],[JUMLAH]]="","",(NOTA[[#This Row],[JUMLAH]]-NOTA[[#This Row],[DISC 1-]])*NOTA[[#This Row],[Column7]])</f>
        <v/>
      </c>
      <c r="Y306" s="42" t="str">
        <f>IF(NOTA[[#This Row],[JUMLAH]]="","",(NOTA[[#This Row],[JUMLAH]]-NOTA[[#This Row],[DISC 1-]]-NOTA[[#This Row],[DISC 2-]])*NOTA[[#This Row],[Column8]])</f>
        <v/>
      </c>
      <c r="Z306" s="42" t="str">
        <f>IF(NOTA[[#This Row],[JUMLAH]]="","",NOTA[[#This Row],[DISC 1-]]+NOTA[[#This Row],[DISC 2-]]+NOTA[[#This Row],[DISC 3-]])</f>
        <v/>
      </c>
      <c r="AA306" s="42" t="str">
        <f>IF(NOTA[[#This Row],[JUMLAH]]="","",NOTA[[#This Row],[JUMLAH]]-NOTA[[#This Row],[DISC]])</f>
        <v/>
      </c>
      <c r="AB306" s="42"/>
      <c r="AC3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42" t="str">
        <f>IF(OR(NOTA[[#This Row],[QTY]]="",NOTA[[#This Row],[HARGA SATUAN]]="",),"",NOTA[[#This Row],[QTY]]*NOTA[[#This Row],[HARGA SATUAN]])</f>
        <v/>
      </c>
      <c r="AG306" s="36" t="str">
        <f ca="1">IF(NOTA[[#This Row],[ID_H]]="","",INDEX(NOTA[TANGGAL],MATCH(,INDIRECT(ADDRESS(ROW(NOTA[TANGGAL]),COLUMN(NOTA[TANGGAL]))&amp;":"&amp;ADDRESS(ROW(),COLUMN(NOTA[TANGGAL]))),-1)))</f>
        <v/>
      </c>
      <c r="AH306" s="36" t="str">
        <f ca="1">IF(NOTA[[#This Row],[ID_H]]="","",INDEX(NOTA[TGL.NOTA],MATCH(,INDIRECT(ADDRESS(ROW(NOTA[TGL.NOTA]),COLUMN(NOTA[TGL.NOTA]))&amp;":"&amp;ADDRESS(ROW(),COLUMN(NOTA[TGL.NOTA]))),-1)))</f>
        <v/>
      </c>
      <c r="AI306" s="36" t="str">
        <f ca="1">IF(NOTA[[#This Row],[ID_H]]="","",INDEX(NOTA[NO.NOTA],MATCH(NOTA[[#This Row],[ID_H]],NOTA[ID_H],0)))</f>
        <v/>
      </c>
      <c r="AJ306" s="38" t="str">
        <f ca="1">IF(NOTA[[#This Row],[NAMA BARANG]]="","",INDEX(NOTA[SUPPLIER],MATCH(,INDIRECT(ADDRESS(ROW(NOTA[ID]),COLUMN(NOTA[ID]))&amp;":"&amp;ADDRESS(ROW(),COLUMN(NOTA[ID]))),-1)))</f>
        <v/>
      </c>
      <c r="AK306" s="38" t="str">
        <f ca="1">IF(NOTA[[#This Row],[ID_H]]="","",IF(NOTA[[#This Row],[FAKTUR]]="",INDIRECT(ADDRESS(ROW()-1,COLUMN())),NOTA[[#This Row],[FAKTUR]]))</f>
        <v/>
      </c>
      <c r="AL306" s="35" t="str">
        <f ca="1">IF(NOTA[[#This Row],[ID]]="","",COUNTIF(NOTA[ID_H],NOTA[[#This Row],[ID_H]]))</f>
        <v/>
      </c>
      <c r="AM306" s="35" t="str">
        <f ca="1">IF(NOTA[[#This Row],[TGL.NOTA]]="",IF(NOTA[[#This Row],[SUPPLIER_H]]="","",AM305),MONTH(NOTA[[#This Row],[TGL.NOTA]]))</f>
        <v/>
      </c>
      <c r="AN3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6" s="35" t="str">
        <f>IF(NOTA[[#This Row],[CONCAT1]]="","",MATCH(NOTA[[#This Row],[CONCAT1]],[3]!db[NB NOTA_C],0))</f>
        <v/>
      </c>
      <c r="AS306" s="35" t="str">
        <f>IF(NOTA[[#This Row],[Column5]]="","",TRUE)</f>
        <v/>
      </c>
      <c r="AT306" s="35" t="str">
        <f ca="1">IF(NOTA[[#This Row],[ID_H]]="","",IF(NOTA[[#This Row],[Column3]]=TRUE,NOTA[[#This Row],[Column5]],INDEX([3]!db[QTY/ CTN],NOTA[[#This Row],[//DB]])))</f>
        <v/>
      </c>
      <c r="AU3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6" s="35" t="str">
        <f ca="1">IF(NOTA[[#This Row],[ID_H]]="","",MATCH(NOTA[[#This Row],[NB NOTA_C_QTY]],[3]!db[NB NOTA_C_QTY+F],0))</f>
        <v/>
      </c>
      <c r="AW306" s="43" t="str">
        <f ca="1">IF(NOTA[[#This Row],[NB NOTA_C_QTY]]="","",ROW()-2)</f>
        <v/>
      </c>
    </row>
    <row r="307" spans="1:49" ht="20.100000000000001" customHeight="1">
      <c r="A3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5" t="str">
        <f ca="1">IF(NOTA[[#This Row],[NAMA BARANG]]="","",INDEX(NOTA[ID],MATCH(,INDIRECT(ADDRESS(ROW(NOTA[ID]),COLUMN(NOTA[ID]))&amp;":"&amp;ADDRESS(ROW(),COLUMN(NOTA[ID]))),-1)))</f>
        <v/>
      </c>
      <c r="C307" s="45"/>
      <c r="F307" s="46"/>
      <c r="G307" s="35"/>
      <c r="H307" s="36"/>
      <c r="I307" s="35"/>
      <c r="K307" s="37"/>
      <c r="L307" s="35"/>
      <c r="N307" s="38"/>
      <c r="O307" s="39"/>
      <c r="P307" s="47"/>
      <c r="Q307" s="48"/>
      <c r="R307" s="41"/>
      <c r="T307" s="42"/>
      <c r="U307" s="44"/>
      <c r="V307" s="42" t="str">
        <f>IF(NOTA[[#This Row],[HARGA/ CTN]]="",NOTA[[#This Row],[JUMLAH_H]],NOTA[[#This Row],[HARGA/ CTN]]*IF(NOTA[[#This Row],[C]]="",0,NOTA[[#This Row],[C]]))</f>
        <v/>
      </c>
      <c r="W307" s="42" t="str">
        <f>IF(NOTA[[#This Row],[JUMLAH]]="","",NOTA[[#This Row],[JUMLAH]]*NOTA[[#This Row],[Column6]])</f>
        <v/>
      </c>
      <c r="X307" s="42" t="str">
        <f>IF(NOTA[[#This Row],[JUMLAH]]="","",(NOTA[[#This Row],[JUMLAH]]-NOTA[[#This Row],[DISC 1-]])*NOTA[[#This Row],[Column7]])</f>
        <v/>
      </c>
      <c r="Y307" s="42" t="str">
        <f>IF(NOTA[[#This Row],[JUMLAH]]="","",(NOTA[[#This Row],[JUMLAH]]-NOTA[[#This Row],[DISC 1-]]-NOTA[[#This Row],[DISC 2-]])*NOTA[[#This Row],[Column8]])</f>
        <v/>
      </c>
      <c r="Z307" s="42" t="str">
        <f>IF(NOTA[[#This Row],[JUMLAH]]="","",NOTA[[#This Row],[DISC 1-]]+NOTA[[#This Row],[DISC 2-]]+NOTA[[#This Row],[DISC 3-]])</f>
        <v/>
      </c>
      <c r="AA307" s="42" t="str">
        <f>IF(NOTA[[#This Row],[JUMLAH]]="","",NOTA[[#This Row],[JUMLAH]]-NOTA[[#This Row],[DISC]])</f>
        <v/>
      </c>
      <c r="AB307" s="42"/>
      <c r="AC3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7" s="42" t="str">
        <f>IF(OR(NOTA[[#This Row],[QTY]]="",NOTA[[#This Row],[HARGA SATUAN]]="",),"",NOTA[[#This Row],[QTY]]*NOTA[[#This Row],[HARGA SATUAN]])</f>
        <v/>
      </c>
      <c r="AG307" s="36" t="str">
        <f ca="1">IF(NOTA[[#This Row],[ID_H]]="","",INDEX(NOTA[TANGGAL],MATCH(,INDIRECT(ADDRESS(ROW(NOTA[TANGGAL]),COLUMN(NOTA[TANGGAL]))&amp;":"&amp;ADDRESS(ROW(),COLUMN(NOTA[TANGGAL]))),-1)))</f>
        <v/>
      </c>
      <c r="AH307" s="36" t="str">
        <f ca="1">IF(NOTA[[#This Row],[ID_H]]="","",INDEX(NOTA[TGL.NOTA],MATCH(,INDIRECT(ADDRESS(ROW(NOTA[TGL.NOTA]),COLUMN(NOTA[TGL.NOTA]))&amp;":"&amp;ADDRESS(ROW(),COLUMN(NOTA[TGL.NOTA]))),-1)))</f>
        <v/>
      </c>
      <c r="AI307" s="36" t="str">
        <f ca="1">IF(NOTA[[#This Row],[ID_H]]="","",INDEX(NOTA[NO.NOTA],MATCH(NOTA[[#This Row],[ID_H]],NOTA[ID_H],0)))</f>
        <v/>
      </c>
      <c r="AJ307" s="38" t="str">
        <f ca="1">IF(NOTA[[#This Row],[NAMA BARANG]]="","",INDEX(NOTA[SUPPLIER],MATCH(,INDIRECT(ADDRESS(ROW(NOTA[ID]),COLUMN(NOTA[ID]))&amp;":"&amp;ADDRESS(ROW(),COLUMN(NOTA[ID]))),-1)))</f>
        <v/>
      </c>
      <c r="AK307" s="38" t="str">
        <f ca="1">IF(NOTA[[#This Row],[ID_H]]="","",IF(NOTA[[#This Row],[FAKTUR]]="",INDIRECT(ADDRESS(ROW()-1,COLUMN())),NOTA[[#This Row],[FAKTUR]]))</f>
        <v/>
      </c>
      <c r="AL307" s="35" t="str">
        <f ca="1">IF(NOTA[[#This Row],[ID]]="","",COUNTIF(NOTA[ID_H],NOTA[[#This Row],[ID_H]]))</f>
        <v/>
      </c>
      <c r="AM307" s="35" t="str">
        <f ca="1">IF(NOTA[[#This Row],[TGL.NOTA]]="",IF(NOTA[[#This Row],[SUPPLIER_H]]="","",AM306),MONTH(NOTA[[#This Row],[TGL.NOTA]]))</f>
        <v/>
      </c>
      <c r="AN3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7" s="35" t="str">
        <f>IF(NOTA[[#This Row],[CONCAT1]]="","",MATCH(NOTA[[#This Row],[CONCAT1]],[3]!db[NB NOTA_C],0))</f>
        <v/>
      </c>
      <c r="AS307" s="35" t="str">
        <f>IF(NOTA[[#This Row],[Column5]]="","",TRUE)</f>
        <v/>
      </c>
      <c r="AT307" s="35" t="str">
        <f ca="1">IF(NOTA[[#This Row],[ID_H]]="","",IF(NOTA[[#This Row],[Column3]]=TRUE,NOTA[[#This Row],[Column5]],INDEX([3]!db[QTY/ CTN],NOTA[[#This Row],[//DB]])))</f>
        <v/>
      </c>
      <c r="AU3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7" s="35" t="str">
        <f ca="1">IF(NOTA[[#This Row],[ID_H]]="","",MATCH(NOTA[[#This Row],[NB NOTA_C_QTY]],[3]!db[NB NOTA_C_QTY+F],0))</f>
        <v/>
      </c>
      <c r="AW307" s="43" t="str">
        <f ca="1">IF(NOTA[[#This Row],[NB NOTA_C_QTY]]="","",ROW()-2)</f>
        <v/>
      </c>
    </row>
    <row r="308" spans="1:49" ht="20.100000000000001" customHeight="1">
      <c r="A3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5" t="str">
        <f ca="1">IF(NOTA[[#This Row],[NAMA BARANG]]="","",INDEX(NOTA[ID],MATCH(,INDIRECT(ADDRESS(ROW(NOTA[ID]),COLUMN(NOTA[ID]))&amp;":"&amp;ADDRESS(ROW(),COLUMN(NOTA[ID]))),-1)))</f>
        <v/>
      </c>
      <c r="C308" s="45"/>
      <c r="F308" s="46"/>
      <c r="G308" s="35"/>
      <c r="H308" s="36"/>
      <c r="I308" s="35"/>
      <c r="K308" s="37"/>
      <c r="L308" s="35"/>
      <c r="N308" s="38"/>
      <c r="O308" s="39"/>
      <c r="P308" s="47"/>
      <c r="Q308" s="48"/>
      <c r="R308" s="41"/>
      <c r="T308" s="42"/>
      <c r="U308" s="44"/>
      <c r="V308" s="42" t="str">
        <f>IF(NOTA[[#This Row],[HARGA/ CTN]]="",NOTA[[#This Row],[JUMLAH_H]],NOTA[[#This Row],[HARGA/ CTN]]*IF(NOTA[[#This Row],[C]]="",0,NOTA[[#This Row],[C]]))</f>
        <v/>
      </c>
      <c r="W308" s="42" t="str">
        <f>IF(NOTA[[#This Row],[JUMLAH]]="","",NOTA[[#This Row],[JUMLAH]]*NOTA[[#This Row],[Column6]])</f>
        <v/>
      </c>
      <c r="X308" s="42" t="str">
        <f>IF(NOTA[[#This Row],[JUMLAH]]="","",(NOTA[[#This Row],[JUMLAH]]-NOTA[[#This Row],[DISC 1-]])*NOTA[[#This Row],[Column7]])</f>
        <v/>
      </c>
      <c r="Y308" s="42" t="str">
        <f>IF(NOTA[[#This Row],[JUMLAH]]="","",(NOTA[[#This Row],[JUMLAH]]-NOTA[[#This Row],[DISC 1-]]-NOTA[[#This Row],[DISC 2-]])*NOTA[[#This Row],[Column8]])</f>
        <v/>
      </c>
      <c r="Z308" s="42" t="str">
        <f>IF(NOTA[[#This Row],[JUMLAH]]="","",NOTA[[#This Row],[DISC 1-]]+NOTA[[#This Row],[DISC 2-]]+NOTA[[#This Row],[DISC 3-]])</f>
        <v/>
      </c>
      <c r="AA308" s="42" t="str">
        <f>IF(NOTA[[#This Row],[JUMLAH]]="","",NOTA[[#This Row],[JUMLAH]]-NOTA[[#This Row],[DISC]])</f>
        <v/>
      </c>
      <c r="AB308" s="42"/>
      <c r="AC3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8" s="42" t="str">
        <f>IF(OR(NOTA[[#This Row],[QTY]]="",NOTA[[#This Row],[HARGA SATUAN]]="",),"",NOTA[[#This Row],[QTY]]*NOTA[[#This Row],[HARGA SATUAN]])</f>
        <v/>
      </c>
      <c r="AG308" s="36" t="str">
        <f ca="1">IF(NOTA[[#This Row],[ID_H]]="","",INDEX(NOTA[TANGGAL],MATCH(,INDIRECT(ADDRESS(ROW(NOTA[TANGGAL]),COLUMN(NOTA[TANGGAL]))&amp;":"&amp;ADDRESS(ROW(),COLUMN(NOTA[TANGGAL]))),-1)))</f>
        <v/>
      </c>
      <c r="AH308" s="36" t="str">
        <f ca="1">IF(NOTA[[#This Row],[ID_H]]="","",INDEX(NOTA[TGL.NOTA],MATCH(,INDIRECT(ADDRESS(ROW(NOTA[TGL.NOTA]),COLUMN(NOTA[TGL.NOTA]))&amp;":"&amp;ADDRESS(ROW(),COLUMN(NOTA[TGL.NOTA]))),-1)))</f>
        <v/>
      </c>
      <c r="AI308" s="36" t="str">
        <f ca="1">IF(NOTA[[#This Row],[ID_H]]="","",INDEX(NOTA[NO.NOTA],MATCH(NOTA[[#This Row],[ID_H]],NOTA[ID_H],0)))</f>
        <v/>
      </c>
      <c r="AJ308" s="38" t="str">
        <f ca="1">IF(NOTA[[#This Row],[NAMA BARANG]]="","",INDEX(NOTA[SUPPLIER],MATCH(,INDIRECT(ADDRESS(ROW(NOTA[ID]),COLUMN(NOTA[ID]))&amp;":"&amp;ADDRESS(ROW(),COLUMN(NOTA[ID]))),-1)))</f>
        <v/>
      </c>
      <c r="AK308" s="38" t="str">
        <f ca="1">IF(NOTA[[#This Row],[ID_H]]="","",IF(NOTA[[#This Row],[FAKTUR]]="",INDIRECT(ADDRESS(ROW()-1,COLUMN())),NOTA[[#This Row],[FAKTUR]]))</f>
        <v/>
      </c>
      <c r="AL308" s="35" t="str">
        <f ca="1">IF(NOTA[[#This Row],[ID]]="","",COUNTIF(NOTA[ID_H],NOTA[[#This Row],[ID_H]]))</f>
        <v/>
      </c>
      <c r="AM308" s="35" t="str">
        <f ca="1">IF(NOTA[[#This Row],[TGL.NOTA]]="",IF(NOTA[[#This Row],[SUPPLIER_H]]="","",AM307),MONTH(NOTA[[#This Row],[TGL.NOTA]]))</f>
        <v/>
      </c>
      <c r="AN3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8" s="35" t="str">
        <f>IF(NOTA[[#This Row],[CONCAT1]]="","",MATCH(NOTA[[#This Row],[CONCAT1]],[3]!db[NB NOTA_C],0))</f>
        <v/>
      </c>
      <c r="AS308" s="35" t="str">
        <f>IF(NOTA[[#This Row],[Column5]]="","",TRUE)</f>
        <v/>
      </c>
      <c r="AT308" s="35" t="str">
        <f ca="1">IF(NOTA[[#This Row],[ID_H]]="","",IF(NOTA[[#This Row],[Column3]]=TRUE,NOTA[[#This Row],[Column5]],INDEX([3]!db[QTY/ CTN],NOTA[[#This Row],[//DB]])))</f>
        <v/>
      </c>
      <c r="AU3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8" s="35" t="str">
        <f ca="1">IF(NOTA[[#This Row],[ID_H]]="","",MATCH(NOTA[[#This Row],[NB NOTA_C_QTY]],[3]!db[NB NOTA_C_QTY+F],0))</f>
        <v/>
      </c>
      <c r="AW308" s="43" t="str">
        <f ca="1">IF(NOTA[[#This Row],[NB NOTA_C_QTY]]="","",ROW()-2)</f>
        <v/>
      </c>
    </row>
    <row r="309" spans="1:49" ht="20.100000000000001" customHeight="1">
      <c r="A3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5" t="str">
        <f ca="1">IF(NOTA[[#This Row],[NAMA BARANG]]="","",INDEX(NOTA[ID],MATCH(,INDIRECT(ADDRESS(ROW(NOTA[ID]),COLUMN(NOTA[ID]))&amp;":"&amp;ADDRESS(ROW(),COLUMN(NOTA[ID]))),-1)))</f>
        <v/>
      </c>
      <c r="C309" s="45"/>
      <c r="F309" s="46"/>
      <c r="G309" s="35"/>
      <c r="H309" s="36"/>
      <c r="I309" s="35"/>
      <c r="K309" s="37"/>
      <c r="L309" s="35"/>
      <c r="N309" s="38"/>
      <c r="O309" s="39"/>
      <c r="P309" s="47"/>
      <c r="Q309" s="48"/>
      <c r="R309" s="41"/>
      <c r="T309" s="42"/>
      <c r="U309" s="44"/>
      <c r="V309" s="42" t="str">
        <f>IF(NOTA[[#This Row],[HARGA/ CTN]]="",NOTA[[#This Row],[JUMLAH_H]],NOTA[[#This Row],[HARGA/ CTN]]*IF(NOTA[[#This Row],[C]]="",0,NOTA[[#This Row],[C]]))</f>
        <v/>
      </c>
      <c r="W309" s="42" t="str">
        <f>IF(NOTA[[#This Row],[JUMLAH]]="","",NOTA[[#This Row],[JUMLAH]]*NOTA[[#This Row],[Column6]])</f>
        <v/>
      </c>
      <c r="X309" s="42" t="str">
        <f>IF(NOTA[[#This Row],[JUMLAH]]="","",(NOTA[[#This Row],[JUMLAH]]-NOTA[[#This Row],[DISC 1-]])*NOTA[[#This Row],[Column7]])</f>
        <v/>
      </c>
      <c r="Y309" s="42" t="str">
        <f>IF(NOTA[[#This Row],[JUMLAH]]="","",(NOTA[[#This Row],[JUMLAH]]-NOTA[[#This Row],[DISC 1-]]-NOTA[[#This Row],[DISC 2-]])*NOTA[[#This Row],[Column8]])</f>
        <v/>
      </c>
      <c r="Z309" s="42" t="str">
        <f>IF(NOTA[[#This Row],[JUMLAH]]="","",NOTA[[#This Row],[DISC 1-]]+NOTA[[#This Row],[DISC 2-]]+NOTA[[#This Row],[DISC 3-]])</f>
        <v/>
      </c>
      <c r="AA309" s="42" t="str">
        <f>IF(NOTA[[#This Row],[JUMLAH]]="","",NOTA[[#This Row],[JUMLAH]]-NOTA[[#This Row],[DISC]])</f>
        <v/>
      </c>
      <c r="AB309" s="42"/>
      <c r="AC3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42" t="str">
        <f>IF(OR(NOTA[[#This Row],[QTY]]="",NOTA[[#This Row],[HARGA SATUAN]]="",),"",NOTA[[#This Row],[QTY]]*NOTA[[#This Row],[HARGA SATUAN]])</f>
        <v/>
      </c>
      <c r="AG309" s="36" t="str">
        <f ca="1">IF(NOTA[[#This Row],[ID_H]]="","",INDEX(NOTA[TANGGAL],MATCH(,INDIRECT(ADDRESS(ROW(NOTA[TANGGAL]),COLUMN(NOTA[TANGGAL]))&amp;":"&amp;ADDRESS(ROW(),COLUMN(NOTA[TANGGAL]))),-1)))</f>
        <v/>
      </c>
      <c r="AH309" s="36" t="str">
        <f ca="1">IF(NOTA[[#This Row],[ID_H]]="","",INDEX(NOTA[TGL.NOTA],MATCH(,INDIRECT(ADDRESS(ROW(NOTA[TGL.NOTA]),COLUMN(NOTA[TGL.NOTA]))&amp;":"&amp;ADDRESS(ROW(),COLUMN(NOTA[TGL.NOTA]))),-1)))</f>
        <v/>
      </c>
      <c r="AI309" s="36" t="str">
        <f ca="1">IF(NOTA[[#This Row],[ID_H]]="","",INDEX(NOTA[NO.NOTA],MATCH(NOTA[[#This Row],[ID_H]],NOTA[ID_H],0)))</f>
        <v/>
      </c>
      <c r="AJ309" s="38" t="str">
        <f ca="1">IF(NOTA[[#This Row],[NAMA BARANG]]="","",INDEX(NOTA[SUPPLIER],MATCH(,INDIRECT(ADDRESS(ROW(NOTA[ID]),COLUMN(NOTA[ID]))&amp;":"&amp;ADDRESS(ROW(),COLUMN(NOTA[ID]))),-1)))</f>
        <v/>
      </c>
      <c r="AK309" s="38" t="str">
        <f ca="1">IF(NOTA[[#This Row],[ID_H]]="","",IF(NOTA[[#This Row],[FAKTUR]]="",INDIRECT(ADDRESS(ROW()-1,COLUMN())),NOTA[[#This Row],[FAKTUR]]))</f>
        <v/>
      </c>
      <c r="AL309" s="35" t="str">
        <f ca="1">IF(NOTA[[#This Row],[ID]]="","",COUNTIF(NOTA[ID_H],NOTA[[#This Row],[ID_H]]))</f>
        <v/>
      </c>
      <c r="AM309" s="35" t="str">
        <f ca="1">IF(NOTA[[#This Row],[TGL.NOTA]]="",IF(NOTA[[#This Row],[SUPPLIER_H]]="","",AM308),MONTH(NOTA[[#This Row],[TGL.NOTA]]))</f>
        <v/>
      </c>
      <c r="AN3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9" s="35" t="str">
        <f>IF(NOTA[[#This Row],[CONCAT1]]="","",MATCH(NOTA[[#This Row],[CONCAT1]],[3]!db[NB NOTA_C],0))</f>
        <v/>
      </c>
      <c r="AS309" s="35" t="str">
        <f>IF(NOTA[[#This Row],[Column5]]="","",TRUE)</f>
        <v/>
      </c>
      <c r="AT309" s="35" t="str">
        <f ca="1">IF(NOTA[[#This Row],[ID_H]]="","",IF(NOTA[[#This Row],[Column3]]=TRUE,NOTA[[#This Row],[Column5]],INDEX([3]!db[QTY/ CTN],NOTA[[#This Row],[//DB]])))</f>
        <v/>
      </c>
      <c r="AU3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09" s="35" t="str">
        <f ca="1">IF(NOTA[[#This Row],[ID_H]]="","",MATCH(NOTA[[#This Row],[NB NOTA_C_QTY]],[3]!db[NB NOTA_C_QTY+F],0))</f>
        <v/>
      </c>
      <c r="AW309" s="43" t="str">
        <f ca="1">IF(NOTA[[#This Row],[NB NOTA_C_QTY]]="","",ROW()-2)</f>
        <v/>
      </c>
    </row>
    <row r="310" spans="1:49" ht="20.100000000000001" customHeight="1">
      <c r="A3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5" t="str">
        <f ca="1">IF(NOTA[[#This Row],[NAMA BARANG]]="","",INDEX(NOTA[ID],MATCH(,INDIRECT(ADDRESS(ROW(NOTA[ID]),COLUMN(NOTA[ID]))&amp;":"&amp;ADDRESS(ROW(),COLUMN(NOTA[ID]))),-1)))</f>
        <v/>
      </c>
      <c r="C310" s="45"/>
      <c r="F310" s="46"/>
      <c r="G310" s="35"/>
      <c r="H310" s="36"/>
      <c r="I310" s="35"/>
      <c r="K310" s="37"/>
      <c r="L310" s="35"/>
      <c r="N310" s="38"/>
      <c r="O310" s="39"/>
      <c r="P310" s="47"/>
      <c r="Q310" s="48"/>
      <c r="R310" s="41"/>
      <c r="T310" s="42"/>
      <c r="U310" s="44"/>
      <c r="V310" s="42" t="str">
        <f>IF(NOTA[[#This Row],[HARGA/ CTN]]="",NOTA[[#This Row],[JUMLAH_H]],NOTA[[#This Row],[HARGA/ CTN]]*IF(NOTA[[#This Row],[C]]="",0,NOTA[[#This Row],[C]]))</f>
        <v/>
      </c>
      <c r="W310" s="42" t="str">
        <f>IF(NOTA[[#This Row],[JUMLAH]]="","",NOTA[[#This Row],[JUMLAH]]*NOTA[[#This Row],[Column6]])</f>
        <v/>
      </c>
      <c r="X310" s="42" t="str">
        <f>IF(NOTA[[#This Row],[JUMLAH]]="","",(NOTA[[#This Row],[JUMLAH]]-NOTA[[#This Row],[DISC 1-]])*NOTA[[#This Row],[Column7]])</f>
        <v/>
      </c>
      <c r="Y310" s="42" t="str">
        <f>IF(NOTA[[#This Row],[JUMLAH]]="","",(NOTA[[#This Row],[JUMLAH]]-NOTA[[#This Row],[DISC 1-]]-NOTA[[#This Row],[DISC 2-]])*NOTA[[#This Row],[Column8]])</f>
        <v/>
      </c>
      <c r="Z310" s="42" t="str">
        <f>IF(NOTA[[#This Row],[JUMLAH]]="","",NOTA[[#This Row],[DISC 1-]]+NOTA[[#This Row],[DISC 2-]]+NOTA[[#This Row],[DISC 3-]])</f>
        <v/>
      </c>
      <c r="AA310" s="42" t="str">
        <f>IF(NOTA[[#This Row],[JUMLAH]]="","",NOTA[[#This Row],[JUMLAH]]-NOTA[[#This Row],[DISC]])</f>
        <v/>
      </c>
      <c r="AB310" s="42"/>
      <c r="AC3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42" t="str">
        <f>IF(OR(NOTA[[#This Row],[QTY]]="",NOTA[[#This Row],[HARGA SATUAN]]="",),"",NOTA[[#This Row],[QTY]]*NOTA[[#This Row],[HARGA SATUAN]])</f>
        <v/>
      </c>
      <c r="AG310" s="36" t="str">
        <f ca="1">IF(NOTA[[#This Row],[ID_H]]="","",INDEX(NOTA[TANGGAL],MATCH(,INDIRECT(ADDRESS(ROW(NOTA[TANGGAL]),COLUMN(NOTA[TANGGAL]))&amp;":"&amp;ADDRESS(ROW(),COLUMN(NOTA[TANGGAL]))),-1)))</f>
        <v/>
      </c>
      <c r="AH310" s="36" t="str">
        <f ca="1">IF(NOTA[[#This Row],[ID_H]]="","",INDEX(NOTA[TGL.NOTA],MATCH(,INDIRECT(ADDRESS(ROW(NOTA[TGL.NOTA]),COLUMN(NOTA[TGL.NOTA]))&amp;":"&amp;ADDRESS(ROW(),COLUMN(NOTA[TGL.NOTA]))),-1)))</f>
        <v/>
      </c>
      <c r="AI310" s="36" t="str">
        <f ca="1">IF(NOTA[[#This Row],[ID_H]]="","",INDEX(NOTA[NO.NOTA],MATCH(NOTA[[#This Row],[ID_H]],NOTA[ID_H],0)))</f>
        <v/>
      </c>
      <c r="AJ310" s="38" t="str">
        <f ca="1">IF(NOTA[[#This Row],[NAMA BARANG]]="","",INDEX(NOTA[SUPPLIER],MATCH(,INDIRECT(ADDRESS(ROW(NOTA[ID]),COLUMN(NOTA[ID]))&amp;":"&amp;ADDRESS(ROW(),COLUMN(NOTA[ID]))),-1)))</f>
        <v/>
      </c>
      <c r="AK310" s="38" t="str">
        <f ca="1">IF(NOTA[[#This Row],[ID_H]]="","",IF(NOTA[[#This Row],[FAKTUR]]="",INDIRECT(ADDRESS(ROW()-1,COLUMN())),NOTA[[#This Row],[FAKTUR]]))</f>
        <v/>
      </c>
      <c r="AL310" s="35" t="str">
        <f ca="1">IF(NOTA[[#This Row],[ID]]="","",COUNTIF(NOTA[ID_H],NOTA[[#This Row],[ID_H]]))</f>
        <v/>
      </c>
      <c r="AM310" s="35" t="str">
        <f ca="1">IF(NOTA[[#This Row],[TGL.NOTA]]="",IF(NOTA[[#This Row],[SUPPLIER_H]]="","",AM309),MONTH(NOTA[[#This Row],[TGL.NOTA]]))</f>
        <v/>
      </c>
      <c r="AN3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0" s="35" t="str">
        <f>IF(NOTA[[#This Row],[CONCAT1]]="","",MATCH(NOTA[[#This Row],[CONCAT1]],[3]!db[NB NOTA_C],0))</f>
        <v/>
      </c>
      <c r="AS310" s="35" t="str">
        <f>IF(NOTA[[#This Row],[Column5]]="","",TRUE)</f>
        <v/>
      </c>
      <c r="AT310" s="35" t="str">
        <f ca="1">IF(NOTA[[#This Row],[ID_H]]="","",IF(NOTA[[#This Row],[Column3]]=TRUE,NOTA[[#This Row],[Column5]],INDEX([3]!db[QTY/ CTN],NOTA[[#This Row],[//DB]])))</f>
        <v/>
      </c>
      <c r="AU3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0" s="35" t="str">
        <f ca="1">IF(NOTA[[#This Row],[ID_H]]="","",MATCH(NOTA[[#This Row],[NB NOTA_C_QTY]],[3]!db[NB NOTA_C_QTY+F],0))</f>
        <v/>
      </c>
      <c r="AW310" s="43" t="str">
        <f ca="1">IF(NOTA[[#This Row],[NB NOTA_C_QTY]]="","",ROW()-2)</f>
        <v/>
      </c>
    </row>
    <row r="311" spans="1:49" ht="20.100000000000001" customHeight="1">
      <c r="A3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5" t="str">
        <f ca="1">IF(NOTA[[#This Row],[NAMA BARANG]]="","",INDEX(NOTA[ID],MATCH(,INDIRECT(ADDRESS(ROW(NOTA[ID]),COLUMN(NOTA[ID]))&amp;":"&amp;ADDRESS(ROW(),COLUMN(NOTA[ID]))),-1)))</f>
        <v/>
      </c>
      <c r="C311" s="45"/>
      <c r="F311" s="46"/>
      <c r="G311" s="35"/>
      <c r="H311" s="36"/>
      <c r="I311" s="35"/>
      <c r="K311" s="37"/>
      <c r="L311" s="35"/>
      <c r="N311" s="38"/>
      <c r="O311" s="39"/>
      <c r="P311" s="47"/>
      <c r="Q311" s="48"/>
      <c r="R311" s="41"/>
      <c r="T311" s="42"/>
      <c r="U311" s="44"/>
      <c r="V311" s="42" t="str">
        <f>IF(NOTA[[#This Row],[HARGA/ CTN]]="",NOTA[[#This Row],[JUMLAH_H]],NOTA[[#This Row],[HARGA/ CTN]]*IF(NOTA[[#This Row],[C]]="",0,NOTA[[#This Row],[C]]))</f>
        <v/>
      </c>
      <c r="W311" s="42" t="str">
        <f>IF(NOTA[[#This Row],[JUMLAH]]="","",NOTA[[#This Row],[JUMLAH]]*NOTA[[#This Row],[Column6]])</f>
        <v/>
      </c>
      <c r="X311" s="42" t="str">
        <f>IF(NOTA[[#This Row],[JUMLAH]]="","",(NOTA[[#This Row],[JUMLAH]]-NOTA[[#This Row],[DISC 1-]])*NOTA[[#This Row],[Column7]])</f>
        <v/>
      </c>
      <c r="Y311" s="42" t="str">
        <f>IF(NOTA[[#This Row],[JUMLAH]]="","",(NOTA[[#This Row],[JUMLAH]]-NOTA[[#This Row],[DISC 1-]]-NOTA[[#This Row],[DISC 2-]])*NOTA[[#This Row],[Column8]])</f>
        <v/>
      </c>
      <c r="Z311" s="42" t="str">
        <f>IF(NOTA[[#This Row],[JUMLAH]]="","",NOTA[[#This Row],[DISC 1-]]+NOTA[[#This Row],[DISC 2-]]+NOTA[[#This Row],[DISC 3-]])</f>
        <v/>
      </c>
      <c r="AA311" s="42" t="str">
        <f>IF(NOTA[[#This Row],[JUMLAH]]="","",NOTA[[#This Row],[JUMLAH]]-NOTA[[#This Row],[DISC]])</f>
        <v/>
      </c>
      <c r="AB311" s="42"/>
      <c r="AC3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42" t="str">
        <f>IF(OR(NOTA[[#This Row],[QTY]]="",NOTA[[#This Row],[HARGA SATUAN]]="",),"",NOTA[[#This Row],[QTY]]*NOTA[[#This Row],[HARGA SATUAN]])</f>
        <v/>
      </c>
      <c r="AG311" s="36" t="str">
        <f ca="1">IF(NOTA[[#This Row],[ID_H]]="","",INDEX(NOTA[TANGGAL],MATCH(,INDIRECT(ADDRESS(ROW(NOTA[TANGGAL]),COLUMN(NOTA[TANGGAL]))&amp;":"&amp;ADDRESS(ROW(),COLUMN(NOTA[TANGGAL]))),-1)))</f>
        <v/>
      </c>
      <c r="AH311" s="36" t="str">
        <f ca="1">IF(NOTA[[#This Row],[ID_H]]="","",INDEX(NOTA[TGL.NOTA],MATCH(,INDIRECT(ADDRESS(ROW(NOTA[TGL.NOTA]),COLUMN(NOTA[TGL.NOTA]))&amp;":"&amp;ADDRESS(ROW(),COLUMN(NOTA[TGL.NOTA]))),-1)))</f>
        <v/>
      </c>
      <c r="AI311" s="36" t="str">
        <f ca="1">IF(NOTA[[#This Row],[ID_H]]="","",INDEX(NOTA[NO.NOTA],MATCH(NOTA[[#This Row],[ID_H]],NOTA[ID_H],0)))</f>
        <v/>
      </c>
      <c r="AJ311" s="38" t="str">
        <f ca="1">IF(NOTA[[#This Row],[NAMA BARANG]]="","",INDEX(NOTA[SUPPLIER],MATCH(,INDIRECT(ADDRESS(ROW(NOTA[ID]),COLUMN(NOTA[ID]))&amp;":"&amp;ADDRESS(ROW(),COLUMN(NOTA[ID]))),-1)))</f>
        <v/>
      </c>
      <c r="AK311" s="38" t="str">
        <f ca="1">IF(NOTA[[#This Row],[ID_H]]="","",IF(NOTA[[#This Row],[FAKTUR]]="",INDIRECT(ADDRESS(ROW()-1,COLUMN())),NOTA[[#This Row],[FAKTUR]]))</f>
        <v/>
      </c>
      <c r="AL311" s="35" t="str">
        <f ca="1">IF(NOTA[[#This Row],[ID]]="","",COUNTIF(NOTA[ID_H],NOTA[[#This Row],[ID_H]]))</f>
        <v/>
      </c>
      <c r="AM311" s="35" t="str">
        <f ca="1">IF(NOTA[[#This Row],[TGL.NOTA]]="",IF(NOTA[[#This Row],[SUPPLIER_H]]="","",AM310),MONTH(NOTA[[#This Row],[TGL.NOTA]]))</f>
        <v/>
      </c>
      <c r="AN3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1" s="35" t="str">
        <f>IF(NOTA[[#This Row],[CONCAT1]]="","",MATCH(NOTA[[#This Row],[CONCAT1]],[3]!db[NB NOTA_C],0))</f>
        <v/>
      </c>
      <c r="AS311" s="35" t="str">
        <f>IF(NOTA[[#This Row],[Column5]]="","",TRUE)</f>
        <v/>
      </c>
      <c r="AT311" s="35" t="str">
        <f ca="1">IF(NOTA[[#This Row],[ID_H]]="","",IF(NOTA[[#This Row],[Column3]]=TRUE,NOTA[[#This Row],[Column5]],INDEX([3]!db[QTY/ CTN],NOTA[[#This Row],[//DB]])))</f>
        <v/>
      </c>
      <c r="AU3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1" s="35" t="str">
        <f ca="1">IF(NOTA[[#This Row],[ID_H]]="","",MATCH(NOTA[[#This Row],[NB NOTA_C_QTY]],[3]!db[NB NOTA_C_QTY+F],0))</f>
        <v/>
      </c>
      <c r="AW311" s="43" t="str">
        <f ca="1">IF(NOTA[[#This Row],[NB NOTA_C_QTY]]="","",ROW()-2)</f>
        <v/>
      </c>
    </row>
    <row r="312" spans="1:49" ht="20.100000000000001" customHeight="1">
      <c r="A3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5" t="str">
        <f ca="1">IF(NOTA[[#This Row],[NAMA BARANG]]="","",INDEX(NOTA[ID],MATCH(,INDIRECT(ADDRESS(ROW(NOTA[ID]),COLUMN(NOTA[ID]))&amp;":"&amp;ADDRESS(ROW(),COLUMN(NOTA[ID]))),-1)))</f>
        <v/>
      </c>
      <c r="C312" s="45"/>
      <c r="F312" s="46"/>
      <c r="G312" s="35"/>
      <c r="H312" s="36"/>
      <c r="I312" s="35"/>
      <c r="K312" s="37"/>
      <c r="L312" s="35"/>
      <c r="N312" s="38"/>
      <c r="O312" s="39"/>
      <c r="P312" s="47"/>
      <c r="Q312" s="48"/>
      <c r="R312" s="41"/>
      <c r="T312" s="42"/>
      <c r="U312" s="44"/>
      <c r="V312" s="42" t="str">
        <f>IF(NOTA[[#This Row],[HARGA/ CTN]]="",NOTA[[#This Row],[JUMLAH_H]],NOTA[[#This Row],[HARGA/ CTN]]*IF(NOTA[[#This Row],[C]]="",0,NOTA[[#This Row],[C]]))</f>
        <v/>
      </c>
      <c r="W312" s="42" t="str">
        <f>IF(NOTA[[#This Row],[JUMLAH]]="","",NOTA[[#This Row],[JUMLAH]]*NOTA[[#This Row],[Column6]])</f>
        <v/>
      </c>
      <c r="X312" s="42" t="str">
        <f>IF(NOTA[[#This Row],[JUMLAH]]="","",(NOTA[[#This Row],[JUMLAH]]-NOTA[[#This Row],[DISC 1-]])*NOTA[[#This Row],[Column7]])</f>
        <v/>
      </c>
      <c r="Y312" s="42" t="str">
        <f>IF(NOTA[[#This Row],[JUMLAH]]="","",(NOTA[[#This Row],[JUMLAH]]-NOTA[[#This Row],[DISC 1-]]-NOTA[[#This Row],[DISC 2-]])*NOTA[[#This Row],[Column8]])</f>
        <v/>
      </c>
      <c r="Z312" s="42" t="str">
        <f>IF(NOTA[[#This Row],[JUMLAH]]="","",NOTA[[#This Row],[DISC 1-]]+NOTA[[#This Row],[DISC 2-]]+NOTA[[#This Row],[DISC 3-]])</f>
        <v/>
      </c>
      <c r="AA312" s="42" t="str">
        <f>IF(NOTA[[#This Row],[JUMLAH]]="","",NOTA[[#This Row],[JUMLAH]]-NOTA[[#This Row],[DISC]])</f>
        <v/>
      </c>
      <c r="AB312" s="42"/>
      <c r="AC3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2" s="42" t="str">
        <f>IF(OR(NOTA[[#This Row],[QTY]]="",NOTA[[#This Row],[HARGA SATUAN]]="",),"",NOTA[[#This Row],[QTY]]*NOTA[[#This Row],[HARGA SATUAN]])</f>
        <v/>
      </c>
      <c r="AG312" s="36" t="str">
        <f ca="1">IF(NOTA[[#This Row],[ID_H]]="","",INDEX(NOTA[TANGGAL],MATCH(,INDIRECT(ADDRESS(ROW(NOTA[TANGGAL]),COLUMN(NOTA[TANGGAL]))&amp;":"&amp;ADDRESS(ROW(),COLUMN(NOTA[TANGGAL]))),-1)))</f>
        <v/>
      </c>
      <c r="AH312" s="36" t="str">
        <f ca="1">IF(NOTA[[#This Row],[ID_H]]="","",INDEX(NOTA[TGL.NOTA],MATCH(,INDIRECT(ADDRESS(ROW(NOTA[TGL.NOTA]),COLUMN(NOTA[TGL.NOTA]))&amp;":"&amp;ADDRESS(ROW(),COLUMN(NOTA[TGL.NOTA]))),-1)))</f>
        <v/>
      </c>
      <c r="AI312" s="36" t="str">
        <f ca="1">IF(NOTA[[#This Row],[ID_H]]="","",INDEX(NOTA[NO.NOTA],MATCH(NOTA[[#This Row],[ID_H]],NOTA[ID_H],0)))</f>
        <v/>
      </c>
      <c r="AJ312" s="38" t="str">
        <f ca="1">IF(NOTA[[#This Row],[NAMA BARANG]]="","",INDEX(NOTA[SUPPLIER],MATCH(,INDIRECT(ADDRESS(ROW(NOTA[ID]),COLUMN(NOTA[ID]))&amp;":"&amp;ADDRESS(ROW(),COLUMN(NOTA[ID]))),-1)))</f>
        <v/>
      </c>
      <c r="AK312" s="38" t="str">
        <f ca="1">IF(NOTA[[#This Row],[ID_H]]="","",IF(NOTA[[#This Row],[FAKTUR]]="",INDIRECT(ADDRESS(ROW()-1,COLUMN())),NOTA[[#This Row],[FAKTUR]]))</f>
        <v/>
      </c>
      <c r="AL312" s="35" t="str">
        <f ca="1">IF(NOTA[[#This Row],[ID]]="","",COUNTIF(NOTA[ID_H],NOTA[[#This Row],[ID_H]]))</f>
        <v/>
      </c>
      <c r="AM312" s="35" t="str">
        <f ca="1">IF(NOTA[[#This Row],[TGL.NOTA]]="",IF(NOTA[[#This Row],[SUPPLIER_H]]="","",AM311),MONTH(NOTA[[#This Row],[TGL.NOTA]]))</f>
        <v/>
      </c>
      <c r="AN3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2" s="35" t="str">
        <f>IF(NOTA[[#This Row],[CONCAT1]]="","",MATCH(NOTA[[#This Row],[CONCAT1]],[3]!db[NB NOTA_C],0))</f>
        <v/>
      </c>
      <c r="AS312" s="35" t="str">
        <f>IF(NOTA[[#This Row],[Column5]]="","",TRUE)</f>
        <v/>
      </c>
      <c r="AT312" s="35" t="str">
        <f ca="1">IF(NOTA[[#This Row],[ID_H]]="","",IF(NOTA[[#This Row],[Column3]]=TRUE,NOTA[[#This Row],[Column5]],INDEX([3]!db[QTY/ CTN],NOTA[[#This Row],[//DB]])))</f>
        <v/>
      </c>
      <c r="AU3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2" s="35" t="str">
        <f ca="1">IF(NOTA[[#This Row],[ID_H]]="","",MATCH(NOTA[[#This Row],[NB NOTA_C_QTY]],[3]!db[NB NOTA_C_QTY+F],0))</f>
        <v/>
      </c>
      <c r="AW312" s="43" t="str">
        <f ca="1">IF(NOTA[[#This Row],[NB NOTA_C_QTY]]="","",ROW()-2)</f>
        <v/>
      </c>
    </row>
    <row r="313" spans="1:49" ht="20.100000000000001" customHeight="1">
      <c r="A3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5" t="str">
        <f ca="1">IF(NOTA[[#This Row],[NAMA BARANG]]="","",INDEX(NOTA[ID],MATCH(,INDIRECT(ADDRESS(ROW(NOTA[ID]),COLUMN(NOTA[ID]))&amp;":"&amp;ADDRESS(ROW(),COLUMN(NOTA[ID]))),-1)))</f>
        <v/>
      </c>
      <c r="C313" s="45"/>
      <c r="F313" s="46"/>
      <c r="G313" s="35"/>
      <c r="H313" s="36"/>
      <c r="I313" s="35"/>
      <c r="K313" s="37"/>
      <c r="L313" s="35"/>
      <c r="N313" s="38"/>
      <c r="O313" s="39"/>
      <c r="P313" s="47"/>
      <c r="Q313" s="48"/>
      <c r="R313" s="41"/>
      <c r="T313" s="42"/>
      <c r="U313" s="44"/>
      <c r="V313" s="42" t="str">
        <f>IF(NOTA[[#This Row],[HARGA/ CTN]]="",NOTA[[#This Row],[JUMLAH_H]],NOTA[[#This Row],[HARGA/ CTN]]*IF(NOTA[[#This Row],[C]]="",0,NOTA[[#This Row],[C]]))</f>
        <v/>
      </c>
      <c r="W313" s="42" t="str">
        <f>IF(NOTA[[#This Row],[JUMLAH]]="","",NOTA[[#This Row],[JUMLAH]]*NOTA[[#This Row],[Column6]])</f>
        <v/>
      </c>
      <c r="X313" s="42" t="str">
        <f>IF(NOTA[[#This Row],[JUMLAH]]="","",(NOTA[[#This Row],[JUMLAH]]-NOTA[[#This Row],[DISC 1-]])*NOTA[[#This Row],[Column7]])</f>
        <v/>
      </c>
      <c r="Y313" s="42" t="str">
        <f>IF(NOTA[[#This Row],[JUMLAH]]="","",(NOTA[[#This Row],[JUMLAH]]-NOTA[[#This Row],[DISC 1-]]-NOTA[[#This Row],[DISC 2-]])*NOTA[[#This Row],[Column8]])</f>
        <v/>
      </c>
      <c r="Z313" s="42" t="str">
        <f>IF(NOTA[[#This Row],[JUMLAH]]="","",NOTA[[#This Row],[DISC 1-]]+NOTA[[#This Row],[DISC 2-]]+NOTA[[#This Row],[DISC 3-]])</f>
        <v/>
      </c>
      <c r="AA313" s="42" t="str">
        <f>IF(NOTA[[#This Row],[JUMLAH]]="","",NOTA[[#This Row],[JUMLAH]]-NOTA[[#This Row],[DISC]])</f>
        <v/>
      </c>
      <c r="AB313" s="42"/>
      <c r="AC3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42" t="str">
        <f>IF(OR(NOTA[[#This Row],[QTY]]="",NOTA[[#This Row],[HARGA SATUAN]]="",),"",NOTA[[#This Row],[QTY]]*NOTA[[#This Row],[HARGA SATUAN]])</f>
        <v/>
      </c>
      <c r="AG313" s="36" t="str">
        <f ca="1">IF(NOTA[[#This Row],[ID_H]]="","",INDEX(NOTA[TANGGAL],MATCH(,INDIRECT(ADDRESS(ROW(NOTA[TANGGAL]),COLUMN(NOTA[TANGGAL]))&amp;":"&amp;ADDRESS(ROW(),COLUMN(NOTA[TANGGAL]))),-1)))</f>
        <v/>
      </c>
      <c r="AH313" s="36" t="str">
        <f ca="1">IF(NOTA[[#This Row],[ID_H]]="","",INDEX(NOTA[TGL.NOTA],MATCH(,INDIRECT(ADDRESS(ROW(NOTA[TGL.NOTA]),COLUMN(NOTA[TGL.NOTA]))&amp;":"&amp;ADDRESS(ROW(),COLUMN(NOTA[TGL.NOTA]))),-1)))</f>
        <v/>
      </c>
      <c r="AI313" s="36" t="str">
        <f ca="1">IF(NOTA[[#This Row],[ID_H]]="","",INDEX(NOTA[NO.NOTA],MATCH(NOTA[[#This Row],[ID_H]],NOTA[ID_H],0)))</f>
        <v/>
      </c>
      <c r="AJ313" s="38" t="str">
        <f ca="1">IF(NOTA[[#This Row],[NAMA BARANG]]="","",INDEX(NOTA[SUPPLIER],MATCH(,INDIRECT(ADDRESS(ROW(NOTA[ID]),COLUMN(NOTA[ID]))&amp;":"&amp;ADDRESS(ROW(),COLUMN(NOTA[ID]))),-1)))</f>
        <v/>
      </c>
      <c r="AK313" s="38" t="str">
        <f ca="1">IF(NOTA[[#This Row],[ID_H]]="","",IF(NOTA[[#This Row],[FAKTUR]]="",INDIRECT(ADDRESS(ROW()-1,COLUMN())),NOTA[[#This Row],[FAKTUR]]))</f>
        <v/>
      </c>
      <c r="AL313" s="35" t="str">
        <f ca="1">IF(NOTA[[#This Row],[ID]]="","",COUNTIF(NOTA[ID_H],NOTA[[#This Row],[ID_H]]))</f>
        <v/>
      </c>
      <c r="AM313" s="35" t="str">
        <f ca="1">IF(NOTA[[#This Row],[TGL.NOTA]]="",IF(NOTA[[#This Row],[SUPPLIER_H]]="","",AM312),MONTH(NOTA[[#This Row],[TGL.NOTA]]))</f>
        <v/>
      </c>
      <c r="AN3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3" s="35" t="str">
        <f>IF(NOTA[[#This Row],[CONCAT1]]="","",MATCH(NOTA[[#This Row],[CONCAT1]],[3]!db[NB NOTA_C],0))</f>
        <v/>
      </c>
      <c r="AS313" s="35" t="str">
        <f>IF(NOTA[[#This Row],[Column5]]="","",TRUE)</f>
        <v/>
      </c>
      <c r="AT313" s="35" t="str">
        <f ca="1">IF(NOTA[[#This Row],[ID_H]]="","",IF(NOTA[[#This Row],[Column3]]=TRUE,NOTA[[#This Row],[Column5]],INDEX([3]!db[QTY/ CTN],NOTA[[#This Row],[//DB]])))</f>
        <v/>
      </c>
      <c r="AU3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3" s="35" t="str">
        <f ca="1">IF(NOTA[[#This Row],[ID_H]]="","",MATCH(NOTA[[#This Row],[NB NOTA_C_QTY]],[3]!db[NB NOTA_C_QTY+F],0))</f>
        <v/>
      </c>
      <c r="AW313" s="43" t="str">
        <f ca="1">IF(NOTA[[#This Row],[NB NOTA_C_QTY]]="","",ROW()-2)</f>
        <v/>
      </c>
    </row>
    <row r="314" spans="1:49" ht="20.100000000000001" customHeight="1">
      <c r="A3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5" t="str">
        <f ca="1">IF(NOTA[[#This Row],[NAMA BARANG]]="","",INDEX(NOTA[ID],MATCH(,INDIRECT(ADDRESS(ROW(NOTA[ID]),COLUMN(NOTA[ID]))&amp;":"&amp;ADDRESS(ROW(),COLUMN(NOTA[ID]))),-1)))</f>
        <v/>
      </c>
      <c r="C314" s="45"/>
      <c r="F314" s="46"/>
      <c r="G314" s="35"/>
      <c r="H314" s="36"/>
      <c r="I314" s="35"/>
      <c r="K314" s="37"/>
      <c r="L314" s="35"/>
      <c r="N314" s="38"/>
      <c r="O314" s="39"/>
      <c r="P314" s="47"/>
      <c r="Q314" s="48"/>
      <c r="R314" s="41"/>
      <c r="T314" s="42"/>
      <c r="U314" s="44"/>
      <c r="V314" s="42" t="str">
        <f>IF(NOTA[[#This Row],[HARGA/ CTN]]="",NOTA[[#This Row],[JUMLAH_H]],NOTA[[#This Row],[HARGA/ CTN]]*IF(NOTA[[#This Row],[C]]="",0,NOTA[[#This Row],[C]]))</f>
        <v/>
      </c>
      <c r="W314" s="42" t="str">
        <f>IF(NOTA[[#This Row],[JUMLAH]]="","",NOTA[[#This Row],[JUMLAH]]*NOTA[[#This Row],[Column6]])</f>
        <v/>
      </c>
      <c r="X314" s="42" t="str">
        <f>IF(NOTA[[#This Row],[JUMLAH]]="","",(NOTA[[#This Row],[JUMLAH]]-NOTA[[#This Row],[DISC 1-]])*NOTA[[#This Row],[Column7]])</f>
        <v/>
      </c>
      <c r="Y314" s="42" t="str">
        <f>IF(NOTA[[#This Row],[JUMLAH]]="","",(NOTA[[#This Row],[JUMLAH]]-NOTA[[#This Row],[DISC 1-]]-NOTA[[#This Row],[DISC 2-]])*NOTA[[#This Row],[Column8]])</f>
        <v/>
      </c>
      <c r="Z314" s="42" t="str">
        <f>IF(NOTA[[#This Row],[JUMLAH]]="","",NOTA[[#This Row],[DISC 1-]]+NOTA[[#This Row],[DISC 2-]]+NOTA[[#This Row],[DISC 3-]])</f>
        <v/>
      </c>
      <c r="AA314" s="42" t="str">
        <f>IF(NOTA[[#This Row],[JUMLAH]]="","",NOTA[[#This Row],[JUMLAH]]-NOTA[[#This Row],[DISC]])</f>
        <v/>
      </c>
      <c r="AB314" s="42"/>
      <c r="AC3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42" t="str">
        <f>IF(OR(NOTA[[#This Row],[QTY]]="",NOTA[[#This Row],[HARGA SATUAN]]="",),"",NOTA[[#This Row],[QTY]]*NOTA[[#This Row],[HARGA SATUAN]])</f>
        <v/>
      </c>
      <c r="AG314" s="36" t="str">
        <f ca="1">IF(NOTA[[#This Row],[ID_H]]="","",INDEX(NOTA[TANGGAL],MATCH(,INDIRECT(ADDRESS(ROW(NOTA[TANGGAL]),COLUMN(NOTA[TANGGAL]))&amp;":"&amp;ADDRESS(ROW(),COLUMN(NOTA[TANGGAL]))),-1)))</f>
        <v/>
      </c>
      <c r="AH314" s="36" t="str">
        <f ca="1">IF(NOTA[[#This Row],[ID_H]]="","",INDEX(NOTA[TGL.NOTA],MATCH(,INDIRECT(ADDRESS(ROW(NOTA[TGL.NOTA]),COLUMN(NOTA[TGL.NOTA]))&amp;":"&amp;ADDRESS(ROW(),COLUMN(NOTA[TGL.NOTA]))),-1)))</f>
        <v/>
      </c>
      <c r="AI314" s="36" t="str">
        <f ca="1">IF(NOTA[[#This Row],[ID_H]]="","",INDEX(NOTA[NO.NOTA],MATCH(NOTA[[#This Row],[ID_H]],NOTA[ID_H],0)))</f>
        <v/>
      </c>
      <c r="AJ314" s="38" t="str">
        <f ca="1">IF(NOTA[[#This Row],[NAMA BARANG]]="","",INDEX(NOTA[SUPPLIER],MATCH(,INDIRECT(ADDRESS(ROW(NOTA[ID]),COLUMN(NOTA[ID]))&amp;":"&amp;ADDRESS(ROW(),COLUMN(NOTA[ID]))),-1)))</f>
        <v/>
      </c>
      <c r="AK314" s="38" t="str">
        <f ca="1">IF(NOTA[[#This Row],[ID_H]]="","",IF(NOTA[[#This Row],[FAKTUR]]="",INDIRECT(ADDRESS(ROW()-1,COLUMN())),NOTA[[#This Row],[FAKTUR]]))</f>
        <v/>
      </c>
      <c r="AL314" s="35" t="str">
        <f ca="1">IF(NOTA[[#This Row],[ID]]="","",COUNTIF(NOTA[ID_H],NOTA[[#This Row],[ID_H]]))</f>
        <v/>
      </c>
      <c r="AM314" s="35" t="str">
        <f ca="1">IF(NOTA[[#This Row],[TGL.NOTA]]="",IF(NOTA[[#This Row],[SUPPLIER_H]]="","",AM313),MONTH(NOTA[[#This Row],[TGL.NOTA]]))</f>
        <v/>
      </c>
      <c r="AN3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4" s="35" t="str">
        <f>IF(NOTA[[#This Row],[CONCAT1]]="","",MATCH(NOTA[[#This Row],[CONCAT1]],[3]!db[NB NOTA_C],0))</f>
        <v/>
      </c>
      <c r="AS314" s="35" t="str">
        <f>IF(NOTA[[#This Row],[Column5]]="","",TRUE)</f>
        <v/>
      </c>
      <c r="AT314" s="35" t="str">
        <f ca="1">IF(NOTA[[#This Row],[ID_H]]="","",IF(NOTA[[#This Row],[Column3]]=TRUE,NOTA[[#This Row],[Column5]],INDEX([3]!db[QTY/ CTN],NOTA[[#This Row],[//DB]])))</f>
        <v/>
      </c>
      <c r="AU3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4" s="35" t="str">
        <f ca="1">IF(NOTA[[#This Row],[ID_H]]="","",MATCH(NOTA[[#This Row],[NB NOTA_C_QTY]],[3]!db[NB NOTA_C_QTY+F],0))</f>
        <v/>
      </c>
      <c r="AW314" s="43" t="str">
        <f ca="1">IF(NOTA[[#This Row],[NB NOTA_C_QTY]]="","",ROW()-2)</f>
        <v/>
      </c>
    </row>
    <row r="315" spans="1:49" ht="20.100000000000001" customHeight="1">
      <c r="A3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5" t="str">
        <f ca="1">IF(NOTA[[#This Row],[NAMA BARANG]]="","",INDEX(NOTA[ID],MATCH(,INDIRECT(ADDRESS(ROW(NOTA[ID]),COLUMN(NOTA[ID]))&amp;":"&amp;ADDRESS(ROW(),COLUMN(NOTA[ID]))),-1)))</f>
        <v/>
      </c>
      <c r="C315" s="45"/>
      <c r="F315" s="46"/>
      <c r="G315" s="35"/>
      <c r="H315" s="36"/>
      <c r="I315" s="35"/>
      <c r="K315" s="37"/>
      <c r="L315" s="35"/>
      <c r="N315" s="38"/>
      <c r="O315" s="39"/>
      <c r="P315" s="47"/>
      <c r="Q315" s="48"/>
      <c r="R315" s="41"/>
      <c r="T315" s="42"/>
      <c r="U315" s="44"/>
      <c r="V315" s="42" t="str">
        <f>IF(NOTA[[#This Row],[HARGA/ CTN]]="",NOTA[[#This Row],[JUMLAH_H]],NOTA[[#This Row],[HARGA/ CTN]]*IF(NOTA[[#This Row],[C]]="",0,NOTA[[#This Row],[C]]))</f>
        <v/>
      </c>
      <c r="W315" s="42" t="str">
        <f>IF(NOTA[[#This Row],[JUMLAH]]="","",NOTA[[#This Row],[JUMLAH]]*NOTA[[#This Row],[Column6]])</f>
        <v/>
      </c>
      <c r="X315" s="42" t="str">
        <f>IF(NOTA[[#This Row],[JUMLAH]]="","",(NOTA[[#This Row],[JUMLAH]]-NOTA[[#This Row],[DISC 1-]])*NOTA[[#This Row],[Column7]])</f>
        <v/>
      </c>
      <c r="Y315" s="42" t="str">
        <f>IF(NOTA[[#This Row],[JUMLAH]]="","",(NOTA[[#This Row],[JUMLAH]]-NOTA[[#This Row],[DISC 1-]]-NOTA[[#This Row],[DISC 2-]])*NOTA[[#This Row],[Column8]])</f>
        <v/>
      </c>
      <c r="Z315" s="42" t="str">
        <f>IF(NOTA[[#This Row],[JUMLAH]]="","",NOTA[[#This Row],[DISC 1-]]+NOTA[[#This Row],[DISC 2-]]+NOTA[[#This Row],[DISC 3-]])</f>
        <v/>
      </c>
      <c r="AA315" s="42" t="str">
        <f>IF(NOTA[[#This Row],[JUMLAH]]="","",NOTA[[#This Row],[JUMLAH]]-NOTA[[#This Row],[DISC]])</f>
        <v/>
      </c>
      <c r="AB315" s="42"/>
      <c r="AC3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42" t="str">
        <f>IF(OR(NOTA[[#This Row],[QTY]]="",NOTA[[#This Row],[HARGA SATUAN]]="",),"",NOTA[[#This Row],[QTY]]*NOTA[[#This Row],[HARGA SATUAN]])</f>
        <v/>
      </c>
      <c r="AG315" s="36" t="str">
        <f ca="1">IF(NOTA[[#This Row],[ID_H]]="","",INDEX(NOTA[TANGGAL],MATCH(,INDIRECT(ADDRESS(ROW(NOTA[TANGGAL]),COLUMN(NOTA[TANGGAL]))&amp;":"&amp;ADDRESS(ROW(),COLUMN(NOTA[TANGGAL]))),-1)))</f>
        <v/>
      </c>
      <c r="AH315" s="36" t="str">
        <f ca="1">IF(NOTA[[#This Row],[ID_H]]="","",INDEX(NOTA[TGL.NOTA],MATCH(,INDIRECT(ADDRESS(ROW(NOTA[TGL.NOTA]),COLUMN(NOTA[TGL.NOTA]))&amp;":"&amp;ADDRESS(ROW(),COLUMN(NOTA[TGL.NOTA]))),-1)))</f>
        <v/>
      </c>
      <c r="AI315" s="36" t="str">
        <f ca="1">IF(NOTA[[#This Row],[ID_H]]="","",INDEX(NOTA[NO.NOTA],MATCH(NOTA[[#This Row],[ID_H]],NOTA[ID_H],0)))</f>
        <v/>
      </c>
      <c r="AJ315" s="38" t="str">
        <f ca="1">IF(NOTA[[#This Row],[NAMA BARANG]]="","",INDEX(NOTA[SUPPLIER],MATCH(,INDIRECT(ADDRESS(ROW(NOTA[ID]),COLUMN(NOTA[ID]))&amp;":"&amp;ADDRESS(ROW(),COLUMN(NOTA[ID]))),-1)))</f>
        <v/>
      </c>
      <c r="AK315" s="38" t="str">
        <f ca="1">IF(NOTA[[#This Row],[ID_H]]="","",IF(NOTA[[#This Row],[FAKTUR]]="",INDIRECT(ADDRESS(ROW()-1,COLUMN())),NOTA[[#This Row],[FAKTUR]]))</f>
        <v/>
      </c>
      <c r="AL315" s="35" t="str">
        <f ca="1">IF(NOTA[[#This Row],[ID]]="","",COUNTIF(NOTA[ID_H],NOTA[[#This Row],[ID_H]]))</f>
        <v/>
      </c>
      <c r="AM315" s="35" t="str">
        <f ca="1">IF(NOTA[[#This Row],[TGL.NOTA]]="",IF(NOTA[[#This Row],[SUPPLIER_H]]="","",AM314),MONTH(NOTA[[#This Row],[TGL.NOTA]]))</f>
        <v/>
      </c>
      <c r="AN3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5" s="35" t="str">
        <f>IF(NOTA[[#This Row],[CONCAT1]]="","",MATCH(NOTA[[#This Row],[CONCAT1]],[3]!db[NB NOTA_C],0))</f>
        <v/>
      </c>
      <c r="AS315" s="35" t="str">
        <f>IF(NOTA[[#This Row],[Column5]]="","",TRUE)</f>
        <v/>
      </c>
      <c r="AT315" s="35" t="str">
        <f ca="1">IF(NOTA[[#This Row],[ID_H]]="","",IF(NOTA[[#This Row],[Column3]]=TRUE,NOTA[[#This Row],[Column5]],INDEX([3]!db[QTY/ CTN],NOTA[[#This Row],[//DB]])))</f>
        <v/>
      </c>
      <c r="AU3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5" s="35" t="str">
        <f ca="1">IF(NOTA[[#This Row],[ID_H]]="","",MATCH(NOTA[[#This Row],[NB NOTA_C_QTY]],[3]!db[NB NOTA_C_QTY+F],0))</f>
        <v/>
      </c>
      <c r="AW315" s="43" t="str">
        <f ca="1">IF(NOTA[[#This Row],[NB NOTA_C_QTY]]="","",ROW()-2)</f>
        <v/>
      </c>
    </row>
    <row r="316" spans="1:49" ht="20.100000000000001" customHeight="1">
      <c r="A3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5" t="str">
        <f ca="1">IF(NOTA[[#This Row],[NAMA BARANG]]="","",INDEX(NOTA[ID],MATCH(,INDIRECT(ADDRESS(ROW(NOTA[ID]),COLUMN(NOTA[ID]))&amp;":"&amp;ADDRESS(ROW(),COLUMN(NOTA[ID]))),-1)))</f>
        <v/>
      </c>
      <c r="C316" s="45"/>
      <c r="F316" s="46"/>
      <c r="G316" s="35"/>
      <c r="H316" s="36"/>
      <c r="I316" s="35"/>
      <c r="K316" s="37"/>
      <c r="L316" s="35"/>
      <c r="N316" s="38"/>
      <c r="O316" s="39"/>
      <c r="P316" s="47"/>
      <c r="Q316" s="48"/>
      <c r="R316" s="41"/>
      <c r="T316" s="42"/>
      <c r="U316" s="44"/>
      <c r="V316" s="42" t="str">
        <f>IF(NOTA[[#This Row],[HARGA/ CTN]]="",NOTA[[#This Row],[JUMLAH_H]],NOTA[[#This Row],[HARGA/ CTN]]*IF(NOTA[[#This Row],[C]]="",0,NOTA[[#This Row],[C]]))</f>
        <v/>
      </c>
      <c r="W316" s="42" t="str">
        <f>IF(NOTA[[#This Row],[JUMLAH]]="","",NOTA[[#This Row],[JUMLAH]]*NOTA[[#This Row],[Column6]])</f>
        <v/>
      </c>
      <c r="X316" s="42" t="str">
        <f>IF(NOTA[[#This Row],[JUMLAH]]="","",(NOTA[[#This Row],[JUMLAH]]-NOTA[[#This Row],[DISC 1-]])*NOTA[[#This Row],[Column7]])</f>
        <v/>
      </c>
      <c r="Y316" s="42" t="str">
        <f>IF(NOTA[[#This Row],[JUMLAH]]="","",(NOTA[[#This Row],[JUMLAH]]-NOTA[[#This Row],[DISC 1-]]-NOTA[[#This Row],[DISC 2-]])*NOTA[[#This Row],[Column8]])</f>
        <v/>
      </c>
      <c r="Z316" s="42" t="str">
        <f>IF(NOTA[[#This Row],[JUMLAH]]="","",NOTA[[#This Row],[DISC 1-]]+NOTA[[#This Row],[DISC 2-]]+NOTA[[#This Row],[DISC 3-]])</f>
        <v/>
      </c>
      <c r="AA316" s="42" t="str">
        <f>IF(NOTA[[#This Row],[JUMLAH]]="","",NOTA[[#This Row],[JUMLAH]]-NOTA[[#This Row],[DISC]])</f>
        <v/>
      </c>
      <c r="AB316" s="42"/>
      <c r="AC3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42" t="str">
        <f>IF(OR(NOTA[[#This Row],[QTY]]="",NOTA[[#This Row],[HARGA SATUAN]]="",),"",NOTA[[#This Row],[QTY]]*NOTA[[#This Row],[HARGA SATUAN]])</f>
        <v/>
      </c>
      <c r="AG316" s="36" t="str">
        <f ca="1">IF(NOTA[[#This Row],[ID_H]]="","",INDEX(NOTA[TANGGAL],MATCH(,INDIRECT(ADDRESS(ROW(NOTA[TANGGAL]),COLUMN(NOTA[TANGGAL]))&amp;":"&amp;ADDRESS(ROW(),COLUMN(NOTA[TANGGAL]))),-1)))</f>
        <v/>
      </c>
      <c r="AH316" s="36" t="str">
        <f ca="1">IF(NOTA[[#This Row],[ID_H]]="","",INDEX(NOTA[TGL.NOTA],MATCH(,INDIRECT(ADDRESS(ROW(NOTA[TGL.NOTA]),COLUMN(NOTA[TGL.NOTA]))&amp;":"&amp;ADDRESS(ROW(),COLUMN(NOTA[TGL.NOTA]))),-1)))</f>
        <v/>
      </c>
      <c r="AI316" s="36" t="str">
        <f ca="1">IF(NOTA[[#This Row],[ID_H]]="","",INDEX(NOTA[NO.NOTA],MATCH(NOTA[[#This Row],[ID_H]],NOTA[ID_H],0)))</f>
        <v/>
      </c>
      <c r="AJ316" s="38" t="str">
        <f ca="1">IF(NOTA[[#This Row],[NAMA BARANG]]="","",INDEX(NOTA[SUPPLIER],MATCH(,INDIRECT(ADDRESS(ROW(NOTA[ID]),COLUMN(NOTA[ID]))&amp;":"&amp;ADDRESS(ROW(),COLUMN(NOTA[ID]))),-1)))</f>
        <v/>
      </c>
      <c r="AK316" s="38" t="str">
        <f ca="1">IF(NOTA[[#This Row],[ID_H]]="","",IF(NOTA[[#This Row],[FAKTUR]]="",INDIRECT(ADDRESS(ROW()-1,COLUMN())),NOTA[[#This Row],[FAKTUR]]))</f>
        <v/>
      </c>
      <c r="AL316" s="35" t="str">
        <f ca="1">IF(NOTA[[#This Row],[ID]]="","",COUNTIF(NOTA[ID_H],NOTA[[#This Row],[ID_H]]))</f>
        <v/>
      </c>
      <c r="AM316" s="35" t="str">
        <f ca="1">IF(NOTA[[#This Row],[TGL.NOTA]]="",IF(NOTA[[#This Row],[SUPPLIER_H]]="","",AM315),MONTH(NOTA[[#This Row],[TGL.NOTA]]))</f>
        <v/>
      </c>
      <c r="AN3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6" s="35" t="str">
        <f>IF(NOTA[[#This Row],[CONCAT1]]="","",MATCH(NOTA[[#This Row],[CONCAT1]],[3]!db[NB NOTA_C],0))</f>
        <v/>
      </c>
      <c r="AS316" s="35" t="str">
        <f>IF(NOTA[[#This Row],[Column5]]="","",TRUE)</f>
        <v/>
      </c>
      <c r="AT316" s="35" t="str">
        <f ca="1">IF(NOTA[[#This Row],[ID_H]]="","",IF(NOTA[[#This Row],[Column3]]=TRUE,NOTA[[#This Row],[Column5]],INDEX([3]!db[QTY/ CTN],NOTA[[#This Row],[//DB]])))</f>
        <v/>
      </c>
      <c r="AU3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6" s="35" t="str">
        <f ca="1">IF(NOTA[[#This Row],[ID_H]]="","",MATCH(NOTA[[#This Row],[NB NOTA_C_QTY]],[3]!db[NB NOTA_C_QTY+F],0))</f>
        <v/>
      </c>
      <c r="AW316" s="43" t="str">
        <f ca="1">IF(NOTA[[#This Row],[NB NOTA_C_QTY]]="","",ROW()-2)</f>
        <v/>
      </c>
    </row>
    <row r="317" spans="1:49" ht="20.100000000000001" customHeight="1">
      <c r="A3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5" t="str">
        <f ca="1">IF(NOTA[[#This Row],[NAMA BARANG]]="","",INDEX(NOTA[ID],MATCH(,INDIRECT(ADDRESS(ROW(NOTA[ID]),COLUMN(NOTA[ID]))&amp;":"&amp;ADDRESS(ROW(),COLUMN(NOTA[ID]))),-1)))</f>
        <v/>
      </c>
      <c r="C317" s="45"/>
      <c r="F317" s="46"/>
      <c r="G317" s="35"/>
      <c r="H317" s="36"/>
      <c r="I317" s="35"/>
      <c r="K317" s="37"/>
      <c r="L317" s="35"/>
      <c r="N317" s="38"/>
      <c r="O317" s="39"/>
      <c r="P317" s="47"/>
      <c r="Q317" s="48"/>
      <c r="R317" s="41"/>
      <c r="T317" s="42"/>
      <c r="U317" s="44"/>
      <c r="V317" s="42" t="str">
        <f>IF(NOTA[[#This Row],[HARGA/ CTN]]="",NOTA[[#This Row],[JUMLAH_H]],NOTA[[#This Row],[HARGA/ CTN]]*IF(NOTA[[#This Row],[C]]="",0,NOTA[[#This Row],[C]]))</f>
        <v/>
      </c>
      <c r="W317" s="42" t="str">
        <f>IF(NOTA[[#This Row],[JUMLAH]]="","",NOTA[[#This Row],[JUMLAH]]*NOTA[[#This Row],[Column6]])</f>
        <v/>
      </c>
      <c r="X317" s="42" t="str">
        <f>IF(NOTA[[#This Row],[JUMLAH]]="","",(NOTA[[#This Row],[JUMLAH]]-NOTA[[#This Row],[DISC 1-]])*NOTA[[#This Row],[Column7]])</f>
        <v/>
      </c>
      <c r="Y317" s="42" t="str">
        <f>IF(NOTA[[#This Row],[JUMLAH]]="","",(NOTA[[#This Row],[JUMLAH]]-NOTA[[#This Row],[DISC 1-]]-NOTA[[#This Row],[DISC 2-]])*NOTA[[#This Row],[Column8]])</f>
        <v/>
      </c>
      <c r="Z317" s="42" t="str">
        <f>IF(NOTA[[#This Row],[JUMLAH]]="","",NOTA[[#This Row],[DISC 1-]]+NOTA[[#This Row],[DISC 2-]]+NOTA[[#This Row],[DISC 3-]])</f>
        <v/>
      </c>
      <c r="AA317" s="42" t="str">
        <f>IF(NOTA[[#This Row],[JUMLAH]]="","",NOTA[[#This Row],[JUMLAH]]-NOTA[[#This Row],[DISC]])</f>
        <v/>
      </c>
      <c r="AB317" s="42"/>
      <c r="AC3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42" t="str">
        <f>IF(OR(NOTA[[#This Row],[QTY]]="",NOTA[[#This Row],[HARGA SATUAN]]="",),"",NOTA[[#This Row],[QTY]]*NOTA[[#This Row],[HARGA SATUAN]])</f>
        <v/>
      </c>
      <c r="AG317" s="36" t="str">
        <f ca="1">IF(NOTA[[#This Row],[ID_H]]="","",INDEX(NOTA[TANGGAL],MATCH(,INDIRECT(ADDRESS(ROW(NOTA[TANGGAL]),COLUMN(NOTA[TANGGAL]))&amp;":"&amp;ADDRESS(ROW(),COLUMN(NOTA[TANGGAL]))),-1)))</f>
        <v/>
      </c>
      <c r="AH317" s="36" t="str">
        <f ca="1">IF(NOTA[[#This Row],[ID_H]]="","",INDEX(NOTA[TGL.NOTA],MATCH(,INDIRECT(ADDRESS(ROW(NOTA[TGL.NOTA]),COLUMN(NOTA[TGL.NOTA]))&amp;":"&amp;ADDRESS(ROW(),COLUMN(NOTA[TGL.NOTA]))),-1)))</f>
        <v/>
      </c>
      <c r="AI317" s="36" t="str">
        <f ca="1">IF(NOTA[[#This Row],[ID_H]]="","",INDEX(NOTA[NO.NOTA],MATCH(NOTA[[#This Row],[ID_H]],NOTA[ID_H],0)))</f>
        <v/>
      </c>
      <c r="AJ317" s="38" t="str">
        <f ca="1">IF(NOTA[[#This Row],[NAMA BARANG]]="","",INDEX(NOTA[SUPPLIER],MATCH(,INDIRECT(ADDRESS(ROW(NOTA[ID]),COLUMN(NOTA[ID]))&amp;":"&amp;ADDRESS(ROW(),COLUMN(NOTA[ID]))),-1)))</f>
        <v/>
      </c>
      <c r="AK317" s="38" t="str">
        <f ca="1">IF(NOTA[[#This Row],[ID_H]]="","",IF(NOTA[[#This Row],[FAKTUR]]="",INDIRECT(ADDRESS(ROW()-1,COLUMN())),NOTA[[#This Row],[FAKTUR]]))</f>
        <v/>
      </c>
      <c r="AL317" s="35" t="str">
        <f ca="1">IF(NOTA[[#This Row],[ID]]="","",COUNTIF(NOTA[ID_H],NOTA[[#This Row],[ID_H]]))</f>
        <v/>
      </c>
      <c r="AM317" s="35" t="str">
        <f ca="1">IF(NOTA[[#This Row],[TGL.NOTA]]="",IF(NOTA[[#This Row],[SUPPLIER_H]]="","",AM316),MONTH(NOTA[[#This Row],[TGL.NOTA]]))</f>
        <v/>
      </c>
      <c r="AN3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7" s="35" t="str">
        <f>IF(NOTA[[#This Row],[CONCAT1]]="","",MATCH(NOTA[[#This Row],[CONCAT1]],[3]!db[NB NOTA_C],0))</f>
        <v/>
      </c>
      <c r="AS317" s="35" t="str">
        <f>IF(NOTA[[#This Row],[Column5]]="","",TRUE)</f>
        <v/>
      </c>
      <c r="AT317" s="35" t="str">
        <f ca="1">IF(NOTA[[#This Row],[ID_H]]="","",IF(NOTA[[#This Row],[Column3]]=TRUE,NOTA[[#This Row],[Column5]],INDEX([3]!db[QTY/ CTN],NOTA[[#This Row],[//DB]])))</f>
        <v/>
      </c>
      <c r="AU3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7" s="35" t="str">
        <f ca="1">IF(NOTA[[#This Row],[ID_H]]="","",MATCH(NOTA[[#This Row],[NB NOTA_C_QTY]],[3]!db[NB NOTA_C_QTY+F],0))</f>
        <v/>
      </c>
      <c r="AW317" s="43" t="str">
        <f ca="1">IF(NOTA[[#This Row],[NB NOTA_C_QTY]]="","",ROW()-2)</f>
        <v/>
      </c>
    </row>
    <row r="318" spans="1:49" ht="20.100000000000001" customHeight="1">
      <c r="A3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5" t="str">
        <f ca="1">IF(NOTA[[#This Row],[NAMA BARANG]]="","",INDEX(NOTA[ID],MATCH(,INDIRECT(ADDRESS(ROW(NOTA[ID]),COLUMN(NOTA[ID]))&amp;":"&amp;ADDRESS(ROW(),COLUMN(NOTA[ID]))),-1)))</f>
        <v/>
      </c>
      <c r="C318" s="45"/>
      <c r="F318" s="46"/>
      <c r="G318" s="35"/>
      <c r="H318" s="36"/>
      <c r="I318" s="35"/>
      <c r="K318" s="37"/>
      <c r="L318" s="35"/>
      <c r="N318" s="38"/>
      <c r="O318" s="39"/>
      <c r="P318" s="47"/>
      <c r="Q318" s="48"/>
      <c r="R318" s="41"/>
      <c r="T318" s="42"/>
      <c r="U318" s="44"/>
      <c r="V318" s="42" t="str">
        <f>IF(NOTA[[#This Row],[HARGA/ CTN]]="",NOTA[[#This Row],[JUMLAH_H]],NOTA[[#This Row],[HARGA/ CTN]]*IF(NOTA[[#This Row],[C]]="",0,NOTA[[#This Row],[C]]))</f>
        <v/>
      </c>
      <c r="W318" s="42" t="str">
        <f>IF(NOTA[[#This Row],[JUMLAH]]="","",NOTA[[#This Row],[JUMLAH]]*NOTA[[#This Row],[Column6]])</f>
        <v/>
      </c>
      <c r="X318" s="42" t="str">
        <f>IF(NOTA[[#This Row],[JUMLAH]]="","",(NOTA[[#This Row],[JUMLAH]]-NOTA[[#This Row],[DISC 1-]])*NOTA[[#This Row],[Column7]])</f>
        <v/>
      </c>
      <c r="Y318" s="42" t="str">
        <f>IF(NOTA[[#This Row],[JUMLAH]]="","",(NOTA[[#This Row],[JUMLAH]]-NOTA[[#This Row],[DISC 1-]]-NOTA[[#This Row],[DISC 2-]])*NOTA[[#This Row],[Column8]])</f>
        <v/>
      </c>
      <c r="Z318" s="42" t="str">
        <f>IF(NOTA[[#This Row],[JUMLAH]]="","",NOTA[[#This Row],[DISC 1-]]+NOTA[[#This Row],[DISC 2-]]+NOTA[[#This Row],[DISC 3-]])</f>
        <v/>
      </c>
      <c r="AA318" s="42" t="str">
        <f>IF(NOTA[[#This Row],[JUMLAH]]="","",NOTA[[#This Row],[JUMLAH]]-NOTA[[#This Row],[DISC]])</f>
        <v/>
      </c>
      <c r="AB318" s="42"/>
      <c r="AC3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42" t="str">
        <f>IF(OR(NOTA[[#This Row],[QTY]]="",NOTA[[#This Row],[HARGA SATUAN]]="",),"",NOTA[[#This Row],[QTY]]*NOTA[[#This Row],[HARGA SATUAN]])</f>
        <v/>
      </c>
      <c r="AG318" s="36" t="str">
        <f ca="1">IF(NOTA[[#This Row],[ID_H]]="","",INDEX(NOTA[TANGGAL],MATCH(,INDIRECT(ADDRESS(ROW(NOTA[TANGGAL]),COLUMN(NOTA[TANGGAL]))&amp;":"&amp;ADDRESS(ROW(),COLUMN(NOTA[TANGGAL]))),-1)))</f>
        <v/>
      </c>
      <c r="AH318" s="36" t="str">
        <f ca="1">IF(NOTA[[#This Row],[ID_H]]="","",INDEX(NOTA[TGL.NOTA],MATCH(,INDIRECT(ADDRESS(ROW(NOTA[TGL.NOTA]),COLUMN(NOTA[TGL.NOTA]))&amp;":"&amp;ADDRESS(ROW(),COLUMN(NOTA[TGL.NOTA]))),-1)))</f>
        <v/>
      </c>
      <c r="AI318" s="36" t="str">
        <f ca="1">IF(NOTA[[#This Row],[ID_H]]="","",INDEX(NOTA[NO.NOTA],MATCH(NOTA[[#This Row],[ID_H]],NOTA[ID_H],0)))</f>
        <v/>
      </c>
      <c r="AJ318" s="38" t="str">
        <f ca="1">IF(NOTA[[#This Row],[NAMA BARANG]]="","",INDEX(NOTA[SUPPLIER],MATCH(,INDIRECT(ADDRESS(ROW(NOTA[ID]),COLUMN(NOTA[ID]))&amp;":"&amp;ADDRESS(ROW(),COLUMN(NOTA[ID]))),-1)))</f>
        <v/>
      </c>
      <c r="AK318" s="38" t="str">
        <f ca="1">IF(NOTA[[#This Row],[ID_H]]="","",IF(NOTA[[#This Row],[FAKTUR]]="",INDIRECT(ADDRESS(ROW()-1,COLUMN())),NOTA[[#This Row],[FAKTUR]]))</f>
        <v/>
      </c>
      <c r="AL318" s="35" t="str">
        <f ca="1">IF(NOTA[[#This Row],[ID]]="","",COUNTIF(NOTA[ID_H],NOTA[[#This Row],[ID_H]]))</f>
        <v/>
      </c>
      <c r="AM318" s="35" t="str">
        <f ca="1">IF(NOTA[[#This Row],[TGL.NOTA]]="",IF(NOTA[[#This Row],[SUPPLIER_H]]="","",AM317),MONTH(NOTA[[#This Row],[TGL.NOTA]]))</f>
        <v/>
      </c>
      <c r="AN3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8" s="35" t="str">
        <f>IF(NOTA[[#This Row],[CONCAT1]]="","",MATCH(NOTA[[#This Row],[CONCAT1]],[3]!db[NB NOTA_C],0))</f>
        <v/>
      </c>
      <c r="AS318" s="35" t="str">
        <f>IF(NOTA[[#This Row],[Column5]]="","",TRUE)</f>
        <v/>
      </c>
      <c r="AT318" s="35" t="str">
        <f ca="1">IF(NOTA[[#This Row],[ID_H]]="","",IF(NOTA[[#This Row],[Column3]]=TRUE,NOTA[[#This Row],[Column5]],INDEX([3]!db[QTY/ CTN],NOTA[[#This Row],[//DB]])))</f>
        <v/>
      </c>
      <c r="AU3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8" s="35" t="str">
        <f ca="1">IF(NOTA[[#This Row],[ID_H]]="","",MATCH(NOTA[[#This Row],[NB NOTA_C_QTY]],[3]!db[NB NOTA_C_QTY+F],0))</f>
        <v/>
      </c>
      <c r="AW318" s="43" t="str">
        <f ca="1">IF(NOTA[[#This Row],[NB NOTA_C_QTY]]="","",ROW()-2)</f>
        <v/>
      </c>
    </row>
    <row r="319" spans="1:49" ht="20.100000000000001" customHeight="1">
      <c r="A3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5" t="str">
        <f ca="1">IF(NOTA[[#This Row],[NAMA BARANG]]="","",INDEX(NOTA[ID],MATCH(,INDIRECT(ADDRESS(ROW(NOTA[ID]),COLUMN(NOTA[ID]))&amp;":"&amp;ADDRESS(ROW(),COLUMN(NOTA[ID]))),-1)))</f>
        <v/>
      </c>
      <c r="C319" s="45"/>
      <c r="F319" s="46"/>
      <c r="G319" s="35"/>
      <c r="H319" s="36"/>
      <c r="I319" s="35"/>
      <c r="K319" s="37"/>
      <c r="L319" s="35"/>
      <c r="N319" s="38"/>
      <c r="O319" s="39"/>
      <c r="P319" s="47"/>
      <c r="Q319" s="48"/>
      <c r="R319" s="41"/>
      <c r="T319" s="42"/>
      <c r="U319" s="44"/>
      <c r="V319" s="42" t="str">
        <f>IF(NOTA[[#This Row],[HARGA/ CTN]]="",NOTA[[#This Row],[JUMLAH_H]],NOTA[[#This Row],[HARGA/ CTN]]*IF(NOTA[[#This Row],[C]]="",0,NOTA[[#This Row],[C]]))</f>
        <v/>
      </c>
      <c r="W319" s="42" t="str">
        <f>IF(NOTA[[#This Row],[JUMLAH]]="","",NOTA[[#This Row],[JUMLAH]]*NOTA[[#This Row],[Column6]])</f>
        <v/>
      </c>
      <c r="X319" s="42" t="str">
        <f>IF(NOTA[[#This Row],[JUMLAH]]="","",(NOTA[[#This Row],[JUMLAH]]-NOTA[[#This Row],[DISC 1-]])*NOTA[[#This Row],[Column7]])</f>
        <v/>
      </c>
      <c r="Y319" s="42" t="str">
        <f>IF(NOTA[[#This Row],[JUMLAH]]="","",(NOTA[[#This Row],[JUMLAH]]-NOTA[[#This Row],[DISC 1-]]-NOTA[[#This Row],[DISC 2-]])*NOTA[[#This Row],[Column8]])</f>
        <v/>
      </c>
      <c r="Z319" s="42" t="str">
        <f>IF(NOTA[[#This Row],[JUMLAH]]="","",NOTA[[#This Row],[DISC 1-]]+NOTA[[#This Row],[DISC 2-]]+NOTA[[#This Row],[DISC 3-]])</f>
        <v/>
      </c>
      <c r="AA319" s="42" t="str">
        <f>IF(NOTA[[#This Row],[JUMLAH]]="","",NOTA[[#This Row],[JUMLAH]]-NOTA[[#This Row],[DISC]])</f>
        <v/>
      </c>
      <c r="AB319" s="42"/>
      <c r="AC3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9" s="42" t="str">
        <f>IF(OR(NOTA[[#This Row],[QTY]]="",NOTA[[#This Row],[HARGA SATUAN]]="",),"",NOTA[[#This Row],[QTY]]*NOTA[[#This Row],[HARGA SATUAN]])</f>
        <v/>
      </c>
      <c r="AG319" s="36" t="str">
        <f ca="1">IF(NOTA[[#This Row],[ID_H]]="","",INDEX(NOTA[TANGGAL],MATCH(,INDIRECT(ADDRESS(ROW(NOTA[TANGGAL]),COLUMN(NOTA[TANGGAL]))&amp;":"&amp;ADDRESS(ROW(),COLUMN(NOTA[TANGGAL]))),-1)))</f>
        <v/>
      </c>
      <c r="AH319" s="36" t="str">
        <f ca="1">IF(NOTA[[#This Row],[ID_H]]="","",INDEX(NOTA[TGL.NOTA],MATCH(,INDIRECT(ADDRESS(ROW(NOTA[TGL.NOTA]),COLUMN(NOTA[TGL.NOTA]))&amp;":"&amp;ADDRESS(ROW(),COLUMN(NOTA[TGL.NOTA]))),-1)))</f>
        <v/>
      </c>
      <c r="AI319" s="36" t="str">
        <f ca="1">IF(NOTA[[#This Row],[ID_H]]="","",INDEX(NOTA[NO.NOTA],MATCH(NOTA[[#This Row],[ID_H]],NOTA[ID_H],0)))</f>
        <v/>
      </c>
      <c r="AJ319" s="38" t="str">
        <f ca="1">IF(NOTA[[#This Row],[NAMA BARANG]]="","",INDEX(NOTA[SUPPLIER],MATCH(,INDIRECT(ADDRESS(ROW(NOTA[ID]),COLUMN(NOTA[ID]))&amp;":"&amp;ADDRESS(ROW(),COLUMN(NOTA[ID]))),-1)))</f>
        <v/>
      </c>
      <c r="AK319" s="38" t="str">
        <f ca="1">IF(NOTA[[#This Row],[ID_H]]="","",IF(NOTA[[#This Row],[FAKTUR]]="",INDIRECT(ADDRESS(ROW()-1,COLUMN())),NOTA[[#This Row],[FAKTUR]]))</f>
        <v/>
      </c>
      <c r="AL319" s="35" t="str">
        <f ca="1">IF(NOTA[[#This Row],[ID]]="","",COUNTIF(NOTA[ID_H],NOTA[[#This Row],[ID_H]]))</f>
        <v/>
      </c>
      <c r="AM319" s="35" t="str">
        <f ca="1">IF(NOTA[[#This Row],[TGL.NOTA]]="",IF(NOTA[[#This Row],[SUPPLIER_H]]="","",AM318),MONTH(NOTA[[#This Row],[TGL.NOTA]]))</f>
        <v/>
      </c>
      <c r="AN3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9" s="35" t="str">
        <f>IF(NOTA[[#This Row],[CONCAT1]]="","",MATCH(NOTA[[#This Row],[CONCAT1]],[3]!db[NB NOTA_C],0))</f>
        <v/>
      </c>
      <c r="AS319" s="35" t="str">
        <f>IF(NOTA[[#This Row],[Column5]]="","",TRUE)</f>
        <v/>
      </c>
      <c r="AT319" s="35" t="str">
        <f ca="1">IF(NOTA[[#This Row],[ID_H]]="","",IF(NOTA[[#This Row],[Column3]]=TRUE,NOTA[[#This Row],[Column5]],INDEX([3]!db[QTY/ CTN],NOTA[[#This Row],[//DB]])))</f>
        <v/>
      </c>
      <c r="AU3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19" s="35" t="str">
        <f ca="1">IF(NOTA[[#This Row],[ID_H]]="","",MATCH(NOTA[[#This Row],[NB NOTA_C_QTY]],[3]!db[NB NOTA_C_QTY+F],0))</f>
        <v/>
      </c>
      <c r="AW319" s="43" t="str">
        <f ca="1">IF(NOTA[[#This Row],[NB NOTA_C_QTY]]="","",ROW()-2)</f>
        <v/>
      </c>
    </row>
    <row r="320" spans="1:49" ht="20.100000000000001" customHeight="1">
      <c r="A3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5" t="str">
        <f ca="1">IF(NOTA[[#This Row],[NAMA BARANG]]="","",INDEX(NOTA[ID],MATCH(,INDIRECT(ADDRESS(ROW(NOTA[ID]),COLUMN(NOTA[ID]))&amp;":"&amp;ADDRESS(ROW(),COLUMN(NOTA[ID]))),-1)))</f>
        <v/>
      </c>
      <c r="C320" s="45"/>
      <c r="F320" s="46"/>
      <c r="G320" s="35"/>
      <c r="H320" s="36"/>
      <c r="I320" s="35"/>
      <c r="K320" s="37"/>
      <c r="L320" s="35"/>
      <c r="N320" s="38"/>
      <c r="O320" s="39"/>
      <c r="P320" s="47"/>
      <c r="Q320" s="48"/>
      <c r="R320" s="41"/>
      <c r="T320" s="42"/>
      <c r="U320" s="44"/>
      <c r="V320" s="42" t="str">
        <f>IF(NOTA[[#This Row],[HARGA/ CTN]]="",NOTA[[#This Row],[JUMLAH_H]],NOTA[[#This Row],[HARGA/ CTN]]*IF(NOTA[[#This Row],[C]]="",0,NOTA[[#This Row],[C]]))</f>
        <v/>
      </c>
      <c r="W320" s="42" t="str">
        <f>IF(NOTA[[#This Row],[JUMLAH]]="","",NOTA[[#This Row],[JUMLAH]]*NOTA[[#This Row],[Column6]])</f>
        <v/>
      </c>
      <c r="X320" s="42" t="str">
        <f>IF(NOTA[[#This Row],[JUMLAH]]="","",(NOTA[[#This Row],[JUMLAH]]-NOTA[[#This Row],[DISC 1-]])*NOTA[[#This Row],[Column7]])</f>
        <v/>
      </c>
      <c r="Y320" s="42" t="str">
        <f>IF(NOTA[[#This Row],[JUMLAH]]="","",(NOTA[[#This Row],[JUMLAH]]-NOTA[[#This Row],[DISC 1-]]-NOTA[[#This Row],[DISC 2-]])*NOTA[[#This Row],[Column8]])</f>
        <v/>
      </c>
      <c r="Z320" s="42" t="str">
        <f>IF(NOTA[[#This Row],[JUMLAH]]="","",NOTA[[#This Row],[DISC 1-]]+NOTA[[#This Row],[DISC 2-]]+NOTA[[#This Row],[DISC 3-]])</f>
        <v/>
      </c>
      <c r="AA320" s="42" t="str">
        <f>IF(NOTA[[#This Row],[JUMLAH]]="","",NOTA[[#This Row],[JUMLAH]]-NOTA[[#This Row],[DISC]])</f>
        <v/>
      </c>
      <c r="AB320" s="42"/>
      <c r="AC3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42" t="str">
        <f>IF(OR(NOTA[[#This Row],[QTY]]="",NOTA[[#This Row],[HARGA SATUAN]]="",),"",NOTA[[#This Row],[QTY]]*NOTA[[#This Row],[HARGA SATUAN]])</f>
        <v/>
      </c>
      <c r="AG320" s="36" t="str">
        <f ca="1">IF(NOTA[[#This Row],[ID_H]]="","",INDEX(NOTA[TANGGAL],MATCH(,INDIRECT(ADDRESS(ROW(NOTA[TANGGAL]),COLUMN(NOTA[TANGGAL]))&amp;":"&amp;ADDRESS(ROW(),COLUMN(NOTA[TANGGAL]))),-1)))</f>
        <v/>
      </c>
      <c r="AH320" s="36" t="str">
        <f ca="1">IF(NOTA[[#This Row],[ID_H]]="","",INDEX(NOTA[TGL.NOTA],MATCH(,INDIRECT(ADDRESS(ROW(NOTA[TGL.NOTA]),COLUMN(NOTA[TGL.NOTA]))&amp;":"&amp;ADDRESS(ROW(),COLUMN(NOTA[TGL.NOTA]))),-1)))</f>
        <v/>
      </c>
      <c r="AI320" s="36" t="str">
        <f ca="1">IF(NOTA[[#This Row],[ID_H]]="","",INDEX(NOTA[NO.NOTA],MATCH(NOTA[[#This Row],[ID_H]],NOTA[ID_H],0)))</f>
        <v/>
      </c>
      <c r="AJ320" s="38" t="str">
        <f ca="1">IF(NOTA[[#This Row],[NAMA BARANG]]="","",INDEX(NOTA[SUPPLIER],MATCH(,INDIRECT(ADDRESS(ROW(NOTA[ID]),COLUMN(NOTA[ID]))&amp;":"&amp;ADDRESS(ROW(),COLUMN(NOTA[ID]))),-1)))</f>
        <v/>
      </c>
      <c r="AK320" s="38" t="str">
        <f ca="1">IF(NOTA[[#This Row],[ID_H]]="","",IF(NOTA[[#This Row],[FAKTUR]]="",INDIRECT(ADDRESS(ROW()-1,COLUMN())),NOTA[[#This Row],[FAKTUR]]))</f>
        <v/>
      </c>
      <c r="AL320" s="35" t="str">
        <f ca="1">IF(NOTA[[#This Row],[ID]]="","",COUNTIF(NOTA[ID_H],NOTA[[#This Row],[ID_H]]))</f>
        <v/>
      </c>
      <c r="AM320" s="35" t="str">
        <f ca="1">IF(NOTA[[#This Row],[TGL.NOTA]]="",IF(NOTA[[#This Row],[SUPPLIER_H]]="","",AM319),MONTH(NOTA[[#This Row],[TGL.NOTA]]))</f>
        <v/>
      </c>
      <c r="AN3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0" s="35" t="str">
        <f>IF(NOTA[[#This Row],[CONCAT1]]="","",MATCH(NOTA[[#This Row],[CONCAT1]],[3]!db[NB NOTA_C],0))</f>
        <v/>
      </c>
      <c r="AS320" s="35" t="str">
        <f>IF(NOTA[[#This Row],[Column5]]="","",TRUE)</f>
        <v/>
      </c>
      <c r="AT320" s="35" t="str">
        <f ca="1">IF(NOTA[[#This Row],[ID_H]]="","",IF(NOTA[[#This Row],[Column3]]=TRUE,NOTA[[#This Row],[Column5]],INDEX([3]!db[QTY/ CTN],NOTA[[#This Row],[//DB]])))</f>
        <v/>
      </c>
      <c r="AU3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0" s="35" t="str">
        <f ca="1">IF(NOTA[[#This Row],[ID_H]]="","",MATCH(NOTA[[#This Row],[NB NOTA_C_QTY]],[3]!db[NB NOTA_C_QTY+F],0))</f>
        <v/>
      </c>
      <c r="AW320" s="43" t="str">
        <f ca="1">IF(NOTA[[#This Row],[NB NOTA_C_QTY]]="","",ROW()-2)</f>
        <v/>
      </c>
    </row>
    <row r="321" spans="1:49" ht="20.100000000000001" customHeight="1">
      <c r="A3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5" t="str">
        <f ca="1">IF(NOTA[[#This Row],[NAMA BARANG]]="","",INDEX(NOTA[ID],MATCH(,INDIRECT(ADDRESS(ROW(NOTA[ID]),COLUMN(NOTA[ID]))&amp;":"&amp;ADDRESS(ROW(),COLUMN(NOTA[ID]))),-1)))</f>
        <v/>
      </c>
      <c r="C321" s="45"/>
      <c r="F321" s="46"/>
      <c r="G321" s="35"/>
      <c r="H321" s="36"/>
      <c r="I321" s="35"/>
      <c r="K321" s="37"/>
      <c r="L321" s="35"/>
      <c r="N321" s="38"/>
      <c r="O321" s="39"/>
      <c r="P321" s="47"/>
      <c r="Q321" s="48"/>
      <c r="R321" s="41"/>
      <c r="T321" s="42"/>
      <c r="U321" s="44"/>
      <c r="V321" s="42" t="str">
        <f>IF(NOTA[[#This Row],[HARGA/ CTN]]="",NOTA[[#This Row],[JUMLAH_H]],NOTA[[#This Row],[HARGA/ CTN]]*IF(NOTA[[#This Row],[C]]="",0,NOTA[[#This Row],[C]]))</f>
        <v/>
      </c>
      <c r="W321" s="42" t="str">
        <f>IF(NOTA[[#This Row],[JUMLAH]]="","",NOTA[[#This Row],[JUMLAH]]*NOTA[[#This Row],[Column6]])</f>
        <v/>
      </c>
      <c r="X321" s="42" t="str">
        <f>IF(NOTA[[#This Row],[JUMLAH]]="","",(NOTA[[#This Row],[JUMLAH]]-NOTA[[#This Row],[DISC 1-]])*NOTA[[#This Row],[Column7]])</f>
        <v/>
      </c>
      <c r="Y321" s="42" t="str">
        <f>IF(NOTA[[#This Row],[JUMLAH]]="","",(NOTA[[#This Row],[JUMLAH]]-NOTA[[#This Row],[DISC 1-]]-NOTA[[#This Row],[DISC 2-]])*NOTA[[#This Row],[Column8]])</f>
        <v/>
      </c>
      <c r="Z321" s="42" t="str">
        <f>IF(NOTA[[#This Row],[JUMLAH]]="","",NOTA[[#This Row],[DISC 1-]]+NOTA[[#This Row],[DISC 2-]]+NOTA[[#This Row],[DISC 3-]])</f>
        <v/>
      </c>
      <c r="AA321" s="42" t="str">
        <f>IF(NOTA[[#This Row],[JUMLAH]]="","",NOTA[[#This Row],[JUMLAH]]-NOTA[[#This Row],[DISC]])</f>
        <v/>
      </c>
      <c r="AB321" s="42"/>
      <c r="AC3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1" s="42" t="str">
        <f>IF(OR(NOTA[[#This Row],[QTY]]="",NOTA[[#This Row],[HARGA SATUAN]]="",),"",NOTA[[#This Row],[QTY]]*NOTA[[#This Row],[HARGA SATUAN]])</f>
        <v/>
      </c>
      <c r="AG321" s="36" t="str">
        <f ca="1">IF(NOTA[[#This Row],[ID_H]]="","",INDEX(NOTA[TANGGAL],MATCH(,INDIRECT(ADDRESS(ROW(NOTA[TANGGAL]),COLUMN(NOTA[TANGGAL]))&amp;":"&amp;ADDRESS(ROW(),COLUMN(NOTA[TANGGAL]))),-1)))</f>
        <v/>
      </c>
      <c r="AH321" s="36" t="str">
        <f ca="1">IF(NOTA[[#This Row],[ID_H]]="","",INDEX(NOTA[TGL.NOTA],MATCH(,INDIRECT(ADDRESS(ROW(NOTA[TGL.NOTA]),COLUMN(NOTA[TGL.NOTA]))&amp;":"&amp;ADDRESS(ROW(),COLUMN(NOTA[TGL.NOTA]))),-1)))</f>
        <v/>
      </c>
      <c r="AI321" s="36" t="str">
        <f ca="1">IF(NOTA[[#This Row],[ID_H]]="","",INDEX(NOTA[NO.NOTA],MATCH(NOTA[[#This Row],[ID_H]],NOTA[ID_H],0)))</f>
        <v/>
      </c>
      <c r="AJ321" s="38" t="str">
        <f ca="1">IF(NOTA[[#This Row],[NAMA BARANG]]="","",INDEX(NOTA[SUPPLIER],MATCH(,INDIRECT(ADDRESS(ROW(NOTA[ID]),COLUMN(NOTA[ID]))&amp;":"&amp;ADDRESS(ROW(),COLUMN(NOTA[ID]))),-1)))</f>
        <v/>
      </c>
      <c r="AK321" s="38" t="str">
        <f ca="1">IF(NOTA[[#This Row],[ID_H]]="","",IF(NOTA[[#This Row],[FAKTUR]]="",INDIRECT(ADDRESS(ROW()-1,COLUMN())),NOTA[[#This Row],[FAKTUR]]))</f>
        <v/>
      </c>
      <c r="AL321" s="35" t="str">
        <f ca="1">IF(NOTA[[#This Row],[ID]]="","",COUNTIF(NOTA[ID_H],NOTA[[#This Row],[ID_H]]))</f>
        <v/>
      </c>
      <c r="AM321" s="35" t="str">
        <f ca="1">IF(NOTA[[#This Row],[TGL.NOTA]]="",IF(NOTA[[#This Row],[SUPPLIER_H]]="","",AM320),MONTH(NOTA[[#This Row],[TGL.NOTA]]))</f>
        <v/>
      </c>
      <c r="AN3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1" s="35" t="str">
        <f>IF(NOTA[[#This Row],[CONCAT1]]="","",MATCH(NOTA[[#This Row],[CONCAT1]],[3]!db[NB NOTA_C],0))</f>
        <v/>
      </c>
      <c r="AS321" s="35" t="str">
        <f>IF(NOTA[[#This Row],[Column5]]="","",TRUE)</f>
        <v/>
      </c>
      <c r="AT321" s="35" t="str">
        <f ca="1">IF(NOTA[[#This Row],[ID_H]]="","",IF(NOTA[[#This Row],[Column3]]=TRUE,NOTA[[#This Row],[Column5]],INDEX([3]!db[QTY/ CTN],NOTA[[#This Row],[//DB]])))</f>
        <v/>
      </c>
      <c r="AU3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1" s="35" t="str">
        <f ca="1">IF(NOTA[[#This Row],[ID_H]]="","",MATCH(NOTA[[#This Row],[NB NOTA_C_QTY]],[3]!db[NB NOTA_C_QTY+F],0))</f>
        <v/>
      </c>
      <c r="AW321" s="43" t="str">
        <f ca="1">IF(NOTA[[#This Row],[NB NOTA_C_QTY]]="","",ROW()-2)</f>
        <v/>
      </c>
    </row>
    <row r="322" spans="1:49" ht="20.100000000000001" customHeight="1">
      <c r="A3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5" t="str">
        <f ca="1">IF(NOTA[[#This Row],[NAMA BARANG]]="","",INDEX(NOTA[ID],MATCH(,INDIRECT(ADDRESS(ROW(NOTA[ID]),COLUMN(NOTA[ID]))&amp;":"&amp;ADDRESS(ROW(),COLUMN(NOTA[ID]))),-1)))</f>
        <v/>
      </c>
      <c r="C322" s="45"/>
      <c r="F322" s="46"/>
      <c r="G322" s="35"/>
      <c r="H322" s="36"/>
      <c r="I322" s="35"/>
      <c r="K322" s="37"/>
      <c r="L322" s="35"/>
      <c r="N322" s="38"/>
      <c r="O322" s="39"/>
      <c r="P322" s="47"/>
      <c r="Q322" s="48"/>
      <c r="R322" s="41"/>
      <c r="T322" s="42"/>
      <c r="U322" s="44"/>
      <c r="V322" s="42" t="str">
        <f>IF(NOTA[[#This Row],[HARGA/ CTN]]="",NOTA[[#This Row],[JUMLAH_H]],NOTA[[#This Row],[HARGA/ CTN]]*IF(NOTA[[#This Row],[C]]="",0,NOTA[[#This Row],[C]]))</f>
        <v/>
      </c>
      <c r="W322" s="42" t="str">
        <f>IF(NOTA[[#This Row],[JUMLAH]]="","",NOTA[[#This Row],[JUMLAH]]*NOTA[[#This Row],[Column6]])</f>
        <v/>
      </c>
      <c r="X322" s="42" t="str">
        <f>IF(NOTA[[#This Row],[JUMLAH]]="","",(NOTA[[#This Row],[JUMLAH]]-NOTA[[#This Row],[DISC 1-]])*NOTA[[#This Row],[Column7]])</f>
        <v/>
      </c>
      <c r="Y322" s="42" t="str">
        <f>IF(NOTA[[#This Row],[JUMLAH]]="","",(NOTA[[#This Row],[JUMLAH]]-NOTA[[#This Row],[DISC 1-]]-NOTA[[#This Row],[DISC 2-]])*NOTA[[#This Row],[Column8]])</f>
        <v/>
      </c>
      <c r="Z322" s="42" t="str">
        <f>IF(NOTA[[#This Row],[JUMLAH]]="","",NOTA[[#This Row],[DISC 1-]]+NOTA[[#This Row],[DISC 2-]]+NOTA[[#This Row],[DISC 3-]])</f>
        <v/>
      </c>
      <c r="AA322" s="42" t="str">
        <f>IF(NOTA[[#This Row],[JUMLAH]]="","",NOTA[[#This Row],[JUMLAH]]-NOTA[[#This Row],[DISC]])</f>
        <v/>
      </c>
      <c r="AB322" s="42"/>
      <c r="AC3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42" t="str">
        <f>IF(OR(NOTA[[#This Row],[QTY]]="",NOTA[[#This Row],[HARGA SATUAN]]="",),"",NOTA[[#This Row],[QTY]]*NOTA[[#This Row],[HARGA SATUAN]])</f>
        <v/>
      </c>
      <c r="AG322" s="36" t="str">
        <f ca="1">IF(NOTA[[#This Row],[ID_H]]="","",INDEX(NOTA[TANGGAL],MATCH(,INDIRECT(ADDRESS(ROW(NOTA[TANGGAL]),COLUMN(NOTA[TANGGAL]))&amp;":"&amp;ADDRESS(ROW(),COLUMN(NOTA[TANGGAL]))),-1)))</f>
        <v/>
      </c>
      <c r="AH322" s="36" t="str">
        <f ca="1">IF(NOTA[[#This Row],[ID_H]]="","",INDEX(NOTA[TGL.NOTA],MATCH(,INDIRECT(ADDRESS(ROW(NOTA[TGL.NOTA]),COLUMN(NOTA[TGL.NOTA]))&amp;":"&amp;ADDRESS(ROW(),COLUMN(NOTA[TGL.NOTA]))),-1)))</f>
        <v/>
      </c>
      <c r="AI322" s="36" t="str">
        <f ca="1">IF(NOTA[[#This Row],[ID_H]]="","",INDEX(NOTA[NO.NOTA],MATCH(NOTA[[#This Row],[ID_H]],NOTA[ID_H],0)))</f>
        <v/>
      </c>
      <c r="AJ322" s="38" t="str">
        <f ca="1">IF(NOTA[[#This Row],[NAMA BARANG]]="","",INDEX(NOTA[SUPPLIER],MATCH(,INDIRECT(ADDRESS(ROW(NOTA[ID]),COLUMN(NOTA[ID]))&amp;":"&amp;ADDRESS(ROW(),COLUMN(NOTA[ID]))),-1)))</f>
        <v/>
      </c>
      <c r="AK322" s="38" t="str">
        <f ca="1">IF(NOTA[[#This Row],[ID_H]]="","",IF(NOTA[[#This Row],[FAKTUR]]="",INDIRECT(ADDRESS(ROW()-1,COLUMN())),NOTA[[#This Row],[FAKTUR]]))</f>
        <v/>
      </c>
      <c r="AL322" s="35" t="str">
        <f ca="1">IF(NOTA[[#This Row],[ID]]="","",COUNTIF(NOTA[ID_H],NOTA[[#This Row],[ID_H]]))</f>
        <v/>
      </c>
      <c r="AM322" s="35" t="str">
        <f ca="1">IF(NOTA[[#This Row],[TGL.NOTA]]="",IF(NOTA[[#This Row],[SUPPLIER_H]]="","",AM321),MONTH(NOTA[[#This Row],[TGL.NOTA]]))</f>
        <v/>
      </c>
      <c r="AN3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2" s="35" t="str">
        <f>IF(NOTA[[#This Row],[CONCAT1]]="","",MATCH(NOTA[[#This Row],[CONCAT1]],[3]!db[NB NOTA_C],0))</f>
        <v/>
      </c>
      <c r="AS322" s="35" t="str">
        <f>IF(NOTA[[#This Row],[Column5]]="","",TRUE)</f>
        <v/>
      </c>
      <c r="AT322" s="35" t="str">
        <f ca="1">IF(NOTA[[#This Row],[ID_H]]="","",IF(NOTA[[#This Row],[Column3]]=TRUE,NOTA[[#This Row],[Column5]],INDEX([3]!db[QTY/ CTN],NOTA[[#This Row],[//DB]])))</f>
        <v/>
      </c>
      <c r="AU3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2" s="35" t="str">
        <f ca="1">IF(NOTA[[#This Row],[ID_H]]="","",MATCH(NOTA[[#This Row],[NB NOTA_C_QTY]],[3]!db[NB NOTA_C_QTY+F],0))</f>
        <v/>
      </c>
      <c r="AW322" s="43" t="str">
        <f ca="1">IF(NOTA[[#This Row],[NB NOTA_C_QTY]]="","",ROW()-2)</f>
        <v/>
      </c>
    </row>
    <row r="323" spans="1:49" ht="20.100000000000001" customHeight="1">
      <c r="A3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5" t="str">
        <f ca="1">IF(NOTA[[#This Row],[NAMA BARANG]]="","",INDEX(NOTA[ID],MATCH(,INDIRECT(ADDRESS(ROW(NOTA[ID]),COLUMN(NOTA[ID]))&amp;":"&amp;ADDRESS(ROW(),COLUMN(NOTA[ID]))),-1)))</f>
        <v/>
      </c>
      <c r="C323" s="45"/>
      <c r="F323" s="46"/>
      <c r="G323" s="35"/>
      <c r="H323" s="36"/>
      <c r="I323" s="35"/>
      <c r="K323" s="37"/>
      <c r="L323" s="35"/>
      <c r="N323" s="38"/>
      <c r="O323" s="39"/>
      <c r="P323" s="47"/>
      <c r="Q323" s="48"/>
      <c r="R323" s="41"/>
      <c r="T323" s="42"/>
      <c r="U323" s="44"/>
      <c r="V323" s="42" t="str">
        <f>IF(NOTA[[#This Row],[HARGA/ CTN]]="",NOTA[[#This Row],[JUMLAH_H]],NOTA[[#This Row],[HARGA/ CTN]]*IF(NOTA[[#This Row],[C]]="",0,NOTA[[#This Row],[C]]))</f>
        <v/>
      </c>
      <c r="W323" s="42" t="str">
        <f>IF(NOTA[[#This Row],[JUMLAH]]="","",NOTA[[#This Row],[JUMLAH]]*NOTA[[#This Row],[Column6]])</f>
        <v/>
      </c>
      <c r="X323" s="42" t="str">
        <f>IF(NOTA[[#This Row],[JUMLAH]]="","",(NOTA[[#This Row],[JUMLAH]]-NOTA[[#This Row],[DISC 1-]])*NOTA[[#This Row],[Column7]])</f>
        <v/>
      </c>
      <c r="Y323" s="42" t="str">
        <f>IF(NOTA[[#This Row],[JUMLAH]]="","",(NOTA[[#This Row],[JUMLAH]]-NOTA[[#This Row],[DISC 1-]]-NOTA[[#This Row],[DISC 2-]])*NOTA[[#This Row],[Column8]])</f>
        <v/>
      </c>
      <c r="Z323" s="42" t="str">
        <f>IF(NOTA[[#This Row],[JUMLAH]]="","",NOTA[[#This Row],[DISC 1-]]+NOTA[[#This Row],[DISC 2-]]+NOTA[[#This Row],[DISC 3-]])</f>
        <v/>
      </c>
      <c r="AA323" s="42" t="str">
        <f>IF(NOTA[[#This Row],[JUMLAH]]="","",NOTA[[#This Row],[JUMLAH]]-NOTA[[#This Row],[DISC]])</f>
        <v/>
      </c>
      <c r="AB323" s="42"/>
      <c r="AC3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42" t="str">
        <f>IF(OR(NOTA[[#This Row],[QTY]]="",NOTA[[#This Row],[HARGA SATUAN]]="",),"",NOTA[[#This Row],[QTY]]*NOTA[[#This Row],[HARGA SATUAN]])</f>
        <v/>
      </c>
      <c r="AG323" s="36" t="str">
        <f ca="1">IF(NOTA[[#This Row],[ID_H]]="","",INDEX(NOTA[TANGGAL],MATCH(,INDIRECT(ADDRESS(ROW(NOTA[TANGGAL]),COLUMN(NOTA[TANGGAL]))&amp;":"&amp;ADDRESS(ROW(),COLUMN(NOTA[TANGGAL]))),-1)))</f>
        <v/>
      </c>
      <c r="AH323" s="36" t="str">
        <f ca="1">IF(NOTA[[#This Row],[ID_H]]="","",INDEX(NOTA[TGL.NOTA],MATCH(,INDIRECT(ADDRESS(ROW(NOTA[TGL.NOTA]),COLUMN(NOTA[TGL.NOTA]))&amp;":"&amp;ADDRESS(ROW(),COLUMN(NOTA[TGL.NOTA]))),-1)))</f>
        <v/>
      </c>
      <c r="AI323" s="36" t="str">
        <f ca="1">IF(NOTA[[#This Row],[ID_H]]="","",INDEX(NOTA[NO.NOTA],MATCH(NOTA[[#This Row],[ID_H]],NOTA[ID_H],0)))</f>
        <v/>
      </c>
      <c r="AJ323" s="38" t="str">
        <f ca="1">IF(NOTA[[#This Row],[NAMA BARANG]]="","",INDEX(NOTA[SUPPLIER],MATCH(,INDIRECT(ADDRESS(ROW(NOTA[ID]),COLUMN(NOTA[ID]))&amp;":"&amp;ADDRESS(ROW(),COLUMN(NOTA[ID]))),-1)))</f>
        <v/>
      </c>
      <c r="AK323" s="38" t="str">
        <f ca="1">IF(NOTA[[#This Row],[ID_H]]="","",IF(NOTA[[#This Row],[FAKTUR]]="",INDIRECT(ADDRESS(ROW()-1,COLUMN())),NOTA[[#This Row],[FAKTUR]]))</f>
        <v/>
      </c>
      <c r="AL323" s="35" t="str">
        <f ca="1">IF(NOTA[[#This Row],[ID]]="","",COUNTIF(NOTA[ID_H],NOTA[[#This Row],[ID_H]]))</f>
        <v/>
      </c>
      <c r="AM323" s="35" t="str">
        <f ca="1">IF(NOTA[[#This Row],[TGL.NOTA]]="",IF(NOTA[[#This Row],[SUPPLIER_H]]="","",AM322),MONTH(NOTA[[#This Row],[TGL.NOTA]]))</f>
        <v/>
      </c>
      <c r="AN3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3" s="35" t="str">
        <f>IF(NOTA[[#This Row],[CONCAT1]]="","",MATCH(NOTA[[#This Row],[CONCAT1]],[3]!db[NB NOTA_C],0))</f>
        <v/>
      </c>
      <c r="AS323" s="35" t="str">
        <f>IF(NOTA[[#This Row],[Column5]]="","",TRUE)</f>
        <v/>
      </c>
      <c r="AT323" s="35" t="str">
        <f ca="1">IF(NOTA[[#This Row],[ID_H]]="","",IF(NOTA[[#This Row],[Column3]]=TRUE,NOTA[[#This Row],[Column5]],INDEX([3]!db[QTY/ CTN],NOTA[[#This Row],[//DB]])))</f>
        <v/>
      </c>
      <c r="AU3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3" s="35" t="str">
        <f ca="1">IF(NOTA[[#This Row],[ID_H]]="","",MATCH(NOTA[[#This Row],[NB NOTA_C_QTY]],[3]!db[NB NOTA_C_QTY+F],0))</f>
        <v/>
      </c>
      <c r="AW323" s="43" t="str">
        <f ca="1">IF(NOTA[[#This Row],[NB NOTA_C_QTY]]="","",ROW()-2)</f>
        <v/>
      </c>
    </row>
    <row r="324" spans="1:49" ht="20.100000000000001" customHeight="1">
      <c r="A3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5" t="str">
        <f ca="1">IF(NOTA[[#This Row],[NAMA BARANG]]="","",INDEX(NOTA[ID],MATCH(,INDIRECT(ADDRESS(ROW(NOTA[ID]),COLUMN(NOTA[ID]))&amp;":"&amp;ADDRESS(ROW(),COLUMN(NOTA[ID]))),-1)))</f>
        <v/>
      </c>
      <c r="C324" s="45"/>
      <c r="F324" s="46"/>
      <c r="G324" s="35"/>
      <c r="H324" s="36"/>
      <c r="I324" s="35"/>
      <c r="K324" s="37"/>
      <c r="L324" s="35"/>
      <c r="N324" s="38"/>
      <c r="O324" s="39"/>
      <c r="P324" s="47"/>
      <c r="Q324" s="48"/>
      <c r="R324" s="41"/>
      <c r="T324" s="42"/>
      <c r="U324" s="44"/>
      <c r="V324" s="42" t="str">
        <f>IF(NOTA[[#This Row],[HARGA/ CTN]]="",NOTA[[#This Row],[JUMLAH_H]],NOTA[[#This Row],[HARGA/ CTN]]*IF(NOTA[[#This Row],[C]]="",0,NOTA[[#This Row],[C]]))</f>
        <v/>
      </c>
      <c r="W324" s="42" t="str">
        <f>IF(NOTA[[#This Row],[JUMLAH]]="","",NOTA[[#This Row],[JUMLAH]]*NOTA[[#This Row],[Column6]])</f>
        <v/>
      </c>
      <c r="X324" s="42" t="str">
        <f>IF(NOTA[[#This Row],[JUMLAH]]="","",(NOTA[[#This Row],[JUMLAH]]-NOTA[[#This Row],[DISC 1-]])*NOTA[[#This Row],[Column7]])</f>
        <v/>
      </c>
      <c r="Y324" s="42" t="str">
        <f>IF(NOTA[[#This Row],[JUMLAH]]="","",(NOTA[[#This Row],[JUMLAH]]-NOTA[[#This Row],[DISC 1-]]-NOTA[[#This Row],[DISC 2-]])*NOTA[[#This Row],[Column8]])</f>
        <v/>
      </c>
      <c r="Z324" s="42" t="str">
        <f>IF(NOTA[[#This Row],[JUMLAH]]="","",NOTA[[#This Row],[DISC 1-]]+NOTA[[#This Row],[DISC 2-]]+NOTA[[#This Row],[DISC 3-]])</f>
        <v/>
      </c>
      <c r="AA324" s="42" t="str">
        <f>IF(NOTA[[#This Row],[JUMLAH]]="","",NOTA[[#This Row],[JUMLAH]]-NOTA[[#This Row],[DISC]])</f>
        <v/>
      </c>
      <c r="AB324" s="42"/>
      <c r="AC3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4" s="42" t="str">
        <f>IF(OR(NOTA[[#This Row],[QTY]]="",NOTA[[#This Row],[HARGA SATUAN]]="",),"",NOTA[[#This Row],[QTY]]*NOTA[[#This Row],[HARGA SATUAN]])</f>
        <v/>
      </c>
      <c r="AG324" s="36" t="str">
        <f ca="1">IF(NOTA[[#This Row],[ID_H]]="","",INDEX(NOTA[TANGGAL],MATCH(,INDIRECT(ADDRESS(ROW(NOTA[TANGGAL]),COLUMN(NOTA[TANGGAL]))&amp;":"&amp;ADDRESS(ROW(),COLUMN(NOTA[TANGGAL]))),-1)))</f>
        <v/>
      </c>
      <c r="AH324" s="36" t="str">
        <f ca="1">IF(NOTA[[#This Row],[ID_H]]="","",INDEX(NOTA[TGL.NOTA],MATCH(,INDIRECT(ADDRESS(ROW(NOTA[TGL.NOTA]),COLUMN(NOTA[TGL.NOTA]))&amp;":"&amp;ADDRESS(ROW(),COLUMN(NOTA[TGL.NOTA]))),-1)))</f>
        <v/>
      </c>
      <c r="AI324" s="36" t="str">
        <f ca="1">IF(NOTA[[#This Row],[ID_H]]="","",INDEX(NOTA[NO.NOTA],MATCH(NOTA[[#This Row],[ID_H]],NOTA[ID_H],0)))</f>
        <v/>
      </c>
      <c r="AJ324" s="38" t="str">
        <f ca="1">IF(NOTA[[#This Row],[NAMA BARANG]]="","",INDEX(NOTA[SUPPLIER],MATCH(,INDIRECT(ADDRESS(ROW(NOTA[ID]),COLUMN(NOTA[ID]))&amp;":"&amp;ADDRESS(ROW(),COLUMN(NOTA[ID]))),-1)))</f>
        <v/>
      </c>
      <c r="AK324" s="38" t="str">
        <f ca="1">IF(NOTA[[#This Row],[ID_H]]="","",IF(NOTA[[#This Row],[FAKTUR]]="",INDIRECT(ADDRESS(ROW()-1,COLUMN())),NOTA[[#This Row],[FAKTUR]]))</f>
        <v/>
      </c>
      <c r="AL324" s="35" t="str">
        <f ca="1">IF(NOTA[[#This Row],[ID]]="","",COUNTIF(NOTA[ID_H],NOTA[[#This Row],[ID_H]]))</f>
        <v/>
      </c>
      <c r="AM324" s="35" t="str">
        <f ca="1">IF(NOTA[[#This Row],[TGL.NOTA]]="",IF(NOTA[[#This Row],[SUPPLIER_H]]="","",AM323),MONTH(NOTA[[#This Row],[TGL.NOTA]]))</f>
        <v/>
      </c>
      <c r="AN3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4" s="35" t="str">
        <f>IF(NOTA[[#This Row],[CONCAT1]]="","",MATCH(NOTA[[#This Row],[CONCAT1]],[3]!db[NB NOTA_C],0))</f>
        <v/>
      </c>
      <c r="AS324" s="35" t="str">
        <f>IF(NOTA[[#This Row],[Column5]]="","",TRUE)</f>
        <v/>
      </c>
      <c r="AT324" s="35" t="str">
        <f ca="1">IF(NOTA[[#This Row],[ID_H]]="","",IF(NOTA[[#This Row],[Column3]]=TRUE,NOTA[[#This Row],[Column5]],INDEX([3]!db[QTY/ CTN],NOTA[[#This Row],[//DB]])))</f>
        <v/>
      </c>
      <c r="AU3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4" s="35" t="str">
        <f ca="1">IF(NOTA[[#This Row],[ID_H]]="","",MATCH(NOTA[[#This Row],[NB NOTA_C_QTY]],[3]!db[NB NOTA_C_QTY+F],0))</f>
        <v/>
      </c>
      <c r="AW324" s="43" t="str">
        <f ca="1">IF(NOTA[[#This Row],[NB NOTA_C_QTY]]="","",ROW()-2)</f>
        <v/>
      </c>
    </row>
    <row r="325" spans="1:49" ht="20.100000000000001" customHeight="1">
      <c r="A3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5" t="str">
        <f ca="1">IF(NOTA[[#This Row],[NAMA BARANG]]="","",INDEX(NOTA[ID],MATCH(,INDIRECT(ADDRESS(ROW(NOTA[ID]),COLUMN(NOTA[ID]))&amp;":"&amp;ADDRESS(ROW(),COLUMN(NOTA[ID]))),-1)))</f>
        <v/>
      </c>
      <c r="C325" s="45"/>
      <c r="F325" s="46"/>
      <c r="G325" s="35"/>
      <c r="H325" s="36"/>
      <c r="I325" s="35"/>
      <c r="K325" s="37"/>
      <c r="L325" s="35"/>
      <c r="N325" s="38"/>
      <c r="O325" s="39"/>
      <c r="P325" s="47"/>
      <c r="Q325" s="48"/>
      <c r="R325" s="41"/>
      <c r="T325" s="42"/>
      <c r="U325" s="44"/>
      <c r="V325" s="42" t="str">
        <f>IF(NOTA[[#This Row],[HARGA/ CTN]]="",NOTA[[#This Row],[JUMLAH_H]],NOTA[[#This Row],[HARGA/ CTN]]*IF(NOTA[[#This Row],[C]]="",0,NOTA[[#This Row],[C]]))</f>
        <v/>
      </c>
      <c r="W325" s="42" t="str">
        <f>IF(NOTA[[#This Row],[JUMLAH]]="","",NOTA[[#This Row],[JUMLAH]]*NOTA[[#This Row],[Column6]])</f>
        <v/>
      </c>
      <c r="X325" s="42" t="str">
        <f>IF(NOTA[[#This Row],[JUMLAH]]="","",(NOTA[[#This Row],[JUMLAH]]-NOTA[[#This Row],[DISC 1-]])*NOTA[[#This Row],[Column7]])</f>
        <v/>
      </c>
      <c r="Y325" s="42" t="str">
        <f>IF(NOTA[[#This Row],[JUMLAH]]="","",(NOTA[[#This Row],[JUMLAH]]-NOTA[[#This Row],[DISC 1-]]-NOTA[[#This Row],[DISC 2-]])*NOTA[[#This Row],[Column8]])</f>
        <v/>
      </c>
      <c r="Z325" s="42" t="str">
        <f>IF(NOTA[[#This Row],[JUMLAH]]="","",NOTA[[#This Row],[DISC 1-]]+NOTA[[#This Row],[DISC 2-]]+NOTA[[#This Row],[DISC 3-]])</f>
        <v/>
      </c>
      <c r="AA325" s="42" t="str">
        <f>IF(NOTA[[#This Row],[JUMLAH]]="","",NOTA[[#This Row],[JUMLAH]]-NOTA[[#This Row],[DISC]])</f>
        <v/>
      </c>
      <c r="AB325" s="42"/>
      <c r="AC3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5" s="42" t="str">
        <f>IF(OR(NOTA[[#This Row],[QTY]]="",NOTA[[#This Row],[HARGA SATUAN]]="",),"",NOTA[[#This Row],[QTY]]*NOTA[[#This Row],[HARGA SATUAN]])</f>
        <v/>
      </c>
      <c r="AG325" s="36" t="str">
        <f ca="1">IF(NOTA[[#This Row],[ID_H]]="","",INDEX(NOTA[TANGGAL],MATCH(,INDIRECT(ADDRESS(ROW(NOTA[TANGGAL]),COLUMN(NOTA[TANGGAL]))&amp;":"&amp;ADDRESS(ROW(),COLUMN(NOTA[TANGGAL]))),-1)))</f>
        <v/>
      </c>
      <c r="AH325" s="36" t="str">
        <f ca="1">IF(NOTA[[#This Row],[ID_H]]="","",INDEX(NOTA[TGL.NOTA],MATCH(,INDIRECT(ADDRESS(ROW(NOTA[TGL.NOTA]),COLUMN(NOTA[TGL.NOTA]))&amp;":"&amp;ADDRESS(ROW(),COLUMN(NOTA[TGL.NOTA]))),-1)))</f>
        <v/>
      </c>
      <c r="AI325" s="36" t="str">
        <f ca="1">IF(NOTA[[#This Row],[ID_H]]="","",INDEX(NOTA[NO.NOTA],MATCH(NOTA[[#This Row],[ID_H]],NOTA[ID_H],0)))</f>
        <v/>
      </c>
      <c r="AJ325" s="38" t="str">
        <f ca="1">IF(NOTA[[#This Row],[NAMA BARANG]]="","",INDEX(NOTA[SUPPLIER],MATCH(,INDIRECT(ADDRESS(ROW(NOTA[ID]),COLUMN(NOTA[ID]))&amp;":"&amp;ADDRESS(ROW(),COLUMN(NOTA[ID]))),-1)))</f>
        <v/>
      </c>
      <c r="AK325" s="38" t="str">
        <f ca="1">IF(NOTA[[#This Row],[ID_H]]="","",IF(NOTA[[#This Row],[FAKTUR]]="",INDIRECT(ADDRESS(ROW()-1,COLUMN())),NOTA[[#This Row],[FAKTUR]]))</f>
        <v/>
      </c>
      <c r="AL325" s="35" t="str">
        <f ca="1">IF(NOTA[[#This Row],[ID]]="","",COUNTIF(NOTA[ID_H],NOTA[[#This Row],[ID_H]]))</f>
        <v/>
      </c>
      <c r="AM325" s="35" t="str">
        <f ca="1">IF(NOTA[[#This Row],[TGL.NOTA]]="",IF(NOTA[[#This Row],[SUPPLIER_H]]="","",AM324),MONTH(NOTA[[#This Row],[TGL.NOTA]]))</f>
        <v/>
      </c>
      <c r="AN3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5" s="35" t="str">
        <f>IF(NOTA[[#This Row],[CONCAT1]]="","",MATCH(NOTA[[#This Row],[CONCAT1]],[3]!db[NB NOTA_C],0))</f>
        <v/>
      </c>
      <c r="AS325" s="35" t="str">
        <f>IF(NOTA[[#This Row],[Column5]]="","",TRUE)</f>
        <v/>
      </c>
      <c r="AT325" s="35" t="str">
        <f ca="1">IF(NOTA[[#This Row],[ID_H]]="","",IF(NOTA[[#This Row],[Column3]]=TRUE,NOTA[[#This Row],[Column5]],INDEX([3]!db[QTY/ CTN],NOTA[[#This Row],[//DB]])))</f>
        <v/>
      </c>
      <c r="AU3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5" s="35" t="str">
        <f ca="1">IF(NOTA[[#This Row],[ID_H]]="","",MATCH(NOTA[[#This Row],[NB NOTA_C_QTY]],[3]!db[NB NOTA_C_QTY+F],0))</f>
        <v/>
      </c>
      <c r="AW325" s="43" t="str">
        <f ca="1">IF(NOTA[[#This Row],[NB NOTA_C_QTY]]="","",ROW()-2)</f>
        <v/>
      </c>
    </row>
    <row r="326" spans="1:49" ht="20.100000000000001" customHeight="1">
      <c r="A3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5" t="str">
        <f ca="1">IF(NOTA[[#This Row],[NAMA BARANG]]="","",INDEX(NOTA[ID],MATCH(,INDIRECT(ADDRESS(ROW(NOTA[ID]),COLUMN(NOTA[ID]))&amp;":"&amp;ADDRESS(ROW(),COLUMN(NOTA[ID]))),-1)))</f>
        <v/>
      </c>
      <c r="C326" s="45"/>
      <c r="F326" s="46"/>
      <c r="G326" s="35"/>
      <c r="H326" s="36"/>
      <c r="I326" s="35"/>
      <c r="K326" s="37"/>
      <c r="L326" s="35"/>
      <c r="N326" s="38"/>
      <c r="O326" s="39"/>
      <c r="P326" s="47"/>
      <c r="Q326" s="48"/>
      <c r="R326" s="41"/>
      <c r="T326" s="42"/>
      <c r="U326" s="44"/>
      <c r="V326" s="42" t="str">
        <f>IF(NOTA[[#This Row],[HARGA/ CTN]]="",NOTA[[#This Row],[JUMLAH_H]],NOTA[[#This Row],[HARGA/ CTN]]*IF(NOTA[[#This Row],[C]]="",0,NOTA[[#This Row],[C]]))</f>
        <v/>
      </c>
      <c r="W326" s="42" t="str">
        <f>IF(NOTA[[#This Row],[JUMLAH]]="","",NOTA[[#This Row],[JUMLAH]]*NOTA[[#This Row],[Column6]])</f>
        <v/>
      </c>
      <c r="X326" s="42" t="str">
        <f>IF(NOTA[[#This Row],[JUMLAH]]="","",(NOTA[[#This Row],[JUMLAH]]-NOTA[[#This Row],[DISC 1-]])*NOTA[[#This Row],[Column7]])</f>
        <v/>
      </c>
      <c r="Y326" s="42" t="str">
        <f>IF(NOTA[[#This Row],[JUMLAH]]="","",(NOTA[[#This Row],[JUMLAH]]-NOTA[[#This Row],[DISC 1-]]-NOTA[[#This Row],[DISC 2-]])*NOTA[[#This Row],[Column8]])</f>
        <v/>
      </c>
      <c r="Z326" s="42" t="str">
        <f>IF(NOTA[[#This Row],[JUMLAH]]="","",NOTA[[#This Row],[DISC 1-]]+NOTA[[#This Row],[DISC 2-]]+NOTA[[#This Row],[DISC 3-]])</f>
        <v/>
      </c>
      <c r="AA326" s="42" t="str">
        <f>IF(NOTA[[#This Row],[JUMLAH]]="","",NOTA[[#This Row],[JUMLAH]]-NOTA[[#This Row],[DISC]])</f>
        <v/>
      </c>
      <c r="AB326" s="42"/>
      <c r="AC3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6" s="42" t="str">
        <f>IF(OR(NOTA[[#This Row],[QTY]]="",NOTA[[#This Row],[HARGA SATUAN]]="",),"",NOTA[[#This Row],[QTY]]*NOTA[[#This Row],[HARGA SATUAN]])</f>
        <v/>
      </c>
      <c r="AG326" s="36" t="str">
        <f ca="1">IF(NOTA[[#This Row],[ID_H]]="","",INDEX(NOTA[TANGGAL],MATCH(,INDIRECT(ADDRESS(ROW(NOTA[TANGGAL]),COLUMN(NOTA[TANGGAL]))&amp;":"&amp;ADDRESS(ROW(),COLUMN(NOTA[TANGGAL]))),-1)))</f>
        <v/>
      </c>
      <c r="AH326" s="36" t="str">
        <f ca="1">IF(NOTA[[#This Row],[ID_H]]="","",INDEX(NOTA[TGL.NOTA],MATCH(,INDIRECT(ADDRESS(ROW(NOTA[TGL.NOTA]),COLUMN(NOTA[TGL.NOTA]))&amp;":"&amp;ADDRESS(ROW(),COLUMN(NOTA[TGL.NOTA]))),-1)))</f>
        <v/>
      </c>
      <c r="AI326" s="36" t="str">
        <f ca="1">IF(NOTA[[#This Row],[ID_H]]="","",INDEX(NOTA[NO.NOTA],MATCH(NOTA[[#This Row],[ID_H]],NOTA[ID_H],0)))</f>
        <v/>
      </c>
      <c r="AJ326" s="38" t="str">
        <f ca="1">IF(NOTA[[#This Row],[NAMA BARANG]]="","",INDEX(NOTA[SUPPLIER],MATCH(,INDIRECT(ADDRESS(ROW(NOTA[ID]),COLUMN(NOTA[ID]))&amp;":"&amp;ADDRESS(ROW(),COLUMN(NOTA[ID]))),-1)))</f>
        <v/>
      </c>
      <c r="AK326" s="38" t="str">
        <f ca="1">IF(NOTA[[#This Row],[ID_H]]="","",IF(NOTA[[#This Row],[FAKTUR]]="",INDIRECT(ADDRESS(ROW()-1,COLUMN())),NOTA[[#This Row],[FAKTUR]]))</f>
        <v/>
      </c>
      <c r="AL326" s="35" t="str">
        <f ca="1">IF(NOTA[[#This Row],[ID]]="","",COUNTIF(NOTA[ID_H],NOTA[[#This Row],[ID_H]]))</f>
        <v/>
      </c>
      <c r="AM326" s="35" t="str">
        <f ca="1">IF(NOTA[[#This Row],[TGL.NOTA]]="",IF(NOTA[[#This Row],[SUPPLIER_H]]="","",AM325),MONTH(NOTA[[#This Row],[TGL.NOTA]]))</f>
        <v/>
      </c>
      <c r="AN3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6" s="35" t="str">
        <f>IF(NOTA[[#This Row],[CONCAT1]]="","",MATCH(NOTA[[#This Row],[CONCAT1]],[3]!db[NB NOTA_C],0))</f>
        <v/>
      </c>
      <c r="AS326" s="35" t="str">
        <f>IF(NOTA[[#This Row],[Column5]]="","",TRUE)</f>
        <v/>
      </c>
      <c r="AT326" s="35" t="str">
        <f ca="1">IF(NOTA[[#This Row],[ID_H]]="","",IF(NOTA[[#This Row],[Column3]]=TRUE,NOTA[[#This Row],[Column5]],INDEX([3]!db[QTY/ CTN],NOTA[[#This Row],[//DB]])))</f>
        <v/>
      </c>
      <c r="AU3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6" s="35" t="str">
        <f ca="1">IF(NOTA[[#This Row],[ID_H]]="","",MATCH(NOTA[[#This Row],[NB NOTA_C_QTY]],[3]!db[NB NOTA_C_QTY+F],0))</f>
        <v/>
      </c>
      <c r="AW326" s="43" t="str">
        <f ca="1">IF(NOTA[[#This Row],[NB NOTA_C_QTY]]="","",ROW()-2)</f>
        <v/>
      </c>
    </row>
    <row r="327" spans="1:49" ht="20.100000000000001" customHeight="1">
      <c r="A3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5" t="str">
        <f ca="1">IF(NOTA[[#This Row],[NAMA BARANG]]="","",INDEX(NOTA[ID],MATCH(,INDIRECT(ADDRESS(ROW(NOTA[ID]),COLUMN(NOTA[ID]))&amp;":"&amp;ADDRESS(ROW(),COLUMN(NOTA[ID]))),-1)))</f>
        <v/>
      </c>
      <c r="C327" s="45"/>
      <c r="F327" s="46"/>
      <c r="G327" s="35"/>
      <c r="H327" s="36"/>
      <c r="I327" s="35"/>
      <c r="K327" s="37"/>
      <c r="L327" s="35"/>
      <c r="N327" s="38"/>
      <c r="O327" s="39"/>
      <c r="P327" s="47"/>
      <c r="Q327" s="48"/>
      <c r="R327" s="41"/>
      <c r="T327" s="42"/>
      <c r="U327" s="44"/>
      <c r="V327" s="42" t="str">
        <f>IF(NOTA[[#This Row],[HARGA/ CTN]]="",NOTA[[#This Row],[JUMLAH_H]],NOTA[[#This Row],[HARGA/ CTN]]*IF(NOTA[[#This Row],[C]]="",0,NOTA[[#This Row],[C]]))</f>
        <v/>
      </c>
      <c r="W327" s="42" t="str">
        <f>IF(NOTA[[#This Row],[JUMLAH]]="","",NOTA[[#This Row],[JUMLAH]]*NOTA[[#This Row],[Column6]])</f>
        <v/>
      </c>
      <c r="X327" s="42" t="str">
        <f>IF(NOTA[[#This Row],[JUMLAH]]="","",(NOTA[[#This Row],[JUMLAH]]-NOTA[[#This Row],[DISC 1-]])*NOTA[[#This Row],[Column7]])</f>
        <v/>
      </c>
      <c r="Y327" s="42" t="str">
        <f>IF(NOTA[[#This Row],[JUMLAH]]="","",(NOTA[[#This Row],[JUMLAH]]-NOTA[[#This Row],[DISC 1-]]-NOTA[[#This Row],[DISC 2-]])*NOTA[[#This Row],[Column8]])</f>
        <v/>
      </c>
      <c r="Z327" s="42" t="str">
        <f>IF(NOTA[[#This Row],[JUMLAH]]="","",NOTA[[#This Row],[DISC 1-]]+NOTA[[#This Row],[DISC 2-]]+NOTA[[#This Row],[DISC 3-]])</f>
        <v/>
      </c>
      <c r="AA327" s="42" t="str">
        <f>IF(NOTA[[#This Row],[JUMLAH]]="","",NOTA[[#This Row],[JUMLAH]]-NOTA[[#This Row],[DISC]])</f>
        <v/>
      </c>
      <c r="AB327" s="42"/>
      <c r="AC3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7" s="42" t="str">
        <f>IF(OR(NOTA[[#This Row],[QTY]]="",NOTA[[#This Row],[HARGA SATUAN]]="",),"",NOTA[[#This Row],[QTY]]*NOTA[[#This Row],[HARGA SATUAN]])</f>
        <v/>
      </c>
      <c r="AG327" s="36" t="str">
        <f ca="1">IF(NOTA[[#This Row],[ID_H]]="","",INDEX(NOTA[TANGGAL],MATCH(,INDIRECT(ADDRESS(ROW(NOTA[TANGGAL]),COLUMN(NOTA[TANGGAL]))&amp;":"&amp;ADDRESS(ROW(),COLUMN(NOTA[TANGGAL]))),-1)))</f>
        <v/>
      </c>
      <c r="AH327" s="36" t="str">
        <f ca="1">IF(NOTA[[#This Row],[ID_H]]="","",INDEX(NOTA[TGL.NOTA],MATCH(,INDIRECT(ADDRESS(ROW(NOTA[TGL.NOTA]),COLUMN(NOTA[TGL.NOTA]))&amp;":"&amp;ADDRESS(ROW(),COLUMN(NOTA[TGL.NOTA]))),-1)))</f>
        <v/>
      </c>
      <c r="AI327" s="36" t="str">
        <f ca="1">IF(NOTA[[#This Row],[ID_H]]="","",INDEX(NOTA[NO.NOTA],MATCH(NOTA[[#This Row],[ID_H]],NOTA[ID_H],0)))</f>
        <v/>
      </c>
      <c r="AJ327" s="38" t="str">
        <f ca="1">IF(NOTA[[#This Row],[NAMA BARANG]]="","",INDEX(NOTA[SUPPLIER],MATCH(,INDIRECT(ADDRESS(ROW(NOTA[ID]),COLUMN(NOTA[ID]))&amp;":"&amp;ADDRESS(ROW(),COLUMN(NOTA[ID]))),-1)))</f>
        <v/>
      </c>
      <c r="AK327" s="38" t="str">
        <f ca="1">IF(NOTA[[#This Row],[ID_H]]="","",IF(NOTA[[#This Row],[FAKTUR]]="",INDIRECT(ADDRESS(ROW()-1,COLUMN())),NOTA[[#This Row],[FAKTUR]]))</f>
        <v/>
      </c>
      <c r="AL327" s="35" t="str">
        <f ca="1">IF(NOTA[[#This Row],[ID]]="","",COUNTIF(NOTA[ID_H],NOTA[[#This Row],[ID_H]]))</f>
        <v/>
      </c>
      <c r="AM327" s="35" t="str">
        <f ca="1">IF(NOTA[[#This Row],[TGL.NOTA]]="",IF(NOTA[[#This Row],[SUPPLIER_H]]="","",AM326),MONTH(NOTA[[#This Row],[TGL.NOTA]]))</f>
        <v/>
      </c>
      <c r="AN3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7" s="35" t="str">
        <f>IF(NOTA[[#This Row],[CONCAT1]]="","",MATCH(NOTA[[#This Row],[CONCAT1]],[3]!db[NB NOTA_C],0))</f>
        <v/>
      </c>
      <c r="AS327" s="35" t="str">
        <f>IF(NOTA[[#This Row],[Column5]]="","",TRUE)</f>
        <v/>
      </c>
      <c r="AT327" s="35" t="str">
        <f ca="1">IF(NOTA[[#This Row],[ID_H]]="","",IF(NOTA[[#This Row],[Column3]]=TRUE,NOTA[[#This Row],[Column5]],INDEX([3]!db[QTY/ CTN],NOTA[[#This Row],[//DB]])))</f>
        <v/>
      </c>
      <c r="AU3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7" s="35" t="str">
        <f ca="1">IF(NOTA[[#This Row],[ID_H]]="","",MATCH(NOTA[[#This Row],[NB NOTA_C_QTY]],[3]!db[NB NOTA_C_QTY+F],0))</f>
        <v/>
      </c>
      <c r="AW327" s="43" t="str">
        <f ca="1">IF(NOTA[[#This Row],[NB NOTA_C_QTY]]="","",ROW()-2)</f>
        <v/>
      </c>
    </row>
    <row r="328" spans="1:49" ht="20.100000000000001" customHeight="1">
      <c r="A3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5" t="str">
        <f ca="1">IF(NOTA[[#This Row],[NAMA BARANG]]="","",INDEX(NOTA[ID],MATCH(,INDIRECT(ADDRESS(ROW(NOTA[ID]),COLUMN(NOTA[ID]))&amp;":"&amp;ADDRESS(ROW(),COLUMN(NOTA[ID]))),-1)))</f>
        <v/>
      </c>
      <c r="C328" s="45"/>
      <c r="F328" s="46"/>
      <c r="G328" s="35"/>
      <c r="H328" s="36"/>
      <c r="I328" s="35"/>
      <c r="K328" s="37"/>
      <c r="L328" s="35"/>
      <c r="N328" s="38"/>
      <c r="O328" s="39"/>
      <c r="P328" s="47"/>
      <c r="Q328" s="48"/>
      <c r="R328" s="41"/>
      <c r="T328" s="42"/>
      <c r="U328" s="44"/>
      <c r="V328" s="42" t="str">
        <f>IF(NOTA[[#This Row],[HARGA/ CTN]]="",NOTA[[#This Row],[JUMLAH_H]],NOTA[[#This Row],[HARGA/ CTN]]*IF(NOTA[[#This Row],[C]]="",0,NOTA[[#This Row],[C]]))</f>
        <v/>
      </c>
      <c r="W328" s="42" t="str">
        <f>IF(NOTA[[#This Row],[JUMLAH]]="","",NOTA[[#This Row],[JUMLAH]]*NOTA[[#This Row],[Column6]])</f>
        <v/>
      </c>
      <c r="X328" s="42" t="str">
        <f>IF(NOTA[[#This Row],[JUMLAH]]="","",(NOTA[[#This Row],[JUMLAH]]-NOTA[[#This Row],[DISC 1-]])*NOTA[[#This Row],[Column7]])</f>
        <v/>
      </c>
      <c r="Y328" s="42" t="str">
        <f>IF(NOTA[[#This Row],[JUMLAH]]="","",(NOTA[[#This Row],[JUMLAH]]-NOTA[[#This Row],[DISC 1-]]-NOTA[[#This Row],[DISC 2-]])*NOTA[[#This Row],[Column8]])</f>
        <v/>
      </c>
      <c r="Z328" s="42" t="str">
        <f>IF(NOTA[[#This Row],[JUMLAH]]="","",NOTA[[#This Row],[DISC 1-]]+NOTA[[#This Row],[DISC 2-]]+NOTA[[#This Row],[DISC 3-]])</f>
        <v/>
      </c>
      <c r="AA328" s="42" t="str">
        <f>IF(NOTA[[#This Row],[JUMLAH]]="","",NOTA[[#This Row],[JUMLAH]]-NOTA[[#This Row],[DISC]])</f>
        <v/>
      </c>
      <c r="AB328" s="42"/>
      <c r="AC3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8" s="42" t="str">
        <f>IF(OR(NOTA[[#This Row],[QTY]]="",NOTA[[#This Row],[HARGA SATUAN]]="",),"",NOTA[[#This Row],[QTY]]*NOTA[[#This Row],[HARGA SATUAN]])</f>
        <v/>
      </c>
      <c r="AG328" s="36" t="str">
        <f ca="1">IF(NOTA[[#This Row],[ID_H]]="","",INDEX(NOTA[TANGGAL],MATCH(,INDIRECT(ADDRESS(ROW(NOTA[TANGGAL]),COLUMN(NOTA[TANGGAL]))&amp;":"&amp;ADDRESS(ROW(),COLUMN(NOTA[TANGGAL]))),-1)))</f>
        <v/>
      </c>
      <c r="AH328" s="36" t="str">
        <f ca="1">IF(NOTA[[#This Row],[ID_H]]="","",INDEX(NOTA[TGL.NOTA],MATCH(,INDIRECT(ADDRESS(ROW(NOTA[TGL.NOTA]),COLUMN(NOTA[TGL.NOTA]))&amp;":"&amp;ADDRESS(ROW(),COLUMN(NOTA[TGL.NOTA]))),-1)))</f>
        <v/>
      </c>
      <c r="AI328" s="36" t="str">
        <f ca="1">IF(NOTA[[#This Row],[ID_H]]="","",INDEX(NOTA[NO.NOTA],MATCH(NOTA[[#This Row],[ID_H]],NOTA[ID_H],0)))</f>
        <v/>
      </c>
      <c r="AJ328" s="38" t="str">
        <f ca="1">IF(NOTA[[#This Row],[NAMA BARANG]]="","",INDEX(NOTA[SUPPLIER],MATCH(,INDIRECT(ADDRESS(ROW(NOTA[ID]),COLUMN(NOTA[ID]))&amp;":"&amp;ADDRESS(ROW(),COLUMN(NOTA[ID]))),-1)))</f>
        <v/>
      </c>
      <c r="AK328" s="38" t="str">
        <f ca="1">IF(NOTA[[#This Row],[ID_H]]="","",IF(NOTA[[#This Row],[FAKTUR]]="",INDIRECT(ADDRESS(ROW()-1,COLUMN())),NOTA[[#This Row],[FAKTUR]]))</f>
        <v/>
      </c>
      <c r="AL328" s="35" t="str">
        <f ca="1">IF(NOTA[[#This Row],[ID]]="","",COUNTIF(NOTA[ID_H],NOTA[[#This Row],[ID_H]]))</f>
        <v/>
      </c>
      <c r="AM328" s="35" t="str">
        <f ca="1">IF(NOTA[[#This Row],[TGL.NOTA]]="",IF(NOTA[[#This Row],[SUPPLIER_H]]="","",AM327),MONTH(NOTA[[#This Row],[TGL.NOTA]]))</f>
        <v/>
      </c>
      <c r="AN3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8" s="35" t="str">
        <f>IF(NOTA[[#This Row],[CONCAT1]]="","",MATCH(NOTA[[#This Row],[CONCAT1]],[3]!db[NB NOTA_C],0))</f>
        <v/>
      </c>
      <c r="AS328" s="35" t="str">
        <f>IF(NOTA[[#This Row],[Column5]]="","",TRUE)</f>
        <v/>
      </c>
      <c r="AT328" s="35" t="str">
        <f ca="1">IF(NOTA[[#This Row],[ID_H]]="","",IF(NOTA[[#This Row],[Column3]]=TRUE,NOTA[[#This Row],[Column5]],INDEX([3]!db[QTY/ CTN],NOTA[[#This Row],[//DB]])))</f>
        <v/>
      </c>
      <c r="AU3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8" s="35" t="str">
        <f ca="1">IF(NOTA[[#This Row],[ID_H]]="","",MATCH(NOTA[[#This Row],[NB NOTA_C_QTY]],[3]!db[NB NOTA_C_QTY+F],0))</f>
        <v/>
      </c>
      <c r="AW328" s="43" t="str">
        <f ca="1">IF(NOTA[[#This Row],[NB NOTA_C_QTY]]="","",ROW()-2)</f>
        <v/>
      </c>
    </row>
    <row r="329" spans="1:49" ht="20.100000000000001" customHeight="1">
      <c r="A3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5" t="str">
        <f ca="1">IF(NOTA[[#This Row],[NAMA BARANG]]="","",INDEX(NOTA[ID],MATCH(,INDIRECT(ADDRESS(ROW(NOTA[ID]),COLUMN(NOTA[ID]))&amp;":"&amp;ADDRESS(ROW(),COLUMN(NOTA[ID]))),-1)))</f>
        <v/>
      </c>
      <c r="C329" s="45"/>
      <c r="F329" s="46"/>
      <c r="G329" s="35"/>
      <c r="H329" s="36"/>
      <c r="I329" s="35"/>
      <c r="K329" s="37"/>
      <c r="L329" s="35"/>
      <c r="N329" s="38"/>
      <c r="O329" s="39"/>
      <c r="P329" s="47"/>
      <c r="Q329" s="48"/>
      <c r="R329" s="41"/>
      <c r="T329" s="42"/>
      <c r="U329" s="44"/>
      <c r="V329" s="42" t="str">
        <f>IF(NOTA[[#This Row],[HARGA/ CTN]]="",NOTA[[#This Row],[JUMLAH_H]],NOTA[[#This Row],[HARGA/ CTN]]*IF(NOTA[[#This Row],[C]]="",0,NOTA[[#This Row],[C]]))</f>
        <v/>
      </c>
      <c r="W329" s="42" t="str">
        <f>IF(NOTA[[#This Row],[JUMLAH]]="","",NOTA[[#This Row],[JUMLAH]]*NOTA[[#This Row],[Column6]])</f>
        <v/>
      </c>
      <c r="X329" s="42" t="str">
        <f>IF(NOTA[[#This Row],[JUMLAH]]="","",(NOTA[[#This Row],[JUMLAH]]-NOTA[[#This Row],[DISC 1-]])*NOTA[[#This Row],[Column7]])</f>
        <v/>
      </c>
      <c r="Y329" s="42" t="str">
        <f>IF(NOTA[[#This Row],[JUMLAH]]="","",(NOTA[[#This Row],[JUMLAH]]-NOTA[[#This Row],[DISC 1-]]-NOTA[[#This Row],[DISC 2-]])*NOTA[[#This Row],[Column8]])</f>
        <v/>
      </c>
      <c r="Z329" s="42" t="str">
        <f>IF(NOTA[[#This Row],[JUMLAH]]="","",NOTA[[#This Row],[DISC 1-]]+NOTA[[#This Row],[DISC 2-]]+NOTA[[#This Row],[DISC 3-]])</f>
        <v/>
      </c>
      <c r="AA329" s="42" t="str">
        <f>IF(NOTA[[#This Row],[JUMLAH]]="","",NOTA[[#This Row],[JUMLAH]]-NOTA[[#This Row],[DISC]])</f>
        <v/>
      </c>
      <c r="AB329" s="42"/>
      <c r="AC3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9" s="42" t="str">
        <f>IF(OR(NOTA[[#This Row],[QTY]]="",NOTA[[#This Row],[HARGA SATUAN]]="",),"",NOTA[[#This Row],[QTY]]*NOTA[[#This Row],[HARGA SATUAN]])</f>
        <v/>
      </c>
      <c r="AG329" s="36" t="str">
        <f ca="1">IF(NOTA[[#This Row],[ID_H]]="","",INDEX(NOTA[TANGGAL],MATCH(,INDIRECT(ADDRESS(ROW(NOTA[TANGGAL]),COLUMN(NOTA[TANGGAL]))&amp;":"&amp;ADDRESS(ROW(),COLUMN(NOTA[TANGGAL]))),-1)))</f>
        <v/>
      </c>
      <c r="AH329" s="36" t="str">
        <f ca="1">IF(NOTA[[#This Row],[ID_H]]="","",INDEX(NOTA[TGL.NOTA],MATCH(,INDIRECT(ADDRESS(ROW(NOTA[TGL.NOTA]),COLUMN(NOTA[TGL.NOTA]))&amp;":"&amp;ADDRESS(ROW(),COLUMN(NOTA[TGL.NOTA]))),-1)))</f>
        <v/>
      </c>
      <c r="AI329" s="36" t="str">
        <f ca="1">IF(NOTA[[#This Row],[ID_H]]="","",INDEX(NOTA[NO.NOTA],MATCH(NOTA[[#This Row],[ID_H]],NOTA[ID_H],0)))</f>
        <v/>
      </c>
      <c r="AJ329" s="38" t="str">
        <f ca="1">IF(NOTA[[#This Row],[NAMA BARANG]]="","",INDEX(NOTA[SUPPLIER],MATCH(,INDIRECT(ADDRESS(ROW(NOTA[ID]),COLUMN(NOTA[ID]))&amp;":"&amp;ADDRESS(ROW(),COLUMN(NOTA[ID]))),-1)))</f>
        <v/>
      </c>
      <c r="AK329" s="38" t="str">
        <f ca="1">IF(NOTA[[#This Row],[ID_H]]="","",IF(NOTA[[#This Row],[FAKTUR]]="",INDIRECT(ADDRESS(ROW()-1,COLUMN())),NOTA[[#This Row],[FAKTUR]]))</f>
        <v/>
      </c>
      <c r="AL329" s="35" t="str">
        <f ca="1">IF(NOTA[[#This Row],[ID]]="","",COUNTIF(NOTA[ID_H],NOTA[[#This Row],[ID_H]]))</f>
        <v/>
      </c>
      <c r="AM329" s="35" t="str">
        <f ca="1">IF(NOTA[[#This Row],[TGL.NOTA]]="",IF(NOTA[[#This Row],[SUPPLIER_H]]="","",AM328),MONTH(NOTA[[#This Row],[TGL.NOTA]]))</f>
        <v/>
      </c>
      <c r="AN3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9" s="35" t="str">
        <f>IF(NOTA[[#This Row],[CONCAT1]]="","",MATCH(NOTA[[#This Row],[CONCAT1]],[3]!db[NB NOTA_C],0))</f>
        <v/>
      </c>
      <c r="AS329" s="35" t="str">
        <f>IF(NOTA[[#This Row],[Column5]]="","",TRUE)</f>
        <v/>
      </c>
      <c r="AT329" s="35" t="str">
        <f ca="1">IF(NOTA[[#This Row],[ID_H]]="","",IF(NOTA[[#This Row],[Column3]]=TRUE,NOTA[[#This Row],[Column5]],INDEX([3]!db[QTY/ CTN],NOTA[[#This Row],[//DB]])))</f>
        <v/>
      </c>
      <c r="AU3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29" s="35" t="str">
        <f ca="1">IF(NOTA[[#This Row],[ID_H]]="","",MATCH(NOTA[[#This Row],[NB NOTA_C_QTY]],[3]!db[NB NOTA_C_QTY+F],0))</f>
        <v/>
      </c>
      <c r="AW329" s="43" t="str">
        <f ca="1">IF(NOTA[[#This Row],[NB NOTA_C_QTY]]="","",ROW()-2)</f>
        <v/>
      </c>
    </row>
    <row r="330" spans="1:49" ht="20.100000000000001" customHeight="1">
      <c r="A3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5" t="str">
        <f ca="1">IF(NOTA[[#This Row],[NAMA BARANG]]="","",INDEX(NOTA[ID],MATCH(,INDIRECT(ADDRESS(ROW(NOTA[ID]),COLUMN(NOTA[ID]))&amp;":"&amp;ADDRESS(ROW(),COLUMN(NOTA[ID]))),-1)))</f>
        <v/>
      </c>
      <c r="C330" s="45"/>
      <c r="F330" s="46"/>
      <c r="G330" s="35"/>
      <c r="H330" s="36"/>
      <c r="I330" s="35"/>
      <c r="K330" s="37"/>
      <c r="L330" s="35"/>
      <c r="N330" s="38"/>
      <c r="O330" s="39"/>
      <c r="P330" s="47"/>
      <c r="Q330" s="48"/>
      <c r="R330" s="41"/>
      <c r="T330" s="42"/>
      <c r="U330" s="44"/>
      <c r="V330" s="42" t="str">
        <f>IF(NOTA[[#This Row],[HARGA/ CTN]]="",NOTA[[#This Row],[JUMLAH_H]],NOTA[[#This Row],[HARGA/ CTN]]*IF(NOTA[[#This Row],[C]]="",0,NOTA[[#This Row],[C]]))</f>
        <v/>
      </c>
      <c r="W330" s="42" t="str">
        <f>IF(NOTA[[#This Row],[JUMLAH]]="","",NOTA[[#This Row],[JUMLAH]]*NOTA[[#This Row],[Column6]])</f>
        <v/>
      </c>
      <c r="X330" s="42" t="str">
        <f>IF(NOTA[[#This Row],[JUMLAH]]="","",(NOTA[[#This Row],[JUMLAH]]-NOTA[[#This Row],[DISC 1-]])*NOTA[[#This Row],[Column7]])</f>
        <v/>
      </c>
      <c r="Y330" s="42" t="str">
        <f>IF(NOTA[[#This Row],[JUMLAH]]="","",(NOTA[[#This Row],[JUMLAH]]-NOTA[[#This Row],[DISC 1-]]-NOTA[[#This Row],[DISC 2-]])*NOTA[[#This Row],[Column8]])</f>
        <v/>
      </c>
      <c r="Z330" s="42" t="str">
        <f>IF(NOTA[[#This Row],[JUMLAH]]="","",NOTA[[#This Row],[DISC 1-]]+NOTA[[#This Row],[DISC 2-]]+NOTA[[#This Row],[DISC 3-]])</f>
        <v/>
      </c>
      <c r="AA330" s="42" t="str">
        <f>IF(NOTA[[#This Row],[JUMLAH]]="","",NOTA[[#This Row],[JUMLAH]]-NOTA[[#This Row],[DISC]])</f>
        <v/>
      </c>
      <c r="AB330" s="42"/>
      <c r="AC3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0" s="42" t="str">
        <f>IF(OR(NOTA[[#This Row],[QTY]]="",NOTA[[#This Row],[HARGA SATUAN]]="",),"",NOTA[[#This Row],[QTY]]*NOTA[[#This Row],[HARGA SATUAN]])</f>
        <v/>
      </c>
      <c r="AG330" s="36" t="str">
        <f ca="1">IF(NOTA[[#This Row],[ID_H]]="","",INDEX(NOTA[TANGGAL],MATCH(,INDIRECT(ADDRESS(ROW(NOTA[TANGGAL]),COLUMN(NOTA[TANGGAL]))&amp;":"&amp;ADDRESS(ROW(),COLUMN(NOTA[TANGGAL]))),-1)))</f>
        <v/>
      </c>
      <c r="AH330" s="36" t="str">
        <f ca="1">IF(NOTA[[#This Row],[ID_H]]="","",INDEX(NOTA[TGL.NOTA],MATCH(,INDIRECT(ADDRESS(ROW(NOTA[TGL.NOTA]),COLUMN(NOTA[TGL.NOTA]))&amp;":"&amp;ADDRESS(ROW(),COLUMN(NOTA[TGL.NOTA]))),-1)))</f>
        <v/>
      </c>
      <c r="AI330" s="36" t="str">
        <f ca="1">IF(NOTA[[#This Row],[ID_H]]="","",INDEX(NOTA[NO.NOTA],MATCH(NOTA[[#This Row],[ID_H]],NOTA[ID_H],0)))</f>
        <v/>
      </c>
      <c r="AJ330" s="38" t="str">
        <f ca="1">IF(NOTA[[#This Row],[NAMA BARANG]]="","",INDEX(NOTA[SUPPLIER],MATCH(,INDIRECT(ADDRESS(ROW(NOTA[ID]),COLUMN(NOTA[ID]))&amp;":"&amp;ADDRESS(ROW(),COLUMN(NOTA[ID]))),-1)))</f>
        <v/>
      </c>
      <c r="AK330" s="38" t="str">
        <f ca="1">IF(NOTA[[#This Row],[ID_H]]="","",IF(NOTA[[#This Row],[FAKTUR]]="",INDIRECT(ADDRESS(ROW()-1,COLUMN())),NOTA[[#This Row],[FAKTUR]]))</f>
        <v/>
      </c>
      <c r="AL330" s="35" t="str">
        <f ca="1">IF(NOTA[[#This Row],[ID]]="","",COUNTIF(NOTA[ID_H],NOTA[[#This Row],[ID_H]]))</f>
        <v/>
      </c>
      <c r="AM330" s="35" t="str">
        <f ca="1">IF(NOTA[[#This Row],[TGL.NOTA]]="",IF(NOTA[[#This Row],[SUPPLIER_H]]="","",AM329),MONTH(NOTA[[#This Row],[TGL.NOTA]]))</f>
        <v/>
      </c>
      <c r="AN3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0" s="35" t="str">
        <f>IF(NOTA[[#This Row],[CONCAT1]]="","",MATCH(NOTA[[#This Row],[CONCAT1]],[3]!db[NB NOTA_C],0))</f>
        <v/>
      </c>
      <c r="AS330" s="35" t="str">
        <f>IF(NOTA[[#This Row],[Column5]]="","",TRUE)</f>
        <v/>
      </c>
      <c r="AT330" s="35" t="str">
        <f ca="1">IF(NOTA[[#This Row],[ID_H]]="","",IF(NOTA[[#This Row],[Column3]]=TRUE,NOTA[[#This Row],[Column5]],INDEX([3]!db[QTY/ CTN],NOTA[[#This Row],[//DB]])))</f>
        <v/>
      </c>
      <c r="AU3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0" s="35" t="str">
        <f ca="1">IF(NOTA[[#This Row],[ID_H]]="","",MATCH(NOTA[[#This Row],[NB NOTA_C_QTY]],[3]!db[NB NOTA_C_QTY+F],0))</f>
        <v/>
      </c>
      <c r="AW330" s="43" t="str">
        <f ca="1">IF(NOTA[[#This Row],[NB NOTA_C_QTY]]="","",ROW()-2)</f>
        <v/>
      </c>
    </row>
    <row r="331" spans="1:49" ht="20.100000000000001" customHeight="1">
      <c r="A3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5" t="str">
        <f ca="1">IF(NOTA[[#This Row],[NAMA BARANG]]="","",INDEX(NOTA[ID],MATCH(,INDIRECT(ADDRESS(ROW(NOTA[ID]),COLUMN(NOTA[ID]))&amp;":"&amp;ADDRESS(ROW(),COLUMN(NOTA[ID]))),-1)))</f>
        <v/>
      </c>
      <c r="C331" s="45"/>
      <c r="F331" s="46"/>
      <c r="G331" s="35"/>
      <c r="H331" s="36"/>
      <c r="I331" s="35"/>
      <c r="K331" s="37"/>
      <c r="L331" s="35"/>
      <c r="N331" s="38"/>
      <c r="O331" s="39"/>
      <c r="P331" s="47"/>
      <c r="Q331" s="48"/>
      <c r="R331" s="41"/>
      <c r="T331" s="42"/>
      <c r="U331" s="44"/>
      <c r="V331" s="42" t="str">
        <f>IF(NOTA[[#This Row],[HARGA/ CTN]]="",NOTA[[#This Row],[JUMLAH_H]],NOTA[[#This Row],[HARGA/ CTN]]*IF(NOTA[[#This Row],[C]]="",0,NOTA[[#This Row],[C]]))</f>
        <v/>
      </c>
      <c r="W331" s="42" t="str">
        <f>IF(NOTA[[#This Row],[JUMLAH]]="","",NOTA[[#This Row],[JUMLAH]]*NOTA[[#This Row],[Column6]])</f>
        <v/>
      </c>
      <c r="X331" s="42" t="str">
        <f>IF(NOTA[[#This Row],[JUMLAH]]="","",(NOTA[[#This Row],[JUMLAH]]-NOTA[[#This Row],[DISC 1-]])*NOTA[[#This Row],[Column7]])</f>
        <v/>
      </c>
      <c r="Y331" s="42" t="str">
        <f>IF(NOTA[[#This Row],[JUMLAH]]="","",(NOTA[[#This Row],[JUMLAH]]-NOTA[[#This Row],[DISC 1-]]-NOTA[[#This Row],[DISC 2-]])*NOTA[[#This Row],[Column8]])</f>
        <v/>
      </c>
      <c r="Z331" s="42" t="str">
        <f>IF(NOTA[[#This Row],[JUMLAH]]="","",NOTA[[#This Row],[DISC 1-]]+NOTA[[#This Row],[DISC 2-]]+NOTA[[#This Row],[DISC 3-]])</f>
        <v/>
      </c>
      <c r="AA331" s="42" t="str">
        <f>IF(NOTA[[#This Row],[JUMLAH]]="","",NOTA[[#This Row],[JUMLAH]]-NOTA[[#This Row],[DISC]])</f>
        <v/>
      </c>
      <c r="AB331" s="42"/>
      <c r="AC3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42" t="str">
        <f>IF(OR(NOTA[[#This Row],[QTY]]="",NOTA[[#This Row],[HARGA SATUAN]]="",),"",NOTA[[#This Row],[QTY]]*NOTA[[#This Row],[HARGA SATUAN]])</f>
        <v/>
      </c>
      <c r="AG331" s="36" t="str">
        <f ca="1">IF(NOTA[[#This Row],[ID_H]]="","",INDEX(NOTA[TANGGAL],MATCH(,INDIRECT(ADDRESS(ROW(NOTA[TANGGAL]),COLUMN(NOTA[TANGGAL]))&amp;":"&amp;ADDRESS(ROW(),COLUMN(NOTA[TANGGAL]))),-1)))</f>
        <v/>
      </c>
      <c r="AH331" s="36" t="str">
        <f ca="1">IF(NOTA[[#This Row],[ID_H]]="","",INDEX(NOTA[TGL.NOTA],MATCH(,INDIRECT(ADDRESS(ROW(NOTA[TGL.NOTA]),COLUMN(NOTA[TGL.NOTA]))&amp;":"&amp;ADDRESS(ROW(),COLUMN(NOTA[TGL.NOTA]))),-1)))</f>
        <v/>
      </c>
      <c r="AI331" s="36" t="str">
        <f ca="1">IF(NOTA[[#This Row],[ID_H]]="","",INDEX(NOTA[NO.NOTA],MATCH(NOTA[[#This Row],[ID_H]],NOTA[ID_H],0)))</f>
        <v/>
      </c>
      <c r="AJ331" s="38" t="str">
        <f ca="1">IF(NOTA[[#This Row],[NAMA BARANG]]="","",INDEX(NOTA[SUPPLIER],MATCH(,INDIRECT(ADDRESS(ROW(NOTA[ID]),COLUMN(NOTA[ID]))&amp;":"&amp;ADDRESS(ROW(),COLUMN(NOTA[ID]))),-1)))</f>
        <v/>
      </c>
      <c r="AK331" s="38" t="str">
        <f ca="1">IF(NOTA[[#This Row],[ID_H]]="","",IF(NOTA[[#This Row],[FAKTUR]]="",INDIRECT(ADDRESS(ROW()-1,COLUMN())),NOTA[[#This Row],[FAKTUR]]))</f>
        <v/>
      </c>
      <c r="AL331" s="35" t="str">
        <f ca="1">IF(NOTA[[#This Row],[ID]]="","",COUNTIF(NOTA[ID_H],NOTA[[#This Row],[ID_H]]))</f>
        <v/>
      </c>
      <c r="AM331" s="35" t="str">
        <f ca="1">IF(NOTA[[#This Row],[TGL.NOTA]]="",IF(NOTA[[#This Row],[SUPPLIER_H]]="","",AM330),MONTH(NOTA[[#This Row],[TGL.NOTA]]))</f>
        <v/>
      </c>
      <c r="AN3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1" s="35" t="str">
        <f>IF(NOTA[[#This Row],[CONCAT1]]="","",MATCH(NOTA[[#This Row],[CONCAT1]],[3]!db[NB NOTA_C],0))</f>
        <v/>
      </c>
      <c r="AS331" s="35" t="str">
        <f>IF(NOTA[[#This Row],[Column5]]="","",TRUE)</f>
        <v/>
      </c>
      <c r="AT331" s="35" t="str">
        <f ca="1">IF(NOTA[[#This Row],[ID_H]]="","",IF(NOTA[[#This Row],[Column3]]=TRUE,NOTA[[#This Row],[Column5]],INDEX([3]!db[QTY/ CTN],NOTA[[#This Row],[//DB]])))</f>
        <v/>
      </c>
      <c r="AU3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1" s="35" t="str">
        <f ca="1">IF(NOTA[[#This Row],[ID_H]]="","",MATCH(NOTA[[#This Row],[NB NOTA_C_QTY]],[3]!db[NB NOTA_C_QTY+F],0))</f>
        <v/>
      </c>
      <c r="AW331" s="43" t="str">
        <f ca="1">IF(NOTA[[#This Row],[NB NOTA_C_QTY]]="","",ROW()-2)</f>
        <v/>
      </c>
    </row>
    <row r="332" spans="1:49" ht="20.100000000000001" customHeight="1">
      <c r="A3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5" t="str">
        <f ca="1">IF(NOTA[[#This Row],[NAMA BARANG]]="","",INDEX(NOTA[ID],MATCH(,INDIRECT(ADDRESS(ROW(NOTA[ID]),COLUMN(NOTA[ID]))&amp;":"&amp;ADDRESS(ROW(),COLUMN(NOTA[ID]))),-1)))</f>
        <v/>
      </c>
      <c r="C332" s="45"/>
      <c r="F332" s="46"/>
      <c r="G332" s="35"/>
      <c r="H332" s="36"/>
      <c r="I332" s="35"/>
      <c r="K332" s="37"/>
      <c r="L332" s="35"/>
      <c r="N332" s="38"/>
      <c r="O332" s="39"/>
      <c r="P332" s="47"/>
      <c r="Q332" s="48"/>
      <c r="R332" s="41"/>
      <c r="T332" s="42"/>
      <c r="U332" s="44"/>
      <c r="V332" s="42" t="str">
        <f>IF(NOTA[[#This Row],[HARGA/ CTN]]="",NOTA[[#This Row],[JUMLAH_H]],NOTA[[#This Row],[HARGA/ CTN]]*IF(NOTA[[#This Row],[C]]="",0,NOTA[[#This Row],[C]]))</f>
        <v/>
      </c>
      <c r="W332" s="42" t="str">
        <f>IF(NOTA[[#This Row],[JUMLAH]]="","",NOTA[[#This Row],[JUMLAH]]*NOTA[[#This Row],[Column6]])</f>
        <v/>
      </c>
      <c r="X332" s="42" t="str">
        <f>IF(NOTA[[#This Row],[JUMLAH]]="","",(NOTA[[#This Row],[JUMLAH]]-NOTA[[#This Row],[DISC 1-]])*NOTA[[#This Row],[Column7]])</f>
        <v/>
      </c>
      <c r="Y332" s="42" t="str">
        <f>IF(NOTA[[#This Row],[JUMLAH]]="","",(NOTA[[#This Row],[JUMLAH]]-NOTA[[#This Row],[DISC 1-]]-NOTA[[#This Row],[DISC 2-]])*NOTA[[#This Row],[Column8]])</f>
        <v/>
      </c>
      <c r="Z332" s="42" t="str">
        <f>IF(NOTA[[#This Row],[JUMLAH]]="","",NOTA[[#This Row],[DISC 1-]]+NOTA[[#This Row],[DISC 2-]]+NOTA[[#This Row],[DISC 3-]])</f>
        <v/>
      </c>
      <c r="AA332" s="42" t="str">
        <f>IF(NOTA[[#This Row],[JUMLAH]]="","",NOTA[[#This Row],[JUMLAH]]-NOTA[[#This Row],[DISC]])</f>
        <v/>
      </c>
      <c r="AB332" s="42"/>
      <c r="AC3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2" s="42" t="str">
        <f>IF(OR(NOTA[[#This Row],[QTY]]="",NOTA[[#This Row],[HARGA SATUAN]]="",),"",NOTA[[#This Row],[QTY]]*NOTA[[#This Row],[HARGA SATUAN]])</f>
        <v/>
      </c>
      <c r="AG332" s="36" t="str">
        <f ca="1">IF(NOTA[[#This Row],[ID_H]]="","",INDEX(NOTA[TANGGAL],MATCH(,INDIRECT(ADDRESS(ROW(NOTA[TANGGAL]),COLUMN(NOTA[TANGGAL]))&amp;":"&amp;ADDRESS(ROW(),COLUMN(NOTA[TANGGAL]))),-1)))</f>
        <v/>
      </c>
      <c r="AH332" s="36" t="str">
        <f ca="1">IF(NOTA[[#This Row],[ID_H]]="","",INDEX(NOTA[TGL.NOTA],MATCH(,INDIRECT(ADDRESS(ROW(NOTA[TGL.NOTA]),COLUMN(NOTA[TGL.NOTA]))&amp;":"&amp;ADDRESS(ROW(),COLUMN(NOTA[TGL.NOTA]))),-1)))</f>
        <v/>
      </c>
      <c r="AI332" s="36" t="str">
        <f ca="1">IF(NOTA[[#This Row],[ID_H]]="","",INDEX(NOTA[NO.NOTA],MATCH(NOTA[[#This Row],[ID_H]],NOTA[ID_H],0)))</f>
        <v/>
      </c>
      <c r="AJ332" s="38" t="str">
        <f ca="1">IF(NOTA[[#This Row],[NAMA BARANG]]="","",INDEX(NOTA[SUPPLIER],MATCH(,INDIRECT(ADDRESS(ROW(NOTA[ID]),COLUMN(NOTA[ID]))&amp;":"&amp;ADDRESS(ROW(),COLUMN(NOTA[ID]))),-1)))</f>
        <v/>
      </c>
      <c r="AK332" s="38" t="str">
        <f ca="1">IF(NOTA[[#This Row],[ID_H]]="","",IF(NOTA[[#This Row],[FAKTUR]]="",INDIRECT(ADDRESS(ROW()-1,COLUMN())),NOTA[[#This Row],[FAKTUR]]))</f>
        <v/>
      </c>
      <c r="AL332" s="35" t="str">
        <f ca="1">IF(NOTA[[#This Row],[ID]]="","",COUNTIF(NOTA[ID_H],NOTA[[#This Row],[ID_H]]))</f>
        <v/>
      </c>
      <c r="AM332" s="35" t="str">
        <f ca="1">IF(NOTA[[#This Row],[TGL.NOTA]]="",IF(NOTA[[#This Row],[SUPPLIER_H]]="","",AM331),MONTH(NOTA[[#This Row],[TGL.NOTA]]))</f>
        <v/>
      </c>
      <c r="AN3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2" s="35" t="str">
        <f>IF(NOTA[[#This Row],[CONCAT1]]="","",MATCH(NOTA[[#This Row],[CONCAT1]],[3]!db[NB NOTA_C],0))</f>
        <v/>
      </c>
      <c r="AS332" s="35" t="str">
        <f>IF(NOTA[[#This Row],[Column5]]="","",TRUE)</f>
        <v/>
      </c>
      <c r="AT332" s="35" t="str">
        <f ca="1">IF(NOTA[[#This Row],[ID_H]]="","",IF(NOTA[[#This Row],[Column3]]=TRUE,NOTA[[#This Row],[Column5]],INDEX([3]!db[QTY/ CTN],NOTA[[#This Row],[//DB]])))</f>
        <v/>
      </c>
      <c r="AU3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2" s="35" t="str">
        <f ca="1">IF(NOTA[[#This Row],[ID_H]]="","",MATCH(NOTA[[#This Row],[NB NOTA_C_QTY]],[3]!db[NB NOTA_C_QTY+F],0))</f>
        <v/>
      </c>
      <c r="AW332" s="43" t="str">
        <f ca="1">IF(NOTA[[#This Row],[NB NOTA_C_QTY]]="","",ROW()-2)</f>
        <v/>
      </c>
    </row>
    <row r="333" spans="1:49" ht="20.100000000000001" customHeight="1">
      <c r="A3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5" t="str">
        <f ca="1">IF(NOTA[[#This Row],[NAMA BARANG]]="","",INDEX(NOTA[ID],MATCH(,INDIRECT(ADDRESS(ROW(NOTA[ID]),COLUMN(NOTA[ID]))&amp;":"&amp;ADDRESS(ROW(),COLUMN(NOTA[ID]))),-1)))</f>
        <v/>
      </c>
      <c r="C333" s="45"/>
      <c r="F333" s="46"/>
      <c r="G333" s="35"/>
      <c r="H333" s="36"/>
      <c r="I333" s="35"/>
      <c r="K333" s="37"/>
      <c r="L333" s="35"/>
      <c r="N333" s="38"/>
      <c r="O333" s="39"/>
      <c r="P333" s="47"/>
      <c r="Q333" s="48"/>
      <c r="R333" s="41"/>
      <c r="T333" s="42"/>
      <c r="U333" s="44"/>
      <c r="V333" s="42" t="str">
        <f>IF(NOTA[[#This Row],[HARGA/ CTN]]="",NOTA[[#This Row],[JUMLAH_H]],NOTA[[#This Row],[HARGA/ CTN]]*IF(NOTA[[#This Row],[C]]="",0,NOTA[[#This Row],[C]]))</f>
        <v/>
      </c>
      <c r="W333" s="42" t="str">
        <f>IF(NOTA[[#This Row],[JUMLAH]]="","",NOTA[[#This Row],[JUMLAH]]*NOTA[[#This Row],[Column6]])</f>
        <v/>
      </c>
      <c r="X333" s="42" t="str">
        <f>IF(NOTA[[#This Row],[JUMLAH]]="","",(NOTA[[#This Row],[JUMLAH]]-NOTA[[#This Row],[DISC 1-]])*NOTA[[#This Row],[Column7]])</f>
        <v/>
      </c>
      <c r="Y333" s="42" t="str">
        <f>IF(NOTA[[#This Row],[JUMLAH]]="","",(NOTA[[#This Row],[JUMLAH]]-NOTA[[#This Row],[DISC 1-]]-NOTA[[#This Row],[DISC 2-]])*NOTA[[#This Row],[Column8]])</f>
        <v/>
      </c>
      <c r="Z333" s="42" t="str">
        <f>IF(NOTA[[#This Row],[JUMLAH]]="","",NOTA[[#This Row],[DISC 1-]]+NOTA[[#This Row],[DISC 2-]]+NOTA[[#This Row],[DISC 3-]])</f>
        <v/>
      </c>
      <c r="AA333" s="42" t="str">
        <f>IF(NOTA[[#This Row],[JUMLAH]]="","",NOTA[[#This Row],[JUMLAH]]-NOTA[[#This Row],[DISC]])</f>
        <v/>
      </c>
      <c r="AB333" s="42"/>
      <c r="AC3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3" s="42" t="str">
        <f>IF(OR(NOTA[[#This Row],[QTY]]="",NOTA[[#This Row],[HARGA SATUAN]]="",),"",NOTA[[#This Row],[QTY]]*NOTA[[#This Row],[HARGA SATUAN]])</f>
        <v/>
      </c>
      <c r="AG333" s="36" t="str">
        <f ca="1">IF(NOTA[[#This Row],[ID_H]]="","",INDEX(NOTA[TANGGAL],MATCH(,INDIRECT(ADDRESS(ROW(NOTA[TANGGAL]),COLUMN(NOTA[TANGGAL]))&amp;":"&amp;ADDRESS(ROW(),COLUMN(NOTA[TANGGAL]))),-1)))</f>
        <v/>
      </c>
      <c r="AH333" s="36" t="str">
        <f ca="1">IF(NOTA[[#This Row],[ID_H]]="","",INDEX(NOTA[TGL.NOTA],MATCH(,INDIRECT(ADDRESS(ROW(NOTA[TGL.NOTA]),COLUMN(NOTA[TGL.NOTA]))&amp;":"&amp;ADDRESS(ROW(),COLUMN(NOTA[TGL.NOTA]))),-1)))</f>
        <v/>
      </c>
      <c r="AI333" s="36" t="str">
        <f ca="1">IF(NOTA[[#This Row],[ID_H]]="","",INDEX(NOTA[NO.NOTA],MATCH(NOTA[[#This Row],[ID_H]],NOTA[ID_H],0)))</f>
        <v/>
      </c>
      <c r="AJ333" s="38" t="str">
        <f ca="1">IF(NOTA[[#This Row],[NAMA BARANG]]="","",INDEX(NOTA[SUPPLIER],MATCH(,INDIRECT(ADDRESS(ROW(NOTA[ID]),COLUMN(NOTA[ID]))&amp;":"&amp;ADDRESS(ROW(),COLUMN(NOTA[ID]))),-1)))</f>
        <v/>
      </c>
      <c r="AK333" s="38" t="str">
        <f ca="1">IF(NOTA[[#This Row],[ID_H]]="","",IF(NOTA[[#This Row],[FAKTUR]]="",INDIRECT(ADDRESS(ROW()-1,COLUMN())),NOTA[[#This Row],[FAKTUR]]))</f>
        <v/>
      </c>
      <c r="AL333" s="35" t="str">
        <f ca="1">IF(NOTA[[#This Row],[ID]]="","",COUNTIF(NOTA[ID_H],NOTA[[#This Row],[ID_H]]))</f>
        <v/>
      </c>
      <c r="AM333" s="35" t="str">
        <f ca="1">IF(NOTA[[#This Row],[TGL.NOTA]]="",IF(NOTA[[#This Row],[SUPPLIER_H]]="","",AM332),MONTH(NOTA[[#This Row],[TGL.NOTA]]))</f>
        <v/>
      </c>
      <c r="AN3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3" s="35" t="str">
        <f>IF(NOTA[[#This Row],[CONCAT1]]="","",MATCH(NOTA[[#This Row],[CONCAT1]],[3]!db[NB NOTA_C],0))</f>
        <v/>
      </c>
      <c r="AS333" s="35" t="str">
        <f>IF(NOTA[[#This Row],[Column5]]="","",TRUE)</f>
        <v/>
      </c>
      <c r="AT333" s="35" t="str">
        <f ca="1">IF(NOTA[[#This Row],[ID_H]]="","",IF(NOTA[[#This Row],[Column3]]=TRUE,NOTA[[#This Row],[Column5]],INDEX([3]!db[QTY/ CTN],NOTA[[#This Row],[//DB]])))</f>
        <v/>
      </c>
      <c r="AU3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3" s="35" t="str">
        <f ca="1">IF(NOTA[[#This Row],[ID_H]]="","",MATCH(NOTA[[#This Row],[NB NOTA_C_QTY]],[3]!db[NB NOTA_C_QTY+F],0))</f>
        <v/>
      </c>
      <c r="AW333" s="43" t="str">
        <f ca="1">IF(NOTA[[#This Row],[NB NOTA_C_QTY]]="","",ROW()-2)</f>
        <v/>
      </c>
    </row>
    <row r="334" spans="1:49" ht="20.100000000000001" customHeight="1">
      <c r="A3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5" t="str">
        <f ca="1">IF(NOTA[[#This Row],[NAMA BARANG]]="","",INDEX(NOTA[ID],MATCH(,INDIRECT(ADDRESS(ROW(NOTA[ID]),COLUMN(NOTA[ID]))&amp;":"&amp;ADDRESS(ROW(),COLUMN(NOTA[ID]))),-1)))</f>
        <v/>
      </c>
      <c r="C334" s="45"/>
      <c r="F334" s="46"/>
      <c r="G334" s="35"/>
      <c r="H334" s="36"/>
      <c r="I334" s="35"/>
      <c r="K334" s="37"/>
      <c r="L334" s="35"/>
      <c r="N334" s="38"/>
      <c r="O334" s="39"/>
      <c r="P334" s="47"/>
      <c r="Q334" s="48"/>
      <c r="R334" s="41"/>
      <c r="T334" s="42"/>
      <c r="U334" s="44"/>
      <c r="V334" s="42" t="str">
        <f>IF(NOTA[[#This Row],[HARGA/ CTN]]="",NOTA[[#This Row],[JUMLAH_H]],NOTA[[#This Row],[HARGA/ CTN]]*IF(NOTA[[#This Row],[C]]="",0,NOTA[[#This Row],[C]]))</f>
        <v/>
      </c>
      <c r="W334" s="42" t="str">
        <f>IF(NOTA[[#This Row],[JUMLAH]]="","",NOTA[[#This Row],[JUMLAH]]*NOTA[[#This Row],[Column6]])</f>
        <v/>
      </c>
      <c r="X334" s="42" t="str">
        <f>IF(NOTA[[#This Row],[JUMLAH]]="","",(NOTA[[#This Row],[JUMLAH]]-NOTA[[#This Row],[DISC 1-]])*NOTA[[#This Row],[Column7]])</f>
        <v/>
      </c>
      <c r="Y334" s="42" t="str">
        <f>IF(NOTA[[#This Row],[JUMLAH]]="","",(NOTA[[#This Row],[JUMLAH]]-NOTA[[#This Row],[DISC 1-]]-NOTA[[#This Row],[DISC 2-]])*NOTA[[#This Row],[Column8]])</f>
        <v/>
      </c>
      <c r="Z334" s="42" t="str">
        <f>IF(NOTA[[#This Row],[JUMLAH]]="","",NOTA[[#This Row],[DISC 1-]]+NOTA[[#This Row],[DISC 2-]]+NOTA[[#This Row],[DISC 3-]])</f>
        <v/>
      </c>
      <c r="AA334" s="42" t="str">
        <f>IF(NOTA[[#This Row],[JUMLAH]]="","",NOTA[[#This Row],[JUMLAH]]-NOTA[[#This Row],[DISC]])</f>
        <v/>
      </c>
      <c r="AB334" s="42"/>
      <c r="AC3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42" t="str">
        <f>IF(OR(NOTA[[#This Row],[QTY]]="",NOTA[[#This Row],[HARGA SATUAN]]="",),"",NOTA[[#This Row],[QTY]]*NOTA[[#This Row],[HARGA SATUAN]])</f>
        <v/>
      </c>
      <c r="AG334" s="36" t="str">
        <f ca="1">IF(NOTA[[#This Row],[ID_H]]="","",INDEX(NOTA[TANGGAL],MATCH(,INDIRECT(ADDRESS(ROW(NOTA[TANGGAL]),COLUMN(NOTA[TANGGAL]))&amp;":"&amp;ADDRESS(ROW(),COLUMN(NOTA[TANGGAL]))),-1)))</f>
        <v/>
      </c>
      <c r="AH334" s="36" t="str">
        <f ca="1">IF(NOTA[[#This Row],[ID_H]]="","",INDEX(NOTA[TGL.NOTA],MATCH(,INDIRECT(ADDRESS(ROW(NOTA[TGL.NOTA]),COLUMN(NOTA[TGL.NOTA]))&amp;":"&amp;ADDRESS(ROW(),COLUMN(NOTA[TGL.NOTA]))),-1)))</f>
        <v/>
      </c>
      <c r="AI334" s="36" t="str">
        <f ca="1">IF(NOTA[[#This Row],[ID_H]]="","",INDEX(NOTA[NO.NOTA],MATCH(NOTA[[#This Row],[ID_H]],NOTA[ID_H],0)))</f>
        <v/>
      </c>
      <c r="AJ334" s="38" t="str">
        <f ca="1">IF(NOTA[[#This Row],[NAMA BARANG]]="","",INDEX(NOTA[SUPPLIER],MATCH(,INDIRECT(ADDRESS(ROW(NOTA[ID]),COLUMN(NOTA[ID]))&amp;":"&amp;ADDRESS(ROW(),COLUMN(NOTA[ID]))),-1)))</f>
        <v/>
      </c>
      <c r="AK334" s="38" t="str">
        <f ca="1">IF(NOTA[[#This Row],[ID_H]]="","",IF(NOTA[[#This Row],[FAKTUR]]="",INDIRECT(ADDRESS(ROW()-1,COLUMN())),NOTA[[#This Row],[FAKTUR]]))</f>
        <v/>
      </c>
      <c r="AL334" s="35" t="str">
        <f ca="1">IF(NOTA[[#This Row],[ID]]="","",COUNTIF(NOTA[ID_H],NOTA[[#This Row],[ID_H]]))</f>
        <v/>
      </c>
      <c r="AM334" s="35" t="str">
        <f ca="1">IF(NOTA[[#This Row],[TGL.NOTA]]="",IF(NOTA[[#This Row],[SUPPLIER_H]]="","",AM333),MONTH(NOTA[[#This Row],[TGL.NOTA]]))</f>
        <v/>
      </c>
      <c r="AN3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4" s="35" t="str">
        <f>IF(NOTA[[#This Row],[CONCAT1]]="","",MATCH(NOTA[[#This Row],[CONCAT1]],[3]!db[NB NOTA_C],0))</f>
        <v/>
      </c>
      <c r="AS334" s="35" t="str">
        <f>IF(NOTA[[#This Row],[Column5]]="","",TRUE)</f>
        <v/>
      </c>
      <c r="AT334" s="35" t="str">
        <f ca="1">IF(NOTA[[#This Row],[ID_H]]="","",IF(NOTA[[#This Row],[Column3]]=TRUE,NOTA[[#This Row],[Column5]],INDEX([3]!db[QTY/ CTN],NOTA[[#This Row],[//DB]])))</f>
        <v/>
      </c>
      <c r="AU3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4" s="35" t="str">
        <f ca="1">IF(NOTA[[#This Row],[ID_H]]="","",MATCH(NOTA[[#This Row],[NB NOTA_C_QTY]],[3]!db[NB NOTA_C_QTY+F],0))</f>
        <v/>
      </c>
      <c r="AW334" s="43" t="str">
        <f ca="1">IF(NOTA[[#This Row],[NB NOTA_C_QTY]]="","",ROW()-2)</f>
        <v/>
      </c>
    </row>
    <row r="335" spans="1:49" ht="20.100000000000001" customHeight="1">
      <c r="A3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5" t="str">
        <f ca="1">IF(NOTA[[#This Row],[NAMA BARANG]]="","",INDEX(NOTA[ID],MATCH(,INDIRECT(ADDRESS(ROW(NOTA[ID]),COLUMN(NOTA[ID]))&amp;":"&amp;ADDRESS(ROW(),COLUMN(NOTA[ID]))),-1)))</f>
        <v/>
      </c>
      <c r="C335" s="45"/>
      <c r="F335" s="46"/>
      <c r="G335" s="35"/>
      <c r="H335" s="36"/>
      <c r="I335" s="35"/>
      <c r="K335" s="37"/>
      <c r="L335" s="35"/>
      <c r="N335" s="38"/>
      <c r="O335" s="39"/>
      <c r="P335" s="47"/>
      <c r="Q335" s="48"/>
      <c r="R335" s="41"/>
      <c r="T335" s="42"/>
      <c r="U335" s="44"/>
      <c r="V335" s="42" t="str">
        <f>IF(NOTA[[#This Row],[HARGA/ CTN]]="",NOTA[[#This Row],[JUMLAH_H]],NOTA[[#This Row],[HARGA/ CTN]]*IF(NOTA[[#This Row],[C]]="",0,NOTA[[#This Row],[C]]))</f>
        <v/>
      </c>
      <c r="W335" s="42" t="str">
        <f>IF(NOTA[[#This Row],[JUMLAH]]="","",NOTA[[#This Row],[JUMLAH]]*NOTA[[#This Row],[Column6]])</f>
        <v/>
      </c>
      <c r="X335" s="42" t="str">
        <f>IF(NOTA[[#This Row],[JUMLAH]]="","",(NOTA[[#This Row],[JUMLAH]]-NOTA[[#This Row],[DISC 1-]])*NOTA[[#This Row],[Column7]])</f>
        <v/>
      </c>
      <c r="Y335" s="42" t="str">
        <f>IF(NOTA[[#This Row],[JUMLAH]]="","",(NOTA[[#This Row],[JUMLAH]]-NOTA[[#This Row],[DISC 1-]]-NOTA[[#This Row],[DISC 2-]])*NOTA[[#This Row],[Column8]])</f>
        <v/>
      </c>
      <c r="Z335" s="42" t="str">
        <f>IF(NOTA[[#This Row],[JUMLAH]]="","",NOTA[[#This Row],[DISC 1-]]+NOTA[[#This Row],[DISC 2-]]+NOTA[[#This Row],[DISC 3-]])</f>
        <v/>
      </c>
      <c r="AA335" s="42" t="str">
        <f>IF(NOTA[[#This Row],[JUMLAH]]="","",NOTA[[#This Row],[JUMLAH]]-NOTA[[#This Row],[DISC]])</f>
        <v/>
      </c>
      <c r="AB335" s="42"/>
      <c r="AC3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5" s="42" t="str">
        <f>IF(OR(NOTA[[#This Row],[QTY]]="",NOTA[[#This Row],[HARGA SATUAN]]="",),"",NOTA[[#This Row],[QTY]]*NOTA[[#This Row],[HARGA SATUAN]])</f>
        <v/>
      </c>
      <c r="AG335" s="36" t="str">
        <f ca="1">IF(NOTA[[#This Row],[ID_H]]="","",INDEX(NOTA[TANGGAL],MATCH(,INDIRECT(ADDRESS(ROW(NOTA[TANGGAL]),COLUMN(NOTA[TANGGAL]))&amp;":"&amp;ADDRESS(ROW(),COLUMN(NOTA[TANGGAL]))),-1)))</f>
        <v/>
      </c>
      <c r="AH335" s="36" t="str">
        <f ca="1">IF(NOTA[[#This Row],[ID_H]]="","",INDEX(NOTA[TGL.NOTA],MATCH(,INDIRECT(ADDRESS(ROW(NOTA[TGL.NOTA]),COLUMN(NOTA[TGL.NOTA]))&amp;":"&amp;ADDRESS(ROW(),COLUMN(NOTA[TGL.NOTA]))),-1)))</f>
        <v/>
      </c>
      <c r="AI335" s="36" t="str">
        <f ca="1">IF(NOTA[[#This Row],[ID_H]]="","",INDEX(NOTA[NO.NOTA],MATCH(NOTA[[#This Row],[ID_H]],NOTA[ID_H],0)))</f>
        <v/>
      </c>
      <c r="AJ335" s="38" t="str">
        <f ca="1">IF(NOTA[[#This Row],[NAMA BARANG]]="","",INDEX(NOTA[SUPPLIER],MATCH(,INDIRECT(ADDRESS(ROW(NOTA[ID]),COLUMN(NOTA[ID]))&amp;":"&amp;ADDRESS(ROW(),COLUMN(NOTA[ID]))),-1)))</f>
        <v/>
      </c>
      <c r="AK335" s="38" t="str">
        <f ca="1">IF(NOTA[[#This Row],[ID_H]]="","",IF(NOTA[[#This Row],[FAKTUR]]="",INDIRECT(ADDRESS(ROW()-1,COLUMN())),NOTA[[#This Row],[FAKTUR]]))</f>
        <v/>
      </c>
      <c r="AL335" s="35" t="str">
        <f ca="1">IF(NOTA[[#This Row],[ID]]="","",COUNTIF(NOTA[ID_H],NOTA[[#This Row],[ID_H]]))</f>
        <v/>
      </c>
      <c r="AM335" s="35" t="str">
        <f ca="1">IF(NOTA[[#This Row],[TGL.NOTA]]="",IF(NOTA[[#This Row],[SUPPLIER_H]]="","",AM334),MONTH(NOTA[[#This Row],[TGL.NOTA]]))</f>
        <v/>
      </c>
      <c r="AN3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5" s="35" t="str">
        <f>IF(NOTA[[#This Row],[CONCAT1]]="","",MATCH(NOTA[[#This Row],[CONCAT1]],[3]!db[NB NOTA_C],0))</f>
        <v/>
      </c>
      <c r="AS335" s="35" t="str">
        <f>IF(NOTA[[#This Row],[Column5]]="","",TRUE)</f>
        <v/>
      </c>
      <c r="AT335" s="35" t="str">
        <f ca="1">IF(NOTA[[#This Row],[ID_H]]="","",IF(NOTA[[#This Row],[Column3]]=TRUE,NOTA[[#This Row],[Column5]],INDEX([3]!db[QTY/ CTN],NOTA[[#This Row],[//DB]])))</f>
        <v/>
      </c>
      <c r="AU3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5" s="35" t="str">
        <f ca="1">IF(NOTA[[#This Row],[ID_H]]="","",MATCH(NOTA[[#This Row],[NB NOTA_C_QTY]],[3]!db[NB NOTA_C_QTY+F],0))</f>
        <v/>
      </c>
      <c r="AW335" s="43" t="str">
        <f ca="1">IF(NOTA[[#This Row],[NB NOTA_C_QTY]]="","",ROW()-2)</f>
        <v/>
      </c>
    </row>
    <row r="336" spans="1:49" ht="20.100000000000001" customHeight="1">
      <c r="A3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5" t="str">
        <f ca="1">IF(NOTA[[#This Row],[NAMA BARANG]]="","",INDEX(NOTA[ID],MATCH(,INDIRECT(ADDRESS(ROW(NOTA[ID]),COLUMN(NOTA[ID]))&amp;":"&amp;ADDRESS(ROW(),COLUMN(NOTA[ID]))),-1)))</f>
        <v/>
      </c>
      <c r="C336" s="45"/>
      <c r="F336" s="46"/>
      <c r="G336" s="35"/>
      <c r="H336" s="36"/>
      <c r="I336" s="35"/>
      <c r="K336" s="37"/>
      <c r="L336" s="35"/>
      <c r="N336" s="38"/>
      <c r="O336" s="39"/>
      <c r="P336" s="47"/>
      <c r="Q336" s="48"/>
      <c r="R336" s="41"/>
      <c r="T336" s="42"/>
      <c r="U336" s="44"/>
      <c r="V336" s="42" t="str">
        <f>IF(NOTA[[#This Row],[HARGA/ CTN]]="",NOTA[[#This Row],[JUMLAH_H]],NOTA[[#This Row],[HARGA/ CTN]]*IF(NOTA[[#This Row],[C]]="",0,NOTA[[#This Row],[C]]))</f>
        <v/>
      </c>
      <c r="W336" s="42" t="str">
        <f>IF(NOTA[[#This Row],[JUMLAH]]="","",NOTA[[#This Row],[JUMLAH]]*NOTA[[#This Row],[Column6]])</f>
        <v/>
      </c>
      <c r="X336" s="42" t="str">
        <f>IF(NOTA[[#This Row],[JUMLAH]]="","",(NOTA[[#This Row],[JUMLAH]]-NOTA[[#This Row],[DISC 1-]])*NOTA[[#This Row],[Column7]])</f>
        <v/>
      </c>
      <c r="Y336" s="42" t="str">
        <f>IF(NOTA[[#This Row],[JUMLAH]]="","",(NOTA[[#This Row],[JUMLAH]]-NOTA[[#This Row],[DISC 1-]]-NOTA[[#This Row],[DISC 2-]])*NOTA[[#This Row],[Column8]])</f>
        <v/>
      </c>
      <c r="Z336" s="42" t="str">
        <f>IF(NOTA[[#This Row],[JUMLAH]]="","",NOTA[[#This Row],[DISC 1-]]+NOTA[[#This Row],[DISC 2-]]+NOTA[[#This Row],[DISC 3-]])</f>
        <v/>
      </c>
      <c r="AA336" s="42" t="str">
        <f>IF(NOTA[[#This Row],[JUMLAH]]="","",NOTA[[#This Row],[JUMLAH]]-NOTA[[#This Row],[DISC]])</f>
        <v/>
      </c>
      <c r="AB336" s="42"/>
      <c r="AC3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6" s="42" t="str">
        <f>IF(OR(NOTA[[#This Row],[QTY]]="",NOTA[[#This Row],[HARGA SATUAN]]="",),"",NOTA[[#This Row],[QTY]]*NOTA[[#This Row],[HARGA SATUAN]])</f>
        <v/>
      </c>
      <c r="AG336" s="36" t="str">
        <f ca="1">IF(NOTA[[#This Row],[ID_H]]="","",INDEX(NOTA[TANGGAL],MATCH(,INDIRECT(ADDRESS(ROW(NOTA[TANGGAL]),COLUMN(NOTA[TANGGAL]))&amp;":"&amp;ADDRESS(ROW(),COLUMN(NOTA[TANGGAL]))),-1)))</f>
        <v/>
      </c>
      <c r="AH336" s="36" t="str">
        <f ca="1">IF(NOTA[[#This Row],[ID_H]]="","",INDEX(NOTA[TGL.NOTA],MATCH(,INDIRECT(ADDRESS(ROW(NOTA[TGL.NOTA]),COLUMN(NOTA[TGL.NOTA]))&amp;":"&amp;ADDRESS(ROW(),COLUMN(NOTA[TGL.NOTA]))),-1)))</f>
        <v/>
      </c>
      <c r="AI336" s="36" t="str">
        <f ca="1">IF(NOTA[[#This Row],[ID_H]]="","",INDEX(NOTA[NO.NOTA],MATCH(NOTA[[#This Row],[ID_H]],NOTA[ID_H],0)))</f>
        <v/>
      </c>
      <c r="AJ336" s="38" t="str">
        <f ca="1">IF(NOTA[[#This Row],[NAMA BARANG]]="","",INDEX(NOTA[SUPPLIER],MATCH(,INDIRECT(ADDRESS(ROW(NOTA[ID]),COLUMN(NOTA[ID]))&amp;":"&amp;ADDRESS(ROW(),COLUMN(NOTA[ID]))),-1)))</f>
        <v/>
      </c>
      <c r="AK336" s="38" t="str">
        <f ca="1">IF(NOTA[[#This Row],[ID_H]]="","",IF(NOTA[[#This Row],[FAKTUR]]="",INDIRECT(ADDRESS(ROW()-1,COLUMN())),NOTA[[#This Row],[FAKTUR]]))</f>
        <v/>
      </c>
      <c r="AL336" s="35" t="str">
        <f ca="1">IF(NOTA[[#This Row],[ID]]="","",COUNTIF(NOTA[ID_H],NOTA[[#This Row],[ID_H]]))</f>
        <v/>
      </c>
      <c r="AM336" s="35" t="str">
        <f ca="1">IF(NOTA[[#This Row],[TGL.NOTA]]="",IF(NOTA[[#This Row],[SUPPLIER_H]]="","",AM335),MONTH(NOTA[[#This Row],[TGL.NOTA]]))</f>
        <v/>
      </c>
      <c r="AN3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6" s="35" t="str">
        <f>IF(NOTA[[#This Row],[CONCAT1]]="","",MATCH(NOTA[[#This Row],[CONCAT1]],[3]!db[NB NOTA_C],0))</f>
        <v/>
      </c>
      <c r="AS336" s="35" t="str">
        <f>IF(NOTA[[#This Row],[Column5]]="","",TRUE)</f>
        <v/>
      </c>
      <c r="AT336" s="35" t="str">
        <f ca="1">IF(NOTA[[#This Row],[ID_H]]="","",IF(NOTA[[#This Row],[Column3]]=TRUE,NOTA[[#This Row],[Column5]],INDEX([3]!db[QTY/ CTN],NOTA[[#This Row],[//DB]])))</f>
        <v/>
      </c>
      <c r="AU3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6" s="35" t="str">
        <f ca="1">IF(NOTA[[#This Row],[ID_H]]="","",MATCH(NOTA[[#This Row],[NB NOTA_C_QTY]],[3]!db[NB NOTA_C_QTY+F],0))</f>
        <v/>
      </c>
      <c r="AW336" s="43" t="str">
        <f ca="1">IF(NOTA[[#This Row],[NB NOTA_C_QTY]]="","",ROW()-2)</f>
        <v/>
      </c>
    </row>
    <row r="337" spans="1:49" ht="20.100000000000001" customHeight="1">
      <c r="A3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5" t="str">
        <f ca="1">IF(NOTA[[#This Row],[NAMA BARANG]]="","",INDEX(NOTA[ID],MATCH(,INDIRECT(ADDRESS(ROW(NOTA[ID]),COLUMN(NOTA[ID]))&amp;":"&amp;ADDRESS(ROW(),COLUMN(NOTA[ID]))),-1)))</f>
        <v/>
      </c>
      <c r="C337" s="45"/>
      <c r="F337" s="46"/>
      <c r="G337" s="35"/>
      <c r="H337" s="36"/>
      <c r="I337" s="35"/>
      <c r="K337" s="37"/>
      <c r="L337" s="35"/>
      <c r="N337" s="38"/>
      <c r="O337" s="39"/>
      <c r="P337" s="47"/>
      <c r="Q337" s="48"/>
      <c r="R337" s="41"/>
      <c r="T337" s="42"/>
      <c r="U337" s="44"/>
      <c r="V337" s="42" t="str">
        <f>IF(NOTA[[#This Row],[HARGA/ CTN]]="",NOTA[[#This Row],[JUMLAH_H]],NOTA[[#This Row],[HARGA/ CTN]]*IF(NOTA[[#This Row],[C]]="",0,NOTA[[#This Row],[C]]))</f>
        <v/>
      </c>
      <c r="W337" s="42" t="str">
        <f>IF(NOTA[[#This Row],[JUMLAH]]="","",NOTA[[#This Row],[JUMLAH]]*NOTA[[#This Row],[Column6]])</f>
        <v/>
      </c>
      <c r="X337" s="42" t="str">
        <f>IF(NOTA[[#This Row],[JUMLAH]]="","",(NOTA[[#This Row],[JUMLAH]]-NOTA[[#This Row],[DISC 1-]])*NOTA[[#This Row],[Column7]])</f>
        <v/>
      </c>
      <c r="Y337" s="42" t="str">
        <f>IF(NOTA[[#This Row],[JUMLAH]]="","",(NOTA[[#This Row],[JUMLAH]]-NOTA[[#This Row],[DISC 1-]]-NOTA[[#This Row],[DISC 2-]])*NOTA[[#This Row],[Column8]])</f>
        <v/>
      </c>
      <c r="Z337" s="42" t="str">
        <f>IF(NOTA[[#This Row],[JUMLAH]]="","",NOTA[[#This Row],[DISC 1-]]+NOTA[[#This Row],[DISC 2-]]+NOTA[[#This Row],[DISC 3-]])</f>
        <v/>
      </c>
      <c r="AA337" s="42" t="str">
        <f>IF(NOTA[[#This Row],[JUMLAH]]="","",NOTA[[#This Row],[JUMLAH]]-NOTA[[#This Row],[DISC]])</f>
        <v/>
      </c>
      <c r="AB337" s="42"/>
      <c r="AC3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7" s="42" t="str">
        <f>IF(OR(NOTA[[#This Row],[QTY]]="",NOTA[[#This Row],[HARGA SATUAN]]="",),"",NOTA[[#This Row],[QTY]]*NOTA[[#This Row],[HARGA SATUAN]])</f>
        <v/>
      </c>
      <c r="AG337" s="36" t="str">
        <f ca="1">IF(NOTA[[#This Row],[ID_H]]="","",INDEX(NOTA[TANGGAL],MATCH(,INDIRECT(ADDRESS(ROW(NOTA[TANGGAL]),COLUMN(NOTA[TANGGAL]))&amp;":"&amp;ADDRESS(ROW(),COLUMN(NOTA[TANGGAL]))),-1)))</f>
        <v/>
      </c>
      <c r="AH337" s="36" t="str">
        <f ca="1">IF(NOTA[[#This Row],[ID_H]]="","",INDEX(NOTA[TGL.NOTA],MATCH(,INDIRECT(ADDRESS(ROW(NOTA[TGL.NOTA]),COLUMN(NOTA[TGL.NOTA]))&amp;":"&amp;ADDRESS(ROW(),COLUMN(NOTA[TGL.NOTA]))),-1)))</f>
        <v/>
      </c>
      <c r="AI337" s="36" t="str">
        <f ca="1">IF(NOTA[[#This Row],[ID_H]]="","",INDEX(NOTA[NO.NOTA],MATCH(NOTA[[#This Row],[ID_H]],NOTA[ID_H],0)))</f>
        <v/>
      </c>
      <c r="AJ337" s="38" t="str">
        <f ca="1">IF(NOTA[[#This Row],[NAMA BARANG]]="","",INDEX(NOTA[SUPPLIER],MATCH(,INDIRECT(ADDRESS(ROW(NOTA[ID]),COLUMN(NOTA[ID]))&amp;":"&amp;ADDRESS(ROW(),COLUMN(NOTA[ID]))),-1)))</f>
        <v/>
      </c>
      <c r="AK337" s="38" t="str">
        <f ca="1">IF(NOTA[[#This Row],[ID_H]]="","",IF(NOTA[[#This Row],[FAKTUR]]="",INDIRECT(ADDRESS(ROW()-1,COLUMN())),NOTA[[#This Row],[FAKTUR]]))</f>
        <v/>
      </c>
      <c r="AL337" s="35" t="str">
        <f ca="1">IF(NOTA[[#This Row],[ID]]="","",COUNTIF(NOTA[ID_H],NOTA[[#This Row],[ID_H]]))</f>
        <v/>
      </c>
      <c r="AM337" s="35" t="str">
        <f ca="1">IF(NOTA[[#This Row],[TGL.NOTA]]="",IF(NOTA[[#This Row],[SUPPLIER_H]]="","",AM336),MONTH(NOTA[[#This Row],[TGL.NOTA]]))</f>
        <v/>
      </c>
      <c r="AN3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7" s="35" t="str">
        <f>IF(NOTA[[#This Row],[CONCAT1]]="","",MATCH(NOTA[[#This Row],[CONCAT1]],[3]!db[NB NOTA_C],0))</f>
        <v/>
      </c>
      <c r="AS337" s="35" t="str">
        <f>IF(NOTA[[#This Row],[Column5]]="","",TRUE)</f>
        <v/>
      </c>
      <c r="AT337" s="35" t="str">
        <f ca="1">IF(NOTA[[#This Row],[ID_H]]="","",IF(NOTA[[#This Row],[Column3]]=TRUE,NOTA[[#This Row],[Column5]],INDEX([3]!db[QTY/ CTN],NOTA[[#This Row],[//DB]])))</f>
        <v/>
      </c>
      <c r="AU3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7" s="35" t="str">
        <f ca="1">IF(NOTA[[#This Row],[ID_H]]="","",MATCH(NOTA[[#This Row],[NB NOTA_C_QTY]],[3]!db[NB NOTA_C_QTY+F],0))</f>
        <v/>
      </c>
      <c r="AW337" s="43" t="str">
        <f ca="1">IF(NOTA[[#This Row],[NB NOTA_C_QTY]]="","",ROW()-2)</f>
        <v/>
      </c>
    </row>
    <row r="338" spans="1:49" ht="20.100000000000001" customHeight="1">
      <c r="A3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5" t="str">
        <f ca="1">IF(NOTA[[#This Row],[NAMA BARANG]]="","",INDEX(NOTA[ID],MATCH(,INDIRECT(ADDRESS(ROW(NOTA[ID]),COLUMN(NOTA[ID]))&amp;":"&amp;ADDRESS(ROW(),COLUMN(NOTA[ID]))),-1)))</f>
        <v/>
      </c>
      <c r="C338" s="45"/>
      <c r="F338" s="46"/>
      <c r="G338" s="35"/>
      <c r="H338" s="36"/>
      <c r="I338" s="35"/>
      <c r="K338" s="37"/>
      <c r="L338" s="35"/>
      <c r="N338" s="38"/>
      <c r="O338" s="39"/>
      <c r="P338" s="47"/>
      <c r="Q338" s="48"/>
      <c r="R338" s="41"/>
      <c r="T338" s="42"/>
      <c r="U338" s="44"/>
      <c r="V338" s="42" t="str">
        <f>IF(NOTA[[#This Row],[HARGA/ CTN]]="",NOTA[[#This Row],[JUMLAH_H]],NOTA[[#This Row],[HARGA/ CTN]]*IF(NOTA[[#This Row],[C]]="",0,NOTA[[#This Row],[C]]))</f>
        <v/>
      </c>
      <c r="W338" s="42" t="str">
        <f>IF(NOTA[[#This Row],[JUMLAH]]="","",NOTA[[#This Row],[JUMLAH]]*NOTA[[#This Row],[Column6]])</f>
        <v/>
      </c>
      <c r="X338" s="42" t="str">
        <f>IF(NOTA[[#This Row],[JUMLAH]]="","",(NOTA[[#This Row],[JUMLAH]]-NOTA[[#This Row],[DISC 1-]])*NOTA[[#This Row],[Column7]])</f>
        <v/>
      </c>
      <c r="Y338" s="42" t="str">
        <f>IF(NOTA[[#This Row],[JUMLAH]]="","",(NOTA[[#This Row],[JUMLAH]]-NOTA[[#This Row],[DISC 1-]]-NOTA[[#This Row],[DISC 2-]])*NOTA[[#This Row],[Column8]])</f>
        <v/>
      </c>
      <c r="Z338" s="42" t="str">
        <f>IF(NOTA[[#This Row],[JUMLAH]]="","",NOTA[[#This Row],[DISC 1-]]+NOTA[[#This Row],[DISC 2-]]+NOTA[[#This Row],[DISC 3-]])</f>
        <v/>
      </c>
      <c r="AA338" s="42" t="str">
        <f>IF(NOTA[[#This Row],[JUMLAH]]="","",NOTA[[#This Row],[JUMLAH]]-NOTA[[#This Row],[DISC]])</f>
        <v/>
      </c>
      <c r="AB338" s="42"/>
      <c r="AC3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42" t="str">
        <f>IF(OR(NOTA[[#This Row],[QTY]]="",NOTA[[#This Row],[HARGA SATUAN]]="",),"",NOTA[[#This Row],[QTY]]*NOTA[[#This Row],[HARGA SATUAN]])</f>
        <v/>
      </c>
      <c r="AG338" s="36" t="str">
        <f ca="1">IF(NOTA[[#This Row],[ID_H]]="","",INDEX(NOTA[TANGGAL],MATCH(,INDIRECT(ADDRESS(ROW(NOTA[TANGGAL]),COLUMN(NOTA[TANGGAL]))&amp;":"&amp;ADDRESS(ROW(),COLUMN(NOTA[TANGGAL]))),-1)))</f>
        <v/>
      </c>
      <c r="AH338" s="36" t="str">
        <f ca="1">IF(NOTA[[#This Row],[ID_H]]="","",INDEX(NOTA[TGL.NOTA],MATCH(,INDIRECT(ADDRESS(ROW(NOTA[TGL.NOTA]),COLUMN(NOTA[TGL.NOTA]))&amp;":"&amp;ADDRESS(ROW(),COLUMN(NOTA[TGL.NOTA]))),-1)))</f>
        <v/>
      </c>
      <c r="AI338" s="36" t="str">
        <f ca="1">IF(NOTA[[#This Row],[ID_H]]="","",INDEX(NOTA[NO.NOTA],MATCH(NOTA[[#This Row],[ID_H]],NOTA[ID_H],0)))</f>
        <v/>
      </c>
      <c r="AJ338" s="38" t="str">
        <f ca="1">IF(NOTA[[#This Row],[NAMA BARANG]]="","",INDEX(NOTA[SUPPLIER],MATCH(,INDIRECT(ADDRESS(ROW(NOTA[ID]),COLUMN(NOTA[ID]))&amp;":"&amp;ADDRESS(ROW(),COLUMN(NOTA[ID]))),-1)))</f>
        <v/>
      </c>
      <c r="AK338" s="38" t="str">
        <f ca="1">IF(NOTA[[#This Row],[ID_H]]="","",IF(NOTA[[#This Row],[FAKTUR]]="",INDIRECT(ADDRESS(ROW()-1,COLUMN())),NOTA[[#This Row],[FAKTUR]]))</f>
        <v/>
      </c>
      <c r="AL338" s="35" t="str">
        <f ca="1">IF(NOTA[[#This Row],[ID]]="","",COUNTIF(NOTA[ID_H],NOTA[[#This Row],[ID_H]]))</f>
        <v/>
      </c>
      <c r="AM338" s="35" t="str">
        <f ca="1">IF(NOTA[[#This Row],[TGL.NOTA]]="",IF(NOTA[[#This Row],[SUPPLIER_H]]="","",AM337),MONTH(NOTA[[#This Row],[TGL.NOTA]]))</f>
        <v/>
      </c>
      <c r="AN3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8" s="35" t="str">
        <f>IF(NOTA[[#This Row],[CONCAT1]]="","",MATCH(NOTA[[#This Row],[CONCAT1]],[3]!db[NB NOTA_C],0))</f>
        <v/>
      </c>
      <c r="AS338" s="35" t="str">
        <f>IF(NOTA[[#This Row],[Column5]]="","",TRUE)</f>
        <v/>
      </c>
      <c r="AT338" s="35" t="str">
        <f ca="1">IF(NOTA[[#This Row],[ID_H]]="","",IF(NOTA[[#This Row],[Column3]]=TRUE,NOTA[[#This Row],[Column5]],INDEX([3]!db[QTY/ CTN],NOTA[[#This Row],[//DB]])))</f>
        <v/>
      </c>
      <c r="AU3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8" s="35" t="str">
        <f ca="1">IF(NOTA[[#This Row],[ID_H]]="","",MATCH(NOTA[[#This Row],[NB NOTA_C_QTY]],[3]!db[NB NOTA_C_QTY+F],0))</f>
        <v/>
      </c>
      <c r="AW338" s="43" t="str">
        <f ca="1">IF(NOTA[[#This Row],[NB NOTA_C_QTY]]="","",ROW()-2)</f>
        <v/>
      </c>
    </row>
    <row r="339" spans="1:49" ht="20.100000000000001" customHeight="1">
      <c r="A3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5" t="str">
        <f ca="1">IF(NOTA[[#This Row],[NAMA BARANG]]="","",INDEX(NOTA[ID],MATCH(,INDIRECT(ADDRESS(ROW(NOTA[ID]),COLUMN(NOTA[ID]))&amp;":"&amp;ADDRESS(ROW(),COLUMN(NOTA[ID]))),-1)))</f>
        <v/>
      </c>
      <c r="C339" s="45"/>
      <c r="F339" s="46"/>
      <c r="G339" s="35"/>
      <c r="H339" s="36"/>
      <c r="I339" s="35"/>
      <c r="K339" s="37"/>
      <c r="L339" s="35"/>
      <c r="N339" s="38"/>
      <c r="O339" s="39"/>
      <c r="P339" s="47"/>
      <c r="Q339" s="48"/>
      <c r="R339" s="41"/>
      <c r="T339" s="42"/>
      <c r="U339" s="44"/>
      <c r="V339" s="42" t="str">
        <f>IF(NOTA[[#This Row],[HARGA/ CTN]]="",NOTA[[#This Row],[JUMLAH_H]],NOTA[[#This Row],[HARGA/ CTN]]*IF(NOTA[[#This Row],[C]]="",0,NOTA[[#This Row],[C]]))</f>
        <v/>
      </c>
      <c r="W339" s="42" t="str">
        <f>IF(NOTA[[#This Row],[JUMLAH]]="","",NOTA[[#This Row],[JUMLAH]]*NOTA[[#This Row],[Column6]])</f>
        <v/>
      </c>
      <c r="X339" s="42" t="str">
        <f>IF(NOTA[[#This Row],[JUMLAH]]="","",(NOTA[[#This Row],[JUMLAH]]-NOTA[[#This Row],[DISC 1-]])*NOTA[[#This Row],[Column7]])</f>
        <v/>
      </c>
      <c r="Y339" s="42" t="str">
        <f>IF(NOTA[[#This Row],[JUMLAH]]="","",(NOTA[[#This Row],[JUMLAH]]-NOTA[[#This Row],[DISC 1-]]-NOTA[[#This Row],[DISC 2-]])*NOTA[[#This Row],[Column8]])</f>
        <v/>
      </c>
      <c r="Z339" s="42" t="str">
        <f>IF(NOTA[[#This Row],[JUMLAH]]="","",NOTA[[#This Row],[DISC 1-]]+NOTA[[#This Row],[DISC 2-]]+NOTA[[#This Row],[DISC 3-]])</f>
        <v/>
      </c>
      <c r="AA339" s="42" t="str">
        <f>IF(NOTA[[#This Row],[JUMLAH]]="","",NOTA[[#This Row],[JUMLAH]]-NOTA[[#This Row],[DISC]])</f>
        <v/>
      </c>
      <c r="AB339" s="42"/>
      <c r="AC3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9" s="42" t="str">
        <f>IF(OR(NOTA[[#This Row],[QTY]]="",NOTA[[#This Row],[HARGA SATUAN]]="",),"",NOTA[[#This Row],[QTY]]*NOTA[[#This Row],[HARGA SATUAN]])</f>
        <v/>
      </c>
      <c r="AG339" s="36" t="str">
        <f ca="1">IF(NOTA[[#This Row],[ID_H]]="","",INDEX(NOTA[TANGGAL],MATCH(,INDIRECT(ADDRESS(ROW(NOTA[TANGGAL]),COLUMN(NOTA[TANGGAL]))&amp;":"&amp;ADDRESS(ROW(),COLUMN(NOTA[TANGGAL]))),-1)))</f>
        <v/>
      </c>
      <c r="AH339" s="36" t="str">
        <f ca="1">IF(NOTA[[#This Row],[ID_H]]="","",INDEX(NOTA[TGL.NOTA],MATCH(,INDIRECT(ADDRESS(ROW(NOTA[TGL.NOTA]),COLUMN(NOTA[TGL.NOTA]))&amp;":"&amp;ADDRESS(ROW(),COLUMN(NOTA[TGL.NOTA]))),-1)))</f>
        <v/>
      </c>
      <c r="AI339" s="36" t="str">
        <f ca="1">IF(NOTA[[#This Row],[ID_H]]="","",INDEX(NOTA[NO.NOTA],MATCH(NOTA[[#This Row],[ID_H]],NOTA[ID_H],0)))</f>
        <v/>
      </c>
      <c r="AJ339" s="38" t="str">
        <f ca="1">IF(NOTA[[#This Row],[NAMA BARANG]]="","",INDEX(NOTA[SUPPLIER],MATCH(,INDIRECT(ADDRESS(ROW(NOTA[ID]),COLUMN(NOTA[ID]))&amp;":"&amp;ADDRESS(ROW(),COLUMN(NOTA[ID]))),-1)))</f>
        <v/>
      </c>
      <c r="AK339" s="38" t="str">
        <f ca="1">IF(NOTA[[#This Row],[ID_H]]="","",IF(NOTA[[#This Row],[FAKTUR]]="",INDIRECT(ADDRESS(ROW()-1,COLUMN())),NOTA[[#This Row],[FAKTUR]]))</f>
        <v/>
      </c>
      <c r="AL339" s="35" t="str">
        <f ca="1">IF(NOTA[[#This Row],[ID]]="","",COUNTIF(NOTA[ID_H],NOTA[[#This Row],[ID_H]]))</f>
        <v/>
      </c>
      <c r="AM339" s="35" t="str">
        <f ca="1">IF(NOTA[[#This Row],[TGL.NOTA]]="",IF(NOTA[[#This Row],[SUPPLIER_H]]="","",AM338),MONTH(NOTA[[#This Row],[TGL.NOTA]]))</f>
        <v/>
      </c>
      <c r="AN3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9" s="35" t="str">
        <f>IF(NOTA[[#This Row],[CONCAT1]]="","",MATCH(NOTA[[#This Row],[CONCAT1]],[3]!db[NB NOTA_C],0))</f>
        <v/>
      </c>
      <c r="AS339" s="35" t="str">
        <f>IF(NOTA[[#This Row],[Column5]]="","",TRUE)</f>
        <v/>
      </c>
      <c r="AT339" s="35" t="str">
        <f ca="1">IF(NOTA[[#This Row],[ID_H]]="","",IF(NOTA[[#This Row],[Column3]]=TRUE,NOTA[[#This Row],[Column5]],INDEX([3]!db[QTY/ CTN],NOTA[[#This Row],[//DB]])))</f>
        <v/>
      </c>
      <c r="AU3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39" s="35" t="str">
        <f ca="1">IF(NOTA[[#This Row],[ID_H]]="","",MATCH(NOTA[[#This Row],[NB NOTA_C_QTY]],[3]!db[NB NOTA_C_QTY+F],0))</f>
        <v/>
      </c>
      <c r="AW339" s="43" t="str">
        <f ca="1">IF(NOTA[[#This Row],[NB NOTA_C_QTY]]="","",ROW()-2)</f>
        <v/>
      </c>
    </row>
    <row r="340" spans="1:49" ht="20.100000000000001" customHeight="1">
      <c r="A3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5" t="str">
        <f ca="1">IF(NOTA[[#This Row],[NAMA BARANG]]="","",INDEX(NOTA[ID],MATCH(,INDIRECT(ADDRESS(ROW(NOTA[ID]),COLUMN(NOTA[ID]))&amp;":"&amp;ADDRESS(ROW(),COLUMN(NOTA[ID]))),-1)))</f>
        <v/>
      </c>
      <c r="C340" s="45"/>
      <c r="F340" s="46"/>
      <c r="G340" s="35"/>
      <c r="H340" s="36"/>
      <c r="I340" s="35"/>
      <c r="K340" s="37"/>
      <c r="L340" s="35"/>
      <c r="N340" s="38"/>
      <c r="O340" s="39"/>
      <c r="P340" s="47"/>
      <c r="Q340" s="48"/>
      <c r="R340" s="41"/>
      <c r="T340" s="42"/>
      <c r="U340" s="44"/>
      <c r="V340" s="42" t="str">
        <f>IF(NOTA[[#This Row],[HARGA/ CTN]]="",NOTA[[#This Row],[JUMLAH_H]],NOTA[[#This Row],[HARGA/ CTN]]*IF(NOTA[[#This Row],[C]]="",0,NOTA[[#This Row],[C]]))</f>
        <v/>
      </c>
      <c r="W340" s="42" t="str">
        <f>IF(NOTA[[#This Row],[JUMLAH]]="","",NOTA[[#This Row],[JUMLAH]]*NOTA[[#This Row],[Column6]])</f>
        <v/>
      </c>
      <c r="X340" s="42" t="str">
        <f>IF(NOTA[[#This Row],[JUMLAH]]="","",(NOTA[[#This Row],[JUMLAH]]-NOTA[[#This Row],[DISC 1-]])*NOTA[[#This Row],[Column7]])</f>
        <v/>
      </c>
      <c r="Y340" s="42" t="str">
        <f>IF(NOTA[[#This Row],[JUMLAH]]="","",(NOTA[[#This Row],[JUMLAH]]-NOTA[[#This Row],[DISC 1-]]-NOTA[[#This Row],[DISC 2-]])*NOTA[[#This Row],[Column8]])</f>
        <v/>
      </c>
      <c r="Z340" s="42" t="str">
        <f>IF(NOTA[[#This Row],[JUMLAH]]="","",NOTA[[#This Row],[DISC 1-]]+NOTA[[#This Row],[DISC 2-]]+NOTA[[#This Row],[DISC 3-]])</f>
        <v/>
      </c>
      <c r="AA340" s="42" t="str">
        <f>IF(NOTA[[#This Row],[JUMLAH]]="","",NOTA[[#This Row],[JUMLAH]]-NOTA[[#This Row],[DISC]])</f>
        <v/>
      </c>
      <c r="AB340" s="42"/>
      <c r="AC3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0" s="42" t="str">
        <f>IF(OR(NOTA[[#This Row],[QTY]]="",NOTA[[#This Row],[HARGA SATUAN]]="",),"",NOTA[[#This Row],[QTY]]*NOTA[[#This Row],[HARGA SATUAN]])</f>
        <v/>
      </c>
      <c r="AG340" s="36" t="str">
        <f ca="1">IF(NOTA[[#This Row],[ID_H]]="","",INDEX(NOTA[TANGGAL],MATCH(,INDIRECT(ADDRESS(ROW(NOTA[TANGGAL]),COLUMN(NOTA[TANGGAL]))&amp;":"&amp;ADDRESS(ROW(),COLUMN(NOTA[TANGGAL]))),-1)))</f>
        <v/>
      </c>
      <c r="AH340" s="36" t="str">
        <f ca="1">IF(NOTA[[#This Row],[ID_H]]="","",INDEX(NOTA[TGL.NOTA],MATCH(,INDIRECT(ADDRESS(ROW(NOTA[TGL.NOTA]),COLUMN(NOTA[TGL.NOTA]))&amp;":"&amp;ADDRESS(ROW(),COLUMN(NOTA[TGL.NOTA]))),-1)))</f>
        <v/>
      </c>
      <c r="AI340" s="36" t="str">
        <f ca="1">IF(NOTA[[#This Row],[ID_H]]="","",INDEX(NOTA[NO.NOTA],MATCH(NOTA[[#This Row],[ID_H]],NOTA[ID_H],0)))</f>
        <v/>
      </c>
      <c r="AJ340" s="38" t="str">
        <f ca="1">IF(NOTA[[#This Row],[NAMA BARANG]]="","",INDEX(NOTA[SUPPLIER],MATCH(,INDIRECT(ADDRESS(ROW(NOTA[ID]),COLUMN(NOTA[ID]))&amp;":"&amp;ADDRESS(ROW(),COLUMN(NOTA[ID]))),-1)))</f>
        <v/>
      </c>
      <c r="AK340" s="38" t="str">
        <f ca="1">IF(NOTA[[#This Row],[ID_H]]="","",IF(NOTA[[#This Row],[FAKTUR]]="",INDIRECT(ADDRESS(ROW()-1,COLUMN())),NOTA[[#This Row],[FAKTUR]]))</f>
        <v/>
      </c>
      <c r="AL340" s="35" t="str">
        <f ca="1">IF(NOTA[[#This Row],[ID]]="","",COUNTIF(NOTA[ID_H],NOTA[[#This Row],[ID_H]]))</f>
        <v/>
      </c>
      <c r="AM340" s="35" t="str">
        <f ca="1">IF(NOTA[[#This Row],[TGL.NOTA]]="",IF(NOTA[[#This Row],[SUPPLIER_H]]="","",AM339),MONTH(NOTA[[#This Row],[TGL.NOTA]]))</f>
        <v/>
      </c>
      <c r="AN3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0" s="35" t="str">
        <f>IF(NOTA[[#This Row],[CONCAT1]]="","",MATCH(NOTA[[#This Row],[CONCAT1]],[3]!db[NB NOTA_C],0))</f>
        <v/>
      </c>
      <c r="AS340" s="35" t="str">
        <f>IF(NOTA[[#This Row],[Column5]]="","",TRUE)</f>
        <v/>
      </c>
      <c r="AT340" s="35" t="str">
        <f ca="1">IF(NOTA[[#This Row],[ID_H]]="","",IF(NOTA[[#This Row],[Column3]]=TRUE,NOTA[[#This Row],[Column5]],INDEX([3]!db[QTY/ CTN],NOTA[[#This Row],[//DB]])))</f>
        <v/>
      </c>
      <c r="AU3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0" s="35" t="str">
        <f ca="1">IF(NOTA[[#This Row],[ID_H]]="","",MATCH(NOTA[[#This Row],[NB NOTA_C_QTY]],[3]!db[NB NOTA_C_QTY+F],0))</f>
        <v/>
      </c>
      <c r="AW340" s="43" t="str">
        <f ca="1">IF(NOTA[[#This Row],[NB NOTA_C_QTY]]="","",ROW()-2)</f>
        <v/>
      </c>
    </row>
    <row r="341" spans="1:49" ht="20.100000000000001" customHeight="1">
      <c r="A3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5" t="str">
        <f ca="1">IF(NOTA[[#This Row],[NAMA BARANG]]="","",INDEX(NOTA[ID],MATCH(,INDIRECT(ADDRESS(ROW(NOTA[ID]),COLUMN(NOTA[ID]))&amp;":"&amp;ADDRESS(ROW(),COLUMN(NOTA[ID]))),-1)))</f>
        <v/>
      </c>
      <c r="C341" s="45"/>
      <c r="F341" s="46"/>
      <c r="G341" s="35"/>
      <c r="H341" s="36"/>
      <c r="I341" s="35"/>
      <c r="K341" s="37"/>
      <c r="L341" s="35"/>
      <c r="N341" s="38"/>
      <c r="O341" s="39"/>
      <c r="P341" s="47"/>
      <c r="Q341" s="48"/>
      <c r="R341" s="41"/>
      <c r="T341" s="42"/>
      <c r="U341" s="44"/>
      <c r="V341" s="42" t="str">
        <f>IF(NOTA[[#This Row],[HARGA/ CTN]]="",NOTA[[#This Row],[JUMLAH_H]],NOTA[[#This Row],[HARGA/ CTN]]*IF(NOTA[[#This Row],[C]]="",0,NOTA[[#This Row],[C]]))</f>
        <v/>
      </c>
      <c r="W341" s="42" t="str">
        <f>IF(NOTA[[#This Row],[JUMLAH]]="","",NOTA[[#This Row],[JUMLAH]]*NOTA[[#This Row],[Column6]])</f>
        <v/>
      </c>
      <c r="X341" s="42" t="str">
        <f>IF(NOTA[[#This Row],[JUMLAH]]="","",(NOTA[[#This Row],[JUMLAH]]-NOTA[[#This Row],[DISC 1-]])*NOTA[[#This Row],[Column7]])</f>
        <v/>
      </c>
      <c r="Y341" s="42" t="str">
        <f>IF(NOTA[[#This Row],[JUMLAH]]="","",(NOTA[[#This Row],[JUMLAH]]-NOTA[[#This Row],[DISC 1-]]-NOTA[[#This Row],[DISC 2-]])*NOTA[[#This Row],[Column8]])</f>
        <v/>
      </c>
      <c r="Z341" s="42" t="str">
        <f>IF(NOTA[[#This Row],[JUMLAH]]="","",NOTA[[#This Row],[DISC 1-]]+NOTA[[#This Row],[DISC 2-]]+NOTA[[#This Row],[DISC 3-]])</f>
        <v/>
      </c>
      <c r="AA341" s="42" t="str">
        <f>IF(NOTA[[#This Row],[JUMLAH]]="","",NOTA[[#This Row],[JUMLAH]]-NOTA[[#This Row],[DISC]])</f>
        <v/>
      </c>
      <c r="AB341" s="42"/>
      <c r="AC3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1" s="42" t="str">
        <f>IF(OR(NOTA[[#This Row],[QTY]]="",NOTA[[#This Row],[HARGA SATUAN]]="",),"",NOTA[[#This Row],[QTY]]*NOTA[[#This Row],[HARGA SATUAN]])</f>
        <v/>
      </c>
      <c r="AG341" s="36" t="str">
        <f ca="1">IF(NOTA[[#This Row],[ID_H]]="","",INDEX(NOTA[TANGGAL],MATCH(,INDIRECT(ADDRESS(ROW(NOTA[TANGGAL]),COLUMN(NOTA[TANGGAL]))&amp;":"&amp;ADDRESS(ROW(),COLUMN(NOTA[TANGGAL]))),-1)))</f>
        <v/>
      </c>
      <c r="AH341" s="36" t="str">
        <f ca="1">IF(NOTA[[#This Row],[ID_H]]="","",INDEX(NOTA[TGL.NOTA],MATCH(,INDIRECT(ADDRESS(ROW(NOTA[TGL.NOTA]),COLUMN(NOTA[TGL.NOTA]))&amp;":"&amp;ADDRESS(ROW(),COLUMN(NOTA[TGL.NOTA]))),-1)))</f>
        <v/>
      </c>
      <c r="AI341" s="36" t="str">
        <f ca="1">IF(NOTA[[#This Row],[ID_H]]="","",INDEX(NOTA[NO.NOTA],MATCH(NOTA[[#This Row],[ID_H]],NOTA[ID_H],0)))</f>
        <v/>
      </c>
      <c r="AJ341" s="38" t="str">
        <f ca="1">IF(NOTA[[#This Row],[NAMA BARANG]]="","",INDEX(NOTA[SUPPLIER],MATCH(,INDIRECT(ADDRESS(ROW(NOTA[ID]),COLUMN(NOTA[ID]))&amp;":"&amp;ADDRESS(ROW(),COLUMN(NOTA[ID]))),-1)))</f>
        <v/>
      </c>
      <c r="AK341" s="38" t="str">
        <f ca="1">IF(NOTA[[#This Row],[ID_H]]="","",IF(NOTA[[#This Row],[FAKTUR]]="",INDIRECT(ADDRESS(ROW()-1,COLUMN())),NOTA[[#This Row],[FAKTUR]]))</f>
        <v/>
      </c>
      <c r="AL341" s="35" t="str">
        <f ca="1">IF(NOTA[[#This Row],[ID]]="","",COUNTIF(NOTA[ID_H],NOTA[[#This Row],[ID_H]]))</f>
        <v/>
      </c>
      <c r="AM341" s="35" t="str">
        <f ca="1">IF(NOTA[[#This Row],[TGL.NOTA]]="",IF(NOTA[[#This Row],[SUPPLIER_H]]="","",AM340),MONTH(NOTA[[#This Row],[TGL.NOTA]]))</f>
        <v/>
      </c>
      <c r="AN3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1" s="35" t="str">
        <f>IF(NOTA[[#This Row],[CONCAT1]]="","",MATCH(NOTA[[#This Row],[CONCAT1]],[3]!db[NB NOTA_C],0))</f>
        <v/>
      </c>
      <c r="AS341" s="35" t="str">
        <f>IF(NOTA[[#This Row],[Column5]]="","",TRUE)</f>
        <v/>
      </c>
      <c r="AT341" s="35" t="str">
        <f ca="1">IF(NOTA[[#This Row],[ID_H]]="","",IF(NOTA[[#This Row],[Column3]]=TRUE,NOTA[[#This Row],[Column5]],INDEX([3]!db[QTY/ CTN],NOTA[[#This Row],[//DB]])))</f>
        <v/>
      </c>
      <c r="AU3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1" s="35" t="str">
        <f ca="1">IF(NOTA[[#This Row],[ID_H]]="","",MATCH(NOTA[[#This Row],[NB NOTA_C_QTY]],[3]!db[NB NOTA_C_QTY+F],0))</f>
        <v/>
      </c>
      <c r="AW341" s="43" t="str">
        <f ca="1">IF(NOTA[[#This Row],[NB NOTA_C_QTY]]="","",ROW()-2)</f>
        <v/>
      </c>
    </row>
    <row r="342" spans="1:49" ht="20.100000000000001" customHeight="1">
      <c r="A3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5" t="str">
        <f ca="1">IF(NOTA[[#This Row],[NAMA BARANG]]="","",INDEX(NOTA[ID],MATCH(,INDIRECT(ADDRESS(ROW(NOTA[ID]),COLUMN(NOTA[ID]))&amp;":"&amp;ADDRESS(ROW(),COLUMN(NOTA[ID]))),-1)))</f>
        <v/>
      </c>
      <c r="C342" s="45"/>
      <c r="F342" s="46"/>
      <c r="G342" s="35"/>
      <c r="H342" s="36"/>
      <c r="I342" s="35"/>
      <c r="K342" s="37"/>
      <c r="L342" s="35"/>
      <c r="N342" s="38"/>
      <c r="O342" s="39"/>
      <c r="P342" s="47"/>
      <c r="Q342" s="48"/>
      <c r="R342" s="41"/>
      <c r="T342" s="42"/>
      <c r="U342" s="44"/>
      <c r="V342" s="42" t="str">
        <f>IF(NOTA[[#This Row],[HARGA/ CTN]]="",NOTA[[#This Row],[JUMLAH_H]],NOTA[[#This Row],[HARGA/ CTN]]*IF(NOTA[[#This Row],[C]]="",0,NOTA[[#This Row],[C]]))</f>
        <v/>
      </c>
      <c r="W342" s="42" t="str">
        <f>IF(NOTA[[#This Row],[JUMLAH]]="","",NOTA[[#This Row],[JUMLAH]]*NOTA[[#This Row],[Column6]])</f>
        <v/>
      </c>
      <c r="X342" s="42" t="str">
        <f>IF(NOTA[[#This Row],[JUMLAH]]="","",(NOTA[[#This Row],[JUMLAH]]-NOTA[[#This Row],[DISC 1-]])*NOTA[[#This Row],[Column7]])</f>
        <v/>
      </c>
      <c r="Y342" s="42" t="str">
        <f>IF(NOTA[[#This Row],[JUMLAH]]="","",(NOTA[[#This Row],[JUMLAH]]-NOTA[[#This Row],[DISC 1-]]-NOTA[[#This Row],[DISC 2-]])*NOTA[[#This Row],[Column8]])</f>
        <v/>
      </c>
      <c r="Z342" s="42" t="str">
        <f>IF(NOTA[[#This Row],[JUMLAH]]="","",NOTA[[#This Row],[DISC 1-]]+NOTA[[#This Row],[DISC 2-]]+NOTA[[#This Row],[DISC 3-]])</f>
        <v/>
      </c>
      <c r="AA342" s="42" t="str">
        <f>IF(NOTA[[#This Row],[JUMLAH]]="","",NOTA[[#This Row],[JUMLAH]]-NOTA[[#This Row],[DISC]])</f>
        <v/>
      </c>
      <c r="AB342" s="42"/>
      <c r="AC3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2" s="42" t="str">
        <f>IF(OR(NOTA[[#This Row],[QTY]]="",NOTA[[#This Row],[HARGA SATUAN]]="",),"",NOTA[[#This Row],[QTY]]*NOTA[[#This Row],[HARGA SATUAN]])</f>
        <v/>
      </c>
      <c r="AG342" s="36" t="str">
        <f ca="1">IF(NOTA[[#This Row],[ID_H]]="","",INDEX(NOTA[TANGGAL],MATCH(,INDIRECT(ADDRESS(ROW(NOTA[TANGGAL]),COLUMN(NOTA[TANGGAL]))&amp;":"&amp;ADDRESS(ROW(),COLUMN(NOTA[TANGGAL]))),-1)))</f>
        <v/>
      </c>
      <c r="AH342" s="36" t="str">
        <f ca="1">IF(NOTA[[#This Row],[ID_H]]="","",INDEX(NOTA[TGL.NOTA],MATCH(,INDIRECT(ADDRESS(ROW(NOTA[TGL.NOTA]),COLUMN(NOTA[TGL.NOTA]))&amp;":"&amp;ADDRESS(ROW(),COLUMN(NOTA[TGL.NOTA]))),-1)))</f>
        <v/>
      </c>
      <c r="AI342" s="36" t="str">
        <f ca="1">IF(NOTA[[#This Row],[ID_H]]="","",INDEX(NOTA[NO.NOTA],MATCH(NOTA[[#This Row],[ID_H]],NOTA[ID_H],0)))</f>
        <v/>
      </c>
      <c r="AJ342" s="38" t="str">
        <f ca="1">IF(NOTA[[#This Row],[NAMA BARANG]]="","",INDEX(NOTA[SUPPLIER],MATCH(,INDIRECT(ADDRESS(ROW(NOTA[ID]),COLUMN(NOTA[ID]))&amp;":"&amp;ADDRESS(ROW(),COLUMN(NOTA[ID]))),-1)))</f>
        <v/>
      </c>
      <c r="AK342" s="38" t="str">
        <f ca="1">IF(NOTA[[#This Row],[ID_H]]="","",IF(NOTA[[#This Row],[FAKTUR]]="",INDIRECT(ADDRESS(ROW()-1,COLUMN())),NOTA[[#This Row],[FAKTUR]]))</f>
        <v/>
      </c>
      <c r="AL342" s="35" t="str">
        <f ca="1">IF(NOTA[[#This Row],[ID]]="","",COUNTIF(NOTA[ID_H],NOTA[[#This Row],[ID_H]]))</f>
        <v/>
      </c>
      <c r="AM342" s="35" t="str">
        <f ca="1">IF(NOTA[[#This Row],[TGL.NOTA]]="",IF(NOTA[[#This Row],[SUPPLIER_H]]="","",AM341),MONTH(NOTA[[#This Row],[TGL.NOTA]]))</f>
        <v/>
      </c>
      <c r="AN3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2" s="35" t="str">
        <f>IF(NOTA[[#This Row],[CONCAT1]]="","",MATCH(NOTA[[#This Row],[CONCAT1]],[3]!db[NB NOTA_C],0))</f>
        <v/>
      </c>
      <c r="AS342" s="35" t="str">
        <f>IF(NOTA[[#This Row],[Column5]]="","",TRUE)</f>
        <v/>
      </c>
      <c r="AT342" s="35" t="str">
        <f ca="1">IF(NOTA[[#This Row],[ID_H]]="","",IF(NOTA[[#This Row],[Column3]]=TRUE,NOTA[[#This Row],[Column5]],INDEX([3]!db[QTY/ CTN],NOTA[[#This Row],[//DB]])))</f>
        <v/>
      </c>
      <c r="AU3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2" s="35" t="str">
        <f ca="1">IF(NOTA[[#This Row],[ID_H]]="","",MATCH(NOTA[[#This Row],[NB NOTA_C_QTY]],[3]!db[NB NOTA_C_QTY+F],0))</f>
        <v/>
      </c>
      <c r="AW342" s="43" t="str">
        <f ca="1">IF(NOTA[[#This Row],[NB NOTA_C_QTY]]="","",ROW()-2)</f>
        <v/>
      </c>
    </row>
    <row r="343" spans="1:49" ht="20.100000000000001" customHeight="1">
      <c r="A3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5" t="str">
        <f ca="1">IF(NOTA[[#This Row],[NAMA BARANG]]="","",INDEX(NOTA[ID],MATCH(,INDIRECT(ADDRESS(ROW(NOTA[ID]),COLUMN(NOTA[ID]))&amp;":"&amp;ADDRESS(ROW(),COLUMN(NOTA[ID]))),-1)))</f>
        <v/>
      </c>
      <c r="C343" s="45"/>
      <c r="F343" s="46"/>
      <c r="G343" s="35"/>
      <c r="H343" s="36"/>
      <c r="I343" s="35"/>
      <c r="K343" s="37"/>
      <c r="L343" s="35"/>
      <c r="N343" s="38"/>
      <c r="O343" s="39"/>
      <c r="P343" s="47"/>
      <c r="Q343" s="48"/>
      <c r="R343" s="41"/>
      <c r="T343" s="42"/>
      <c r="U343" s="44"/>
      <c r="V343" s="42" t="str">
        <f>IF(NOTA[[#This Row],[HARGA/ CTN]]="",NOTA[[#This Row],[JUMLAH_H]],NOTA[[#This Row],[HARGA/ CTN]]*IF(NOTA[[#This Row],[C]]="",0,NOTA[[#This Row],[C]]))</f>
        <v/>
      </c>
      <c r="W343" s="42" t="str">
        <f>IF(NOTA[[#This Row],[JUMLAH]]="","",NOTA[[#This Row],[JUMLAH]]*NOTA[[#This Row],[Column6]])</f>
        <v/>
      </c>
      <c r="X343" s="42" t="str">
        <f>IF(NOTA[[#This Row],[JUMLAH]]="","",(NOTA[[#This Row],[JUMLAH]]-NOTA[[#This Row],[DISC 1-]])*NOTA[[#This Row],[Column7]])</f>
        <v/>
      </c>
      <c r="Y343" s="42" t="str">
        <f>IF(NOTA[[#This Row],[JUMLAH]]="","",(NOTA[[#This Row],[JUMLAH]]-NOTA[[#This Row],[DISC 1-]]-NOTA[[#This Row],[DISC 2-]])*NOTA[[#This Row],[Column8]])</f>
        <v/>
      </c>
      <c r="Z343" s="42" t="str">
        <f>IF(NOTA[[#This Row],[JUMLAH]]="","",NOTA[[#This Row],[DISC 1-]]+NOTA[[#This Row],[DISC 2-]]+NOTA[[#This Row],[DISC 3-]])</f>
        <v/>
      </c>
      <c r="AA343" s="42" t="str">
        <f>IF(NOTA[[#This Row],[JUMLAH]]="","",NOTA[[#This Row],[JUMLAH]]-NOTA[[#This Row],[DISC]])</f>
        <v/>
      </c>
      <c r="AB343" s="42"/>
      <c r="AC3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3" s="42" t="str">
        <f>IF(OR(NOTA[[#This Row],[QTY]]="",NOTA[[#This Row],[HARGA SATUAN]]="",),"",NOTA[[#This Row],[QTY]]*NOTA[[#This Row],[HARGA SATUAN]])</f>
        <v/>
      </c>
      <c r="AG343" s="36" t="str">
        <f ca="1">IF(NOTA[[#This Row],[ID_H]]="","",INDEX(NOTA[TANGGAL],MATCH(,INDIRECT(ADDRESS(ROW(NOTA[TANGGAL]),COLUMN(NOTA[TANGGAL]))&amp;":"&amp;ADDRESS(ROW(),COLUMN(NOTA[TANGGAL]))),-1)))</f>
        <v/>
      </c>
      <c r="AH343" s="36" t="str">
        <f ca="1">IF(NOTA[[#This Row],[ID_H]]="","",INDEX(NOTA[TGL.NOTA],MATCH(,INDIRECT(ADDRESS(ROW(NOTA[TGL.NOTA]),COLUMN(NOTA[TGL.NOTA]))&amp;":"&amp;ADDRESS(ROW(),COLUMN(NOTA[TGL.NOTA]))),-1)))</f>
        <v/>
      </c>
      <c r="AI343" s="36" t="str">
        <f ca="1">IF(NOTA[[#This Row],[ID_H]]="","",INDEX(NOTA[NO.NOTA],MATCH(NOTA[[#This Row],[ID_H]],NOTA[ID_H],0)))</f>
        <v/>
      </c>
      <c r="AJ343" s="38" t="str">
        <f ca="1">IF(NOTA[[#This Row],[NAMA BARANG]]="","",INDEX(NOTA[SUPPLIER],MATCH(,INDIRECT(ADDRESS(ROW(NOTA[ID]),COLUMN(NOTA[ID]))&amp;":"&amp;ADDRESS(ROW(),COLUMN(NOTA[ID]))),-1)))</f>
        <v/>
      </c>
      <c r="AK343" s="38" t="str">
        <f ca="1">IF(NOTA[[#This Row],[ID_H]]="","",IF(NOTA[[#This Row],[FAKTUR]]="",INDIRECT(ADDRESS(ROW()-1,COLUMN())),NOTA[[#This Row],[FAKTUR]]))</f>
        <v/>
      </c>
      <c r="AL343" s="35" t="str">
        <f ca="1">IF(NOTA[[#This Row],[ID]]="","",COUNTIF(NOTA[ID_H],NOTA[[#This Row],[ID_H]]))</f>
        <v/>
      </c>
      <c r="AM343" s="35" t="str">
        <f ca="1">IF(NOTA[[#This Row],[TGL.NOTA]]="",IF(NOTA[[#This Row],[SUPPLIER_H]]="","",AM342),MONTH(NOTA[[#This Row],[TGL.NOTA]]))</f>
        <v/>
      </c>
      <c r="AN3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3" s="35" t="str">
        <f>IF(NOTA[[#This Row],[CONCAT1]]="","",MATCH(NOTA[[#This Row],[CONCAT1]],[3]!db[NB NOTA_C],0))</f>
        <v/>
      </c>
      <c r="AS343" s="35" t="str">
        <f>IF(NOTA[[#This Row],[Column5]]="","",TRUE)</f>
        <v/>
      </c>
      <c r="AT343" s="35" t="str">
        <f ca="1">IF(NOTA[[#This Row],[ID_H]]="","",IF(NOTA[[#This Row],[Column3]]=TRUE,NOTA[[#This Row],[Column5]],INDEX([3]!db[QTY/ CTN],NOTA[[#This Row],[//DB]])))</f>
        <v/>
      </c>
      <c r="AU3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3" s="35" t="str">
        <f ca="1">IF(NOTA[[#This Row],[ID_H]]="","",MATCH(NOTA[[#This Row],[NB NOTA_C_QTY]],[3]!db[NB NOTA_C_QTY+F],0))</f>
        <v/>
      </c>
      <c r="AW343" s="43" t="str">
        <f ca="1">IF(NOTA[[#This Row],[NB NOTA_C_QTY]]="","",ROW()-2)</f>
        <v/>
      </c>
    </row>
    <row r="344" spans="1:49" ht="20.100000000000001" customHeight="1">
      <c r="A3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5" t="str">
        <f ca="1">IF(NOTA[[#This Row],[NAMA BARANG]]="","",INDEX(NOTA[ID],MATCH(,INDIRECT(ADDRESS(ROW(NOTA[ID]),COLUMN(NOTA[ID]))&amp;":"&amp;ADDRESS(ROW(),COLUMN(NOTA[ID]))),-1)))</f>
        <v/>
      </c>
      <c r="C344" s="45"/>
      <c r="F344" s="46"/>
      <c r="G344" s="35"/>
      <c r="H344" s="36"/>
      <c r="I344" s="35"/>
      <c r="K344" s="37"/>
      <c r="L344" s="35"/>
      <c r="N344" s="38"/>
      <c r="O344" s="39"/>
      <c r="P344" s="47"/>
      <c r="Q344" s="48"/>
      <c r="R344" s="41"/>
      <c r="T344" s="42"/>
      <c r="U344" s="44"/>
      <c r="V344" s="42" t="str">
        <f>IF(NOTA[[#This Row],[HARGA/ CTN]]="",NOTA[[#This Row],[JUMLAH_H]],NOTA[[#This Row],[HARGA/ CTN]]*IF(NOTA[[#This Row],[C]]="",0,NOTA[[#This Row],[C]]))</f>
        <v/>
      </c>
      <c r="W344" s="42" t="str">
        <f>IF(NOTA[[#This Row],[JUMLAH]]="","",NOTA[[#This Row],[JUMLAH]]*NOTA[[#This Row],[Column6]])</f>
        <v/>
      </c>
      <c r="X344" s="42" t="str">
        <f>IF(NOTA[[#This Row],[JUMLAH]]="","",(NOTA[[#This Row],[JUMLAH]]-NOTA[[#This Row],[DISC 1-]])*NOTA[[#This Row],[Column7]])</f>
        <v/>
      </c>
      <c r="Y344" s="42" t="str">
        <f>IF(NOTA[[#This Row],[JUMLAH]]="","",(NOTA[[#This Row],[JUMLAH]]-NOTA[[#This Row],[DISC 1-]]-NOTA[[#This Row],[DISC 2-]])*NOTA[[#This Row],[Column8]])</f>
        <v/>
      </c>
      <c r="Z344" s="42" t="str">
        <f>IF(NOTA[[#This Row],[JUMLAH]]="","",NOTA[[#This Row],[DISC 1-]]+NOTA[[#This Row],[DISC 2-]]+NOTA[[#This Row],[DISC 3-]])</f>
        <v/>
      </c>
      <c r="AA344" s="42" t="str">
        <f>IF(NOTA[[#This Row],[JUMLAH]]="","",NOTA[[#This Row],[JUMLAH]]-NOTA[[#This Row],[DISC]])</f>
        <v/>
      </c>
      <c r="AB344" s="42"/>
      <c r="AC3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42" t="str">
        <f>IF(OR(NOTA[[#This Row],[QTY]]="",NOTA[[#This Row],[HARGA SATUAN]]="",),"",NOTA[[#This Row],[QTY]]*NOTA[[#This Row],[HARGA SATUAN]])</f>
        <v/>
      </c>
      <c r="AG344" s="36" t="str">
        <f ca="1">IF(NOTA[[#This Row],[ID_H]]="","",INDEX(NOTA[TANGGAL],MATCH(,INDIRECT(ADDRESS(ROW(NOTA[TANGGAL]),COLUMN(NOTA[TANGGAL]))&amp;":"&amp;ADDRESS(ROW(),COLUMN(NOTA[TANGGAL]))),-1)))</f>
        <v/>
      </c>
      <c r="AH344" s="36" t="str">
        <f ca="1">IF(NOTA[[#This Row],[ID_H]]="","",INDEX(NOTA[TGL.NOTA],MATCH(,INDIRECT(ADDRESS(ROW(NOTA[TGL.NOTA]),COLUMN(NOTA[TGL.NOTA]))&amp;":"&amp;ADDRESS(ROW(),COLUMN(NOTA[TGL.NOTA]))),-1)))</f>
        <v/>
      </c>
      <c r="AI344" s="36" t="str">
        <f ca="1">IF(NOTA[[#This Row],[ID_H]]="","",INDEX(NOTA[NO.NOTA],MATCH(NOTA[[#This Row],[ID_H]],NOTA[ID_H],0)))</f>
        <v/>
      </c>
      <c r="AJ344" s="38" t="str">
        <f ca="1">IF(NOTA[[#This Row],[NAMA BARANG]]="","",INDEX(NOTA[SUPPLIER],MATCH(,INDIRECT(ADDRESS(ROW(NOTA[ID]),COLUMN(NOTA[ID]))&amp;":"&amp;ADDRESS(ROW(),COLUMN(NOTA[ID]))),-1)))</f>
        <v/>
      </c>
      <c r="AK344" s="38" t="str">
        <f ca="1">IF(NOTA[[#This Row],[ID_H]]="","",IF(NOTA[[#This Row],[FAKTUR]]="",INDIRECT(ADDRESS(ROW()-1,COLUMN())),NOTA[[#This Row],[FAKTUR]]))</f>
        <v/>
      </c>
      <c r="AL344" s="35" t="str">
        <f ca="1">IF(NOTA[[#This Row],[ID]]="","",COUNTIF(NOTA[ID_H],NOTA[[#This Row],[ID_H]]))</f>
        <v/>
      </c>
      <c r="AM344" s="35" t="str">
        <f ca="1">IF(NOTA[[#This Row],[TGL.NOTA]]="",IF(NOTA[[#This Row],[SUPPLIER_H]]="","",AM343),MONTH(NOTA[[#This Row],[TGL.NOTA]]))</f>
        <v/>
      </c>
      <c r="AN3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4" s="35" t="str">
        <f>IF(NOTA[[#This Row],[CONCAT1]]="","",MATCH(NOTA[[#This Row],[CONCAT1]],[3]!db[NB NOTA_C],0))</f>
        <v/>
      </c>
      <c r="AS344" s="35" t="str">
        <f>IF(NOTA[[#This Row],[Column5]]="","",TRUE)</f>
        <v/>
      </c>
      <c r="AT344" s="35" t="str">
        <f ca="1">IF(NOTA[[#This Row],[ID_H]]="","",IF(NOTA[[#This Row],[Column3]]=TRUE,NOTA[[#This Row],[Column5]],INDEX([3]!db[QTY/ CTN],NOTA[[#This Row],[//DB]])))</f>
        <v/>
      </c>
      <c r="AU3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4" s="35" t="str">
        <f ca="1">IF(NOTA[[#This Row],[ID_H]]="","",MATCH(NOTA[[#This Row],[NB NOTA_C_QTY]],[3]!db[NB NOTA_C_QTY+F],0))</f>
        <v/>
      </c>
      <c r="AW344" s="43" t="str">
        <f ca="1">IF(NOTA[[#This Row],[NB NOTA_C_QTY]]="","",ROW()-2)</f>
        <v/>
      </c>
    </row>
    <row r="345" spans="1:49" ht="20.100000000000001" customHeight="1">
      <c r="A3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5" t="str">
        <f ca="1">IF(NOTA[[#This Row],[NAMA BARANG]]="","",INDEX(NOTA[ID],MATCH(,INDIRECT(ADDRESS(ROW(NOTA[ID]),COLUMN(NOTA[ID]))&amp;":"&amp;ADDRESS(ROW(),COLUMN(NOTA[ID]))),-1)))</f>
        <v/>
      </c>
      <c r="C345" s="45"/>
      <c r="F345" s="46"/>
      <c r="G345" s="35"/>
      <c r="H345" s="36"/>
      <c r="I345" s="35"/>
      <c r="K345" s="37"/>
      <c r="L345" s="35"/>
      <c r="N345" s="38"/>
      <c r="O345" s="39"/>
      <c r="P345" s="47"/>
      <c r="Q345" s="48"/>
      <c r="R345" s="41"/>
      <c r="T345" s="42"/>
      <c r="U345" s="44"/>
      <c r="V345" s="42" t="str">
        <f>IF(NOTA[[#This Row],[HARGA/ CTN]]="",NOTA[[#This Row],[JUMLAH_H]],NOTA[[#This Row],[HARGA/ CTN]]*IF(NOTA[[#This Row],[C]]="",0,NOTA[[#This Row],[C]]))</f>
        <v/>
      </c>
      <c r="W345" s="42" t="str">
        <f>IF(NOTA[[#This Row],[JUMLAH]]="","",NOTA[[#This Row],[JUMLAH]]*NOTA[[#This Row],[Column6]])</f>
        <v/>
      </c>
      <c r="X345" s="42" t="str">
        <f>IF(NOTA[[#This Row],[JUMLAH]]="","",(NOTA[[#This Row],[JUMLAH]]-NOTA[[#This Row],[DISC 1-]])*NOTA[[#This Row],[Column7]])</f>
        <v/>
      </c>
      <c r="Y345" s="42" t="str">
        <f>IF(NOTA[[#This Row],[JUMLAH]]="","",(NOTA[[#This Row],[JUMLAH]]-NOTA[[#This Row],[DISC 1-]]-NOTA[[#This Row],[DISC 2-]])*NOTA[[#This Row],[Column8]])</f>
        <v/>
      </c>
      <c r="Z345" s="42" t="str">
        <f>IF(NOTA[[#This Row],[JUMLAH]]="","",NOTA[[#This Row],[DISC 1-]]+NOTA[[#This Row],[DISC 2-]]+NOTA[[#This Row],[DISC 3-]])</f>
        <v/>
      </c>
      <c r="AA345" s="42" t="str">
        <f>IF(NOTA[[#This Row],[JUMLAH]]="","",NOTA[[#This Row],[JUMLAH]]-NOTA[[#This Row],[DISC]])</f>
        <v/>
      </c>
      <c r="AB345" s="42"/>
      <c r="AC3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42" t="str">
        <f>IF(OR(NOTA[[#This Row],[QTY]]="",NOTA[[#This Row],[HARGA SATUAN]]="",),"",NOTA[[#This Row],[QTY]]*NOTA[[#This Row],[HARGA SATUAN]])</f>
        <v/>
      </c>
      <c r="AG345" s="36" t="str">
        <f ca="1">IF(NOTA[[#This Row],[ID_H]]="","",INDEX(NOTA[TANGGAL],MATCH(,INDIRECT(ADDRESS(ROW(NOTA[TANGGAL]),COLUMN(NOTA[TANGGAL]))&amp;":"&amp;ADDRESS(ROW(),COLUMN(NOTA[TANGGAL]))),-1)))</f>
        <v/>
      </c>
      <c r="AH345" s="36" t="str">
        <f ca="1">IF(NOTA[[#This Row],[ID_H]]="","",INDEX(NOTA[TGL.NOTA],MATCH(,INDIRECT(ADDRESS(ROW(NOTA[TGL.NOTA]),COLUMN(NOTA[TGL.NOTA]))&amp;":"&amp;ADDRESS(ROW(),COLUMN(NOTA[TGL.NOTA]))),-1)))</f>
        <v/>
      </c>
      <c r="AI345" s="36" t="str">
        <f ca="1">IF(NOTA[[#This Row],[ID_H]]="","",INDEX(NOTA[NO.NOTA],MATCH(NOTA[[#This Row],[ID_H]],NOTA[ID_H],0)))</f>
        <v/>
      </c>
      <c r="AJ345" s="38" t="str">
        <f ca="1">IF(NOTA[[#This Row],[NAMA BARANG]]="","",INDEX(NOTA[SUPPLIER],MATCH(,INDIRECT(ADDRESS(ROW(NOTA[ID]),COLUMN(NOTA[ID]))&amp;":"&amp;ADDRESS(ROW(),COLUMN(NOTA[ID]))),-1)))</f>
        <v/>
      </c>
      <c r="AK345" s="38" t="str">
        <f ca="1">IF(NOTA[[#This Row],[ID_H]]="","",IF(NOTA[[#This Row],[FAKTUR]]="",INDIRECT(ADDRESS(ROW()-1,COLUMN())),NOTA[[#This Row],[FAKTUR]]))</f>
        <v/>
      </c>
      <c r="AL345" s="35" t="str">
        <f ca="1">IF(NOTA[[#This Row],[ID]]="","",COUNTIF(NOTA[ID_H],NOTA[[#This Row],[ID_H]]))</f>
        <v/>
      </c>
      <c r="AM345" s="35" t="str">
        <f ca="1">IF(NOTA[[#This Row],[TGL.NOTA]]="",IF(NOTA[[#This Row],[SUPPLIER_H]]="","",AM344),MONTH(NOTA[[#This Row],[TGL.NOTA]]))</f>
        <v/>
      </c>
      <c r="AN3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5" s="35" t="str">
        <f>IF(NOTA[[#This Row],[CONCAT1]]="","",MATCH(NOTA[[#This Row],[CONCAT1]],[3]!db[NB NOTA_C],0))</f>
        <v/>
      </c>
      <c r="AS345" s="35" t="str">
        <f>IF(NOTA[[#This Row],[Column5]]="","",TRUE)</f>
        <v/>
      </c>
      <c r="AT345" s="35" t="str">
        <f ca="1">IF(NOTA[[#This Row],[ID_H]]="","",IF(NOTA[[#This Row],[Column3]]=TRUE,NOTA[[#This Row],[Column5]],INDEX([3]!db[QTY/ CTN],NOTA[[#This Row],[//DB]])))</f>
        <v/>
      </c>
      <c r="AU3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5" s="35" t="str">
        <f ca="1">IF(NOTA[[#This Row],[ID_H]]="","",MATCH(NOTA[[#This Row],[NB NOTA_C_QTY]],[3]!db[NB NOTA_C_QTY+F],0))</f>
        <v/>
      </c>
      <c r="AW345" s="43" t="str">
        <f ca="1">IF(NOTA[[#This Row],[NB NOTA_C_QTY]]="","",ROW()-2)</f>
        <v/>
      </c>
    </row>
    <row r="346" spans="1:49" ht="20.100000000000001" customHeight="1">
      <c r="A3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5" t="str">
        <f ca="1">IF(NOTA[[#This Row],[NAMA BARANG]]="","",INDEX(NOTA[ID],MATCH(,INDIRECT(ADDRESS(ROW(NOTA[ID]),COLUMN(NOTA[ID]))&amp;":"&amp;ADDRESS(ROW(),COLUMN(NOTA[ID]))),-1)))</f>
        <v/>
      </c>
      <c r="C346" s="45"/>
      <c r="F346" s="46"/>
      <c r="G346" s="35"/>
      <c r="H346" s="36"/>
      <c r="I346" s="35"/>
      <c r="K346" s="37"/>
      <c r="L346" s="35"/>
      <c r="N346" s="38"/>
      <c r="O346" s="39"/>
      <c r="P346" s="47"/>
      <c r="Q346" s="48"/>
      <c r="R346" s="41"/>
      <c r="T346" s="42"/>
      <c r="U346" s="44"/>
      <c r="V346" s="42" t="str">
        <f>IF(NOTA[[#This Row],[HARGA/ CTN]]="",NOTA[[#This Row],[JUMLAH_H]],NOTA[[#This Row],[HARGA/ CTN]]*IF(NOTA[[#This Row],[C]]="",0,NOTA[[#This Row],[C]]))</f>
        <v/>
      </c>
      <c r="W346" s="42" t="str">
        <f>IF(NOTA[[#This Row],[JUMLAH]]="","",NOTA[[#This Row],[JUMLAH]]*NOTA[[#This Row],[Column6]])</f>
        <v/>
      </c>
      <c r="X346" s="42" t="str">
        <f>IF(NOTA[[#This Row],[JUMLAH]]="","",(NOTA[[#This Row],[JUMLAH]]-NOTA[[#This Row],[DISC 1-]])*NOTA[[#This Row],[Column7]])</f>
        <v/>
      </c>
      <c r="Y346" s="42" t="str">
        <f>IF(NOTA[[#This Row],[JUMLAH]]="","",(NOTA[[#This Row],[JUMLAH]]-NOTA[[#This Row],[DISC 1-]]-NOTA[[#This Row],[DISC 2-]])*NOTA[[#This Row],[Column8]])</f>
        <v/>
      </c>
      <c r="Z346" s="42" t="str">
        <f>IF(NOTA[[#This Row],[JUMLAH]]="","",NOTA[[#This Row],[DISC 1-]]+NOTA[[#This Row],[DISC 2-]]+NOTA[[#This Row],[DISC 3-]])</f>
        <v/>
      </c>
      <c r="AA346" s="42" t="str">
        <f>IF(NOTA[[#This Row],[JUMLAH]]="","",NOTA[[#This Row],[JUMLAH]]-NOTA[[#This Row],[DISC]])</f>
        <v/>
      </c>
      <c r="AB346" s="42"/>
      <c r="AC3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6" s="42" t="str">
        <f>IF(OR(NOTA[[#This Row],[QTY]]="",NOTA[[#This Row],[HARGA SATUAN]]="",),"",NOTA[[#This Row],[QTY]]*NOTA[[#This Row],[HARGA SATUAN]])</f>
        <v/>
      </c>
      <c r="AG346" s="36" t="str">
        <f ca="1">IF(NOTA[[#This Row],[ID_H]]="","",INDEX(NOTA[TANGGAL],MATCH(,INDIRECT(ADDRESS(ROW(NOTA[TANGGAL]),COLUMN(NOTA[TANGGAL]))&amp;":"&amp;ADDRESS(ROW(),COLUMN(NOTA[TANGGAL]))),-1)))</f>
        <v/>
      </c>
      <c r="AH346" s="36" t="str">
        <f ca="1">IF(NOTA[[#This Row],[ID_H]]="","",INDEX(NOTA[TGL.NOTA],MATCH(,INDIRECT(ADDRESS(ROW(NOTA[TGL.NOTA]),COLUMN(NOTA[TGL.NOTA]))&amp;":"&amp;ADDRESS(ROW(),COLUMN(NOTA[TGL.NOTA]))),-1)))</f>
        <v/>
      </c>
      <c r="AI346" s="36" t="str">
        <f ca="1">IF(NOTA[[#This Row],[ID_H]]="","",INDEX(NOTA[NO.NOTA],MATCH(NOTA[[#This Row],[ID_H]],NOTA[ID_H],0)))</f>
        <v/>
      </c>
      <c r="AJ346" s="38" t="str">
        <f ca="1">IF(NOTA[[#This Row],[NAMA BARANG]]="","",INDEX(NOTA[SUPPLIER],MATCH(,INDIRECT(ADDRESS(ROW(NOTA[ID]),COLUMN(NOTA[ID]))&amp;":"&amp;ADDRESS(ROW(),COLUMN(NOTA[ID]))),-1)))</f>
        <v/>
      </c>
      <c r="AK346" s="38" t="str">
        <f ca="1">IF(NOTA[[#This Row],[ID_H]]="","",IF(NOTA[[#This Row],[FAKTUR]]="",INDIRECT(ADDRESS(ROW()-1,COLUMN())),NOTA[[#This Row],[FAKTUR]]))</f>
        <v/>
      </c>
      <c r="AL346" s="35" t="str">
        <f ca="1">IF(NOTA[[#This Row],[ID]]="","",COUNTIF(NOTA[ID_H],NOTA[[#This Row],[ID_H]]))</f>
        <v/>
      </c>
      <c r="AM346" s="35" t="str">
        <f ca="1">IF(NOTA[[#This Row],[TGL.NOTA]]="",IF(NOTA[[#This Row],[SUPPLIER_H]]="","",AM345),MONTH(NOTA[[#This Row],[TGL.NOTA]]))</f>
        <v/>
      </c>
      <c r="AN3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6" s="35" t="str">
        <f>IF(NOTA[[#This Row],[CONCAT1]]="","",MATCH(NOTA[[#This Row],[CONCAT1]],[3]!db[NB NOTA_C],0))</f>
        <v/>
      </c>
      <c r="AS346" s="35" t="str">
        <f>IF(NOTA[[#This Row],[Column5]]="","",TRUE)</f>
        <v/>
      </c>
      <c r="AT346" s="35" t="str">
        <f ca="1">IF(NOTA[[#This Row],[ID_H]]="","",IF(NOTA[[#This Row],[Column3]]=TRUE,NOTA[[#This Row],[Column5]],INDEX([3]!db[QTY/ CTN],NOTA[[#This Row],[//DB]])))</f>
        <v/>
      </c>
      <c r="AU3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6" s="35" t="str">
        <f ca="1">IF(NOTA[[#This Row],[ID_H]]="","",MATCH(NOTA[[#This Row],[NB NOTA_C_QTY]],[3]!db[NB NOTA_C_QTY+F],0))</f>
        <v/>
      </c>
      <c r="AW346" s="43" t="str">
        <f ca="1">IF(NOTA[[#This Row],[NB NOTA_C_QTY]]="","",ROW()-2)</f>
        <v/>
      </c>
    </row>
    <row r="347" spans="1:49" ht="20.100000000000001" customHeight="1">
      <c r="A3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5" t="str">
        <f ca="1">IF(NOTA[[#This Row],[NAMA BARANG]]="","",INDEX(NOTA[ID],MATCH(,INDIRECT(ADDRESS(ROW(NOTA[ID]),COLUMN(NOTA[ID]))&amp;":"&amp;ADDRESS(ROW(),COLUMN(NOTA[ID]))),-1)))</f>
        <v/>
      </c>
      <c r="C347" s="45"/>
      <c r="F347" s="46"/>
      <c r="G347" s="35"/>
      <c r="H347" s="36"/>
      <c r="I347" s="35"/>
      <c r="K347" s="37"/>
      <c r="L347" s="35"/>
      <c r="N347" s="38"/>
      <c r="O347" s="39"/>
      <c r="P347" s="47"/>
      <c r="Q347" s="48"/>
      <c r="R347" s="41"/>
      <c r="T347" s="42"/>
      <c r="U347" s="44"/>
      <c r="V347" s="42" t="str">
        <f>IF(NOTA[[#This Row],[HARGA/ CTN]]="",NOTA[[#This Row],[JUMLAH_H]],NOTA[[#This Row],[HARGA/ CTN]]*IF(NOTA[[#This Row],[C]]="",0,NOTA[[#This Row],[C]]))</f>
        <v/>
      </c>
      <c r="W347" s="42" t="str">
        <f>IF(NOTA[[#This Row],[JUMLAH]]="","",NOTA[[#This Row],[JUMLAH]]*NOTA[[#This Row],[Column6]])</f>
        <v/>
      </c>
      <c r="X347" s="42" t="str">
        <f>IF(NOTA[[#This Row],[JUMLAH]]="","",(NOTA[[#This Row],[JUMLAH]]-NOTA[[#This Row],[DISC 1-]])*NOTA[[#This Row],[Column7]])</f>
        <v/>
      </c>
      <c r="Y347" s="42" t="str">
        <f>IF(NOTA[[#This Row],[JUMLAH]]="","",(NOTA[[#This Row],[JUMLAH]]-NOTA[[#This Row],[DISC 1-]]-NOTA[[#This Row],[DISC 2-]])*NOTA[[#This Row],[Column8]])</f>
        <v/>
      </c>
      <c r="Z347" s="42" t="str">
        <f>IF(NOTA[[#This Row],[JUMLAH]]="","",NOTA[[#This Row],[DISC 1-]]+NOTA[[#This Row],[DISC 2-]]+NOTA[[#This Row],[DISC 3-]])</f>
        <v/>
      </c>
      <c r="AA347" s="42" t="str">
        <f>IF(NOTA[[#This Row],[JUMLAH]]="","",NOTA[[#This Row],[JUMLAH]]-NOTA[[#This Row],[DISC]])</f>
        <v/>
      </c>
      <c r="AB347" s="42"/>
      <c r="AC3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7" s="42" t="str">
        <f>IF(OR(NOTA[[#This Row],[QTY]]="",NOTA[[#This Row],[HARGA SATUAN]]="",),"",NOTA[[#This Row],[QTY]]*NOTA[[#This Row],[HARGA SATUAN]])</f>
        <v/>
      </c>
      <c r="AG347" s="36" t="str">
        <f ca="1">IF(NOTA[[#This Row],[ID_H]]="","",INDEX(NOTA[TANGGAL],MATCH(,INDIRECT(ADDRESS(ROW(NOTA[TANGGAL]),COLUMN(NOTA[TANGGAL]))&amp;":"&amp;ADDRESS(ROW(),COLUMN(NOTA[TANGGAL]))),-1)))</f>
        <v/>
      </c>
      <c r="AH347" s="36" t="str">
        <f ca="1">IF(NOTA[[#This Row],[ID_H]]="","",INDEX(NOTA[TGL.NOTA],MATCH(,INDIRECT(ADDRESS(ROW(NOTA[TGL.NOTA]),COLUMN(NOTA[TGL.NOTA]))&amp;":"&amp;ADDRESS(ROW(),COLUMN(NOTA[TGL.NOTA]))),-1)))</f>
        <v/>
      </c>
      <c r="AI347" s="36" t="str">
        <f ca="1">IF(NOTA[[#This Row],[ID_H]]="","",INDEX(NOTA[NO.NOTA],MATCH(NOTA[[#This Row],[ID_H]],NOTA[ID_H],0)))</f>
        <v/>
      </c>
      <c r="AJ347" s="38" t="str">
        <f ca="1">IF(NOTA[[#This Row],[NAMA BARANG]]="","",INDEX(NOTA[SUPPLIER],MATCH(,INDIRECT(ADDRESS(ROW(NOTA[ID]),COLUMN(NOTA[ID]))&amp;":"&amp;ADDRESS(ROW(),COLUMN(NOTA[ID]))),-1)))</f>
        <v/>
      </c>
      <c r="AK347" s="38" t="str">
        <f ca="1">IF(NOTA[[#This Row],[ID_H]]="","",IF(NOTA[[#This Row],[FAKTUR]]="",INDIRECT(ADDRESS(ROW()-1,COLUMN())),NOTA[[#This Row],[FAKTUR]]))</f>
        <v/>
      </c>
      <c r="AL347" s="35" t="str">
        <f ca="1">IF(NOTA[[#This Row],[ID]]="","",COUNTIF(NOTA[ID_H],NOTA[[#This Row],[ID_H]]))</f>
        <v/>
      </c>
      <c r="AM347" s="35" t="str">
        <f ca="1">IF(NOTA[[#This Row],[TGL.NOTA]]="",IF(NOTA[[#This Row],[SUPPLIER_H]]="","",AM346),MONTH(NOTA[[#This Row],[TGL.NOTA]]))</f>
        <v/>
      </c>
      <c r="AN3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7" s="35" t="str">
        <f>IF(NOTA[[#This Row],[CONCAT1]]="","",MATCH(NOTA[[#This Row],[CONCAT1]],[3]!db[NB NOTA_C],0))</f>
        <v/>
      </c>
      <c r="AS347" s="35" t="str">
        <f>IF(NOTA[[#This Row],[Column5]]="","",TRUE)</f>
        <v/>
      </c>
      <c r="AT347" s="35" t="str">
        <f ca="1">IF(NOTA[[#This Row],[ID_H]]="","",IF(NOTA[[#This Row],[Column3]]=TRUE,NOTA[[#This Row],[Column5]],INDEX([3]!db[QTY/ CTN],NOTA[[#This Row],[//DB]])))</f>
        <v/>
      </c>
      <c r="AU3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7" s="35" t="str">
        <f ca="1">IF(NOTA[[#This Row],[ID_H]]="","",MATCH(NOTA[[#This Row],[NB NOTA_C_QTY]],[3]!db[NB NOTA_C_QTY+F],0))</f>
        <v/>
      </c>
      <c r="AW347" s="43" t="str">
        <f ca="1">IF(NOTA[[#This Row],[NB NOTA_C_QTY]]="","",ROW()-2)</f>
        <v/>
      </c>
    </row>
    <row r="348" spans="1:49" ht="20.100000000000001" customHeight="1">
      <c r="A3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5" t="str">
        <f ca="1">IF(NOTA[[#This Row],[NAMA BARANG]]="","",INDEX(NOTA[ID],MATCH(,INDIRECT(ADDRESS(ROW(NOTA[ID]),COLUMN(NOTA[ID]))&amp;":"&amp;ADDRESS(ROW(),COLUMN(NOTA[ID]))),-1)))</f>
        <v/>
      </c>
      <c r="C348" s="45"/>
      <c r="F348" s="46"/>
      <c r="G348" s="35"/>
      <c r="H348" s="36"/>
      <c r="I348" s="35"/>
      <c r="K348" s="37"/>
      <c r="L348" s="35"/>
      <c r="N348" s="38"/>
      <c r="O348" s="39"/>
      <c r="P348" s="47"/>
      <c r="Q348" s="48"/>
      <c r="R348" s="41"/>
      <c r="T348" s="42"/>
      <c r="U348" s="44"/>
      <c r="V348" s="42" t="str">
        <f>IF(NOTA[[#This Row],[HARGA/ CTN]]="",NOTA[[#This Row],[JUMLAH_H]],NOTA[[#This Row],[HARGA/ CTN]]*IF(NOTA[[#This Row],[C]]="",0,NOTA[[#This Row],[C]]))</f>
        <v/>
      </c>
      <c r="W348" s="42" t="str">
        <f>IF(NOTA[[#This Row],[JUMLAH]]="","",NOTA[[#This Row],[JUMLAH]]*NOTA[[#This Row],[Column6]])</f>
        <v/>
      </c>
      <c r="X348" s="42" t="str">
        <f>IF(NOTA[[#This Row],[JUMLAH]]="","",(NOTA[[#This Row],[JUMLAH]]-NOTA[[#This Row],[DISC 1-]])*NOTA[[#This Row],[Column7]])</f>
        <v/>
      </c>
      <c r="Y348" s="42" t="str">
        <f>IF(NOTA[[#This Row],[JUMLAH]]="","",(NOTA[[#This Row],[JUMLAH]]-NOTA[[#This Row],[DISC 1-]]-NOTA[[#This Row],[DISC 2-]])*NOTA[[#This Row],[Column8]])</f>
        <v/>
      </c>
      <c r="Z348" s="42" t="str">
        <f>IF(NOTA[[#This Row],[JUMLAH]]="","",NOTA[[#This Row],[DISC 1-]]+NOTA[[#This Row],[DISC 2-]]+NOTA[[#This Row],[DISC 3-]])</f>
        <v/>
      </c>
      <c r="AA348" s="42" t="str">
        <f>IF(NOTA[[#This Row],[JUMLAH]]="","",NOTA[[#This Row],[JUMLAH]]-NOTA[[#This Row],[DISC]])</f>
        <v/>
      </c>
      <c r="AB348" s="42"/>
      <c r="AC3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8" s="42" t="str">
        <f>IF(OR(NOTA[[#This Row],[QTY]]="",NOTA[[#This Row],[HARGA SATUAN]]="",),"",NOTA[[#This Row],[QTY]]*NOTA[[#This Row],[HARGA SATUAN]])</f>
        <v/>
      </c>
      <c r="AG348" s="36" t="str">
        <f ca="1">IF(NOTA[[#This Row],[ID_H]]="","",INDEX(NOTA[TANGGAL],MATCH(,INDIRECT(ADDRESS(ROW(NOTA[TANGGAL]),COLUMN(NOTA[TANGGAL]))&amp;":"&amp;ADDRESS(ROW(),COLUMN(NOTA[TANGGAL]))),-1)))</f>
        <v/>
      </c>
      <c r="AH348" s="36" t="str">
        <f ca="1">IF(NOTA[[#This Row],[ID_H]]="","",INDEX(NOTA[TGL.NOTA],MATCH(,INDIRECT(ADDRESS(ROW(NOTA[TGL.NOTA]),COLUMN(NOTA[TGL.NOTA]))&amp;":"&amp;ADDRESS(ROW(),COLUMN(NOTA[TGL.NOTA]))),-1)))</f>
        <v/>
      </c>
      <c r="AI348" s="36" t="str">
        <f ca="1">IF(NOTA[[#This Row],[ID_H]]="","",INDEX(NOTA[NO.NOTA],MATCH(NOTA[[#This Row],[ID_H]],NOTA[ID_H],0)))</f>
        <v/>
      </c>
      <c r="AJ348" s="38" t="str">
        <f ca="1">IF(NOTA[[#This Row],[NAMA BARANG]]="","",INDEX(NOTA[SUPPLIER],MATCH(,INDIRECT(ADDRESS(ROW(NOTA[ID]),COLUMN(NOTA[ID]))&amp;":"&amp;ADDRESS(ROW(),COLUMN(NOTA[ID]))),-1)))</f>
        <v/>
      </c>
      <c r="AK348" s="38" t="str">
        <f ca="1">IF(NOTA[[#This Row],[ID_H]]="","",IF(NOTA[[#This Row],[FAKTUR]]="",INDIRECT(ADDRESS(ROW()-1,COLUMN())),NOTA[[#This Row],[FAKTUR]]))</f>
        <v/>
      </c>
      <c r="AL348" s="35" t="str">
        <f ca="1">IF(NOTA[[#This Row],[ID]]="","",COUNTIF(NOTA[ID_H],NOTA[[#This Row],[ID_H]]))</f>
        <v/>
      </c>
      <c r="AM348" s="35" t="str">
        <f ca="1">IF(NOTA[[#This Row],[TGL.NOTA]]="",IF(NOTA[[#This Row],[SUPPLIER_H]]="","",AM347),MONTH(NOTA[[#This Row],[TGL.NOTA]]))</f>
        <v/>
      </c>
      <c r="AN3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8" s="35" t="str">
        <f>IF(NOTA[[#This Row],[CONCAT1]]="","",MATCH(NOTA[[#This Row],[CONCAT1]],[3]!db[NB NOTA_C],0))</f>
        <v/>
      </c>
      <c r="AS348" s="35" t="str">
        <f>IF(NOTA[[#This Row],[Column5]]="","",TRUE)</f>
        <v/>
      </c>
      <c r="AT348" s="35" t="str">
        <f ca="1">IF(NOTA[[#This Row],[ID_H]]="","",IF(NOTA[[#This Row],[Column3]]=TRUE,NOTA[[#This Row],[Column5]],INDEX([3]!db[QTY/ CTN],NOTA[[#This Row],[//DB]])))</f>
        <v/>
      </c>
      <c r="AU3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8" s="35" t="str">
        <f ca="1">IF(NOTA[[#This Row],[ID_H]]="","",MATCH(NOTA[[#This Row],[NB NOTA_C_QTY]],[3]!db[NB NOTA_C_QTY+F],0))</f>
        <v/>
      </c>
      <c r="AW348" s="43" t="str">
        <f ca="1">IF(NOTA[[#This Row],[NB NOTA_C_QTY]]="","",ROW()-2)</f>
        <v/>
      </c>
    </row>
    <row r="349" spans="1:49" ht="20.100000000000001" customHeight="1">
      <c r="A3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5" t="str">
        <f ca="1">IF(NOTA[[#This Row],[NAMA BARANG]]="","",INDEX(NOTA[ID],MATCH(,INDIRECT(ADDRESS(ROW(NOTA[ID]),COLUMN(NOTA[ID]))&amp;":"&amp;ADDRESS(ROW(),COLUMN(NOTA[ID]))),-1)))</f>
        <v/>
      </c>
      <c r="C349" s="45"/>
      <c r="F349" s="46"/>
      <c r="G349" s="35"/>
      <c r="H349" s="36"/>
      <c r="I349" s="35"/>
      <c r="K349" s="37"/>
      <c r="L349" s="35"/>
      <c r="N349" s="38"/>
      <c r="O349" s="39"/>
      <c r="P349" s="47"/>
      <c r="Q349" s="48"/>
      <c r="R349" s="41"/>
      <c r="T349" s="42"/>
      <c r="U349" s="44"/>
      <c r="V349" s="42" t="str">
        <f>IF(NOTA[[#This Row],[HARGA/ CTN]]="",NOTA[[#This Row],[JUMLAH_H]],NOTA[[#This Row],[HARGA/ CTN]]*IF(NOTA[[#This Row],[C]]="",0,NOTA[[#This Row],[C]]))</f>
        <v/>
      </c>
      <c r="W349" s="42" t="str">
        <f>IF(NOTA[[#This Row],[JUMLAH]]="","",NOTA[[#This Row],[JUMLAH]]*NOTA[[#This Row],[Column6]])</f>
        <v/>
      </c>
      <c r="X349" s="42" t="str">
        <f>IF(NOTA[[#This Row],[JUMLAH]]="","",(NOTA[[#This Row],[JUMLAH]]-NOTA[[#This Row],[DISC 1-]])*NOTA[[#This Row],[Column7]])</f>
        <v/>
      </c>
      <c r="Y349" s="42" t="str">
        <f>IF(NOTA[[#This Row],[JUMLAH]]="","",(NOTA[[#This Row],[JUMLAH]]-NOTA[[#This Row],[DISC 1-]]-NOTA[[#This Row],[DISC 2-]])*NOTA[[#This Row],[Column8]])</f>
        <v/>
      </c>
      <c r="Z349" s="42" t="str">
        <f>IF(NOTA[[#This Row],[JUMLAH]]="","",NOTA[[#This Row],[DISC 1-]]+NOTA[[#This Row],[DISC 2-]]+NOTA[[#This Row],[DISC 3-]])</f>
        <v/>
      </c>
      <c r="AA349" s="42" t="str">
        <f>IF(NOTA[[#This Row],[JUMLAH]]="","",NOTA[[#This Row],[JUMLAH]]-NOTA[[#This Row],[DISC]])</f>
        <v/>
      </c>
      <c r="AB349" s="42"/>
      <c r="AC3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9" s="42" t="str">
        <f>IF(OR(NOTA[[#This Row],[QTY]]="",NOTA[[#This Row],[HARGA SATUAN]]="",),"",NOTA[[#This Row],[QTY]]*NOTA[[#This Row],[HARGA SATUAN]])</f>
        <v/>
      </c>
      <c r="AG349" s="36" t="str">
        <f ca="1">IF(NOTA[[#This Row],[ID_H]]="","",INDEX(NOTA[TANGGAL],MATCH(,INDIRECT(ADDRESS(ROW(NOTA[TANGGAL]),COLUMN(NOTA[TANGGAL]))&amp;":"&amp;ADDRESS(ROW(),COLUMN(NOTA[TANGGAL]))),-1)))</f>
        <v/>
      </c>
      <c r="AH349" s="36" t="str">
        <f ca="1">IF(NOTA[[#This Row],[ID_H]]="","",INDEX(NOTA[TGL.NOTA],MATCH(,INDIRECT(ADDRESS(ROW(NOTA[TGL.NOTA]),COLUMN(NOTA[TGL.NOTA]))&amp;":"&amp;ADDRESS(ROW(),COLUMN(NOTA[TGL.NOTA]))),-1)))</f>
        <v/>
      </c>
      <c r="AI349" s="36" t="str">
        <f ca="1">IF(NOTA[[#This Row],[ID_H]]="","",INDEX(NOTA[NO.NOTA],MATCH(NOTA[[#This Row],[ID_H]],NOTA[ID_H],0)))</f>
        <v/>
      </c>
      <c r="AJ349" s="38" t="str">
        <f ca="1">IF(NOTA[[#This Row],[NAMA BARANG]]="","",INDEX(NOTA[SUPPLIER],MATCH(,INDIRECT(ADDRESS(ROW(NOTA[ID]),COLUMN(NOTA[ID]))&amp;":"&amp;ADDRESS(ROW(),COLUMN(NOTA[ID]))),-1)))</f>
        <v/>
      </c>
      <c r="AK349" s="38" t="str">
        <f ca="1">IF(NOTA[[#This Row],[ID_H]]="","",IF(NOTA[[#This Row],[FAKTUR]]="",INDIRECT(ADDRESS(ROW()-1,COLUMN())),NOTA[[#This Row],[FAKTUR]]))</f>
        <v/>
      </c>
      <c r="AL349" s="35" t="str">
        <f ca="1">IF(NOTA[[#This Row],[ID]]="","",COUNTIF(NOTA[ID_H],NOTA[[#This Row],[ID_H]]))</f>
        <v/>
      </c>
      <c r="AM349" s="35" t="str">
        <f ca="1">IF(NOTA[[#This Row],[TGL.NOTA]]="",IF(NOTA[[#This Row],[SUPPLIER_H]]="","",AM348),MONTH(NOTA[[#This Row],[TGL.NOTA]]))</f>
        <v/>
      </c>
      <c r="AN3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9" s="35" t="str">
        <f>IF(NOTA[[#This Row],[CONCAT1]]="","",MATCH(NOTA[[#This Row],[CONCAT1]],[3]!db[NB NOTA_C],0))</f>
        <v/>
      </c>
      <c r="AS349" s="35" t="str">
        <f>IF(NOTA[[#This Row],[Column5]]="","",TRUE)</f>
        <v/>
      </c>
      <c r="AT349" s="35" t="str">
        <f ca="1">IF(NOTA[[#This Row],[ID_H]]="","",IF(NOTA[[#This Row],[Column3]]=TRUE,NOTA[[#This Row],[Column5]],INDEX([3]!db[QTY/ CTN],NOTA[[#This Row],[//DB]])))</f>
        <v/>
      </c>
      <c r="AU3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49" s="35" t="str">
        <f ca="1">IF(NOTA[[#This Row],[ID_H]]="","",MATCH(NOTA[[#This Row],[NB NOTA_C_QTY]],[3]!db[NB NOTA_C_QTY+F],0))</f>
        <v/>
      </c>
      <c r="AW349" s="43" t="str">
        <f ca="1">IF(NOTA[[#This Row],[NB NOTA_C_QTY]]="","",ROW()-2)</f>
        <v/>
      </c>
    </row>
    <row r="350" spans="1:49" ht="20.100000000000001" customHeight="1">
      <c r="A3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5" t="str">
        <f ca="1">IF(NOTA[[#This Row],[NAMA BARANG]]="","",INDEX(NOTA[ID],MATCH(,INDIRECT(ADDRESS(ROW(NOTA[ID]),COLUMN(NOTA[ID]))&amp;":"&amp;ADDRESS(ROW(),COLUMN(NOTA[ID]))),-1)))</f>
        <v/>
      </c>
      <c r="C350" s="45"/>
      <c r="F350" s="46"/>
      <c r="G350" s="35"/>
      <c r="H350" s="36"/>
      <c r="I350" s="35"/>
      <c r="K350" s="37"/>
      <c r="L350" s="35"/>
      <c r="N350" s="38"/>
      <c r="O350" s="39"/>
      <c r="P350" s="47"/>
      <c r="Q350" s="48"/>
      <c r="R350" s="41"/>
      <c r="T350" s="42"/>
      <c r="U350" s="44"/>
      <c r="V350" s="42" t="str">
        <f>IF(NOTA[[#This Row],[HARGA/ CTN]]="",NOTA[[#This Row],[JUMLAH_H]],NOTA[[#This Row],[HARGA/ CTN]]*IF(NOTA[[#This Row],[C]]="",0,NOTA[[#This Row],[C]]))</f>
        <v/>
      </c>
      <c r="W350" s="42" t="str">
        <f>IF(NOTA[[#This Row],[JUMLAH]]="","",NOTA[[#This Row],[JUMLAH]]*NOTA[[#This Row],[Column6]])</f>
        <v/>
      </c>
      <c r="X350" s="42" t="str">
        <f>IF(NOTA[[#This Row],[JUMLAH]]="","",(NOTA[[#This Row],[JUMLAH]]-NOTA[[#This Row],[DISC 1-]])*NOTA[[#This Row],[Column7]])</f>
        <v/>
      </c>
      <c r="Y350" s="42" t="str">
        <f>IF(NOTA[[#This Row],[JUMLAH]]="","",(NOTA[[#This Row],[JUMLAH]]-NOTA[[#This Row],[DISC 1-]]-NOTA[[#This Row],[DISC 2-]])*NOTA[[#This Row],[Column8]])</f>
        <v/>
      </c>
      <c r="Z350" s="42" t="str">
        <f>IF(NOTA[[#This Row],[JUMLAH]]="","",NOTA[[#This Row],[DISC 1-]]+NOTA[[#This Row],[DISC 2-]]+NOTA[[#This Row],[DISC 3-]])</f>
        <v/>
      </c>
      <c r="AA350" s="42" t="str">
        <f>IF(NOTA[[#This Row],[JUMLAH]]="","",NOTA[[#This Row],[JUMLAH]]-NOTA[[#This Row],[DISC]])</f>
        <v/>
      </c>
      <c r="AB350" s="42"/>
      <c r="AC3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0" s="42" t="str">
        <f>IF(OR(NOTA[[#This Row],[QTY]]="",NOTA[[#This Row],[HARGA SATUAN]]="",),"",NOTA[[#This Row],[QTY]]*NOTA[[#This Row],[HARGA SATUAN]])</f>
        <v/>
      </c>
      <c r="AG350" s="36" t="str">
        <f ca="1">IF(NOTA[[#This Row],[ID_H]]="","",INDEX(NOTA[TANGGAL],MATCH(,INDIRECT(ADDRESS(ROW(NOTA[TANGGAL]),COLUMN(NOTA[TANGGAL]))&amp;":"&amp;ADDRESS(ROW(),COLUMN(NOTA[TANGGAL]))),-1)))</f>
        <v/>
      </c>
      <c r="AH350" s="36" t="str">
        <f ca="1">IF(NOTA[[#This Row],[ID_H]]="","",INDEX(NOTA[TGL.NOTA],MATCH(,INDIRECT(ADDRESS(ROW(NOTA[TGL.NOTA]),COLUMN(NOTA[TGL.NOTA]))&amp;":"&amp;ADDRESS(ROW(),COLUMN(NOTA[TGL.NOTA]))),-1)))</f>
        <v/>
      </c>
      <c r="AI350" s="36" t="str">
        <f ca="1">IF(NOTA[[#This Row],[ID_H]]="","",INDEX(NOTA[NO.NOTA],MATCH(NOTA[[#This Row],[ID_H]],NOTA[ID_H],0)))</f>
        <v/>
      </c>
      <c r="AJ350" s="38" t="str">
        <f ca="1">IF(NOTA[[#This Row],[NAMA BARANG]]="","",INDEX(NOTA[SUPPLIER],MATCH(,INDIRECT(ADDRESS(ROW(NOTA[ID]),COLUMN(NOTA[ID]))&amp;":"&amp;ADDRESS(ROW(),COLUMN(NOTA[ID]))),-1)))</f>
        <v/>
      </c>
      <c r="AK350" s="38" t="str">
        <f ca="1">IF(NOTA[[#This Row],[ID_H]]="","",IF(NOTA[[#This Row],[FAKTUR]]="",INDIRECT(ADDRESS(ROW()-1,COLUMN())),NOTA[[#This Row],[FAKTUR]]))</f>
        <v/>
      </c>
      <c r="AL350" s="35" t="str">
        <f ca="1">IF(NOTA[[#This Row],[ID]]="","",COUNTIF(NOTA[ID_H],NOTA[[#This Row],[ID_H]]))</f>
        <v/>
      </c>
      <c r="AM350" s="35" t="str">
        <f ca="1">IF(NOTA[[#This Row],[TGL.NOTA]]="",IF(NOTA[[#This Row],[SUPPLIER_H]]="","",AM349),MONTH(NOTA[[#This Row],[TGL.NOTA]]))</f>
        <v/>
      </c>
      <c r="AN3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0" s="35" t="str">
        <f>IF(NOTA[[#This Row],[CONCAT1]]="","",MATCH(NOTA[[#This Row],[CONCAT1]],[3]!db[NB NOTA_C],0))</f>
        <v/>
      </c>
      <c r="AS350" s="35" t="str">
        <f>IF(NOTA[[#This Row],[Column5]]="","",TRUE)</f>
        <v/>
      </c>
      <c r="AT350" s="35" t="str">
        <f ca="1">IF(NOTA[[#This Row],[ID_H]]="","",IF(NOTA[[#This Row],[Column3]]=TRUE,NOTA[[#This Row],[Column5]],INDEX([3]!db[QTY/ CTN],NOTA[[#This Row],[//DB]])))</f>
        <v/>
      </c>
      <c r="AU3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0" s="35" t="str">
        <f ca="1">IF(NOTA[[#This Row],[ID_H]]="","",MATCH(NOTA[[#This Row],[NB NOTA_C_QTY]],[3]!db[NB NOTA_C_QTY+F],0))</f>
        <v/>
      </c>
      <c r="AW350" s="43" t="str">
        <f ca="1">IF(NOTA[[#This Row],[NB NOTA_C_QTY]]="","",ROW()-2)</f>
        <v/>
      </c>
    </row>
    <row r="351" spans="1:49" ht="20.100000000000001" customHeight="1">
      <c r="A3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5" t="str">
        <f ca="1">IF(NOTA[[#This Row],[NAMA BARANG]]="","",INDEX(NOTA[ID],MATCH(,INDIRECT(ADDRESS(ROW(NOTA[ID]),COLUMN(NOTA[ID]))&amp;":"&amp;ADDRESS(ROW(),COLUMN(NOTA[ID]))),-1)))</f>
        <v/>
      </c>
      <c r="C351" s="45"/>
      <c r="F351" s="46"/>
      <c r="G351" s="35"/>
      <c r="H351" s="36"/>
      <c r="I351" s="35"/>
      <c r="K351" s="37"/>
      <c r="L351" s="35"/>
      <c r="N351" s="38"/>
      <c r="O351" s="39"/>
      <c r="P351" s="47"/>
      <c r="Q351" s="48"/>
      <c r="R351" s="41"/>
      <c r="T351" s="42"/>
      <c r="U351" s="44"/>
      <c r="V351" s="42" t="str">
        <f>IF(NOTA[[#This Row],[HARGA/ CTN]]="",NOTA[[#This Row],[JUMLAH_H]],NOTA[[#This Row],[HARGA/ CTN]]*IF(NOTA[[#This Row],[C]]="",0,NOTA[[#This Row],[C]]))</f>
        <v/>
      </c>
      <c r="W351" s="42" t="str">
        <f>IF(NOTA[[#This Row],[JUMLAH]]="","",NOTA[[#This Row],[JUMLAH]]*NOTA[[#This Row],[Column6]])</f>
        <v/>
      </c>
      <c r="X351" s="42" t="str">
        <f>IF(NOTA[[#This Row],[JUMLAH]]="","",(NOTA[[#This Row],[JUMLAH]]-NOTA[[#This Row],[DISC 1-]])*NOTA[[#This Row],[Column7]])</f>
        <v/>
      </c>
      <c r="Y351" s="42" t="str">
        <f>IF(NOTA[[#This Row],[JUMLAH]]="","",(NOTA[[#This Row],[JUMLAH]]-NOTA[[#This Row],[DISC 1-]]-NOTA[[#This Row],[DISC 2-]])*NOTA[[#This Row],[Column8]])</f>
        <v/>
      </c>
      <c r="Z351" s="42" t="str">
        <f>IF(NOTA[[#This Row],[JUMLAH]]="","",NOTA[[#This Row],[DISC 1-]]+NOTA[[#This Row],[DISC 2-]]+NOTA[[#This Row],[DISC 3-]])</f>
        <v/>
      </c>
      <c r="AA351" s="42" t="str">
        <f>IF(NOTA[[#This Row],[JUMLAH]]="","",NOTA[[#This Row],[JUMLAH]]-NOTA[[#This Row],[DISC]])</f>
        <v/>
      </c>
      <c r="AB351" s="42"/>
      <c r="AC3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42" t="str">
        <f>IF(OR(NOTA[[#This Row],[QTY]]="",NOTA[[#This Row],[HARGA SATUAN]]="",),"",NOTA[[#This Row],[QTY]]*NOTA[[#This Row],[HARGA SATUAN]])</f>
        <v/>
      </c>
      <c r="AG351" s="36" t="str">
        <f ca="1">IF(NOTA[[#This Row],[ID_H]]="","",INDEX(NOTA[TANGGAL],MATCH(,INDIRECT(ADDRESS(ROW(NOTA[TANGGAL]),COLUMN(NOTA[TANGGAL]))&amp;":"&amp;ADDRESS(ROW(),COLUMN(NOTA[TANGGAL]))),-1)))</f>
        <v/>
      </c>
      <c r="AH351" s="36" t="str">
        <f ca="1">IF(NOTA[[#This Row],[ID_H]]="","",INDEX(NOTA[TGL.NOTA],MATCH(,INDIRECT(ADDRESS(ROW(NOTA[TGL.NOTA]),COLUMN(NOTA[TGL.NOTA]))&amp;":"&amp;ADDRESS(ROW(),COLUMN(NOTA[TGL.NOTA]))),-1)))</f>
        <v/>
      </c>
      <c r="AI351" s="36" t="str">
        <f ca="1">IF(NOTA[[#This Row],[ID_H]]="","",INDEX(NOTA[NO.NOTA],MATCH(NOTA[[#This Row],[ID_H]],NOTA[ID_H],0)))</f>
        <v/>
      </c>
      <c r="AJ351" s="38" t="str">
        <f ca="1">IF(NOTA[[#This Row],[NAMA BARANG]]="","",INDEX(NOTA[SUPPLIER],MATCH(,INDIRECT(ADDRESS(ROW(NOTA[ID]),COLUMN(NOTA[ID]))&amp;":"&amp;ADDRESS(ROW(),COLUMN(NOTA[ID]))),-1)))</f>
        <v/>
      </c>
      <c r="AK351" s="38" t="str">
        <f ca="1">IF(NOTA[[#This Row],[ID_H]]="","",IF(NOTA[[#This Row],[FAKTUR]]="",INDIRECT(ADDRESS(ROW()-1,COLUMN())),NOTA[[#This Row],[FAKTUR]]))</f>
        <v/>
      </c>
      <c r="AL351" s="35" t="str">
        <f ca="1">IF(NOTA[[#This Row],[ID]]="","",COUNTIF(NOTA[ID_H],NOTA[[#This Row],[ID_H]]))</f>
        <v/>
      </c>
      <c r="AM351" s="35" t="str">
        <f ca="1">IF(NOTA[[#This Row],[TGL.NOTA]]="",IF(NOTA[[#This Row],[SUPPLIER_H]]="","",AM350),MONTH(NOTA[[#This Row],[TGL.NOTA]]))</f>
        <v/>
      </c>
      <c r="AN3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1" s="35" t="str">
        <f>IF(NOTA[[#This Row],[CONCAT1]]="","",MATCH(NOTA[[#This Row],[CONCAT1]],[3]!db[NB NOTA_C],0))</f>
        <v/>
      </c>
      <c r="AS351" s="35" t="str">
        <f>IF(NOTA[[#This Row],[Column5]]="","",TRUE)</f>
        <v/>
      </c>
      <c r="AT351" s="35" t="str">
        <f ca="1">IF(NOTA[[#This Row],[ID_H]]="","",IF(NOTA[[#This Row],[Column3]]=TRUE,NOTA[[#This Row],[Column5]],INDEX([3]!db[QTY/ CTN],NOTA[[#This Row],[//DB]])))</f>
        <v/>
      </c>
      <c r="AU3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1" s="35" t="str">
        <f ca="1">IF(NOTA[[#This Row],[ID_H]]="","",MATCH(NOTA[[#This Row],[NB NOTA_C_QTY]],[3]!db[NB NOTA_C_QTY+F],0))</f>
        <v/>
      </c>
      <c r="AW351" s="43" t="str">
        <f ca="1">IF(NOTA[[#This Row],[NB NOTA_C_QTY]]="","",ROW()-2)</f>
        <v/>
      </c>
    </row>
    <row r="352" spans="1:49" ht="20.100000000000001" customHeight="1">
      <c r="A3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5" t="str">
        <f ca="1">IF(NOTA[[#This Row],[NAMA BARANG]]="","",INDEX(NOTA[ID],MATCH(,INDIRECT(ADDRESS(ROW(NOTA[ID]),COLUMN(NOTA[ID]))&amp;":"&amp;ADDRESS(ROW(),COLUMN(NOTA[ID]))),-1)))</f>
        <v/>
      </c>
      <c r="C352" s="45"/>
      <c r="F352" s="46"/>
      <c r="G352" s="35"/>
      <c r="H352" s="36"/>
      <c r="I352" s="35"/>
      <c r="K352" s="37"/>
      <c r="L352" s="35"/>
      <c r="N352" s="38"/>
      <c r="O352" s="39"/>
      <c r="P352" s="47"/>
      <c r="Q352" s="48"/>
      <c r="R352" s="41"/>
      <c r="T352" s="42"/>
      <c r="U352" s="44"/>
      <c r="V352" s="42" t="str">
        <f>IF(NOTA[[#This Row],[HARGA/ CTN]]="",NOTA[[#This Row],[JUMLAH_H]],NOTA[[#This Row],[HARGA/ CTN]]*IF(NOTA[[#This Row],[C]]="",0,NOTA[[#This Row],[C]]))</f>
        <v/>
      </c>
      <c r="W352" s="42" t="str">
        <f>IF(NOTA[[#This Row],[JUMLAH]]="","",NOTA[[#This Row],[JUMLAH]]*NOTA[[#This Row],[Column6]])</f>
        <v/>
      </c>
      <c r="X352" s="42" t="str">
        <f>IF(NOTA[[#This Row],[JUMLAH]]="","",(NOTA[[#This Row],[JUMLAH]]-NOTA[[#This Row],[DISC 1-]])*NOTA[[#This Row],[Column7]])</f>
        <v/>
      </c>
      <c r="Y352" s="42" t="str">
        <f>IF(NOTA[[#This Row],[JUMLAH]]="","",(NOTA[[#This Row],[JUMLAH]]-NOTA[[#This Row],[DISC 1-]]-NOTA[[#This Row],[DISC 2-]])*NOTA[[#This Row],[Column8]])</f>
        <v/>
      </c>
      <c r="Z352" s="42" t="str">
        <f>IF(NOTA[[#This Row],[JUMLAH]]="","",NOTA[[#This Row],[DISC 1-]]+NOTA[[#This Row],[DISC 2-]]+NOTA[[#This Row],[DISC 3-]])</f>
        <v/>
      </c>
      <c r="AA352" s="42" t="str">
        <f>IF(NOTA[[#This Row],[JUMLAH]]="","",NOTA[[#This Row],[JUMLAH]]-NOTA[[#This Row],[DISC]])</f>
        <v/>
      </c>
      <c r="AB352" s="42"/>
      <c r="AC3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2" s="42" t="str">
        <f>IF(OR(NOTA[[#This Row],[QTY]]="",NOTA[[#This Row],[HARGA SATUAN]]="",),"",NOTA[[#This Row],[QTY]]*NOTA[[#This Row],[HARGA SATUAN]])</f>
        <v/>
      </c>
      <c r="AG352" s="36" t="str">
        <f ca="1">IF(NOTA[[#This Row],[ID_H]]="","",INDEX(NOTA[TANGGAL],MATCH(,INDIRECT(ADDRESS(ROW(NOTA[TANGGAL]),COLUMN(NOTA[TANGGAL]))&amp;":"&amp;ADDRESS(ROW(),COLUMN(NOTA[TANGGAL]))),-1)))</f>
        <v/>
      </c>
      <c r="AH352" s="36" t="str">
        <f ca="1">IF(NOTA[[#This Row],[ID_H]]="","",INDEX(NOTA[TGL.NOTA],MATCH(,INDIRECT(ADDRESS(ROW(NOTA[TGL.NOTA]),COLUMN(NOTA[TGL.NOTA]))&amp;":"&amp;ADDRESS(ROW(),COLUMN(NOTA[TGL.NOTA]))),-1)))</f>
        <v/>
      </c>
      <c r="AI352" s="36" t="str">
        <f ca="1">IF(NOTA[[#This Row],[ID_H]]="","",INDEX(NOTA[NO.NOTA],MATCH(NOTA[[#This Row],[ID_H]],NOTA[ID_H],0)))</f>
        <v/>
      </c>
      <c r="AJ352" s="38" t="str">
        <f ca="1">IF(NOTA[[#This Row],[NAMA BARANG]]="","",INDEX(NOTA[SUPPLIER],MATCH(,INDIRECT(ADDRESS(ROW(NOTA[ID]),COLUMN(NOTA[ID]))&amp;":"&amp;ADDRESS(ROW(),COLUMN(NOTA[ID]))),-1)))</f>
        <v/>
      </c>
      <c r="AK352" s="38" t="str">
        <f ca="1">IF(NOTA[[#This Row],[ID_H]]="","",IF(NOTA[[#This Row],[FAKTUR]]="",INDIRECT(ADDRESS(ROW()-1,COLUMN())),NOTA[[#This Row],[FAKTUR]]))</f>
        <v/>
      </c>
      <c r="AL352" s="35" t="str">
        <f ca="1">IF(NOTA[[#This Row],[ID]]="","",COUNTIF(NOTA[ID_H],NOTA[[#This Row],[ID_H]]))</f>
        <v/>
      </c>
      <c r="AM352" s="35" t="str">
        <f ca="1">IF(NOTA[[#This Row],[TGL.NOTA]]="",IF(NOTA[[#This Row],[SUPPLIER_H]]="","",AM351),MONTH(NOTA[[#This Row],[TGL.NOTA]]))</f>
        <v/>
      </c>
      <c r="AN3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2" s="35" t="str">
        <f>IF(NOTA[[#This Row],[CONCAT1]]="","",MATCH(NOTA[[#This Row],[CONCAT1]],[3]!db[NB NOTA_C],0))</f>
        <v/>
      </c>
      <c r="AS352" s="35" t="str">
        <f>IF(NOTA[[#This Row],[Column5]]="","",TRUE)</f>
        <v/>
      </c>
      <c r="AT352" s="35" t="str">
        <f ca="1">IF(NOTA[[#This Row],[ID_H]]="","",IF(NOTA[[#This Row],[Column3]]=TRUE,NOTA[[#This Row],[Column5]],INDEX([3]!db[QTY/ CTN],NOTA[[#This Row],[//DB]])))</f>
        <v/>
      </c>
      <c r="AU3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2" s="35" t="str">
        <f ca="1">IF(NOTA[[#This Row],[ID_H]]="","",MATCH(NOTA[[#This Row],[NB NOTA_C_QTY]],[3]!db[NB NOTA_C_QTY+F],0))</f>
        <v/>
      </c>
      <c r="AW352" s="43" t="str">
        <f ca="1">IF(NOTA[[#This Row],[NB NOTA_C_QTY]]="","",ROW()-2)</f>
        <v/>
      </c>
    </row>
    <row r="353" spans="1:49" ht="20.100000000000001" customHeight="1">
      <c r="A3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5" t="str">
        <f ca="1">IF(NOTA[[#This Row],[NAMA BARANG]]="","",INDEX(NOTA[ID],MATCH(,INDIRECT(ADDRESS(ROW(NOTA[ID]),COLUMN(NOTA[ID]))&amp;":"&amp;ADDRESS(ROW(),COLUMN(NOTA[ID]))),-1)))</f>
        <v/>
      </c>
      <c r="C353" s="45"/>
      <c r="F353" s="46"/>
      <c r="G353" s="35"/>
      <c r="H353" s="36"/>
      <c r="I353" s="35"/>
      <c r="K353" s="37"/>
      <c r="L353" s="35"/>
      <c r="N353" s="38"/>
      <c r="O353" s="39"/>
      <c r="P353" s="47"/>
      <c r="Q353" s="48"/>
      <c r="R353" s="41"/>
      <c r="T353" s="42"/>
      <c r="U353" s="44"/>
      <c r="V353" s="42" t="str">
        <f>IF(NOTA[[#This Row],[HARGA/ CTN]]="",NOTA[[#This Row],[JUMLAH_H]],NOTA[[#This Row],[HARGA/ CTN]]*IF(NOTA[[#This Row],[C]]="",0,NOTA[[#This Row],[C]]))</f>
        <v/>
      </c>
      <c r="W353" s="42" t="str">
        <f>IF(NOTA[[#This Row],[JUMLAH]]="","",NOTA[[#This Row],[JUMLAH]]*NOTA[[#This Row],[Column6]])</f>
        <v/>
      </c>
      <c r="X353" s="42" t="str">
        <f>IF(NOTA[[#This Row],[JUMLAH]]="","",(NOTA[[#This Row],[JUMLAH]]-NOTA[[#This Row],[DISC 1-]])*NOTA[[#This Row],[Column7]])</f>
        <v/>
      </c>
      <c r="Y353" s="42" t="str">
        <f>IF(NOTA[[#This Row],[JUMLAH]]="","",(NOTA[[#This Row],[JUMLAH]]-NOTA[[#This Row],[DISC 1-]]-NOTA[[#This Row],[DISC 2-]])*NOTA[[#This Row],[Column8]])</f>
        <v/>
      </c>
      <c r="Z353" s="42" t="str">
        <f>IF(NOTA[[#This Row],[JUMLAH]]="","",NOTA[[#This Row],[DISC 1-]]+NOTA[[#This Row],[DISC 2-]]+NOTA[[#This Row],[DISC 3-]])</f>
        <v/>
      </c>
      <c r="AA353" s="42" t="str">
        <f>IF(NOTA[[#This Row],[JUMLAH]]="","",NOTA[[#This Row],[JUMLAH]]-NOTA[[#This Row],[DISC]])</f>
        <v/>
      </c>
      <c r="AB353" s="42"/>
      <c r="AC3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3" s="42" t="str">
        <f>IF(OR(NOTA[[#This Row],[QTY]]="",NOTA[[#This Row],[HARGA SATUAN]]="",),"",NOTA[[#This Row],[QTY]]*NOTA[[#This Row],[HARGA SATUAN]])</f>
        <v/>
      </c>
      <c r="AG353" s="36" t="str">
        <f ca="1">IF(NOTA[[#This Row],[ID_H]]="","",INDEX(NOTA[TANGGAL],MATCH(,INDIRECT(ADDRESS(ROW(NOTA[TANGGAL]),COLUMN(NOTA[TANGGAL]))&amp;":"&amp;ADDRESS(ROW(),COLUMN(NOTA[TANGGAL]))),-1)))</f>
        <v/>
      </c>
      <c r="AH353" s="36" t="str">
        <f ca="1">IF(NOTA[[#This Row],[ID_H]]="","",INDEX(NOTA[TGL.NOTA],MATCH(,INDIRECT(ADDRESS(ROW(NOTA[TGL.NOTA]),COLUMN(NOTA[TGL.NOTA]))&amp;":"&amp;ADDRESS(ROW(),COLUMN(NOTA[TGL.NOTA]))),-1)))</f>
        <v/>
      </c>
      <c r="AI353" s="36" t="str">
        <f ca="1">IF(NOTA[[#This Row],[ID_H]]="","",INDEX(NOTA[NO.NOTA],MATCH(NOTA[[#This Row],[ID_H]],NOTA[ID_H],0)))</f>
        <v/>
      </c>
      <c r="AJ353" s="38" t="str">
        <f ca="1">IF(NOTA[[#This Row],[NAMA BARANG]]="","",INDEX(NOTA[SUPPLIER],MATCH(,INDIRECT(ADDRESS(ROW(NOTA[ID]),COLUMN(NOTA[ID]))&amp;":"&amp;ADDRESS(ROW(),COLUMN(NOTA[ID]))),-1)))</f>
        <v/>
      </c>
      <c r="AK353" s="38" t="str">
        <f ca="1">IF(NOTA[[#This Row],[ID_H]]="","",IF(NOTA[[#This Row],[FAKTUR]]="",INDIRECT(ADDRESS(ROW()-1,COLUMN())),NOTA[[#This Row],[FAKTUR]]))</f>
        <v/>
      </c>
      <c r="AL353" s="35" t="str">
        <f ca="1">IF(NOTA[[#This Row],[ID]]="","",COUNTIF(NOTA[ID_H],NOTA[[#This Row],[ID_H]]))</f>
        <v/>
      </c>
      <c r="AM353" s="35" t="str">
        <f ca="1">IF(NOTA[[#This Row],[TGL.NOTA]]="",IF(NOTA[[#This Row],[SUPPLIER_H]]="","",AM352),MONTH(NOTA[[#This Row],[TGL.NOTA]]))</f>
        <v/>
      </c>
      <c r="AN3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3" s="35" t="str">
        <f>IF(NOTA[[#This Row],[CONCAT1]]="","",MATCH(NOTA[[#This Row],[CONCAT1]],[3]!db[NB NOTA_C],0))</f>
        <v/>
      </c>
      <c r="AS353" s="35" t="str">
        <f>IF(NOTA[[#This Row],[Column5]]="","",TRUE)</f>
        <v/>
      </c>
      <c r="AT353" s="35" t="str">
        <f ca="1">IF(NOTA[[#This Row],[ID_H]]="","",IF(NOTA[[#This Row],[Column3]]=TRUE,NOTA[[#This Row],[Column5]],INDEX([3]!db[QTY/ CTN],NOTA[[#This Row],[//DB]])))</f>
        <v/>
      </c>
      <c r="AU3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3" s="35" t="str">
        <f ca="1">IF(NOTA[[#This Row],[ID_H]]="","",MATCH(NOTA[[#This Row],[NB NOTA_C_QTY]],[3]!db[NB NOTA_C_QTY+F],0))</f>
        <v/>
      </c>
      <c r="AW353" s="43" t="str">
        <f ca="1">IF(NOTA[[#This Row],[NB NOTA_C_QTY]]="","",ROW()-2)</f>
        <v/>
      </c>
    </row>
    <row r="354" spans="1:49" ht="20.100000000000001" customHeight="1">
      <c r="A3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5" t="str">
        <f ca="1">IF(NOTA[[#This Row],[NAMA BARANG]]="","",INDEX(NOTA[ID],MATCH(,INDIRECT(ADDRESS(ROW(NOTA[ID]),COLUMN(NOTA[ID]))&amp;":"&amp;ADDRESS(ROW(),COLUMN(NOTA[ID]))),-1)))</f>
        <v/>
      </c>
      <c r="C354" s="45"/>
      <c r="F354" s="46"/>
      <c r="G354" s="35"/>
      <c r="H354" s="36"/>
      <c r="I354" s="35"/>
      <c r="K354" s="37"/>
      <c r="L354" s="35"/>
      <c r="N354" s="38"/>
      <c r="O354" s="39"/>
      <c r="P354" s="47"/>
      <c r="Q354" s="48"/>
      <c r="R354" s="41"/>
      <c r="T354" s="42"/>
      <c r="U354" s="44"/>
      <c r="V354" s="42" t="str">
        <f>IF(NOTA[[#This Row],[HARGA/ CTN]]="",NOTA[[#This Row],[JUMLAH_H]],NOTA[[#This Row],[HARGA/ CTN]]*IF(NOTA[[#This Row],[C]]="",0,NOTA[[#This Row],[C]]))</f>
        <v/>
      </c>
      <c r="W354" s="42" t="str">
        <f>IF(NOTA[[#This Row],[JUMLAH]]="","",NOTA[[#This Row],[JUMLAH]]*NOTA[[#This Row],[Column6]])</f>
        <v/>
      </c>
      <c r="X354" s="42" t="str">
        <f>IF(NOTA[[#This Row],[JUMLAH]]="","",(NOTA[[#This Row],[JUMLAH]]-NOTA[[#This Row],[DISC 1-]])*NOTA[[#This Row],[Column7]])</f>
        <v/>
      </c>
      <c r="Y354" s="42" t="str">
        <f>IF(NOTA[[#This Row],[JUMLAH]]="","",(NOTA[[#This Row],[JUMLAH]]-NOTA[[#This Row],[DISC 1-]]-NOTA[[#This Row],[DISC 2-]])*NOTA[[#This Row],[Column8]])</f>
        <v/>
      </c>
      <c r="Z354" s="42" t="str">
        <f>IF(NOTA[[#This Row],[JUMLAH]]="","",NOTA[[#This Row],[DISC 1-]]+NOTA[[#This Row],[DISC 2-]]+NOTA[[#This Row],[DISC 3-]])</f>
        <v/>
      </c>
      <c r="AA354" s="42" t="str">
        <f>IF(NOTA[[#This Row],[JUMLAH]]="","",NOTA[[#This Row],[JUMLAH]]-NOTA[[#This Row],[DISC]])</f>
        <v/>
      </c>
      <c r="AB354" s="42"/>
      <c r="AC3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4" s="42" t="str">
        <f>IF(OR(NOTA[[#This Row],[QTY]]="",NOTA[[#This Row],[HARGA SATUAN]]="",),"",NOTA[[#This Row],[QTY]]*NOTA[[#This Row],[HARGA SATUAN]])</f>
        <v/>
      </c>
      <c r="AG354" s="36" t="str">
        <f ca="1">IF(NOTA[[#This Row],[ID_H]]="","",INDEX(NOTA[TANGGAL],MATCH(,INDIRECT(ADDRESS(ROW(NOTA[TANGGAL]),COLUMN(NOTA[TANGGAL]))&amp;":"&amp;ADDRESS(ROW(),COLUMN(NOTA[TANGGAL]))),-1)))</f>
        <v/>
      </c>
      <c r="AH354" s="36" t="str">
        <f ca="1">IF(NOTA[[#This Row],[ID_H]]="","",INDEX(NOTA[TGL.NOTA],MATCH(,INDIRECT(ADDRESS(ROW(NOTA[TGL.NOTA]),COLUMN(NOTA[TGL.NOTA]))&amp;":"&amp;ADDRESS(ROW(),COLUMN(NOTA[TGL.NOTA]))),-1)))</f>
        <v/>
      </c>
      <c r="AI354" s="36" t="str">
        <f ca="1">IF(NOTA[[#This Row],[ID_H]]="","",INDEX(NOTA[NO.NOTA],MATCH(NOTA[[#This Row],[ID_H]],NOTA[ID_H],0)))</f>
        <v/>
      </c>
      <c r="AJ354" s="38" t="str">
        <f ca="1">IF(NOTA[[#This Row],[NAMA BARANG]]="","",INDEX(NOTA[SUPPLIER],MATCH(,INDIRECT(ADDRESS(ROW(NOTA[ID]),COLUMN(NOTA[ID]))&amp;":"&amp;ADDRESS(ROW(),COLUMN(NOTA[ID]))),-1)))</f>
        <v/>
      </c>
      <c r="AK354" s="38" t="str">
        <f ca="1">IF(NOTA[[#This Row],[ID_H]]="","",IF(NOTA[[#This Row],[FAKTUR]]="",INDIRECT(ADDRESS(ROW()-1,COLUMN())),NOTA[[#This Row],[FAKTUR]]))</f>
        <v/>
      </c>
      <c r="AL354" s="35" t="str">
        <f ca="1">IF(NOTA[[#This Row],[ID]]="","",COUNTIF(NOTA[ID_H],NOTA[[#This Row],[ID_H]]))</f>
        <v/>
      </c>
      <c r="AM354" s="35" t="str">
        <f ca="1">IF(NOTA[[#This Row],[TGL.NOTA]]="",IF(NOTA[[#This Row],[SUPPLIER_H]]="","",AM353),MONTH(NOTA[[#This Row],[TGL.NOTA]]))</f>
        <v/>
      </c>
      <c r="AN3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4" s="35" t="str">
        <f>IF(NOTA[[#This Row],[CONCAT1]]="","",MATCH(NOTA[[#This Row],[CONCAT1]],[3]!db[NB NOTA_C],0))</f>
        <v/>
      </c>
      <c r="AS354" s="35" t="str">
        <f>IF(NOTA[[#This Row],[Column5]]="","",TRUE)</f>
        <v/>
      </c>
      <c r="AT354" s="35" t="str">
        <f ca="1">IF(NOTA[[#This Row],[ID_H]]="","",IF(NOTA[[#This Row],[Column3]]=TRUE,NOTA[[#This Row],[Column5]],INDEX([3]!db[QTY/ CTN],NOTA[[#This Row],[//DB]])))</f>
        <v/>
      </c>
      <c r="AU3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4" s="35" t="str">
        <f ca="1">IF(NOTA[[#This Row],[ID_H]]="","",MATCH(NOTA[[#This Row],[NB NOTA_C_QTY]],[3]!db[NB NOTA_C_QTY+F],0))</f>
        <v/>
      </c>
      <c r="AW354" s="43" t="str">
        <f ca="1">IF(NOTA[[#This Row],[NB NOTA_C_QTY]]="","",ROW()-2)</f>
        <v/>
      </c>
    </row>
    <row r="355" spans="1:49" ht="20.100000000000001" customHeight="1">
      <c r="A3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5" t="str">
        <f ca="1">IF(NOTA[[#This Row],[NAMA BARANG]]="","",INDEX(NOTA[ID],MATCH(,INDIRECT(ADDRESS(ROW(NOTA[ID]),COLUMN(NOTA[ID]))&amp;":"&amp;ADDRESS(ROW(),COLUMN(NOTA[ID]))),-1)))</f>
        <v/>
      </c>
      <c r="C355" s="45"/>
      <c r="F355" s="46"/>
      <c r="G355" s="35"/>
      <c r="H355" s="36"/>
      <c r="I355" s="35"/>
      <c r="K355" s="37"/>
      <c r="L355" s="35"/>
      <c r="N355" s="38"/>
      <c r="O355" s="39"/>
      <c r="P355" s="47"/>
      <c r="Q355" s="48"/>
      <c r="R355" s="41"/>
      <c r="T355" s="42"/>
      <c r="U355" s="44"/>
      <c r="V355" s="42" t="str">
        <f>IF(NOTA[[#This Row],[HARGA/ CTN]]="",NOTA[[#This Row],[JUMLAH_H]],NOTA[[#This Row],[HARGA/ CTN]]*IF(NOTA[[#This Row],[C]]="",0,NOTA[[#This Row],[C]]))</f>
        <v/>
      </c>
      <c r="W355" s="42" t="str">
        <f>IF(NOTA[[#This Row],[JUMLAH]]="","",NOTA[[#This Row],[JUMLAH]]*NOTA[[#This Row],[Column6]])</f>
        <v/>
      </c>
      <c r="X355" s="42" t="str">
        <f>IF(NOTA[[#This Row],[JUMLAH]]="","",(NOTA[[#This Row],[JUMLAH]]-NOTA[[#This Row],[DISC 1-]])*NOTA[[#This Row],[Column7]])</f>
        <v/>
      </c>
      <c r="Y355" s="42" t="str">
        <f>IF(NOTA[[#This Row],[JUMLAH]]="","",(NOTA[[#This Row],[JUMLAH]]-NOTA[[#This Row],[DISC 1-]]-NOTA[[#This Row],[DISC 2-]])*NOTA[[#This Row],[Column8]])</f>
        <v/>
      </c>
      <c r="Z355" s="42" t="str">
        <f>IF(NOTA[[#This Row],[JUMLAH]]="","",NOTA[[#This Row],[DISC 1-]]+NOTA[[#This Row],[DISC 2-]]+NOTA[[#This Row],[DISC 3-]])</f>
        <v/>
      </c>
      <c r="AA355" s="42" t="str">
        <f>IF(NOTA[[#This Row],[JUMLAH]]="","",NOTA[[#This Row],[JUMLAH]]-NOTA[[#This Row],[DISC]])</f>
        <v/>
      </c>
      <c r="AB355" s="42"/>
      <c r="AC3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5" s="42" t="str">
        <f>IF(OR(NOTA[[#This Row],[QTY]]="",NOTA[[#This Row],[HARGA SATUAN]]="",),"",NOTA[[#This Row],[QTY]]*NOTA[[#This Row],[HARGA SATUAN]])</f>
        <v/>
      </c>
      <c r="AG355" s="36" t="str">
        <f ca="1">IF(NOTA[[#This Row],[ID_H]]="","",INDEX(NOTA[TANGGAL],MATCH(,INDIRECT(ADDRESS(ROW(NOTA[TANGGAL]),COLUMN(NOTA[TANGGAL]))&amp;":"&amp;ADDRESS(ROW(),COLUMN(NOTA[TANGGAL]))),-1)))</f>
        <v/>
      </c>
      <c r="AH355" s="36" t="str">
        <f ca="1">IF(NOTA[[#This Row],[ID_H]]="","",INDEX(NOTA[TGL.NOTA],MATCH(,INDIRECT(ADDRESS(ROW(NOTA[TGL.NOTA]),COLUMN(NOTA[TGL.NOTA]))&amp;":"&amp;ADDRESS(ROW(),COLUMN(NOTA[TGL.NOTA]))),-1)))</f>
        <v/>
      </c>
      <c r="AI355" s="36" t="str">
        <f ca="1">IF(NOTA[[#This Row],[ID_H]]="","",INDEX(NOTA[NO.NOTA],MATCH(NOTA[[#This Row],[ID_H]],NOTA[ID_H],0)))</f>
        <v/>
      </c>
      <c r="AJ355" s="38" t="str">
        <f ca="1">IF(NOTA[[#This Row],[NAMA BARANG]]="","",INDEX(NOTA[SUPPLIER],MATCH(,INDIRECT(ADDRESS(ROW(NOTA[ID]),COLUMN(NOTA[ID]))&amp;":"&amp;ADDRESS(ROW(),COLUMN(NOTA[ID]))),-1)))</f>
        <v/>
      </c>
      <c r="AK355" s="38" t="str">
        <f ca="1">IF(NOTA[[#This Row],[ID_H]]="","",IF(NOTA[[#This Row],[FAKTUR]]="",INDIRECT(ADDRESS(ROW()-1,COLUMN())),NOTA[[#This Row],[FAKTUR]]))</f>
        <v/>
      </c>
      <c r="AL355" s="35" t="str">
        <f ca="1">IF(NOTA[[#This Row],[ID]]="","",COUNTIF(NOTA[ID_H],NOTA[[#This Row],[ID_H]]))</f>
        <v/>
      </c>
      <c r="AM355" s="35" t="str">
        <f ca="1">IF(NOTA[[#This Row],[TGL.NOTA]]="",IF(NOTA[[#This Row],[SUPPLIER_H]]="","",AM354),MONTH(NOTA[[#This Row],[TGL.NOTA]]))</f>
        <v/>
      </c>
      <c r="AN3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5" s="35" t="str">
        <f>IF(NOTA[[#This Row],[CONCAT1]]="","",MATCH(NOTA[[#This Row],[CONCAT1]],[3]!db[NB NOTA_C],0))</f>
        <v/>
      </c>
      <c r="AS355" s="35" t="str">
        <f>IF(NOTA[[#This Row],[Column5]]="","",TRUE)</f>
        <v/>
      </c>
      <c r="AT355" s="35" t="str">
        <f ca="1">IF(NOTA[[#This Row],[ID_H]]="","",IF(NOTA[[#This Row],[Column3]]=TRUE,NOTA[[#This Row],[Column5]],INDEX([3]!db[QTY/ CTN],NOTA[[#This Row],[//DB]])))</f>
        <v/>
      </c>
      <c r="AU3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5" s="35" t="str">
        <f ca="1">IF(NOTA[[#This Row],[ID_H]]="","",MATCH(NOTA[[#This Row],[NB NOTA_C_QTY]],[3]!db[NB NOTA_C_QTY+F],0))</f>
        <v/>
      </c>
      <c r="AW355" s="43" t="str">
        <f ca="1">IF(NOTA[[#This Row],[NB NOTA_C_QTY]]="","",ROW()-2)</f>
        <v/>
      </c>
    </row>
    <row r="356" spans="1:49" ht="20.100000000000001" customHeight="1">
      <c r="A3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5" t="str">
        <f ca="1">IF(NOTA[[#This Row],[NAMA BARANG]]="","",INDEX(NOTA[ID],MATCH(,INDIRECT(ADDRESS(ROW(NOTA[ID]),COLUMN(NOTA[ID]))&amp;":"&amp;ADDRESS(ROW(),COLUMN(NOTA[ID]))),-1)))</f>
        <v/>
      </c>
      <c r="C356" s="45"/>
      <c r="F356" s="46"/>
      <c r="G356" s="35"/>
      <c r="H356" s="36"/>
      <c r="I356" s="35"/>
      <c r="K356" s="37"/>
      <c r="L356" s="35"/>
      <c r="N356" s="38"/>
      <c r="O356" s="39"/>
      <c r="P356" s="47"/>
      <c r="Q356" s="48"/>
      <c r="R356" s="41"/>
      <c r="T356" s="42"/>
      <c r="U356" s="44"/>
      <c r="V356" s="42" t="str">
        <f>IF(NOTA[[#This Row],[HARGA/ CTN]]="",NOTA[[#This Row],[JUMLAH_H]],NOTA[[#This Row],[HARGA/ CTN]]*IF(NOTA[[#This Row],[C]]="",0,NOTA[[#This Row],[C]]))</f>
        <v/>
      </c>
      <c r="W356" s="42" t="str">
        <f>IF(NOTA[[#This Row],[JUMLAH]]="","",NOTA[[#This Row],[JUMLAH]]*NOTA[[#This Row],[Column6]])</f>
        <v/>
      </c>
      <c r="X356" s="42" t="str">
        <f>IF(NOTA[[#This Row],[JUMLAH]]="","",(NOTA[[#This Row],[JUMLAH]]-NOTA[[#This Row],[DISC 1-]])*NOTA[[#This Row],[Column7]])</f>
        <v/>
      </c>
      <c r="Y356" s="42" t="str">
        <f>IF(NOTA[[#This Row],[JUMLAH]]="","",(NOTA[[#This Row],[JUMLAH]]-NOTA[[#This Row],[DISC 1-]]-NOTA[[#This Row],[DISC 2-]])*NOTA[[#This Row],[Column8]])</f>
        <v/>
      </c>
      <c r="Z356" s="42" t="str">
        <f>IF(NOTA[[#This Row],[JUMLAH]]="","",NOTA[[#This Row],[DISC 1-]]+NOTA[[#This Row],[DISC 2-]]+NOTA[[#This Row],[DISC 3-]])</f>
        <v/>
      </c>
      <c r="AA356" s="42" t="str">
        <f>IF(NOTA[[#This Row],[JUMLAH]]="","",NOTA[[#This Row],[JUMLAH]]-NOTA[[#This Row],[DISC]])</f>
        <v/>
      </c>
      <c r="AB356" s="42"/>
      <c r="AC3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42" t="str">
        <f>IF(OR(NOTA[[#This Row],[QTY]]="",NOTA[[#This Row],[HARGA SATUAN]]="",),"",NOTA[[#This Row],[QTY]]*NOTA[[#This Row],[HARGA SATUAN]])</f>
        <v/>
      </c>
      <c r="AG356" s="36" t="str">
        <f ca="1">IF(NOTA[[#This Row],[ID_H]]="","",INDEX(NOTA[TANGGAL],MATCH(,INDIRECT(ADDRESS(ROW(NOTA[TANGGAL]),COLUMN(NOTA[TANGGAL]))&amp;":"&amp;ADDRESS(ROW(),COLUMN(NOTA[TANGGAL]))),-1)))</f>
        <v/>
      </c>
      <c r="AH356" s="36" t="str">
        <f ca="1">IF(NOTA[[#This Row],[ID_H]]="","",INDEX(NOTA[TGL.NOTA],MATCH(,INDIRECT(ADDRESS(ROW(NOTA[TGL.NOTA]),COLUMN(NOTA[TGL.NOTA]))&amp;":"&amp;ADDRESS(ROW(),COLUMN(NOTA[TGL.NOTA]))),-1)))</f>
        <v/>
      </c>
      <c r="AI356" s="36" t="str">
        <f ca="1">IF(NOTA[[#This Row],[ID_H]]="","",INDEX(NOTA[NO.NOTA],MATCH(NOTA[[#This Row],[ID_H]],NOTA[ID_H],0)))</f>
        <v/>
      </c>
      <c r="AJ356" s="38" t="str">
        <f ca="1">IF(NOTA[[#This Row],[NAMA BARANG]]="","",INDEX(NOTA[SUPPLIER],MATCH(,INDIRECT(ADDRESS(ROW(NOTA[ID]),COLUMN(NOTA[ID]))&amp;":"&amp;ADDRESS(ROW(),COLUMN(NOTA[ID]))),-1)))</f>
        <v/>
      </c>
      <c r="AK356" s="38" t="str">
        <f ca="1">IF(NOTA[[#This Row],[ID_H]]="","",IF(NOTA[[#This Row],[FAKTUR]]="",INDIRECT(ADDRESS(ROW()-1,COLUMN())),NOTA[[#This Row],[FAKTUR]]))</f>
        <v/>
      </c>
      <c r="AL356" s="35" t="str">
        <f ca="1">IF(NOTA[[#This Row],[ID]]="","",COUNTIF(NOTA[ID_H],NOTA[[#This Row],[ID_H]]))</f>
        <v/>
      </c>
      <c r="AM356" s="35" t="str">
        <f ca="1">IF(NOTA[[#This Row],[TGL.NOTA]]="",IF(NOTA[[#This Row],[SUPPLIER_H]]="","",AM355),MONTH(NOTA[[#This Row],[TGL.NOTA]]))</f>
        <v/>
      </c>
      <c r="AN3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6" s="35" t="str">
        <f>IF(NOTA[[#This Row],[CONCAT1]]="","",MATCH(NOTA[[#This Row],[CONCAT1]],[3]!db[NB NOTA_C],0))</f>
        <v/>
      </c>
      <c r="AS356" s="35" t="str">
        <f>IF(NOTA[[#This Row],[Column5]]="","",TRUE)</f>
        <v/>
      </c>
      <c r="AT356" s="35" t="str">
        <f ca="1">IF(NOTA[[#This Row],[ID_H]]="","",IF(NOTA[[#This Row],[Column3]]=TRUE,NOTA[[#This Row],[Column5]],INDEX([3]!db[QTY/ CTN],NOTA[[#This Row],[//DB]])))</f>
        <v/>
      </c>
      <c r="AU3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6" s="35" t="str">
        <f ca="1">IF(NOTA[[#This Row],[ID_H]]="","",MATCH(NOTA[[#This Row],[NB NOTA_C_QTY]],[3]!db[NB NOTA_C_QTY+F],0))</f>
        <v/>
      </c>
      <c r="AW356" s="43" t="str">
        <f ca="1">IF(NOTA[[#This Row],[NB NOTA_C_QTY]]="","",ROW()-2)</f>
        <v/>
      </c>
    </row>
    <row r="357" spans="1:49" ht="20.100000000000001" customHeight="1">
      <c r="A3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5" t="str">
        <f ca="1">IF(NOTA[[#This Row],[NAMA BARANG]]="","",INDEX(NOTA[ID],MATCH(,INDIRECT(ADDRESS(ROW(NOTA[ID]),COLUMN(NOTA[ID]))&amp;":"&amp;ADDRESS(ROW(),COLUMN(NOTA[ID]))),-1)))</f>
        <v/>
      </c>
      <c r="C357" s="45"/>
      <c r="F357" s="46"/>
      <c r="G357" s="35"/>
      <c r="H357" s="36"/>
      <c r="I357" s="35"/>
      <c r="K357" s="37"/>
      <c r="L357" s="35"/>
      <c r="N357" s="38"/>
      <c r="O357" s="39"/>
      <c r="P357" s="47"/>
      <c r="Q357" s="48"/>
      <c r="R357" s="41"/>
      <c r="T357" s="42"/>
      <c r="U357" s="44"/>
      <c r="V357" s="42" t="str">
        <f>IF(NOTA[[#This Row],[HARGA/ CTN]]="",NOTA[[#This Row],[JUMLAH_H]],NOTA[[#This Row],[HARGA/ CTN]]*IF(NOTA[[#This Row],[C]]="",0,NOTA[[#This Row],[C]]))</f>
        <v/>
      </c>
      <c r="W357" s="42" t="str">
        <f>IF(NOTA[[#This Row],[JUMLAH]]="","",NOTA[[#This Row],[JUMLAH]]*NOTA[[#This Row],[Column6]])</f>
        <v/>
      </c>
      <c r="X357" s="42" t="str">
        <f>IF(NOTA[[#This Row],[JUMLAH]]="","",(NOTA[[#This Row],[JUMLAH]]-NOTA[[#This Row],[DISC 1-]])*NOTA[[#This Row],[Column7]])</f>
        <v/>
      </c>
      <c r="Y357" s="42" t="str">
        <f>IF(NOTA[[#This Row],[JUMLAH]]="","",(NOTA[[#This Row],[JUMLAH]]-NOTA[[#This Row],[DISC 1-]]-NOTA[[#This Row],[DISC 2-]])*NOTA[[#This Row],[Column8]])</f>
        <v/>
      </c>
      <c r="Z357" s="42" t="str">
        <f>IF(NOTA[[#This Row],[JUMLAH]]="","",NOTA[[#This Row],[DISC 1-]]+NOTA[[#This Row],[DISC 2-]]+NOTA[[#This Row],[DISC 3-]])</f>
        <v/>
      </c>
      <c r="AA357" s="42" t="str">
        <f>IF(NOTA[[#This Row],[JUMLAH]]="","",NOTA[[#This Row],[JUMLAH]]-NOTA[[#This Row],[DISC]])</f>
        <v/>
      </c>
      <c r="AB357" s="42"/>
      <c r="AC3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7" s="42" t="str">
        <f>IF(OR(NOTA[[#This Row],[QTY]]="",NOTA[[#This Row],[HARGA SATUAN]]="",),"",NOTA[[#This Row],[QTY]]*NOTA[[#This Row],[HARGA SATUAN]])</f>
        <v/>
      </c>
      <c r="AG357" s="36" t="str">
        <f ca="1">IF(NOTA[[#This Row],[ID_H]]="","",INDEX(NOTA[TANGGAL],MATCH(,INDIRECT(ADDRESS(ROW(NOTA[TANGGAL]),COLUMN(NOTA[TANGGAL]))&amp;":"&amp;ADDRESS(ROW(),COLUMN(NOTA[TANGGAL]))),-1)))</f>
        <v/>
      </c>
      <c r="AH357" s="36" t="str">
        <f ca="1">IF(NOTA[[#This Row],[ID_H]]="","",INDEX(NOTA[TGL.NOTA],MATCH(,INDIRECT(ADDRESS(ROW(NOTA[TGL.NOTA]),COLUMN(NOTA[TGL.NOTA]))&amp;":"&amp;ADDRESS(ROW(),COLUMN(NOTA[TGL.NOTA]))),-1)))</f>
        <v/>
      </c>
      <c r="AI357" s="36" t="str">
        <f ca="1">IF(NOTA[[#This Row],[ID_H]]="","",INDEX(NOTA[NO.NOTA],MATCH(NOTA[[#This Row],[ID_H]],NOTA[ID_H],0)))</f>
        <v/>
      </c>
      <c r="AJ357" s="38" t="str">
        <f ca="1">IF(NOTA[[#This Row],[NAMA BARANG]]="","",INDEX(NOTA[SUPPLIER],MATCH(,INDIRECT(ADDRESS(ROW(NOTA[ID]),COLUMN(NOTA[ID]))&amp;":"&amp;ADDRESS(ROW(),COLUMN(NOTA[ID]))),-1)))</f>
        <v/>
      </c>
      <c r="AK357" s="38" t="str">
        <f ca="1">IF(NOTA[[#This Row],[ID_H]]="","",IF(NOTA[[#This Row],[FAKTUR]]="",INDIRECT(ADDRESS(ROW()-1,COLUMN())),NOTA[[#This Row],[FAKTUR]]))</f>
        <v/>
      </c>
      <c r="AL357" s="35" t="str">
        <f ca="1">IF(NOTA[[#This Row],[ID]]="","",COUNTIF(NOTA[ID_H],NOTA[[#This Row],[ID_H]]))</f>
        <v/>
      </c>
      <c r="AM357" s="35" t="str">
        <f ca="1">IF(NOTA[[#This Row],[TGL.NOTA]]="",IF(NOTA[[#This Row],[SUPPLIER_H]]="","",AM356),MONTH(NOTA[[#This Row],[TGL.NOTA]]))</f>
        <v/>
      </c>
      <c r="AN3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7" s="35" t="str">
        <f>IF(NOTA[[#This Row],[CONCAT1]]="","",MATCH(NOTA[[#This Row],[CONCAT1]],[3]!db[NB NOTA_C],0))</f>
        <v/>
      </c>
      <c r="AS357" s="35" t="str">
        <f>IF(NOTA[[#This Row],[Column5]]="","",TRUE)</f>
        <v/>
      </c>
      <c r="AT357" s="35" t="str">
        <f ca="1">IF(NOTA[[#This Row],[ID_H]]="","",IF(NOTA[[#This Row],[Column3]]=TRUE,NOTA[[#This Row],[Column5]],INDEX([3]!db[QTY/ CTN],NOTA[[#This Row],[//DB]])))</f>
        <v/>
      </c>
      <c r="AU3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7" s="35" t="str">
        <f ca="1">IF(NOTA[[#This Row],[ID_H]]="","",MATCH(NOTA[[#This Row],[NB NOTA_C_QTY]],[3]!db[NB NOTA_C_QTY+F],0))</f>
        <v/>
      </c>
      <c r="AW357" s="43" t="str">
        <f ca="1">IF(NOTA[[#This Row],[NB NOTA_C_QTY]]="","",ROW()-2)</f>
        <v/>
      </c>
    </row>
    <row r="358" spans="1:49" ht="20.100000000000001" customHeight="1">
      <c r="A3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5" t="str">
        <f ca="1">IF(NOTA[[#This Row],[NAMA BARANG]]="","",INDEX(NOTA[ID],MATCH(,INDIRECT(ADDRESS(ROW(NOTA[ID]),COLUMN(NOTA[ID]))&amp;":"&amp;ADDRESS(ROW(),COLUMN(NOTA[ID]))),-1)))</f>
        <v/>
      </c>
      <c r="C358" s="45"/>
      <c r="F358" s="46"/>
      <c r="G358" s="35"/>
      <c r="H358" s="36"/>
      <c r="I358" s="35"/>
      <c r="K358" s="37"/>
      <c r="L358" s="35"/>
      <c r="N358" s="38"/>
      <c r="O358" s="39"/>
      <c r="P358" s="47"/>
      <c r="Q358" s="48"/>
      <c r="R358" s="41"/>
      <c r="T358" s="42"/>
      <c r="U358" s="44"/>
      <c r="V358" s="42" t="str">
        <f>IF(NOTA[[#This Row],[HARGA/ CTN]]="",NOTA[[#This Row],[JUMLAH_H]],NOTA[[#This Row],[HARGA/ CTN]]*IF(NOTA[[#This Row],[C]]="",0,NOTA[[#This Row],[C]]))</f>
        <v/>
      </c>
      <c r="W358" s="42" t="str">
        <f>IF(NOTA[[#This Row],[JUMLAH]]="","",NOTA[[#This Row],[JUMLAH]]*NOTA[[#This Row],[Column6]])</f>
        <v/>
      </c>
      <c r="X358" s="42" t="str">
        <f>IF(NOTA[[#This Row],[JUMLAH]]="","",(NOTA[[#This Row],[JUMLAH]]-NOTA[[#This Row],[DISC 1-]])*NOTA[[#This Row],[Column7]])</f>
        <v/>
      </c>
      <c r="Y358" s="42" t="str">
        <f>IF(NOTA[[#This Row],[JUMLAH]]="","",(NOTA[[#This Row],[JUMLAH]]-NOTA[[#This Row],[DISC 1-]]-NOTA[[#This Row],[DISC 2-]])*NOTA[[#This Row],[Column8]])</f>
        <v/>
      </c>
      <c r="Z358" s="42" t="str">
        <f>IF(NOTA[[#This Row],[JUMLAH]]="","",NOTA[[#This Row],[DISC 1-]]+NOTA[[#This Row],[DISC 2-]]+NOTA[[#This Row],[DISC 3-]])</f>
        <v/>
      </c>
      <c r="AA358" s="42" t="str">
        <f>IF(NOTA[[#This Row],[JUMLAH]]="","",NOTA[[#This Row],[JUMLAH]]-NOTA[[#This Row],[DISC]])</f>
        <v/>
      </c>
      <c r="AB358" s="42"/>
      <c r="AC3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42" t="str">
        <f>IF(OR(NOTA[[#This Row],[QTY]]="",NOTA[[#This Row],[HARGA SATUAN]]="",),"",NOTA[[#This Row],[QTY]]*NOTA[[#This Row],[HARGA SATUAN]])</f>
        <v/>
      </c>
      <c r="AG358" s="36" t="str">
        <f ca="1">IF(NOTA[[#This Row],[ID_H]]="","",INDEX(NOTA[TANGGAL],MATCH(,INDIRECT(ADDRESS(ROW(NOTA[TANGGAL]),COLUMN(NOTA[TANGGAL]))&amp;":"&amp;ADDRESS(ROW(),COLUMN(NOTA[TANGGAL]))),-1)))</f>
        <v/>
      </c>
      <c r="AH358" s="36" t="str">
        <f ca="1">IF(NOTA[[#This Row],[ID_H]]="","",INDEX(NOTA[TGL.NOTA],MATCH(,INDIRECT(ADDRESS(ROW(NOTA[TGL.NOTA]),COLUMN(NOTA[TGL.NOTA]))&amp;":"&amp;ADDRESS(ROW(),COLUMN(NOTA[TGL.NOTA]))),-1)))</f>
        <v/>
      </c>
      <c r="AI358" s="36" t="str">
        <f ca="1">IF(NOTA[[#This Row],[ID_H]]="","",INDEX(NOTA[NO.NOTA],MATCH(NOTA[[#This Row],[ID_H]],NOTA[ID_H],0)))</f>
        <v/>
      </c>
      <c r="AJ358" s="38" t="str">
        <f ca="1">IF(NOTA[[#This Row],[NAMA BARANG]]="","",INDEX(NOTA[SUPPLIER],MATCH(,INDIRECT(ADDRESS(ROW(NOTA[ID]),COLUMN(NOTA[ID]))&amp;":"&amp;ADDRESS(ROW(),COLUMN(NOTA[ID]))),-1)))</f>
        <v/>
      </c>
      <c r="AK358" s="38" t="str">
        <f ca="1">IF(NOTA[[#This Row],[ID_H]]="","",IF(NOTA[[#This Row],[FAKTUR]]="",INDIRECT(ADDRESS(ROW()-1,COLUMN())),NOTA[[#This Row],[FAKTUR]]))</f>
        <v/>
      </c>
      <c r="AL358" s="35" t="str">
        <f ca="1">IF(NOTA[[#This Row],[ID]]="","",COUNTIF(NOTA[ID_H],NOTA[[#This Row],[ID_H]]))</f>
        <v/>
      </c>
      <c r="AM358" s="35" t="str">
        <f ca="1">IF(NOTA[[#This Row],[TGL.NOTA]]="",IF(NOTA[[#This Row],[SUPPLIER_H]]="","",AM357),MONTH(NOTA[[#This Row],[TGL.NOTA]]))</f>
        <v/>
      </c>
      <c r="AN3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8" s="35" t="str">
        <f>IF(NOTA[[#This Row],[CONCAT1]]="","",MATCH(NOTA[[#This Row],[CONCAT1]],[3]!db[NB NOTA_C],0))</f>
        <v/>
      </c>
      <c r="AS358" s="35" t="str">
        <f>IF(NOTA[[#This Row],[Column5]]="","",TRUE)</f>
        <v/>
      </c>
      <c r="AT358" s="35" t="str">
        <f ca="1">IF(NOTA[[#This Row],[ID_H]]="","",IF(NOTA[[#This Row],[Column3]]=TRUE,NOTA[[#This Row],[Column5]],INDEX([3]!db[QTY/ CTN],NOTA[[#This Row],[//DB]])))</f>
        <v/>
      </c>
      <c r="AU3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8" s="35" t="str">
        <f ca="1">IF(NOTA[[#This Row],[ID_H]]="","",MATCH(NOTA[[#This Row],[NB NOTA_C_QTY]],[3]!db[NB NOTA_C_QTY+F],0))</f>
        <v/>
      </c>
      <c r="AW358" s="43" t="str">
        <f ca="1">IF(NOTA[[#This Row],[NB NOTA_C_QTY]]="","",ROW()-2)</f>
        <v/>
      </c>
    </row>
    <row r="359" spans="1:49" ht="20.100000000000001" customHeight="1">
      <c r="A3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5" t="str">
        <f ca="1">IF(NOTA[[#This Row],[NAMA BARANG]]="","",INDEX(NOTA[ID],MATCH(,INDIRECT(ADDRESS(ROW(NOTA[ID]),COLUMN(NOTA[ID]))&amp;":"&amp;ADDRESS(ROW(),COLUMN(NOTA[ID]))),-1)))</f>
        <v/>
      </c>
      <c r="C359" s="45"/>
      <c r="F359" s="46"/>
      <c r="G359" s="35"/>
      <c r="H359" s="36"/>
      <c r="I359" s="35"/>
      <c r="K359" s="37"/>
      <c r="L359" s="35"/>
      <c r="N359" s="38"/>
      <c r="O359" s="39"/>
      <c r="P359" s="47"/>
      <c r="Q359" s="48"/>
      <c r="R359" s="41"/>
      <c r="T359" s="42"/>
      <c r="U359" s="44"/>
      <c r="V359" s="42" t="str">
        <f>IF(NOTA[[#This Row],[HARGA/ CTN]]="",NOTA[[#This Row],[JUMLAH_H]],NOTA[[#This Row],[HARGA/ CTN]]*IF(NOTA[[#This Row],[C]]="",0,NOTA[[#This Row],[C]]))</f>
        <v/>
      </c>
      <c r="W359" s="42" t="str">
        <f>IF(NOTA[[#This Row],[JUMLAH]]="","",NOTA[[#This Row],[JUMLAH]]*NOTA[[#This Row],[Column6]])</f>
        <v/>
      </c>
      <c r="X359" s="42" t="str">
        <f>IF(NOTA[[#This Row],[JUMLAH]]="","",(NOTA[[#This Row],[JUMLAH]]-NOTA[[#This Row],[DISC 1-]])*NOTA[[#This Row],[Column7]])</f>
        <v/>
      </c>
      <c r="Y359" s="42" t="str">
        <f>IF(NOTA[[#This Row],[JUMLAH]]="","",(NOTA[[#This Row],[JUMLAH]]-NOTA[[#This Row],[DISC 1-]]-NOTA[[#This Row],[DISC 2-]])*NOTA[[#This Row],[Column8]])</f>
        <v/>
      </c>
      <c r="Z359" s="42" t="str">
        <f>IF(NOTA[[#This Row],[JUMLAH]]="","",NOTA[[#This Row],[DISC 1-]]+NOTA[[#This Row],[DISC 2-]]+NOTA[[#This Row],[DISC 3-]])</f>
        <v/>
      </c>
      <c r="AA359" s="42" t="str">
        <f>IF(NOTA[[#This Row],[JUMLAH]]="","",NOTA[[#This Row],[JUMLAH]]-NOTA[[#This Row],[DISC]])</f>
        <v/>
      </c>
      <c r="AB359" s="42"/>
      <c r="AC3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42" t="str">
        <f>IF(OR(NOTA[[#This Row],[QTY]]="",NOTA[[#This Row],[HARGA SATUAN]]="",),"",NOTA[[#This Row],[QTY]]*NOTA[[#This Row],[HARGA SATUAN]])</f>
        <v/>
      </c>
      <c r="AG359" s="36" t="str">
        <f ca="1">IF(NOTA[[#This Row],[ID_H]]="","",INDEX(NOTA[TANGGAL],MATCH(,INDIRECT(ADDRESS(ROW(NOTA[TANGGAL]),COLUMN(NOTA[TANGGAL]))&amp;":"&amp;ADDRESS(ROW(),COLUMN(NOTA[TANGGAL]))),-1)))</f>
        <v/>
      </c>
      <c r="AH359" s="36" t="str">
        <f ca="1">IF(NOTA[[#This Row],[ID_H]]="","",INDEX(NOTA[TGL.NOTA],MATCH(,INDIRECT(ADDRESS(ROW(NOTA[TGL.NOTA]),COLUMN(NOTA[TGL.NOTA]))&amp;":"&amp;ADDRESS(ROW(),COLUMN(NOTA[TGL.NOTA]))),-1)))</f>
        <v/>
      </c>
      <c r="AI359" s="36" t="str">
        <f ca="1">IF(NOTA[[#This Row],[ID_H]]="","",INDEX(NOTA[NO.NOTA],MATCH(NOTA[[#This Row],[ID_H]],NOTA[ID_H],0)))</f>
        <v/>
      </c>
      <c r="AJ359" s="38" t="str">
        <f ca="1">IF(NOTA[[#This Row],[NAMA BARANG]]="","",INDEX(NOTA[SUPPLIER],MATCH(,INDIRECT(ADDRESS(ROW(NOTA[ID]),COLUMN(NOTA[ID]))&amp;":"&amp;ADDRESS(ROW(),COLUMN(NOTA[ID]))),-1)))</f>
        <v/>
      </c>
      <c r="AK359" s="38" t="str">
        <f ca="1">IF(NOTA[[#This Row],[ID_H]]="","",IF(NOTA[[#This Row],[FAKTUR]]="",INDIRECT(ADDRESS(ROW()-1,COLUMN())),NOTA[[#This Row],[FAKTUR]]))</f>
        <v/>
      </c>
      <c r="AL359" s="35" t="str">
        <f ca="1">IF(NOTA[[#This Row],[ID]]="","",COUNTIF(NOTA[ID_H],NOTA[[#This Row],[ID_H]]))</f>
        <v/>
      </c>
      <c r="AM359" s="35" t="str">
        <f ca="1">IF(NOTA[[#This Row],[TGL.NOTA]]="",IF(NOTA[[#This Row],[SUPPLIER_H]]="","",AM358),MONTH(NOTA[[#This Row],[TGL.NOTA]]))</f>
        <v/>
      </c>
      <c r="AN3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9" s="35" t="str">
        <f>IF(NOTA[[#This Row],[CONCAT1]]="","",MATCH(NOTA[[#This Row],[CONCAT1]],[3]!db[NB NOTA_C],0))</f>
        <v/>
      </c>
      <c r="AS359" s="35" t="str">
        <f>IF(NOTA[[#This Row],[Column5]]="","",TRUE)</f>
        <v/>
      </c>
      <c r="AT359" s="35" t="str">
        <f ca="1">IF(NOTA[[#This Row],[ID_H]]="","",IF(NOTA[[#This Row],[Column3]]=TRUE,NOTA[[#This Row],[Column5]],INDEX([3]!db[QTY/ CTN],NOTA[[#This Row],[//DB]])))</f>
        <v/>
      </c>
      <c r="AU3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59" s="35" t="str">
        <f ca="1">IF(NOTA[[#This Row],[ID_H]]="","",MATCH(NOTA[[#This Row],[NB NOTA_C_QTY]],[3]!db[NB NOTA_C_QTY+F],0))</f>
        <v/>
      </c>
      <c r="AW359" s="43" t="str">
        <f ca="1">IF(NOTA[[#This Row],[NB NOTA_C_QTY]]="","",ROW()-2)</f>
        <v/>
      </c>
    </row>
    <row r="360" spans="1:49" ht="20.100000000000001" customHeight="1">
      <c r="A3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5" t="str">
        <f ca="1">IF(NOTA[[#This Row],[NAMA BARANG]]="","",INDEX(NOTA[ID],MATCH(,INDIRECT(ADDRESS(ROW(NOTA[ID]),COLUMN(NOTA[ID]))&amp;":"&amp;ADDRESS(ROW(),COLUMN(NOTA[ID]))),-1)))</f>
        <v/>
      </c>
      <c r="C360" s="45"/>
      <c r="F360" s="46"/>
      <c r="G360" s="35"/>
      <c r="H360" s="36"/>
      <c r="I360" s="35"/>
      <c r="K360" s="37"/>
      <c r="L360" s="35"/>
      <c r="N360" s="38"/>
      <c r="O360" s="39"/>
      <c r="P360" s="47"/>
      <c r="Q360" s="48"/>
      <c r="R360" s="41"/>
      <c r="T360" s="42"/>
      <c r="U360" s="44"/>
      <c r="V360" s="42" t="str">
        <f>IF(NOTA[[#This Row],[HARGA/ CTN]]="",NOTA[[#This Row],[JUMLAH_H]],NOTA[[#This Row],[HARGA/ CTN]]*IF(NOTA[[#This Row],[C]]="",0,NOTA[[#This Row],[C]]))</f>
        <v/>
      </c>
      <c r="W360" s="42" t="str">
        <f>IF(NOTA[[#This Row],[JUMLAH]]="","",NOTA[[#This Row],[JUMLAH]]*NOTA[[#This Row],[Column6]])</f>
        <v/>
      </c>
      <c r="X360" s="42" t="str">
        <f>IF(NOTA[[#This Row],[JUMLAH]]="","",(NOTA[[#This Row],[JUMLAH]]-NOTA[[#This Row],[DISC 1-]])*NOTA[[#This Row],[Column7]])</f>
        <v/>
      </c>
      <c r="Y360" s="42" t="str">
        <f>IF(NOTA[[#This Row],[JUMLAH]]="","",(NOTA[[#This Row],[JUMLAH]]-NOTA[[#This Row],[DISC 1-]]-NOTA[[#This Row],[DISC 2-]])*NOTA[[#This Row],[Column8]])</f>
        <v/>
      </c>
      <c r="Z360" s="42" t="str">
        <f>IF(NOTA[[#This Row],[JUMLAH]]="","",NOTA[[#This Row],[DISC 1-]]+NOTA[[#This Row],[DISC 2-]]+NOTA[[#This Row],[DISC 3-]])</f>
        <v/>
      </c>
      <c r="AA360" s="42" t="str">
        <f>IF(NOTA[[#This Row],[JUMLAH]]="","",NOTA[[#This Row],[JUMLAH]]-NOTA[[#This Row],[DISC]])</f>
        <v/>
      </c>
      <c r="AB360" s="42"/>
      <c r="AC3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0" s="42" t="str">
        <f>IF(OR(NOTA[[#This Row],[QTY]]="",NOTA[[#This Row],[HARGA SATUAN]]="",),"",NOTA[[#This Row],[QTY]]*NOTA[[#This Row],[HARGA SATUAN]])</f>
        <v/>
      </c>
      <c r="AG360" s="36" t="str">
        <f ca="1">IF(NOTA[[#This Row],[ID_H]]="","",INDEX(NOTA[TANGGAL],MATCH(,INDIRECT(ADDRESS(ROW(NOTA[TANGGAL]),COLUMN(NOTA[TANGGAL]))&amp;":"&amp;ADDRESS(ROW(),COLUMN(NOTA[TANGGAL]))),-1)))</f>
        <v/>
      </c>
      <c r="AH360" s="36" t="str">
        <f ca="1">IF(NOTA[[#This Row],[ID_H]]="","",INDEX(NOTA[TGL.NOTA],MATCH(,INDIRECT(ADDRESS(ROW(NOTA[TGL.NOTA]),COLUMN(NOTA[TGL.NOTA]))&amp;":"&amp;ADDRESS(ROW(),COLUMN(NOTA[TGL.NOTA]))),-1)))</f>
        <v/>
      </c>
      <c r="AI360" s="36" t="str">
        <f ca="1">IF(NOTA[[#This Row],[ID_H]]="","",INDEX(NOTA[NO.NOTA],MATCH(NOTA[[#This Row],[ID_H]],NOTA[ID_H],0)))</f>
        <v/>
      </c>
      <c r="AJ360" s="38" t="str">
        <f ca="1">IF(NOTA[[#This Row],[NAMA BARANG]]="","",INDEX(NOTA[SUPPLIER],MATCH(,INDIRECT(ADDRESS(ROW(NOTA[ID]),COLUMN(NOTA[ID]))&amp;":"&amp;ADDRESS(ROW(),COLUMN(NOTA[ID]))),-1)))</f>
        <v/>
      </c>
      <c r="AK360" s="38" t="str">
        <f ca="1">IF(NOTA[[#This Row],[ID_H]]="","",IF(NOTA[[#This Row],[FAKTUR]]="",INDIRECT(ADDRESS(ROW()-1,COLUMN())),NOTA[[#This Row],[FAKTUR]]))</f>
        <v/>
      </c>
      <c r="AL360" s="35" t="str">
        <f ca="1">IF(NOTA[[#This Row],[ID]]="","",COUNTIF(NOTA[ID_H],NOTA[[#This Row],[ID_H]]))</f>
        <v/>
      </c>
      <c r="AM360" s="35" t="str">
        <f ca="1">IF(NOTA[[#This Row],[TGL.NOTA]]="",IF(NOTA[[#This Row],[SUPPLIER_H]]="","",AM359),MONTH(NOTA[[#This Row],[TGL.NOTA]]))</f>
        <v/>
      </c>
      <c r="AN3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0" s="35" t="str">
        <f>IF(NOTA[[#This Row],[CONCAT1]]="","",MATCH(NOTA[[#This Row],[CONCAT1]],[3]!db[NB NOTA_C],0))</f>
        <v/>
      </c>
      <c r="AS360" s="35" t="str">
        <f>IF(NOTA[[#This Row],[Column5]]="","",TRUE)</f>
        <v/>
      </c>
      <c r="AT360" s="35" t="str">
        <f ca="1">IF(NOTA[[#This Row],[ID_H]]="","",IF(NOTA[[#This Row],[Column3]]=TRUE,NOTA[[#This Row],[Column5]],INDEX([3]!db[QTY/ CTN],NOTA[[#This Row],[//DB]])))</f>
        <v/>
      </c>
      <c r="AU3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0" s="35" t="str">
        <f ca="1">IF(NOTA[[#This Row],[ID_H]]="","",MATCH(NOTA[[#This Row],[NB NOTA_C_QTY]],[3]!db[NB NOTA_C_QTY+F],0))</f>
        <v/>
      </c>
      <c r="AW360" s="43" t="str">
        <f ca="1">IF(NOTA[[#This Row],[NB NOTA_C_QTY]]="","",ROW()-2)</f>
        <v/>
      </c>
    </row>
    <row r="361" spans="1:49" ht="20.100000000000001" customHeight="1">
      <c r="A3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5" t="str">
        <f ca="1">IF(NOTA[[#This Row],[NAMA BARANG]]="","",INDEX(NOTA[ID],MATCH(,INDIRECT(ADDRESS(ROW(NOTA[ID]),COLUMN(NOTA[ID]))&amp;":"&amp;ADDRESS(ROW(),COLUMN(NOTA[ID]))),-1)))</f>
        <v/>
      </c>
      <c r="C361" s="45"/>
      <c r="F361" s="46"/>
      <c r="G361" s="35"/>
      <c r="H361" s="36"/>
      <c r="I361" s="35"/>
      <c r="K361" s="37"/>
      <c r="L361" s="35"/>
      <c r="N361" s="38"/>
      <c r="O361" s="39"/>
      <c r="P361" s="47"/>
      <c r="Q361" s="48"/>
      <c r="R361" s="41"/>
      <c r="T361" s="42"/>
      <c r="U361" s="44"/>
      <c r="V361" s="42" t="str">
        <f>IF(NOTA[[#This Row],[HARGA/ CTN]]="",NOTA[[#This Row],[JUMLAH_H]],NOTA[[#This Row],[HARGA/ CTN]]*IF(NOTA[[#This Row],[C]]="",0,NOTA[[#This Row],[C]]))</f>
        <v/>
      </c>
      <c r="W361" s="42" t="str">
        <f>IF(NOTA[[#This Row],[JUMLAH]]="","",NOTA[[#This Row],[JUMLAH]]*NOTA[[#This Row],[Column6]])</f>
        <v/>
      </c>
      <c r="X361" s="42" t="str">
        <f>IF(NOTA[[#This Row],[JUMLAH]]="","",(NOTA[[#This Row],[JUMLAH]]-NOTA[[#This Row],[DISC 1-]])*NOTA[[#This Row],[Column7]])</f>
        <v/>
      </c>
      <c r="Y361" s="42" t="str">
        <f>IF(NOTA[[#This Row],[JUMLAH]]="","",(NOTA[[#This Row],[JUMLAH]]-NOTA[[#This Row],[DISC 1-]]-NOTA[[#This Row],[DISC 2-]])*NOTA[[#This Row],[Column8]])</f>
        <v/>
      </c>
      <c r="Z361" s="42" t="str">
        <f>IF(NOTA[[#This Row],[JUMLAH]]="","",NOTA[[#This Row],[DISC 1-]]+NOTA[[#This Row],[DISC 2-]]+NOTA[[#This Row],[DISC 3-]])</f>
        <v/>
      </c>
      <c r="AA361" s="42" t="str">
        <f>IF(NOTA[[#This Row],[JUMLAH]]="","",NOTA[[#This Row],[JUMLAH]]-NOTA[[#This Row],[DISC]])</f>
        <v/>
      </c>
      <c r="AB361" s="42"/>
      <c r="AC3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1" s="42" t="str">
        <f>IF(OR(NOTA[[#This Row],[QTY]]="",NOTA[[#This Row],[HARGA SATUAN]]="",),"",NOTA[[#This Row],[QTY]]*NOTA[[#This Row],[HARGA SATUAN]])</f>
        <v/>
      </c>
      <c r="AG361" s="36" t="str">
        <f ca="1">IF(NOTA[[#This Row],[ID_H]]="","",INDEX(NOTA[TANGGAL],MATCH(,INDIRECT(ADDRESS(ROW(NOTA[TANGGAL]),COLUMN(NOTA[TANGGAL]))&amp;":"&amp;ADDRESS(ROW(),COLUMN(NOTA[TANGGAL]))),-1)))</f>
        <v/>
      </c>
      <c r="AH361" s="36" t="str">
        <f ca="1">IF(NOTA[[#This Row],[ID_H]]="","",INDEX(NOTA[TGL.NOTA],MATCH(,INDIRECT(ADDRESS(ROW(NOTA[TGL.NOTA]),COLUMN(NOTA[TGL.NOTA]))&amp;":"&amp;ADDRESS(ROW(),COLUMN(NOTA[TGL.NOTA]))),-1)))</f>
        <v/>
      </c>
      <c r="AI361" s="36" t="str">
        <f ca="1">IF(NOTA[[#This Row],[ID_H]]="","",INDEX(NOTA[NO.NOTA],MATCH(NOTA[[#This Row],[ID_H]],NOTA[ID_H],0)))</f>
        <v/>
      </c>
      <c r="AJ361" s="38" t="str">
        <f ca="1">IF(NOTA[[#This Row],[NAMA BARANG]]="","",INDEX(NOTA[SUPPLIER],MATCH(,INDIRECT(ADDRESS(ROW(NOTA[ID]),COLUMN(NOTA[ID]))&amp;":"&amp;ADDRESS(ROW(),COLUMN(NOTA[ID]))),-1)))</f>
        <v/>
      </c>
      <c r="AK361" s="38" t="str">
        <f ca="1">IF(NOTA[[#This Row],[ID_H]]="","",IF(NOTA[[#This Row],[FAKTUR]]="",INDIRECT(ADDRESS(ROW()-1,COLUMN())),NOTA[[#This Row],[FAKTUR]]))</f>
        <v/>
      </c>
      <c r="AL361" s="35" t="str">
        <f ca="1">IF(NOTA[[#This Row],[ID]]="","",COUNTIF(NOTA[ID_H],NOTA[[#This Row],[ID_H]]))</f>
        <v/>
      </c>
      <c r="AM361" s="35" t="str">
        <f ca="1">IF(NOTA[[#This Row],[TGL.NOTA]]="",IF(NOTA[[#This Row],[SUPPLIER_H]]="","",AM360),MONTH(NOTA[[#This Row],[TGL.NOTA]]))</f>
        <v/>
      </c>
      <c r="AN3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1" s="35" t="str">
        <f>IF(NOTA[[#This Row],[CONCAT1]]="","",MATCH(NOTA[[#This Row],[CONCAT1]],[3]!db[NB NOTA_C],0))</f>
        <v/>
      </c>
      <c r="AS361" s="35" t="str">
        <f>IF(NOTA[[#This Row],[Column5]]="","",TRUE)</f>
        <v/>
      </c>
      <c r="AT361" s="35" t="str">
        <f ca="1">IF(NOTA[[#This Row],[ID_H]]="","",IF(NOTA[[#This Row],[Column3]]=TRUE,NOTA[[#This Row],[Column5]],INDEX([3]!db[QTY/ CTN],NOTA[[#This Row],[//DB]])))</f>
        <v/>
      </c>
      <c r="AU3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1" s="35" t="str">
        <f ca="1">IF(NOTA[[#This Row],[ID_H]]="","",MATCH(NOTA[[#This Row],[NB NOTA_C_QTY]],[3]!db[NB NOTA_C_QTY+F],0))</f>
        <v/>
      </c>
      <c r="AW361" s="43" t="str">
        <f ca="1">IF(NOTA[[#This Row],[NB NOTA_C_QTY]]="","",ROW()-2)</f>
        <v/>
      </c>
    </row>
    <row r="362" spans="1:49" ht="20.100000000000001" customHeight="1">
      <c r="A3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5" t="str">
        <f ca="1">IF(NOTA[[#This Row],[NAMA BARANG]]="","",INDEX(NOTA[ID],MATCH(,INDIRECT(ADDRESS(ROW(NOTA[ID]),COLUMN(NOTA[ID]))&amp;":"&amp;ADDRESS(ROW(),COLUMN(NOTA[ID]))),-1)))</f>
        <v/>
      </c>
      <c r="C362" s="45"/>
      <c r="F362" s="46"/>
      <c r="G362" s="35"/>
      <c r="H362" s="36"/>
      <c r="I362" s="35"/>
      <c r="K362" s="37"/>
      <c r="L362" s="35"/>
      <c r="N362" s="38"/>
      <c r="O362" s="39"/>
      <c r="P362" s="47"/>
      <c r="Q362" s="48"/>
      <c r="R362" s="41"/>
      <c r="T362" s="42"/>
      <c r="U362" s="44"/>
      <c r="V362" s="42" t="str">
        <f>IF(NOTA[[#This Row],[HARGA/ CTN]]="",NOTA[[#This Row],[JUMLAH_H]],NOTA[[#This Row],[HARGA/ CTN]]*IF(NOTA[[#This Row],[C]]="",0,NOTA[[#This Row],[C]]))</f>
        <v/>
      </c>
      <c r="W362" s="42" t="str">
        <f>IF(NOTA[[#This Row],[JUMLAH]]="","",NOTA[[#This Row],[JUMLAH]]*NOTA[[#This Row],[Column6]])</f>
        <v/>
      </c>
      <c r="X362" s="42" t="str">
        <f>IF(NOTA[[#This Row],[JUMLAH]]="","",(NOTA[[#This Row],[JUMLAH]]-NOTA[[#This Row],[DISC 1-]])*NOTA[[#This Row],[Column7]])</f>
        <v/>
      </c>
      <c r="Y362" s="42" t="str">
        <f>IF(NOTA[[#This Row],[JUMLAH]]="","",(NOTA[[#This Row],[JUMLAH]]-NOTA[[#This Row],[DISC 1-]]-NOTA[[#This Row],[DISC 2-]])*NOTA[[#This Row],[Column8]])</f>
        <v/>
      </c>
      <c r="Z362" s="42" t="str">
        <f>IF(NOTA[[#This Row],[JUMLAH]]="","",NOTA[[#This Row],[DISC 1-]]+NOTA[[#This Row],[DISC 2-]]+NOTA[[#This Row],[DISC 3-]])</f>
        <v/>
      </c>
      <c r="AA362" s="42" t="str">
        <f>IF(NOTA[[#This Row],[JUMLAH]]="","",NOTA[[#This Row],[JUMLAH]]-NOTA[[#This Row],[DISC]])</f>
        <v/>
      </c>
      <c r="AB362" s="42"/>
      <c r="AC3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42" t="str">
        <f>IF(OR(NOTA[[#This Row],[QTY]]="",NOTA[[#This Row],[HARGA SATUAN]]="",),"",NOTA[[#This Row],[QTY]]*NOTA[[#This Row],[HARGA SATUAN]])</f>
        <v/>
      </c>
      <c r="AG362" s="36" t="str">
        <f ca="1">IF(NOTA[[#This Row],[ID_H]]="","",INDEX(NOTA[TANGGAL],MATCH(,INDIRECT(ADDRESS(ROW(NOTA[TANGGAL]),COLUMN(NOTA[TANGGAL]))&amp;":"&amp;ADDRESS(ROW(),COLUMN(NOTA[TANGGAL]))),-1)))</f>
        <v/>
      </c>
      <c r="AH362" s="36" t="str">
        <f ca="1">IF(NOTA[[#This Row],[ID_H]]="","",INDEX(NOTA[TGL.NOTA],MATCH(,INDIRECT(ADDRESS(ROW(NOTA[TGL.NOTA]),COLUMN(NOTA[TGL.NOTA]))&amp;":"&amp;ADDRESS(ROW(),COLUMN(NOTA[TGL.NOTA]))),-1)))</f>
        <v/>
      </c>
      <c r="AI362" s="36" t="str">
        <f ca="1">IF(NOTA[[#This Row],[ID_H]]="","",INDEX(NOTA[NO.NOTA],MATCH(NOTA[[#This Row],[ID_H]],NOTA[ID_H],0)))</f>
        <v/>
      </c>
      <c r="AJ362" s="38" t="str">
        <f ca="1">IF(NOTA[[#This Row],[NAMA BARANG]]="","",INDEX(NOTA[SUPPLIER],MATCH(,INDIRECT(ADDRESS(ROW(NOTA[ID]),COLUMN(NOTA[ID]))&amp;":"&amp;ADDRESS(ROW(),COLUMN(NOTA[ID]))),-1)))</f>
        <v/>
      </c>
      <c r="AK362" s="38" t="str">
        <f ca="1">IF(NOTA[[#This Row],[ID_H]]="","",IF(NOTA[[#This Row],[FAKTUR]]="",INDIRECT(ADDRESS(ROW()-1,COLUMN())),NOTA[[#This Row],[FAKTUR]]))</f>
        <v/>
      </c>
      <c r="AL362" s="35" t="str">
        <f ca="1">IF(NOTA[[#This Row],[ID]]="","",COUNTIF(NOTA[ID_H],NOTA[[#This Row],[ID_H]]))</f>
        <v/>
      </c>
      <c r="AM362" s="35" t="str">
        <f ca="1">IF(NOTA[[#This Row],[TGL.NOTA]]="",IF(NOTA[[#This Row],[SUPPLIER_H]]="","",AM361),MONTH(NOTA[[#This Row],[TGL.NOTA]]))</f>
        <v/>
      </c>
      <c r="AN3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2" s="35" t="str">
        <f>IF(NOTA[[#This Row],[CONCAT1]]="","",MATCH(NOTA[[#This Row],[CONCAT1]],[3]!db[NB NOTA_C],0))</f>
        <v/>
      </c>
      <c r="AS362" s="35" t="str">
        <f>IF(NOTA[[#This Row],[Column5]]="","",TRUE)</f>
        <v/>
      </c>
      <c r="AT362" s="35" t="str">
        <f ca="1">IF(NOTA[[#This Row],[ID_H]]="","",IF(NOTA[[#This Row],[Column3]]=TRUE,NOTA[[#This Row],[Column5]],INDEX([3]!db[QTY/ CTN],NOTA[[#This Row],[//DB]])))</f>
        <v/>
      </c>
      <c r="AU3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2" s="35" t="str">
        <f ca="1">IF(NOTA[[#This Row],[ID_H]]="","",MATCH(NOTA[[#This Row],[NB NOTA_C_QTY]],[3]!db[NB NOTA_C_QTY+F],0))</f>
        <v/>
      </c>
      <c r="AW362" s="43" t="str">
        <f ca="1">IF(NOTA[[#This Row],[NB NOTA_C_QTY]]="","",ROW()-2)</f>
        <v/>
      </c>
    </row>
    <row r="363" spans="1:49" ht="20.100000000000001" customHeight="1">
      <c r="A3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5" t="str">
        <f ca="1">IF(NOTA[[#This Row],[NAMA BARANG]]="","",INDEX(NOTA[ID],MATCH(,INDIRECT(ADDRESS(ROW(NOTA[ID]),COLUMN(NOTA[ID]))&amp;":"&amp;ADDRESS(ROW(),COLUMN(NOTA[ID]))),-1)))</f>
        <v/>
      </c>
      <c r="C363" s="45"/>
      <c r="F363" s="46"/>
      <c r="G363" s="35"/>
      <c r="H363" s="36"/>
      <c r="I363" s="35"/>
      <c r="K363" s="37"/>
      <c r="L363" s="35"/>
      <c r="N363" s="38"/>
      <c r="O363" s="39"/>
      <c r="P363" s="47"/>
      <c r="Q363" s="48"/>
      <c r="R363" s="41"/>
      <c r="T363" s="42"/>
      <c r="U363" s="44"/>
      <c r="V363" s="42" t="str">
        <f>IF(NOTA[[#This Row],[HARGA/ CTN]]="",NOTA[[#This Row],[JUMLAH_H]],NOTA[[#This Row],[HARGA/ CTN]]*IF(NOTA[[#This Row],[C]]="",0,NOTA[[#This Row],[C]]))</f>
        <v/>
      </c>
      <c r="W363" s="42" t="str">
        <f>IF(NOTA[[#This Row],[JUMLAH]]="","",NOTA[[#This Row],[JUMLAH]]*NOTA[[#This Row],[Column6]])</f>
        <v/>
      </c>
      <c r="X363" s="42" t="str">
        <f>IF(NOTA[[#This Row],[JUMLAH]]="","",(NOTA[[#This Row],[JUMLAH]]-NOTA[[#This Row],[DISC 1-]])*NOTA[[#This Row],[Column7]])</f>
        <v/>
      </c>
      <c r="Y363" s="42" t="str">
        <f>IF(NOTA[[#This Row],[JUMLAH]]="","",(NOTA[[#This Row],[JUMLAH]]-NOTA[[#This Row],[DISC 1-]]-NOTA[[#This Row],[DISC 2-]])*NOTA[[#This Row],[Column8]])</f>
        <v/>
      </c>
      <c r="Z363" s="42" t="str">
        <f>IF(NOTA[[#This Row],[JUMLAH]]="","",NOTA[[#This Row],[DISC 1-]]+NOTA[[#This Row],[DISC 2-]]+NOTA[[#This Row],[DISC 3-]])</f>
        <v/>
      </c>
      <c r="AA363" s="42" t="str">
        <f>IF(NOTA[[#This Row],[JUMLAH]]="","",NOTA[[#This Row],[JUMLAH]]-NOTA[[#This Row],[DISC]])</f>
        <v/>
      </c>
      <c r="AB363" s="42"/>
      <c r="AC3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3" s="42" t="str">
        <f>IF(OR(NOTA[[#This Row],[QTY]]="",NOTA[[#This Row],[HARGA SATUAN]]="",),"",NOTA[[#This Row],[QTY]]*NOTA[[#This Row],[HARGA SATUAN]])</f>
        <v/>
      </c>
      <c r="AG363" s="36" t="str">
        <f ca="1">IF(NOTA[[#This Row],[ID_H]]="","",INDEX(NOTA[TANGGAL],MATCH(,INDIRECT(ADDRESS(ROW(NOTA[TANGGAL]),COLUMN(NOTA[TANGGAL]))&amp;":"&amp;ADDRESS(ROW(),COLUMN(NOTA[TANGGAL]))),-1)))</f>
        <v/>
      </c>
      <c r="AH363" s="36" t="str">
        <f ca="1">IF(NOTA[[#This Row],[ID_H]]="","",INDEX(NOTA[TGL.NOTA],MATCH(,INDIRECT(ADDRESS(ROW(NOTA[TGL.NOTA]),COLUMN(NOTA[TGL.NOTA]))&amp;":"&amp;ADDRESS(ROW(),COLUMN(NOTA[TGL.NOTA]))),-1)))</f>
        <v/>
      </c>
      <c r="AI363" s="36" t="str">
        <f ca="1">IF(NOTA[[#This Row],[ID_H]]="","",INDEX(NOTA[NO.NOTA],MATCH(NOTA[[#This Row],[ID_H]],NOTA[ID_H],0)))</f>
        <v/>
      </c>
      <c r="AJ363" s="38" t="str">
        <f ca="1">IF(NOTA[[#This Row],[NAMA BARANG]]="","",INDEX(NOTA[SUPPLIER],MATCH(,INDIRECT(ADDRESS(ROW(NOTA[ID]),COLUMN(NOTA[ID]))&amp;":"&amp;ADDRESS(ROW(),COLUMN(NOTA[ID]))),-1)))</f>
        <v/>
      </c>
      <c r="AK363" s="38" t="str">
        <f ca="1">IF(NOTA[[#This Row],[ID_H]]="","",IF(NOTA[[#This Row],[FAKTUR]]="",INDIRECT(ADDRESS(ROW()-1,COLUMN())),NOTA[[#This Row],[FAKTUR]]))</f>
        <v/>
      </c>
      <c r="AL363" s="35" t="str">
        <f ca="1">IF(NOTA[[#This Row],[ID]]="","",COUNTIF(NOTA[ID_H],NOTA[[#This Row],[ID_H]]))</f>
        <v/>
      </c>
      <c r="AM363" s="35" t="str">
        <f ca="1">IF(NOTA[[#This Row],[TGL.NOTA]]="",IF(NOTA[[#This Row],[SUPPLIER_H]]="","",AM362),MONTH(NOTA[[#This Row],[TGL.NOTA]]))</f>
        <v/>
      </c>
      <c r="AN3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3" s="35" t="str">
        <f>IF(NOTA[[#This Row],[CONCAT1]]="","",MATCH(NOTA[[#This Row],[CONCAT1]],[3]!db[NB NOTA_C],0))</f>
        <v/>
      </c>
      <c r="AS363" s="35" t="str">
        <f>IF(NOTA[[#This Row],[Column5]]="","",TRUE)</f>
        <v/>
      </c>
      <c r="AT363" s="35" t="str">
        <f ca="1">IF(NOTA[[#This Row],[ID_H]]="","",IF(NOTA[[#This Row],[Column3]]=TRUE,NOTA[[#This Row],[Column5]],INDEX([3]!db[QTY/ CTN],NOTA[[#This Row],[//DB]])))</f>
        <v/>
      </c>
      <c r="AU3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3" s="35" t="str">
        <f ca="1">IF(NOTA[[#This Row],[ID_H]]="","",MATCH(NOTA[[#This Row],[NB NOTA_C_QTY]],[3]!db[NB NOTA_C_QTY+F],0))</f>
        <v/>
      </c>
      <c r="AW363" s="43" t="str">
        <f ca="1">IF(NOTA[[#This Row],[NB NOTA_C_QTY]]="","",ROW()-2)</f>
        <v/>
      </c>
    </row>
    <row r="364" spans="1:49" ht="20.100000000000001" customHeight="1">
      <c r="A3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5" t="str">
        <f ca="1">IF(NOTA[[#This Row],[NAMA BARANG]]="","",INDEX(NOTA[ID],MATCH(,INDIRECT(ADDRESS(ROW(NOTA[ID]),COLUMN(NOTA[ID]))&amp;":"&amp;ADDRESS(ROW(),COLUMN(NOTA[ID]))),-1)))</f>
        <v/>
      </c>
      <c r="C364" s="45"/>
      <c r="F364" s="46"/>
      <c r="G364" s="35"/>
      <c r="H364" s="36"/>
      <c r="I364" s="35"/>
      <c r="K364" s="37"/>
      <c r="L364" s="35"/>
      <c r="N364" s="38"/>
      <c r="O364" s="39"/>
      <c r="P364" s="47"/>
      <c r="Q364" s="48"/>
      <c r="R364" s="41"/>
      <c r="T364" s="42"/>
      <c r="U364" s="44"/>
      <c r="V364" s="42" t="str">
        <f>IF(NOTA[[#This Row],[HARGA/ CTN]]="",NOTA[[#This Row],[JUMLAH_H]],NOTA[[#This Row],[HARGA/ CTN]]*IF(NOTA[[#This Row],[C]]="",0,NOTA[[#This Row],[C]]))</f>
        <v/>
      </c>
      <c r="W364" s="42" t="str">
        <f>IF(NOTA[[#This Row],[JUMLAH]]="","",NOTA[[#This Row],[JUMLAH]]*NOTA[[#This Row],[Column6]])</f>
        <v/>
      </c>
      <c r="X364" s="42" t="str">
        <f>IF(NOTA[[#This Row],[JUMLAH]]="","",(NOTA[[#This Row],[JUMLAH]]-NOTA[[#This Row],[DISC 1-]])*NOTA[[#This Row],[Column7]])</f>
        <v/>
      </c>
      <c r="Y364" s="42" t="str">
        <f>IF(NOTA[[#This Row],[JUMLAH]]="","",(NOTA[[#This Row],[JUMLAH]]-NOTA[[#This Row],[DISC 1-]]-NOTA[[#This Row],[DISC 2-]])*NOTA[[#This Row],[Column8]])</f>
        <v/>
      </c>
      <c r="Z364" s="42" t="str">
        <f>IF(NOTA[[#This Row],[JUMLAH]]="","",NOTA[[#This Row],[DISC 1-]]+NOTA[[#This Row],[DISC 2-]]+NOTA[[#This Row],[DISC 3-]])</f>
        <v/>
      </c>
      <c r="AA364" s="42" t="str">
        <f>IF(NOTA[[#This Row],[JUMLAH]]="","",NOTA[[#This Row],[JUMLAH]]-NOTA[[#This Row],[DISC]])</f>
        <v/>
      </c>
      <c r="AB364" s="42"/>
      <c r="AC3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4" s="42" t="str">
        <f>IF(OR(NOTA[[#This Row],[QTY]]="",NOTA[[#This Row],[HARGA SATUAN]]="",),"",NOTA[[#This Row],[QTY]]*NOTA[[#This Row],[HARGA SATUAN]])</f>
        <v/>
      </c>
      <c r="AG364" s="36" t="str">
        <f ca="1">IF(NOTA[[#This Row],[ID_H]]="","",INDEX(NOTA[TANGGAL],MATCH(,INDIRECT(ADDRESS(ROW(NOTA[TANGGAL]),COLUMN(NOTA[TANGGAL]))&amp;":"&amp;ADDRESS(ROW(),COLUMN(NOTA[TANGGAL]))),-1)))</f>
        <v/>
      </c>
      <c r="AH364" s="36" t="str">
        <f ca="1">IF(NOTA[[#This Row],[ID_H]]="","",INDEX(NOTA[TGL.NOTA],MATCH(,INDIRECT(ADDRESS(ROW(NOTA[TGL.NOTA]),COLUMN(NOTA[TGL.NOTA]))&amp;":"&amp;ADDRESS(ROW(),COLUMN(NOTA[TGL.NOTA]))),-1)))</f>
        <v/>
      </c>
      <c r="AI364" s="36" t="str">
        <f ca="1">IF(NOTA[[#This Row],[ID_H]]="","",INDEX(NOTA[NO.NOTA],MATCH(NOTA[[#This Row],[ID_H]],NOTA[ID_H],0)))</f>
        <v/>
      </c>
      <c r="AJ364" s="38" t="str">
        <f ca="1">IF(NOTA[[#This Row],[NAMA BARANG]]="","",INDEX(NOTA[SUPPLIER],MATCH(,INDIRECT(ADDRESS(ROW(NOTA[ID]),COLUMN(NOTA[ID]))&amp;":"&amp;ADDRESS(ROW(),COLUMN(NOTA[ID]))),-1)))</f>
        <v/>
      </c>
      <c r="AK364" s="38" t="str">
        <f ca="1">IF(NOTA[[#This Row],[ID_H]]="","",IF(NOTA[[#This Row],[FAKTUR]]="",INDIRECT(ADDRESS(ROW()-1,COLUMN())),NOTA[[#This Row],[FAKTUR]]))</f>
        <v/>
      </c>
      <c r="AL364" s="35" t="str">
        <f ca="1">IF(NOTA[[#This Row],[ID]]="","",COUNTIF(NOTA[ID_H],NOTA[[#This Row],[ID_H]]))</f>
        <v/>
      </c>
      <c r="AM364" s="35" t="str">
        <f ca="1">IF(NOTA[[#This Row],[TGL.NOTA]]="",IF(NOTA[[#This Row],[SUPPLIER_H]]="","",AM363),MONTH(NOTA[[#This Row],[TGL.NOTA]]))</f>
        <v/>
      </c>
      <c r="AN3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4" s="35" t="str">
        <f>IF(NOTA[[#This Row],[CONCAT1]]="","",MATCH(NOTA[[#This Row],[CONCAT1]],[3]!db[NB NOTA_C],0))</f>
        <v/>
      </c>
      <c r="AS364" s="35" t="str">
        <f>IF(NOTA[[#This Row],[Column5]]="","",TRUE)</f>
        <v/>
      </c>
      <c r="AT364" s="35" t="str">
        <f ca="1">IF(NOTA[[#This Row],[ID_H]]="","",IF(NOTA[[#This Row],[Column3]]=TRUE,NOTA[[#This Row],[Column5]],INDEX([3]!db[QTY/ CTN],NOTA[[#This Row],[//DB]])))</f>
        <v/>
      </c>
      <c r="AU3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4" s="35" t="str">
        <f ca="1">IF(NOTA[[#This Row],[ID_H]]="","",MATCH(NOTA[[#This Row],[NB NOTA_C_QTY]],[3]!db[NB NOTA_C_QTY+F],0))</f>
        <v/>
      </c>
      <c r="AW364" s="43" t="str">
        <f ca="1">IF(NOTA[[#This Row],[NB NOTA_C_QTY]]="","",ROW()-2)</f>
        <v/>
      </c>
    </row>
    <row r="365" spans="1:49" ht="20.100000000000001" customHeight="1">
      <c r="A3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5" t="str">
        <f ca="1">IF(NOTA[[#This Row],[NAMA BARANG]]="","",INDEX(NOTA[ID],MATCH(,INDIRECT(ADDRESS(ROW(NOTA[ID]),COLUMN(NOTA[ID]))&amp;":"&amp;ADDRESS(ROW(),COLUMN(NOTA[ID]))),-1)))</f>
        <v/>
      </c>
      <c r="C365" s="45"/>
      <c r="F365" s="46"/>
      <c r="G365" s="35"/>
      <c r="H365" s="36"/>
      <c r="I365" s="35"/>
      <c r="K365" s="37"/>
      <c r="L365" s="35"/>
      <c r="N365" s="38"/>
      <c r="O365" s="39"/>
      <c r="P365" s="47"/>
      <c r="Q365" s="48"/>
      <c r="R365" s="41"/>
      <c r="T365" s="42"/>
      <c r="U365" s="44"/>
      <c r="V365" s="42" t="str">
        <f>IF(NOTA[[#This Row],[HARGA/ CTN]]="",NOTA[[#This Row],[JUMLAH_H]],NOTA[[#This Row],[HARGA/ CTN]]*IF(NOTA[[#This Row],[C]]="",0,NOTA[[#This Row],[C]]))</f>
        <v/>
      </c>
      <c r="W365" s="42" t="str">
        <f>IF(NOTA[[#This Row],[JUMLAH]]="","",NOTA[[#This Row],[JUMLAH]]*NOTA[[#This Row],[Column6]])</f>
        <v/>
      </c>
      <c r="X365" s="42" t="str">
        <f>IF(NOTA[[#This Row],[JUMLAH]]="","",(NOTA[[#This Row],[JUMLAH]]-NOTA[[#This Row],[DISC 1-]])*NOTA[[#This Row],[Column7]])</f>
        <v/>
      </c>
      <c r="Y365" s="42" t="str">
        <f>IF(NOTA[[#This Row],[JUMLAH]]="","",(NOTA[[#This Row],[JUMLAH]]-NOTA[[#This Row],[DISC 1-]]-NOTA[[#This Row],[DISC 2-]])*NOTA[[#This Row],[Column8]])</f>
        <v/>
      </c>
      <c r="Z365" s="42" t="str">
        <f>IF(NOTA[[#This Row],[JUMLAH]]="","",NOTA[[#This Row],[DISC 1-]]+NOTA[[#This Row],[DISC 2-]]+NOTA[[#This Row],[DISC 3-]])</f>
        <v/>
      </c>
      <c r="AA365" s="42" t="str">
        <f>IF(NOTA[[#This Row],[JUMLAH]]="","",NOTA[[#This Row],[JUMLAH]]-NOTA[[#This Row],[DISC]])</f>
        <v/>
      </c>
      <c r="AB365" s="42"/>
      <c r="AC3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5" s="42" t="str">
        <f>IF(OR(NOTA[[#This Row],[QTY]]="",NOTA[[#This Row],[HARGA SATUAN]]="",),"",NOTA[[#This Row],[QTY]]*NOTA[[#This Row],[HARGA SATUAN]])</f>
        <v/>
      </c>
      <c r="AG365" s="36" t="str">
        <f ca="1">IF(NOTA[[#This Row],[ID_H]]="","",INDEX(NOTA[TANGGAL],MATCH(,INDIRECT(ADDRESS(ROW(NOTA[TANGGAL]),COLUMN(NOTA[TANGGAL]))&amp;":"&amp;ADDRESS(ROW(),COLUMN(NOTA[TANGGAL]))),-1)))</f>
        <v/>
      </c>
      <c r="AH365" s="36" t="str">
        <f ca="1">IF(NOTA[[#This Row],[ID_H]]="","",INDEX(NOTA[TGL.NOTA],MATCH(,INDIRECT(ADDRESS(ROW(NOTA[TGL.NOTA]),COLUMN(NOTA[TGL.NOTA]))&amp;":"&amp;ADDRESS(ROW(),COLUMN(NOTA[TGL.NOTA]))),-1)))</f>
        <v/>
      </c>
      <c r="AI365" s="36" t="str">
        <f ca="1">IF(NOTA[[#This Row],[ID_H]]="","",INDEX(NOTA[NO.NOTA],MATCH(NOTA[[#This Row],[ID_H]],NOTA[ID_H],0)))</f>
        <v/>
      </c>
      <c r="AJ365" s="38" t="str">
        <f ca="1">IF(NOTA[[#This Row],[NAMA BARANG]]="","",INDEX(NOTA[SUPPLIER],MATCH(,INDIRECT(ADDRESS(ROW(NOTA[ID]),COLUMN(NOTA[ID]))&amp;":"&amp;ADDRESS(ROW(),COLUMN(NOTA[ID]))),-1)))</f>
        <v/>
      </c>
      <c r="AK365" s="38" t="str">
        <f ca="1">IF(NOTA[[#This Row],[ID_H]]="","",IF(NOTA[[#This Row],[FAKTUR]]="",INDIRECT(ADDRESS(ROW()-1,COLUMN())),NOTA[[#This Row],[FAKTUR]]))</f>
        <v/>
      </c>
      <c r="AL365" s="35" t="str">
        <f ca="1">IF(NOTA[[#This Row],[ID]]="","",COUNTIF(NOTA[ID_H],NOTA[[#This Row],[ID_H]]))</f>
        <v/>
      </c>
      <c r="AM365" s="35" t="str">
        <f ca="1">IF(NOTA[[#This Row],[TGL.NOTA]]="",IF(NOTA[[#This Row],[SUPPLIER_H]]="","",AM364),MONTH(NOTA[[#This Row],[TGL.NOTA]]))</f>
        <v/>
      </c>
      <c r="AN3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5" s="35" t="str">
        <f>IF(NOTA[[#This Row],[CONCAT1]]="","",MATCH(NOTA[[#This Row],[CONCAT1]],[3]!db[NB NOTA_C],0))</f>
        <v/>
      </c>
      <c r="AS365" s="35" t="str">
        <f>IF(NOTA[[#This Row],[Column5]]="","",TRUE)</f>
        <v/>
      </c>
      <c r="AT365" s="35" t="str">
        <f ca="1">IF(NOTA[[#This Row],[ID_H]]="","",IF(NOTA[[#This Row],[Column3]]=TRUE,NOTA[[#This Row],[Column5]],INDEX([3]!db[QTY/ CTN],NOTA[[#This Row],[//DB]])))</f>
        <v/>
      </c>
      <c r="AU3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5" s="35" t="str">
        <f ca="1">IF(NOTA[[#This Row],[ID_H]]="","",MATCH(NOTA[[#This Row],[NB NOTA_C_QTY]],[3]!db[NB NOTA_C_QTY+F],0))</f>
        <v/>
      </c>
      <c r="AW365" s="43" t="str">
        <f ca="1">IF(NOTA[[#This Row],[NB NOTA_C_QTY]]="","",ROW()-2)</f>
        <v/>
      </c>
    </row>
    <row r="366" spans="1:49" ht="20.100000000000001" customHeight="1">
      <c r="A3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5" t="str">
        <f ca="1">IF(NOTA[[#This Row],[NAMA BARANG]]="","",INDEX(NOTA[ID],MATCH(,INDIRECT(ADDRESS(ROW(NOTA[ID]),COLUMN(NOTA[ID]))&amp;":"&amp;ADDRESS(ROW(),COLUMN(NOTA[ID]))),-1)))</f>
        <v/>
      </c>
      <c r="C366" s="45"/>
      <c r="F366" s="46"/>
      <c r="G366" s="35"/>
      <c r="H366" s="36"/>
      <c r="I366" s="35"/>
      <c r="K366" s="37"/>
      <c r="L366" s="35"/>
      <c r="N366" s="38"/>
      <c r="O366" s="39"/>
      <c r="P366" s="47"/>
      <c r="Q366" s="48"/>
      <c r="R366" s="41"/>
      <c r="T366" s="42"/>
      <c r="U366" s="44"/>
      <c r="V366" s="42" t="str">
        <f>IF(NOTA[[#This Row],[HARGA/ CTN]]="",NOTA[[#This Row],[JUMLAH_H]],NOTA[[#This Row],[HARGA/ CTN]]*IF(NOTA[[#This Row],[C]]="",0,NOTA[[#This Row],[C]]))</f>
        <v/>
      </c>
      <c r="W366" s="42" t="str">
        <f>IF(NOTA[[#This Row],[JUMLAH]]="","",NOTA[[#This Row],[JUMLAH]]*NOTA[[#This Row],[Column6]])</f>
        <v/>
      </c>
      <c r="X366" s="42" t="str">
        <f>IF(NOTA[[#This Row],[JUMLAH]]="","",(NOTA[[#This Row],[JUMLAH]]-NOTA[[#This Row],[DISC 1-]])*NOTA[[#This Row],[Column7]])</f>
        <v/>
      </c>
      <c r="Y366" s="42" t="str">
        <f>IF(NOTA[[#This Row],[JUMLAH]]="","",(NOTA[[#This Row],[JUMLAH]]-NOTA[[#This Row],[DISC 1-]]-NOTA[[#This Row],[DISC 2-]])*NOTA[[#This Row],[Column8]])</f>
        <v/>
      </c>
      <c r="Z366" s="42" t="str">
        <f>IF(NOTA[[#This Row],[JUMLAH]]="","",NOTA[[#This Row],[DISC 1-]]+NOTA[[#This Row],[DISC 2-]]+NOTA[[#This Row],[DISC 3-]])</f>
        <v/>
      </c>
      <c r="AA366" s="42" t="str">
        <f>IF(NOTA[[#This Row],[JUMLAH]]="","",NOTA[[#This Row],[JUMLAH]]-NOTA[[#This Row],[DISC]])</f>
        <v/>
      </c>
      <c r="AB366" s="42"/>
      <c r="AC3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6" s="42" t="str">
        <f>IF(OR(NOTA[[#This Row],[QTY]]="",NOTA[[#This Row],[HARGA SATUAN]]="",),"",NOTA[[#This Row],[QTY]]*NOTA[[#This Row],[HARGA SATUAN]])</f>
        <v/>
      </c>
      <c r="AG366" s="36" t="str">
        <f ca="1">IF(NOTA[[#This Row],[ID_H]]="","",INDEX(NOTA[TANGGAL],MATCH(,INDIRECT(ADDRESS(ROW(NOTA[TANGGAL]),COLUMN(NOTA[TANGGAL]))&amp;":"&amp;ADDRESS(ROW(),COLUMN(NOTA[TANGGAL]))),-1)))</f>
        <v/>
      </c>
      <c r="AH366" s="36" t="str">
        <f ca="1">IF(NOTA[[#This Row],[ID_H]]="","",INDEX(NOTA[TGL.NOTA],MATCH(,INDIRECT(ADDRESS(ROW(NOTA[TGL.NOTA]),COLUMN(NOTA[TGL.NOTA]))&amp;":"&amp;ADDRESS(ROW(),COLUMN(NOTA[TGL.NOTA]))),-1)))</f>
        <v/>
      </c>
      <c r="AI366" s="36" t="str">
        <f ca="1">IF(NOTA[[#This Row],[ID_H]]="","",INDEX(NOTA[NO.NOTA],MATCH(NOTA[[#This Row],[ID_H]],NOTA[ID_H],0)))</f>
        <v/>
      </c>
      <c r="AJ366" s="38" t="str">
        <f ca="1">IF(NOTA[[#This Row],[NAMA BARANG]]="","",INDEX(NOTA[SUPPLIER],MATCH(,INDIRECT(ADDRESS(ROW(NOTA[ID]),COLUMN(NOTA[ID]))&amp;":"&amp;ADDRESS(ROW(),COLUMN(NOTA[ID]))),-1)))</f>
        <v/>
      </c>
      <c r="AK366" s="38" t="str">
        <f ca="1">IF(NOTA[[#This Row],[ID_H]]="","",IF(NOTA[[#This Row],[FAKTUR]]="",INDIRECT(ADDRESS(ROW()-1,COLUMN())),NOTA[[#This Row],[FAKTUR]]))</f>
        <v/>
      </c>
      <c r="AL366" s="35" t="str">
        <f ca="1">IF(NOTA[[#This Row],[ID]]="","",COUNTIF(NOTA[ID_H],NOTA[[#This Row],[ID_H]]))</f>
        <v/>
      </c>
      <c r="AM366" s="35" t="str">
        <f ca="1">IF(NOTA[[#This Row],[TGL.NOTA]]="",IF(NOTA[[#This Row],[SUPPLIER_H]]="","",AM365),MONTH(NOTA[[#This Row],[TGL.NOTA]]))</f>
        <v/>
      </c>
      <c r="AN3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6" s="35" t="str">
        <f>IF(NOTA[[#This Row],[CONCAT1]]="","",MATCH(NOTA[[#This Row],[CONCAT1]],[3]!db[NB NOTA_C],0))</f>
        <v/>
      </c>
      <c r="AS366" s="35" t="str">
        <f>IF(NOTA[[#This Row],[Column5]]="","",TRUE)</f>
        <v/>
      </c>
      <c r="AT366" s="35" t="str">
        <f ca="1">IF(NOTA[[#This Row],[ID_H]]="","",IF(NOTA[[#This Row],[Column3]]=TRUE,NOTA[[#This Row],[Column5]],INDEX([3]!db[QTY/ CTN],NOTA[[#This Row],[//DB]])))</f>
        <v/>
      </c>
      <c r="AU3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6" s="35" t="str">
        <f ca="1">IF(NOTA[[#This Row],[ID_H]]="","",MATCH(NOTA[[#This Row],[NB NOTA_C_QTY]],[3]!db[NB NOTA_C_QTY+F],0))</f>
        <v/>
      </c>
      <c r="AW366" s="43" t="str">
        <f ca="1">IF(NOTA[[#This Row],[NB NOTA_C_QTY]]="","",ROW()-2)</f>
        <v/>
      </c>
    </row>
    <row r="367" spans="1:49" ht="20.100000000000001" customHeight="1">
      <c r="A3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5" t="str">
        <f ca="1">IF(NOTA[[#This Row],[NAMA BARANG]]="","",INDEX(NOTA[ID],MATCH(,INDIRECT(ADDRESS(ROW(NOTA[ID]),COLUMN(NOTA[ID]))&amp;":"&amp;ADDRESS(ROW(),COLUMN(NOTA[ID]))),-1)))</f>
        <v/>
      </c>
      <c r="C367" s="45"/>
      <c r="F367" s="46"/>
      <c r="G367" s="35"/>
      <c r="H367" s="36"/>
      <c r="I367" s="35"/>
      <c r="K367" s="37"/>
      <c r="L367" s="35"/>
      <c r="N367" s="38"/>
      <c r="O367" s="39"/>
      <c r="P367" s="47"/>
      <c r="Q367" s="48"/>
      <c r="R367" s="41"/>
      <c r="T367" s="42"/>
      <c r="U367" s="44"/>
      <c r="V367" s="42" t="str">
        <f>IF(NOTA[[#This Row],[HARGA/ CTN]]="",NOTA[[#This Row],[JUMLAH_H]],NOTA[[#This Row],[HARGA/ CTN]]*IF(NOTA[[#This Row],[C]]="",0,NOTA[[#This Row],[C]]))</f>
        <v/>
      </c>
      <c r="W367" s="42" t="str">
        <f>IF(NOTA[[#This Row],[JUMLAH]]="","",NOTA[[#This Row],[JUMLAH]]*NOTA[[#This Row],[Column6]])</f>
        <v/>
      </c>
      <c r="X367" s="42" t="str">
        <f>IF(NOTA[[#This Row],[JUMLAH]]="","",(NOTA[[#This Row],[JUMLAH]]-NOTA[[#This Row],[DISC 1-]])*NOTA[[#This Row],[Column7]])</f>
        <v/>
      </c>
      <c r="Y367" s="42" t="str">
        <f>IF(NOTA[[#This Row],[JUMLAH]]="","",(NOTA[[#This Row],[JUMLAH]]-NOTA[[#This Row],[DISC 1-]]-NOTA[[#This Row],[DISC 2-]])*NOTA[[#This Row],[Column8]])</f>
        <v/>
      </c>
      <c r="Z367" s="42" t="str">
        <f>IF(NOTA[[#This Row],[JUMLAH]]="","",NOTA[[#This Row],[DISC 1-]]+NOTA[[#This Row],[DISC 2-]]+NOTA[[#This Row],[DISC 3-]])</f>
        <v/>
      </c>
      <c r="AA367" s="42" t="str">
        <f>IF(NOTA[[#This Row],[JUMLAH]]="","",NOTA[[#This Row],[JUMLAH]]-NOTA[[#This Row],[DISC]])</f>
        <v/>
      </c>
      <c r="AB367" s="42"/>
      <c r="AC3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7" s="42" t="str">
        <f>IF(OR(NOTA[[#This Row],[QTY]]="",NOTA[[#This Row],[HARGA SATUAN]]="",),"",NOTA[[#This Row],[QTY]]*NOTA[[#This Row],[HARGA SATUAN]])</f>
        <v/>
      </c>
      <c r="AG367" s="36" t="str">
        <f ca="1">IF(NOTA[[#This Row],[ID_H]]="","",INDEX(NOTA[TANGGAL],MATCH(,INDIRECT(ADDRESS(ROW(NOTA[TANGGAL]),COLUMN(NOTA[TANGGAL]))&amp;":"&amp;ADDRESS(ROW(),COLUMN(NOTA[TANGGAL]))),-1)))</f>
        <v/>
      </c>
      <c r="AH367" s="36" t="str">
        <f ca="1">IF(NOTA[[#This Row],[ID_H]]="","",INDEX(NOTA[TGL.NOTA],MATCH(,INDIRECT(ADDRESS(ROW(NOTA[TGL.NOTA]),COLUMN(NOTA[TGL.NOTA]))&amp;":"&amp;ADDRESS(ROW(),COLUMN(NOTA[TGL.NOTA]))),-1)))</f>
        <v/>
      </c>
      <c r="AI367" s="36" t="str">
        <f ca="1">IF(NOTA[[#This Row],[ID_H]]="","",INDEX(NOTA[NO.NOTA],MATCH(NOTA[[#This Row],[ID_H]],NOTA[ID_H],0)))</f>
        <v/>
      </c>
      <c r="AJ367" s="38" t="str">
        <f ca="1">IF(NOTA[[#This Row],[NAMA BARANG]]="","",INDEX(NOTA[SUPPLIER],MATCH(,INDIRECT(ADDRESS(ROW(NOTA[ID]),COLUMN(NOTA[ID]))&amp;":"&amp;ADDRESS(ROW(),COLUMN(NOTA[ID]))),-1)))</f>
        <v/>
      </c>
      <c r="AK367" s="38" t="str">
        <f ca="1">IF(NOTA[[#This Row],[ID_H]]="","",IF(NOTA[[#This Row],[FAKTUR]]="",INDIRECT(ADDRESS(ROW()-1,COLUMN())),NOTA[[#This Row],[FAKTUR]]))</f>
        <v/>
      </c>
      <c r="AL367" s="35" t="str">
        <f ca="1">IF(NOTA[[#This Row],[ID]]="","",COUNTIF(NOTA[ID_H],NOTA[[#This Row],[ID_H]]))</f>
        <v/>
      </c>
      <c r="AM367" s="35" t="str">
        <f ca="1">IF(NOTA[[#This Row],[TGL.NOTA]]="",IF(NOTA[[#This Row],[SUPPLIER_H]]="","",AM366),MONTH(NOTA[[#This Row],[TGL.NOTA]]))</f>
        <v/>
      </c>
      <c r="AN3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7" s="35" t="str">
        <f>IF(NOTA[[#This Row],[CONCAT1]]="","",MATCH(NOTA[[#This Row],[CONCAT1]],[3]!db[NB NOTA_C],0))</f>
        <v/>
      </c>
      <c r="AS367" s="35" t="str">
        <f>IF(NOTA[[#This Row],[Column5]]="","",TRUE)</f>
        <v/>
      </c>
      <c r="AT367" s="35" t="str">
        <f ca="1">IF(NOTA[[#This Row],[ID_H]]="","",IF(NOTA[[#This Row],[Column3]]=TRUE,NOTA[[#This Row],[Column5]],INDEX([3]!db[QTY/ CTN],NOTA[[#This Row],[//DB]])))</f>
        <v/>
      </c>
      <c r="AU3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7" s="35" t="str">
        <f ca="1">IF(NOTA[[#This Row],[ID_H]]="","",MATCH(NOTA[[#This Row],[NB NOTA_C_QTY]],[3]!db[NB NOTA_C_QTY+F],0))</f>
        <v/>
      </c>
      <c r="AW367" s="43" t="str">
        <f ca="1">IF(NOTA[[#This Row],[NB NOTA_C_QTY]]="","",ROW()-2)</f>
        <v/>
      </c>
    </row>
    <row r="368" spans="1:49" ht="20.100000000000001" customHeight="1">
      <c r="A3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5" t="str">
        <f ca="1">IF(NOTA[[#This Row],[NAMA BARANG]]="","",INDEX(NOTA[ID],MATCH(,INDIRECT(ADDRESS(ROW(NOTA[ID]),COLUMN(NOTA[ID]))&amp;":"&amp;ADDRESS(ROW(),COLUMN(NOTA[ID]))),-1)))</f>
        <v/>
      </c>
      <c r="C368" s="45"/>
      <c r="F368" s="46"/>
      <c r="G368" s="35"/>
      <c r="H368" s="36"/>
      <c r="I368" s="35"/>
      <c r="K368" s="37"/>
      <c r="L368" s="35"/>
      <c r="N368" s="38"/>
      <c r="O368" s="39"/>
      <c r="P368" s="47"/>
      <c r="Q368" s="48"/>
      <c r="R368" s="41"/>
      <c r="T368" s="42"/>
      <c r="U368" s="44"/>
      <c r="V368" s="42" t="str">
        <f>IF(NOTA[[#This Row],[HARGA/ CTN]]="",NOTA[[#This Row],[JUMLAH_H]],NOTA[[#This Row],[HARGA/ CTN]]*IF(NOTA[[#This Row],[C]]="",0,NOTA[[#This Row],[C]]))</f>
        <v/>
      </c>
      <c r="W368" s="42" t="str">
        <f>IF(NOTA[[#This Row],[JUMLAH]]="","",NOTA[[#This Row],[JUMLAH]]*NOTA[[#This Row],[Column6]])</f>
        <v/>
      </c>
      <c r="X368" s="42" t="str">
        <f>IF(NOTA[[#This Row],[JUMLAH]]="","",(NOTA[[#This Row],[JUMLAH]]-NOTA[[#This Row],[DISC 1-]])*NOTA[[#This Row],[Column7]])</f>
        <v/>
      </c>
      <c r="Y368" s="42" t="str">
        <f>IF(NOTA[[#This Row],[JUMLAH]]="","",(NOTA[[#This Row],[JUMLAH]]-NOTA[[#This Row],[DISC 1-]]-NOTA[[#This Row],[DISC 2-]])*NOTA[[#This Row],[Column8]])</f>
        <v/>
      </c>
      <c r="Z368" s="42" t="str">
        <f>IF(NOTA[[#This Row],[JUMLAH]]="","",NOTA[[#This Row],[DISC 1-]]+NOTA[[#This Row],[DISC 2-]]+NOTA[[#This Row],[DISC 3-]])</f>
        <v/>
      </c>
      <c r="AA368" s="42" t="str">
        <f>IF(NOTA[[#This Row],[JUMLAH]]="","",NOTA[[#This Row],[JUMLAH]]-NOTA[[#This Row],[DISC]])</f>
        <v/>
      </c>
      <c r="AB368" s="42"/>
      <c r="AC3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8" s="42" t="str">
        <f>IF(OR(NOTA[[#This Row],[QTY]]="",NOTA[[#This Row],[HARGA SATUAN]]="",),"",NOTA[[#This Row],[QTY]]*NOTA[[#This Row],[HARGA SATUAN]])</f>
        <v/>
      </c>
      <c r="AG368" s="36" t="str">
        <f ca="1">IF(NOTA[[#This Row],[ID_H]]="","",INDEX(NOTA[TANGGAL],MATCH(,INDIRECT(ADDRESS(ROW(NOTA[TANGGAL]),COLUMN(NOTA[TANGGAL]))&amp;":"&amp;ADDRESS(ROW(),COLUMN(NOTA[TANGGAL]))),-1)))</f>
        <v/>
      </c>
      <c r="AH368" s="36" t="str">
        <f ca="1">IF(NOTA[[#This Row],[ID_H]]="","",INDEX(NOTA[TGL.NOTA],MATCH(,INDIRECT(ADDRESS(ROW(NOTA[TGL.NOTA]),COLUMN(NOTA[TGL.NOTA]))&amp;":"&amp;ADDRESS(ROW(),COLUMN(NOTA[TGL.NOTA]))),-1)))</f>
        <v/>
      </c>
      <c r="AI368" s="36" t="str">
        <f ca="1">IF(NOTA[[#This Row],[ID_H]]="","",INDEX(NOTA[NO.NOTA],MATCH(NOTA[[#This Row],[ID_H]],NOTA[ID_H],0)))</f>
        <v/>
      </c>
      <c r="AJ368" s="38" t="str">
        <f ca="1">IF(NOTA[[#This Row],[NAMA BARANG]]="","",INDEX(NOTA[SUPPLIER],MATCH(,INDIRECT(ADDRESS(ROW(NOTA[ID]),COLUMN(NOTA[ID]))&amp;":"&amp;ADDRESS(ROW(),COLUMN(NOTA[ID]))),-1)))</f>
        <v/>
      </c>
      <c r="AK368" s="38" t="str">
        <f ca="1">IF(NOTA[[#This Row],[ID_H]]="","",IF(NOTA[[#This Row],[FAKTUR]]="",INDIRECT(ADDRESS(ROW()-1,COLUMN())),NOTA[[#This Row],[FAKTUR]]))</f>
        <v/>
      </c>
      <c r="AL368" s="35" t="str">
        <f ca="1">IF(NOTA[[#This Row],[ID]]="","",COUNTIF(NOTA[ID_H],NOTA[[#This Row],[ID_H]]))</f>
        <v/>
      </c>
      <c r="AM368" s="35" t="str">
        <f ca="1">IF(NOTA[[#This Row],[TGL.NOTA]]="",IF(NOTA[[#This Row],[SUPPLIER_H]]="","",AM367),MONTH(NOTA[[#This Row],[TGL.NOTA]]))</f>
        <v/>
      </c>
      <c r="AN3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8" s="35" t="str">
        <f>IF(NOTA[[#This Row],[CONCAT1]]="","",MATCH(NOTA[[#This Row],[CONCAT1]],[3]!db[NB NOTA_C],0))</f>
        <v/>
      </c>
      <c r="AS368" s="35" t="str">
        <f>IF(NOTA[[#This Row],[Column5]]="","",TRUE)</f>
        <v/>
      </c>
      <c r="AT368" s="35" t="str">
        <f ca="1">IF(NOTA[[#This Row],[ID_H]]="","",IF(NOTA[[#This Row],[Column3]]=TRUE,NOTA[[#This Row],[Column5]],INDEX([3]!db[QTY/ CTN],NOTA[[#This Row],[//DB]])))</f>
        <v/>
      </c>
      <c r="AU3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8" s="35" t="str">
        <f ca="1">IF(NOTA[[#This Row],[ID_H]]="","",MATCH(NOTA[[#This Row],[NB NOTA_C_QTY]],[3]!db[NB NOTA_C_QTY+F],0))</f>
        <v/>
      </c>
      <c r="AW368" s="43" t="str">
        <f ca="1">IF(NOTA[[#This Row],[NB NOTA_C_QTY]]="","",ROW()-2)</f>
        <v/>
      </c>
    </row>
    <row r="369" spans="1:49" ht="20.100000000000001" customHeight="1">
      <c r="A3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5" t="str">
        <f ca="1">IF(NOTA[[#This Row],[NAMA BARANG]]="","",INDEX(NOTA[ID],MATCH(,INDIRECT(ADDRESS(ROW(NOTA[ID]),COLUMN(NOTA[ID]))&amp;":"&amp;ADDRESS(ROW(),COLUMN(NOTA[ID]))),-1)))</f>
        <v/>
      </c>
      <c r="C369" s="45"/>
      <c r="F369" s="46"/>
      <c r="G369" s="35"/>
      <c r="H369" s="36"/>
      <c r="I369" s="35"/>
      <c r="K369" s="37"/>
      <c r="L369" s="35"/>
      <c r="N369" s="38"/>
      <c r="O369" s="39"/>
      <c r="P369" s="47"/>
      <c r="Q369" s="48"/>
      <c r="R369" s="41"/>
      <c r="T369" s="42"/>
      <c r="U369" s="44"/>
      <c r="V369" s="42" t="str">
        <f>IF(NOTA[[#This Row],[HARGA/ CTN]]="",NOTA[[#This Row],[JUMLAH_H]],NOTA[[#This Row],[HARGA/ CTN]]*IF(NOTA[[#This Row],[C]]="",0,NOTA[[#This Row],[C]]))</f>
        <v/>
      </c>
      <c r="W369" s="42" t="str">
        <f>IF(NOTA[[#This Row],[JUMLAH]]="","",NOTA[[#This Row],[JUMLAH]]*NOTA[[#This Row],[Column6]])</f>
        <v/>
      </c>
      <c r="X369" s="42" t="str">
        <f>IF(NOTA[[#This Row],[JUMLAH]]="","",(NOTA[[#This Row],[JUMLAH]]-NOTA[[#This Row],[DISC 1-]])*NOTA[[#This Row],[Column7]])</f>
        <v/>
      </c>
      <c r="Y369" s="42" t="str">
        <f>IF(NOTA[[#This Row],[JUMLAH]]="","",(NOTA[[#This Row],[JUMLAH]]-NOTA[[#This Row],[DISC 1-]]-NOTA[[#This Row],[DISC 2-]])*NOTA[[#This Row],[Column8]])</f>
        <v/>
      </c>
      <c r="Z369" s="42" t="str">
        <f>IF(NOTA[[#This Row],[JUMLAH]]="","",NOTA[[#This Row],[DISC 1-]]+NOTA[[#This Row],[DISC 2-]]+NOTA[[#This Row],[DISC 3-]])</f>
        <v/>
      </c>
      <c r="AA369" s="42" t="str">
        <f>IF(NOTA[[#This Row],[JUMLAH]]="","",NOTA[[#This Row],[JUMLAH]]-NOTA[[#This Row],[DISC]])</f>
        <v/>
      </c>
      <c r="AB369" s="42"/>
      <c r="AC3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42" t="str">
        <f>IF(OR(NOTA[[#This Row],[QTY]]="",NOTA[[#This Row],[HARGA SATUAN]]="",),"",NOTA[[#This Row],[QTY]]*NOTA[[#This Row],[HARGA SATUAN]])</f>
        <v/>
      </c>
      <c r="AG369" s="36" t="str">
        <f ca="1">IF(NOTA[[#This Row],[ID_H]]="","",INDEX(NOTA[TANGGAL],MATCH(,INDIRECT(ADDRESS(ROW(NOTA[TANGGAL]),COLUMN(NOTA[TANGGAL]))&amp;":"&amp;ADDRESS(ROW(),COLUMN(NOTA[TANGGAL]))),-1)))</f>
        <v/>
      </c>
      <c r="AH369" s="36" t="str">
        <f ca="1">IF(NOTA[[#This Row],[ID_H]]="","",INDEX(NOTA[TGL.NOTA],MATCH(,INDIRECT(ADDRESS(ROW(NOTA[TGL.NOTA]),COLUMN(NOTA[TGL.NOTA]))&amp;":"&amp;ADDRESS(ROW(),COLUMN(NOTA[TGL.NOTA]))),-1)))</f>
        <v/>
      </c>
      <c r="AI369" s="36" t="str">
        <f ca="1">IF(NOTA[[#This Row],[ID_H]]="","",INDEX(NOTA[NO.NOTA],MATCH(NOTA[[#This Row],[ID_H]],NOTA[ID_H],0)))</f>
        <v/>
      </c>
      <c r="AJ369" s="38" t="str">
        <f ca="1">IF(NOTA[[#This Row],[NAMA BARANG]]="","",INDEX(NOTA[SUPPLIER],MATCH(,INDIRECT(ADDRESS(ROW(NOTA[ID]),COLUMN(NOTA[ID]))&amp;":"&amp;ADDRESS(ROW(),COLUMN(NOTA[ID]))),-1)))</f>
        <v/>
      </c>
      <c r="AK369" s="38" t="str">
        <f ca="1">IF(NOTA[[#This Row],[ID_H]]="","",IF(NOTA[[#This Row],[FAKTUR]]="",INDIRECT(ADDRESS(ROW()-1,COLUMN())),NOTA[[#This Row],[FAKTUR]]))</f>
        <v/>
      </c>
      <c r="AL369" s="35" t="str">
        <f ca="1">IF(NOTA[[#This Row],[ID]]="","",COUNTIF(NOTA[ID_H],NOTA[[#This Row],[ID_H]]))</f>
        <v/>
      </c>
      <c r="AM369" s="35" t="str">
        <f ca="1">IF(NOTA[[#This Row],[TGL.NOTA]]="",IF(NOTA[[#This Row],[SUPPLIER_H]]="","",AM368),MONTH(NOTA[[#This Row],[TGL.NOTA]]))</f>
        <v/>
      </c>
      <c r="AN3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9" s="35" t="str">
        <f>IF(NOTA[[#This Row],[CONCAT1]]="","",MATCH(NOTA[[#This Row],[CONCAT1]],[3]!db[NB NOTA_C],0))</f>
        <v/>
      </c>
      <c r="AS369" s="35" t="str">
        <f>IF(NOTA[[#This Row],[Column5]]="","",TRUE)</f>
        <v/>
      </c>
      <c r="AT369" s="35" t="str">
        <f ca="1">IF(NOTA[[#This Row],[ID_H]]="","",IF(NOTA[[#This Row],[Column3]]=TRUE,NOTA[[#This Row],[Column5]],INDEX([3]!db[QTY/ CTN],NOTA[[#This Row],[//DB]])))</f>
        <v/>
      </c>
      <c r="AU3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69" s="35" t="str">
        <f ca="1">IF(NOTA[[#This Row],[ID_H]]="","",MATCH(NOTA[[#This Row],[NB NOTA_C_QTY]],[3]!db[NB NOTA_C_QTY+F],0))</f>
        <v/>
      </c>
      <c r="AW369" s="43" t="str">
        <f ca="1">IF(NOTA[[#This Row],[NB NOTA_C_QTY]]="","",ROW()-2)</f>
        <v/>
      </c>
    </row>
    <row r="370" spans="1:49" ht="20.100000000000001" customHeight="1">
      <c r="A3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5" t="str">
        <f ca="1">IF(NOTA[[#This Row],[NAMA BARANG]]="","",INDEX(NOTA[ID],MATCH(,INDIRECT(ADDRESS(ROW(NOTA[ID]),COLUMN(NOTA[ID]))&amp;":"&amp;ADDRESS(ROW(),COLUMN(NOTA[ID]))),-1)))</f>
        <v/>
      </c>
      <c r="C370" s="45"/>
      <c r="F370" s="46"/>
      <c r="G370" s="35"/>
      <c r="H370" s="36"/>
      <c r="I370" s="35"/>
      <c r="K370" s="37"/>
      <c r="L370" s="35"/>
      <c r="N370" s="38"/>
      <c r="O370" s="39"/>
      <c r="P370" s="47"/>
      <c r="Q370" s="48"/>
      <c r="R370" s="41"/>
      <c r="T370" s="42"/>
      <c r="U370" s="44"/>
      <c r="V370" s="42" t="str">
        <f>IF(NOTA[[#This Row],[HARGA/ CTN]]="",NOTA[[#This Row],[JUMLAH_H]],NOTA[[#This Row],[HARGA/ CTN]]*IF(NOTA[[#This Row],[C]]="",0,NOTA[[#This Row],[C]]))</f>
        <v/>
      </c>
      <c r="W370" s="42" t="str">
        <f>IF(NOTA[[#This Row],[JUMLAH]]="","",NOTA[[#This Row],[JUMLAH]]*NOTA[[#This Row],[Column6]])</f>
        <v/>
      </c>
      <c r="X370" s="42" t="str">
        <f>IF(NOTA[[#This Row],[JUMLAH]]="","",(NOTA[[#This Row],[JUMLAH]]-NOTA[[#This Row],[DISC 1-]])*NOTA[[#This Row],[Column7]])</f>
        <v/>
      </c>
      <c r="Y370" s="42" t="str">
        <f>IF(NOTA[[#This Row],[JUMLAH]]="","",(NOTA[[#This Row],[JUMLAH]]-NOTA[[#This Row],[DISC 1-]]-NOTA[[#This Row],[DISC 2-]])*NOTA[[#This Row],[Column8]])</f>
        <v/>
      </c>
      <c r="Z370" s="42" t="str">
        <f>IF(NOTA[[#This Row],[JUMLAH]]="","",NOTA[[#This Row],[DISC 1-]]+NOTA[[#This Row],[DISC 2-]]+NOTA[[#This Row],[DISC 3-]])</f>
        <v/>
      </c>
      <c r="AA370" s="42" t="str">
        <f>IF(NOTA[[#This Row],[JUMLAH]]="","",NOTA[[#This Row],[JUMLAH]]-NOTA[[#This Row],[DISC]])</f>
        <v/>
      </c>
      <c r="AB370" s="42"/>
      <c r="AC3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0" s="42" t="str">
        <f>IF(OR(NOTA[[#This Row],[QTY]]="",NOTA[[#This Row],[HARGA SATUAN]]="",),"",NOTA[[#This Row],[QTY]]*NOTA[[#This Row],[HARGA SATUAN]])</f>
        <v/>
      </c>
      <c r="AG370" s="36" t="str">
        <f ca="1">IF(NOTA[[#This Row],[ID_H]]="","",INDEX(NOTA[TANGGAL],MATCH(,INDIRECT(ADDRESS(ROW(NOTA[TANGGAL]),COLUMN(NOTA[TANGGAL]))&amp;":"&amp;ADDRESS(ROW(),COLUMN(NOTA[TANGGAL]))),-1)))</f>
        <v/>
      </c>
      <c r="AH370" s="36" t="str">
        <f ca="1">IF(NOTA[[#This Row],[ID_H]]="","",INDEX(NOTA[TGL.NOTA],MATCH(,INDIRECT(ADDRESS(ROW(NOTA[TGL.NOTA]),COLUMN(NOTA[TGL.NOTA]))&amp;":"&amp;ADDRESS(ROW(),COLUMN(NOTA[TGL.NOTA]))),-1)))</f>
        <v/>
      </c>
      <c r="AI370" s="36" t="str">
        <f ca="1">IF(NOTA[[#This Row],[ID_H]]="","",INDEX(NOTA[NO.NOTA],MATCH(NOTA[[#This Row],[ID_H]],NOTA[ID_H],0)))</f>
        <v/>
      </c>
      <c r="AJ370" s="38" t="str">
        <f ca="1">IF(NOTA[[#This Row],[NAMA BARANG]]="","",INDEX(NOTA[SUPPLIER],MATCH(,INDIRECT(ADDRESS(ROW(NOTA[ID]),COLUMN(NOTA[ID]))&amp;":"&amp;ADDRESS(ROW(),COLUMN(NOTA[ID]))),-1)))</f>
        <v/>
      </c>
      <c r="AK370" s="38" t="str">
        <f ca="1">IF(NOTA[[#This Row],[ID_H]]="","",IF(NOTA[[#This Row],[FAKTUR]]="",INDIRECT(ADDRESS(ROW()-1,COLUMN())),NOTA[[#This Row],[FAKTUR]]))</f>
        <v/>
      </c>
      <c r="AL370" s="35" t="str">
        <f ca="1">IF(NOTA[[#This Row],[ID]]="","",COUNTIF(NOTA[ID_H],NOTA[[#This Row],[ID_H]]))</f>
        <v/>
      </c>
      <c r="AM370" s="35" t="str">
        <f ca="1">IF(NOTA[[#This Row],[TGL.NOTA]]="",IF(NOTA[[#This Row],[SUPPLIER_H]]="","",AM369),MONTH(NOTA[[#This Row],[TGL.NOTA]]))</f>
        <v/>
      </c>
      <c r="AN3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0" s="35" t="str">
        <f>IF(NOTA[[#This Row],[CONCAT1]]="","",MATCH(NOTA[[#This Row],[CONCAT1]],[3]!db[NB NOTA_C],0))</f>
        <v/>
      </c>
      <c r="AS370" s="35" t="str">
        <f>IF(NOTA[[#This Row],[Column5]]="","",TRUE)</f>
        <v/>
      </c>
      <c r="AT370" s="35" t="str">
        <f ca="1">IF(NOTA[[#This Row],[ID_H]]="","",IF(NOTA[[#This Row],[Column3]]=TRUE,NOTA[[#This Row],[Column5]],INDEX([3]!db[QTY/ CTN],NOTA[[#This Row],[//DB]])))</f>
        <v/>
      </c>
      <c r="AU3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0" s="35" t="str">
        <f ca="1">IF(NOTA[[#This Row],[ID_H]]="","",MATCH(NOTA[[#This Row],[NB NOTA_C_QTY]],[3]!db[NB NOTA_C_QTY+F],0))</f>
        <v/>
      </c>
      <c r="AW370" s="43" t="str">
        <f ca="1">IF(NOTA[[#This Row],[NB NOTA_C_QTY]]="","",ROW()-2)</f>
        <v/>
      </c>
    </row>
    <row r="371" spans="1:49" ht="20.100000000000001" customHeight="1">
      <c r="A3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5" t="str">
        <f ca="1">IF(NOTA[[#This Row],[NAMA BARANG]]="","",INDEX(NOTA[ID],MATCH(,INDIRECT(ADDRESS(ROW(NOTA[ID]),COLUMN(NOTA[ID]))&amp;":"&amp;ADDRESS(ROW(),COLUMN(NOTA[ID]))),-1)))</f>
        <v/>
      </c>
      <c r="C371" s="45"/>
      <c r="F371" s="46"/>
      <c r="G371" s="35"/>
      <c r="H371" s="36"/>
      <c r="I371" s="35"/>
      <c r="K371" s="37"/>
      <c r="L371" s="35"/>
      <c r="N371" s="38"/>
      <c r="O371" s="39"/>
      <c r="P371" s="47"/>
      <c r="Q371" s="48"/>
      <c r="R371" s="41"/>
      <c r="T371" s="42"/>
      <c r="U371" s="44"/>
      <c r="V371" s="42" t="str">
        <f>IF(NOTA[[#This Row],[HARGA/ CTN]]="",NOTA[[#This Row],[JUMLAH_H]],NOTA[[#This Row],[HARGA/ CTN]]*IF(NOTA[[#This Row],[C]]="",0,NOTA[[#This Row],[C]]))</f>
        <v/>
      </c>
      <c r="W371" s="42" t="str">
        <f>IF(NOTA[[#This Row],[JUMLAH]]="","",NOTA[[#This Row],[JUMLAH]]*NOTA[[#This Row],[Column6]])</f>
        <v/>
      </c>
      <c r="X371" s="42" t="str">
        <f>IF(NOTA[[#This Row],[JUMLAH]]="","",(NOTA[[#This Row],[JUMLAH]]-NOTA[[#This Row],[DISC 1-]])*NOTA[[#This Row],[Column7]])</f>
        <v/>
      </c>
      <c r="Y371" s="42" t="str">
        <f>IF(NOTA[[#This Row],[JUMLAH]]="","",(NOTA[[#This Row],[JUMLAH]]-NOTA[[#This Row],[DISC 1-]]-NOTA[[#This Row],[DISC 2-]])*NOTA[[#This Row],[Column8]])</f>
        <v/>
      </c>
      <c r="Z371" s="42" t="str">
        <f>IF(NOTA[[#This Row],[JUMLAH]]="","",NOTA[[#This Row],[DISC 1-]]+NOTA[[#This Row],[DISC 2-]]+NOTA[[#This Row],[DISC 3-]])</f>
        <v/>
      </c>
      <c r="AA371" s="42" t="str">
        <f>IF(NOTA[[#This Row],[JUMLAH]]="","",NOTA[[#This Row],[JUMLAH]]-NOTA[[#This Row],[DISC]])</f>
        <v/>
      </c>
      <c r="AB371" s="42"/>
      <c r="AC3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1" s="42" t="str">
        <f>IF(OR(NOTA[[#This Row],[QTY]]="",NOTA[[#This Row],[HARGA SATUAN]]="",),"",NOTA[[#This Row],[QTY]]*NOTA[[#This Row],[HARGA SATUAN]])</f>
        <v/>
      </c>
      <c r="AG371" s="36" t="str">
        <f ca="1">IF(NOTA[[#This Row],[ID_H]]="","",INDEX(NOTA[TANGGAL],MATCH(,INDIRECT(ADDRESS(ROW(NOTA[TANGGAL]),COLUMN(NOTA[TANGGAL]))&amp;":"&amp;ADDRESS(ROW(),COLUMN(NOTA[TANGGAL]))),-1)))</f>
        <v/>
      </c>
      <c r="AH371" s="36" t="str">
        <f ca="1">IF(NOTA[[#This Row],[ID_H]]="","",INDEX(NOTA[TGL.NOTA],MATCH(,INDIRECT(ADDRESS(ROW(NOTA[TGL.NOTA]),COLUMN(NOTA[TGL.NOTA]))&amp;":"&amp;ADDRESS(ROW(),COLUMN(NOTA[TGL.NOTA]))),-1)))</f>
        <v/>
      </c>
      <c r="AI371" s="36" t="str">
        <f ca="1">IF(NOTA[[#This Row],[ID_H]]="","",INDEX(NOTA[NO.NOTA],MATCH(NOTA[[#This Row],[ID_H]],NOTA[ID_H],0)))</f>
        <v/>
      </c>
      <c r="AJ371" s="38" t="str">
        <f ca="1">IF(NOTA[[#This Row],[NAMA BARANG]]="","",INDEX(NOTA[SUPPLIER],MATCH(,INDIRECT(ADDRESS(ROW(NOTA[ID]),COLUMN(NOTA[ID]))&amp;":"&amp;ADDRESS(ROW(),COLUMN(NOTA[ID]))),-1)))</f>
        <v/>
      </c>
      <c r="AK371" s="38" t="str">
        <f ca="1">IF(NOTA[[#This Row],[ID_H]]="","",IF(NOTA[[#This Row],[FAKTUR]]="",INDIRECT(ADDRESS(ROW()-1,COLUMN())),NOTA[[#This Row],[FAKTUR]]))</f>
        <v/>
      </c>
      <c r="AL371" s="35" t="str">
        <f ca="1">IF(NOTA[[#This Row],[ID]]="","",COUNTIF(NOTA[ID_H],NOTA[[#This Row],[ID_H]]))</f>
        <v/>
      </c>
      <c r="AM371" s="35" t="str">
        <f ca="1">IF(NOTA[[#This Row],[TGL.NOTA]]="",IF(NOTA[[#This Row],[SUPPLIER_H]]="","",AM370),MONTH(NOTA[[#This Row],[TGL.NOTA]]))</f>
        <v/>
      </c>
      <c r="AN3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1" s="35" t="str">
        <f>IF(NOTA[[#This Row],[CONCAT1]]="","",MATCH(NOTA[[#This Row],[CONCAT1]],[3]!db[NB NOTA_C],0))</f>
        <v/>
      </c>
      <c r="AS371" s="35" t="str">
        <f>IF(NOTA[[#This Row],[Column5]]="","",TRUE)</f>
        <v/>
      </c>
      <c r="AT371" s="35" t="str">
        <f ca="1">IF(NOTA[[#This Row],[ID_H]]="","",IF(NOTA[[#This Row],[Column3]]=TRUE,NOTA[[#This Row],[Column5]],INDEX([3]!db[QTY/ CTN],NOTA[[#This Row],[//DB]])))</f>
        <v/>
      </c>
      <c r="AU3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1" s="35" t="str">
        <f ca="1">IF(NOTA[[#This Row],[ID_H]]="","",MATCH(NOTA[[#This Row],[NB NOTA_C_QTY]],[3]!db[NB NOTA_C_QTY+F],0))</f>
        <v/>
      </c>
      <c r="AW371" s="43" t="str">
        <f ca="1">IF(NOTA[[#This Row],[NB NOTA_C_QTY]]="","",ROW()-2)</f>
        <v/>
      </c>
    </row>
    <row r="372" spans="1:49" ht="20.100000000000001" customHeight="1">
      <c r="A3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5" t="str">
        <f ca="1">IF(NOTA[[#This Row],[NAMA BARANG]]="","",INDEX(NOTA[ID],MATCH(,INDIRECT(ADDRESS(ROW(NOTA[ID]),COLUMN(NOTA[ID]))&amp;":"&amp;ADDRESS(ROW(),COLUMN(NOTA[ID]))),-1)))</f>
        <v/>
      </c>
      <c r="C372" s="45"/>
      <c r="F372" s="46"/>
      <c r="G372" s="35"/>
      <c r="H372" s="36"/>
      <c r="I372" s="35"/>
      <c r="K372" s="37"/>
      <c r="L372" s="35"/>
      <c r="N372" s="38"/>
      <c r="O372" s="39"/>
      <c r="P372" s="47"/>
      <c r="Q372" s="48"/>
      <c r="R372" s="41"/>
      <c r="T372" s="42"/>
      <c r="U372" s="44"/>
      <c r="V372" s="42" t="str">
        <f>IF(NOTA[[#This Row],[HARGA/ CTN]]="",NOTA[[#This Row],[JUMLAH_H]],NOTA[[#This Row],[HARGA/ CTN]]*IF(NOTA[[#This Row],[C]]="",0,NOTA[[#This Row],[C]]))</f>
        <v/>
      </c>
      <c r="W372" s="42" t="str">
        <f>IF(NOTA[[#This Row],[JUMLAH]]="","",NOTA[[#This Row],[JUMLAH]]*NOTA[[#This Row],[Column6]])</f>
        <v/>
      </c>
      <c r="X372" s="42" t="str">
        <f>IF(NOTA[[#This Row],[JUMLAH]]="","",(NOTA[[#This Row],[JUMLAH]]-NOTA[[#This Row],[DISC 1-]])*NOTA[[#This Row],[Column7]])</f>
        <v/>
      </c>
      <c r="Y372" s="42" t="str">
        <f>IF(NOTA[[#This Row],[JUMLAH]]="","",(NOTA[[#This Row],[JUMLAH]]-NOTA[[#This Row],[DISC 1-]]-NOTA[[#This Row],[DISC 2-]])*NOTA[[#This Row],[Column8]])</f>
        <v/>
      </c>
      <c r="Z372" s="42" t="str">
        <f>IF(NOTA[[#This Row],[JUMLAH]]="","",NOTA[[#This Row],[DISC 1-]]+NOTA[[#This Row],[DISC 2-]]+NOTA[[#This Row],[DISC 3-]])</f>
        <v/>
      </c>
      <c r="AA372" s="42" t="str">
        <f>IF(NOTA[[#This Row],[JUMLAH]]="","",NOTA[[#This Row],[JUMLAH]]-NOTA[[#This Row],[DISC]])</f>
        <v/>
      </c>
      <c r="AB372" s="42"/>
      <c r="AC3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42" t="str">
        <f>IF(OR(NOTA[[#This Row],[QTY]]="",NOTA[[#This Row],[HARGA SATUAN]]="",),"",NOTA[[#This Row],[QTY]]*NOTA[[#This Row],[HARGA SATUAN]])</f>
        <v/>
      </c>
      <c r="AG372" s="36" t="str">
        <f ca="1">IF(NOTA[[#This Row],[ID_H]]="","",INDEX(NOTA[TANGGAL],MATCH(,INDIRECT(ADDRESS(ROW(NOTA[TANGGAL]),COLUMN(NOTA[TANGGAL]))&amp;":"&amp;ADDRESS(ROW(),COLUMN(NOTA[TANGGAL]))),-1)))</f>
        <v/>
      </c>
      <c r="AH372" s="36" t="str">
        <f ca="1">IF(NOTA[[#This Row],[ID_H]]="","",INDEX(NOTA[TGL.NOTA],MATCH(,INDIRECT(ADDRESS(ROW(NOTA[TGL.NOTA]),COLUMN(NOTA[TGL.NOTA]))&amp;":"&amp;ADDRESS(ROW(),COLUMN(NOTA[TGL.NOTA]))),-1)))</f>
        <v/>
      </c>
      <c r="AI372" s="36" t="str">
        <f ca="1">IF(NOTA[[#This Row],[ID_H]]="","",INDEX(NOTA[NO.NOTA],MATCH(NOTA[[#This Row],[ID_H]],NOTA[ID_H],0)))</f>
        <v/>
      </c>
      <c r="AJ372" s="38" t="str">
        <f ca="1">IF(NOTA[[#This Row],[NAMA BARANG]]="","",INDEX(NOTA[SUPPLIER],MATCH(,INDIRECT(ADDRESS(ROW(NOTA[ID]),COLUMN(NOTA[ID]))&amp;":"&amp;ADDRESS(ROW(),COLUMN(NOTA[ID]))),-1)))</f>
        <v/>
      </c>
      <c r="AK372" s="38" t="str">
        <f ca="1">IF(NOTA[[#This Row],[ID_H]]="","",IF(NOTA[[#This Row],[FAKTUR]]="",INDIRECT(ADDRESS(ROW()-1,COLUMN())),NOTA[[#This Row],[FAKTUR]]))</f>
        <v/>
      </c>
      <c r="AL372" s="35" t="str">
        <f ca="1">IF(NOTA[[#This Row],[ID]]="","",COUNTIF(NOTA[ID_H],NOTA[[#This Row],[ID_H]]))</f>
        <v/>
      </c>
      <c r="AM372" s="35" t="str">
        <f ca="1">IF(NOTA[[#This Row],[TGL.NOTA]]="",IF(NOTA[[#This Row],[SUPPLIER_H]]="","",AM371),MONTH(NOTA[[#This Row],[TGL.NOTA]]))</f>
        <v/>
      </c>
      <c r="AN3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2" s="35" t="str">
        <f>IF(NOTA[[#This Row],[CONCAT1]]="","",MATCH(NOTA[[#This Row],[CONCAT1]],[3]!db[NB NOTA_C],0))</f>
        <v/>
      </c>
      <c r="AS372" s="35" t="str">
        <f>IF(NOTA[[#This Row],[Column5]]="","",TRUE)</f>
        <v/>
      </c>
      <c r="AT372" s="35" t="str">
        <f ca="1">IF(NOTA[[#This Row],[ID_H]]="","",IF(NOTA[[#This Row],[Column3]]=TRUE,NOTA[[#This Row],[Column5]],INDEX([3]!db[QTY/ CTN],NOTA[[#This Row],[//DB]])))</f>
        <v/>
      </c>
      <c r="AU3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2" s="35" t="str">
        <f ca="1">IF(NOTA[[#This Row],[ID_H]]="","",MATCH(NOTA[[#This Row],[NB NOTA_C_QTY]],[3]!db[NB NOTA_C_QTY+F],0))</f>
        <v/>
      </c>
      <c r="AW372" s="43" t="str">
        <f ca="1">IF(NOTA[[#This Row],[NB NOTA_C_QTY]]="","",ROW()-2)</f>
        <v/>
      </c>
    </row>
    <row r="373" spans="1:49" ht="20.100000000000001" customHeight="1">
      <c r="A3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5" t="str">
        <f ca="1">IF(NOTA[[#This Row],[NAMA BARANG]]="","",INDEX(NOTA[ID],MATCH(,INDIRECT(ADDRESS(ROW(NOTA[ID]),COLUMN(NOTA[ID]))&amp;":"&amp;ADDRESS(ROW(),COLUMN(NOTA[ID]))),-1)))</f>
        <v/>
      </c>
      <c r="C373" s="45"/>
      <c r="F373" s="46"/>
      <c r="G373" s="35"/>
      <c r="H373" s="36"/>
      <c r="I373" s="35"/>
      <c r="K373" s="37"/>
      <c r="L373" s="35"/>
      <c r="N373" s="38"/>
      <c r="O373" s="39"/>
      <c r="P373" s="47"/>
      <c r="Q373" s="48"/>
      <c r="R373" s="41"/>
      <c r="T373" s="42"/>
      <c r="U373" s="44"/>
      <c r="V373" s="42" t="str">
        <f>IF(NOTA[[#This Row],[HARGA/ CTN]]="",NOTA[[#This Row],[JUMLAH_H]],NOTA[[#This Row],[HARGA/ CTN]]*IF(NOTA[[#This Row],[C]]="",0,NOTA[[#This Row],[C]]))</f>
        <v/>
      </c>
      <c r="W373" s="42" t="str">
        <f>IF(NOTA[[#This Row],[JUMLAH]]="","",NOTA[[#This Row],[JUMLAH]]*NOTA[[#This Row],[Column6]])</f>
        <v/>
      </c>
      <c r="X373" s="42" t="str">
        <f>IF(NOTA[[#This Row],[JUMLAH]]="","",(NOTA[[#This Row],[JUMLAH]]-NOTA[[#This Row],[DISC 1-]])*NOTA[[#This Row],[Column7]])</f>
        <v/>
      </c>
      <c r="Y373" s="42" t="str">
        <f>IF(NOTA[[#This Row],[JUMLAH]]="","",(NOTA[[#This Row],[JUMLAH]]-NOTA[[#This Row],[DISC 1-]]-NOTA[[#This Row],[DISC 2-]])*NOTA[[#This Row],[Column8]])</f>
        <v/>
      </c>
      <c r="Z373" s="42" t="str">
        <f>IF(NOTA[[#This Row],[JUMLAH]]="","",NOTA[[#This Row],[DISC 1-]]+NOTA[[#This Row],[DISC 2-]]+NOTA[[#This Row],[DISC 3-]])</f>
        <v/>
      </c>
      <c r="AA373" s="42" t="str">
        <f>IF(NOTA[[#This Row],[JUMLAH]]="","",NOTA[[#This Row],[JUMLAH]]-NOTA[[#This Row],[DISC]])</f>
        <v/>
      </c>
      <c r="AB373" s="42"/>
      <c r="AC3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3" s="42" t="str">
        <f>IF(OR(NOTA[[#This Row],[QTY]]="",NOTA[[#This Row],[HARGA SATUAN]]="",),"",NOTA[[#This Row],[QTY]]*NOTA[[#This Row],[HARGA SATUAN]])</f>
        <v/>
      </c>
      <c r="AG373" s="36" t="str">
        <f ca="1">IF(NOTA[[#This Row],[ID_H]]="","",INDEX(NOTA[TANGGAL],MATCH(,INDIRECT(ADDRESS(ROW(NOTA[TANGGAL]),COLUMN(NOTA[TANGGAL]))&amp;":"&amp;ADDRESS(ROW(),COLUMN(NOTA[TANGGAL]))),-1)))</f>
        <v/>
      </c>
      <c r="AH373" s="36" t="str">
        <f ca="1">IF(NOTA[[#This Row],[ID_H]]="","",INDEX(NOTA[TGL.NOTA],MATCH(,INDIRECT(ADDRESS(ROW(NOTA[TGL.NOTA]),COLUMN(NOTA[TGL.NOTA]))&amp;":"&amp;ADDRESS(ROW(),COLUMN(NOTA[TGL.NOTA]))),-1)))</f>
        <v/>
      </c>
      <c r="AI373" s="36" t="str">
        <f ca="1">IF(NOTA[[#This Row],[ID_H]]="","",INDEX(NOTA[NO.NOTA],MATCH(NOTA[[#This Row],[ID_H]],NOTA[ID_H],0)))</f>
        <v/>
      </c>
      <c r="AJ373" s="38" t="str">
        <f ca="1">IF(NOTA[[#This Row],[NAMA BARANG]]="","",INDEX(NOTA[SUPPLIER],MATCH(,INDIRECT(ADDRESS(ROW(NOTA[ID]),COLUMN(NOTA[ID]))&amp;":"&amp;ADDRESS(ROW(),COLUMN(NOTA[ID]))),-1)))</f>
        <v/>
      </c>
      <c r="AK373" s="38" t="str">
        <f ca="1">IF(NOTA[[#This Row],[ID_H]]="","",IF(NOTA[[#This Row],[FAKTUR]]="",INDIRECT(ADDRESS(ROW()-1,COLUMN())),NOTA[[#This Row],[FAKTUR]]))</f>
        <v/>
      </c>
      <c r="AL373" s="35" t="str">
        <f ca="1">IF(NOTA[[#This Row],[ID]]="","",COUNTIF(NOTA[ID_H],NOTA[[#This Row],[ID_H]]))</f>
        <v/>
      </c>
      <c r="AM373" s="35" t="str">
        <f ca="1">IF(NOTA[[#This Row],[TGL.NOTA]]="",IF(NOTA[[#This Row],[SUPPLIER_H]]="","",AM372),MONTH(NOTA[[#This Row],[TGL.NOTA]]))</f>
        <v/>
      </c>
      <c r="AN3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3" s="35" t="str">
        <f>IF(NOTA[[#This Row],[CONCAT1]]="","",MATCH(NOTA[[#This Row],[CONCAT1]],[3]!db[NB NOTA_C],0))</f>
        <v/>
      </c>
      <c r="AS373" s="35" t="str">
        <f>IF(NOTA[[#This Row],[Column5]]="","",TRUE)</f>
        <v/>
      </c>
      <c r="AT373" s="35" t="str">
        <f ca="1">IF(NOTA[[#This Row],[ID_H]]="","",IF(NOTA[[#This Row],[Column3]]=TRUE,NOTA[[#This Row],[Column5]],INDEX([3]!db[QTY/ CTN],NOTA[[#This Row],[//DB]])))</f>
        <v/>
      </c>
      <c r="AU3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3" s="35" t="str">
        <f ca="1">IF(NOTA[[#This Row],[ID_H]]="","",MATCH(NOTA[[#This Row],[NB NOTA_C_QTY]],[3]!db[NB NOTA_C_QTY+F],0))</f>
        <v/>
      </c>
      <c r="AW373" s="43" t="str">
        <f ca="1">IF(NOTA[[#This Row],[NB NOTA_C_QTY]]="","",ROW()-2)</f>
        <v/>
      </c>
    </row>
    <row r="374" spans="1:49" ht="20.100000000000001" customHeight="1">
      <c r="A3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5" t="str">
        <f ca="1">IF(NOTA[[#This Row],[NAMA BARANG]]="","",INDEX(NOTA[ID],MATCH(,INDIRECT(ADDRESS(ROW(NOTA[ID]),COLUMN(NOTA[ID]))&amp;":"&amp;ADDRESS(ROW(),COLUMN(NOTA[ID]))),-1)))</f>
        <v/>
      </c>
      <c r="C374" s="45"/>
      <c r="F374" s="46"/>
      <c r="G374" s="35"/>
      <c r="H374" s="36"/>
      <c r="I374" s="35"/>
      <c r="K374" s="37"/>
      <c r="L374" s="35"/>
      <c r="N374" s="38"/>
      <c r="O374" s="39"/>
      <c r="P374" s="47"/>
      <c r="Q374" s="48"/>
      <c r="R374" s="41"/>
      <c r="T374" s="42"/>
      <c r="U374" s="44"/>
      <c r="V374" s="42" t="str">
        <f>IF(NOTA[[#This Row],[HARGA/ CTN]]="",NOTA[[#This Row],[JUMLAH_H]],NOTA[[#This Row],[HARGA/ CTN]]*IF(NOTA[[#This Row],[C]]="",0,NOTA[[#This Row],[C]]))</f>
        <v/>
      </c>
      <c r="W374" s="42" t="str">
        <f>IF(NOTA[[#This Row],[JUMLAH]]="","",NOTA[[#This Row],[JUMLAH]]*NOTA[[#This Row],[Column6]])</f>
        <v/>
      </c>
      <c r="X374" s="42" t="str">
        <f>IF(NOTA[[#This Row],[JUMLAH]]="","",(NOTA[[#This Row],[JUMLAH]]-NOTA[[#This Row],[DISC 1-]])*NOTA[[#This Row],[Column7]])</f>
        <v/>
      </c>
      <c r="Y374" s="42" t="str">
        <f>IF(NOTA[[#This Row],[JUMLAH]]="","",(NOTA[[#This Row],[JUMLAH]]-NOTA[[#This Row],[DISC 1-]]-NOTA[[#This Row],[DISC 2-]])*NOTA[[#This Row],[Column8]])</f>
        <v/>
      </c>
      <c r="Z374" s="42" t="str">
        <f>IF(NOTA[[#This Row],[JUMLAH]]="","",NOTA[[#This Row],[DISC 1-]]+NOTA[[#This Row],[DISC 2-]]+NOTA[[#This Row],[DISC 3-]])</f>
        <v/>
      </c>
      <c r="AA374" s="42" t="str">
        <f>IF(NOTA[[#This Row],[JUMLAH]]="","",NOTA[[#This Row],[JUMLAH]]-NOTA[[#This Row],[DISC]])</f>
        <v/>
      </c>
      <c r="AB374" s="42"/>
      <c r="AC3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42" t="str">
        <f>IF(OR(NOTA[[#This Row],[QTY]]="",NOTA[[#This Row],[HARGA SATUAN]]="",),"",NOTA[[#This Row],[QTY]]*NOTA[[#This Row],[HARGA SATUAN]])</f>
        <v/>
      </c>
      <c r="AG374" s="36" t="str">
        <f ca="1">IF(NOTA[[#This Row],[ID_H]]="","",INDEX(NOTA[TANGGAL],MATCH(,INDIRECT(ADDRESS(ROW(NOTA[TANGGAL]),COLUMN(NOTA[TANGGAL]))&amp;":"&amp;ADDRESS(ROW(),COLUMN(NOTA[TANGGAL]))),-1)))</f>
        <v/>
      </c>
      <c r="AH374" s="36" t="str">
        <f ca="1">IF(NOTA[[#This Row],[ID_H]]="","",INDEX(NOTA[TGL.NOTA],MATCH(,INDIRECT(ADDRESS(ROW(NOTA[TGL.NOTA]),COLUMN(NOTA[TGL.NOTA]))&amp;":"&amp;ADDRESS(ROW(),COLUMN(NOTA[TGL.NOTA]))),-1)))</f>
        <v/>
      </c>
      <c r="AI374" s="36" t="str">
        <f ca="1">IF(NOTA[[#This Row],[ID_H]]="","",INDEX(NOTA[NO.NOTA],MATCH(NOTA[[#This Row],[ID_H]],NOTA[ID_H],0)))</f>
        <v/>
      </c>
      <c r="AJ374" s="38" t="str">
        <f ca="1">IF(NOTA[[#This Row],[NAMA BARANG]]="","",INDEX(NOTA[SUPPLIER],MATCH(,INDIRECT(ADDRESS(ROW(NOTA[ID]),COLUMN(NOTA[ID]))&amp;":"&amp;ADDRESS(ROW(),COLUMN(NOTA[ID]))),-1)))</f>
        <v/>
      </c>
      <c r="AK374" s="38" t="str">
        <f ca="1">IF(NOTA[[#This Row],[ID_H]]="","",IF(NOTA[[#This Row],[FAKTUR]]="",INDIRECT(ADDRESS(ROW()-1,COLUMN())),NOTA[[#This Row],[FAKTUR]]))</f>
        <v/>
      </c>
      <c r="AL374" s="35" t="str">
        <f ca="1">IF(NOTA[[#This Row],[ID]]="","",COUNTIF(NOTA[ID_H],NOTA[[#This Row],[ID_H]]))</f>
        <v/>
      </c>
      <c r="AM374" s="35" t="str">
        <f ca="1">IF(NOTA[[#This Row],[TGL.NOTA]]="",IF(NOTA[[#This Row],[SUPPLIER_H]]="","",AM373),MONTH(NOTA[[#This Row],[TGL.NOTA]]))</f>
        <v/>
      </c>
      <c r="AN3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4" s="35" t="str">
        <f>IF(NOTA[[#This Row],[CONCAT1]]="","",MATCH(NOTA[[#This Row],[CONCAT1]],[3]!db[NB NOTA_C],0))</f>
        <v/>
      </c>
      <c r="AS374" s="35" t="str">
        <f>IF(NOTA[[#This Row],[Column5]]="","",TRUE)</f>
        <v/>
      </c>
      <c r="AT374" s="35" t="str">
        <f ca="1">IF(NOTA[[#This Row],[ID_H]]="","",IF(NOTA[[#This Row],[Column3]]=TRUE,NOTA[[#This Row],[Column5]],INDEX([3]!db[QTY/ CTN],NOTA[[#This Row],[//DB]])))</f>
        <v/>
      </c>
      <c r="AU3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4" s="35" t="str">
        <f ca="1">IF(NOTA[[#This Row],[ID_H]]="","",MATCH(NOTA[[#This Row],[NB NOTA_C_QTY]],[3]!db[NB NOTA_C_QTY+F],0))</f>
        <v/>
      </c>
      <c r="AW374" s="43" t="str">
        <f ca="1">IF(NOTA[[#This Row],[NB NOTA_C_QTY]]="","",ROW()-2)</f>
        <v/>
      </c>
    </row>
    <row r="375" spans="1:49" ht="20.100000000000001" customHeight="1">
      <c r="A3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5" t="str">
        <f ca="1">IF(NOTA[[#This Row],[NAMA BARANG]]="","",INDEX(NOTA[ID],MATCH(,INDIRECT(ADDRESS(ROW(NOTA[ID]),COLUMN(NOTA[ID]))&amp;":"&amp;ADDRESS(ROW(),COLUMN(NOTA[ID]))),-1)))</f>
        <v/>
      </c>
      <c r="C375" s="45"/>
      <c r="F375" s="46"/>
      <c r="G375" s="35"/>
      <c r="H375" s="36"/>
      <c r="I375" s="35"/>
      <c r="K375" s="37"/>
      <c r="L375" s="35"/>
      <c r="N375" s="38"/>
      <c r="O375" s="39"/>
      <c r="P375" s="47"/>
      <c r="Q375" s="48"/>
      <c r="R375" s="41"/>
      <c r="T375" s="42"/>
      <c r="U375" s="44"/>
      <c r="V375" s="42" t="str">
        <f>IF(NOTA[[#This Row],[HARGA/ CTN]]="",NOTA[[#This Row],[JUMLAH_H]],NOTA[[#This Row],[HARGA/ CTN]]*IF(NOTA[[#This Row],[C]]="",0,NOTA[[#This Row],[C]]))</f>
        <v/>
      </c>
      <c r="W375" s="42" t="str">
        <f>IF(NOTA[[#This Row],[JUMLAH]]="","",NOTA[[#This Row],[JUMLAH]]*NOTA[[#This Row],[Column6]])</f>
        <v/>
      </c>
      <c r="X375" s="42" t="str">
        <f>IF(NOTA[[#This Row],[JUMLAH]]="","",(NOTA[[#This Row],[JUMLAH]]-NOTA[[#This Row],[DISC 1-]])*NOTA[[#This Row],[Column7]])</f>
        <v/>
      </c>
      <c r="Y375" s="42" t="str">
        <f>IF(NOTA[[#This Row],[JUMLAH]]="","",(NOTA[[#This Row],[JUMLAH]]-NOTA[[#This Row],[DISC 1-]]-NOTA[[#This Row],[DISC 2-]])*NOTA[[#This Row],[Column8]])</f>
        <v/>
      </c>
      <c r="Z375" s="42" t="str">
        <f>IF(NOTA[[#This Row],[JUMLAH]]="","",NOTA[[#This Row],[DISC 1-]]+NOTA[[#This Row],[DISC 2-]]+NOTA[[#This Row],[DISC 3-]])</f>
        <v/>
      </c>
      <c r="AA375" s="42" t="str">
        <f>IF(NOTA[[#This Row],[JUMLAH]]="","",NOTA[[#This Row],[JUMLAH]]-NOTA[[#This Row],[DISC]])</f>
        <v/>
      </c>
      <c r="AB375" s="42"/>
      <c r="AC3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42" t="str">
        <f>IF(OR(NOTA[[#This Row],[QTY]]="",NOTA[[#This Row],[HARGA SATUAN]]="",),"",NOTA[[#This Row],[QTY]]*NOTA[[#This Row],[HARGA SATUAN]])</f>
        <v/>
      </c>
      <c r="AG375" s="36" t="str">
        <f ca="1">IF(NOTA[[#This Row],[ID_H]]="","",INDEX(NOTA[TANGGAL],MATCH(,INDIRECT(ADDRESS(ROW(NOTA[TANGGAL]),COLUMN(NOTA[TANGGAL]))&amp;":"&amp;ADDRESS(ROW(),COLUMN(NOTA[TANGGAL]))),-1)))</f>
        <v/>
      </c>
      <c r="AH375" s="36" t="str">
        <f ca="1">IF(NOTA[[#This Row],[ID_H]]="","",INDEX(NOTA[TGL.NOTA],MATCH(,INDIRECT(ADDRESS(ROW(NOTA[TGL.NOTA]),COLUMN(NOTA[TGL.NOTA]))&amp;":"&amp;ADDRESS(ROW(),COLUMN(NOTA[TGL.NOTA]))),-1)))</f>
        <v/>
      </c>
      <c r="AI375" s="36" t="str">
        <f ca="1">IF(NOTA[[#This Row],[ID_H]]="","",INDEX(NOTA[NO.NOTA],MATCH(NOTA[[#This Row],[ID_H]],NOTA[ID_H],0)))</f>
        <v/>
      </c>
      <c r="AJ375" s="38" t="str">
        <f ca="1">IF(NOTA[[#This Row],[NAMA BARANG]]="","",INDEX(NOTA[SUPPLIER],MATCH(,INDIRECT(ADDRESS(ROW(NOTA[ID]),COLUMN(NOTA[ID]))&amp;":"&amp;ADDRESS(ROW(),COLUMN(NOTA[ID]))),-1)))</f>
        <v/>
      </c>
      <c r="AK375" s="38" t="str">
        <f ca="1">IF(NOTA[[#This Row],[ID_H]]="","",IF(NOTA[[#This Row],[FAKTUR]]="",INDIRECT(ADDRESS(ROW()-1,COLUMN())),NOTA[[#This Row],[FAKTUR]]))</f>
        <v/>
      </c>
      <c r="AL375" s="35" t="str">
        <f ca="1">IF(NOTA[[#This Row],[ID]]="","",COUNTIF(NOTA[ID_H],NOTA[[#This Row],[ID_H]]))</f>
        <v/>
      </c>
      <c r="AM375" s="35" t="str">
        <f ca="1">IF(NOTA[[#This Row],[TGL.NOTA]]="",IF(NOTA[[#This Row],[SUPPLIER_H]]="","",AM374),MONTH(NOTA[[#This Row],[TGL.NOTA]]))</f>
        <v/>
      </c>
      <c r="AN3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5" s="35" t="str">
        <f>IF(NOTA[[#This Row],[CONCAT1]]="","",MATCH(NOTA[[#This Row],[CONCAT1]],[3]!db[NB NOTA_C],0))</f>
        <v/>
      </c>
      <c r="AS375" s="35" t="str">
        <f>IF(NOTA[[#This Row],[Column5]]="","",TRUE)</f>
        <v/>
      </c>
      <c r="AT375" s="35" t="str">
        <f ca="1">IF(NOTA[[#This Row],[ID_H]]="","",IF(NOTA[[#This Row],[Column3]]=TRUE,NOTA[[#This Row],[Column5]],INDEX([3]!db[QTY/ CTN],NOTA[[#This Row],[//DB]])))</f>
        <v/>
      </c>
      <c r="AU3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5" s="35" t="str">
        <f ca="1">IF(NOTA[[#This Row],[ID_H]]="","",MATCH(NOTA[[#This Row],[NB NOTA_C_QTY]],[3]!db[NB NOTA_C_QTY+F],0))</f>
        <v/>
      </c>
      <c r="AW375" s="43" t="str">
        <f ca="1">IF(NOTA[[#This Row],[NB NOTA_C_QTY]]="","",ROW()-2)</f>
        <v/>
      </c>
    </row>
    <row r="376" spans="1:49" ht="20.100000000000001" customHeight="1">
      <c r="A3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5" t="str">
        <f ca="1">IF(NOTA[[#This Row],[NAMA BARANG]]="","",INDEX(NOTA[ID],MATCH(,INDIRECT(ADDRESS(ROW(NOTA[ID]),COLUMN(NOTA[ID]))&amp;":"&amp;ADDRESS(ROW(),COLUMN(NOTA[ID]))),-1)))</f>
        <v/>
      </c>
      <c r="C376" s="45"/>
      <c r="F376" s="46"/>
      <c r="G376" s="35"/>
      <c r="H376" s="36"/>
      <c r="I376" s="35"/>
      <c r="K376" s="37"/>
      <c r="L376" s="35"/>
      <c r="N376" s="38"/>
      <c r="O376" s="39"/>
      <c r="P376" s="47"/>
      <c r="Q376" s="48"/>
      <c r="R376" s="41"/>
      <c r="T376" s="42"/>
      <c r="U376" s="44"/>
      <c r="V376" s="42" t="str">
        <f>IF(NOTA[[#This Row],[HARGA/ CTN]]="",NOTA[[#This Row],[JUMLAH_H]],NOTA[[#This Row],[HARGA/ CTN]]*IF(NOTA[[#This Row],[C]]="",0,NOTA[[#This Row],[C]]))</f>
        <v/>
      </c>
      <c r="W376" s="42" t="str">
        <f>IF(NOTA[[#This Row],[JUMLAH]]="","",NOTA[[#This Row],[JUMLAH]]*NOTA[[#This Row],[Column6]])</f>
        <v/>
      </c>
      <c r="X376" s="42" t="str">
        <f>IF(NOTA[[#This Row],[JUMLAH]]="","",(NOTA[[#This Row],[JUMLAH]]-NOTA[[#This Row],[DISC 1-]])*NOTA[[#This Row],[Column7]])</f>
        <v/>
      </c>
      <c r="Y376" s="42" t="str">
        <f>IF(NOTA[[#This Row],[JUMLAH]]="","",(NOTA[[#This Row],[JUMLAH]]-NOTA[[#This Row],[DISC 1-]]-NOTA[[#This Row],[DISC 2-]])*NOTA[[#This Row],[Column8]])</f>
        <v/>
      </c>
      <c r="Z376" s="42" t="str">
        <f>IF(NOTA[[#This Row],[JUMLAH]]="","",NOTA[[#This Row],[DISC 1-]]+NOTA[[#This Row],[DISC 2-]]+NOTA[[#This Row],[DISC 3-]])</f>
        <v/>
      </c>
      <c r="AA376" s="42" t="str">
        <f>IF(NOTA[[#This Row],[JUMLAH]]="","",NOTA[[#This Row],[JUMLAH]]-NOTA[[#This Row],[DISC]])</f>
        <v/>
      </c>
      <c r="AB376" s="42"/>
      <c r="AC3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6" s="42" t="str">
        <f>IF(OR(NOTA[[#This Row],[QTY]]="",NOTA[[#This Row],[HARGA SATUAN]]="",),"",NOTA[[#This Row],[QTY]]*NOTA[[#This Row],[HARGA SATUAN]])</f>
        <v/>
      </c>
      <c r="AG376" s="36" t="str">
        <f ca="1">IF(NOTA[[#This Row],[ID_H]]="","",INDEX(NOTA[TANGGAL],MATCH(,INDIRECT(ADDRESS(ROW(NOTA[TANGGAL]),COLUMN(NOTA[TANGGAL]))&amp;":"&amp;ADDRESS(ROW(),COLUMN(NOTA[TANGGAL]))),-1)))</f>
        <v/>
      </c>
      <c r="AH376" s="36" t="str">
        <f ca="1">IF(NOTA[[#This Row],[ID_H]]="","",INDEX(NOTA[TGL.NOTA],MATCH(,INDIRECT(ADDRESS(ROW(NOTA[TGL.NOTA]),COLUMN(NOTA[TGL.NOTA]))&amp;":"&amp;ADDRESS(ROW(),COLUMN(NOTA[TGL.NOTA]))),-1)))</f>
        <v/>
      </c>
      <c r="AI376" s="36" t="str">
        <f ca="1">IF(NOTA[[#This Row],[ID_H]]="","",INDEX(NOTA[NO.NOTA],MATCH(NOTA[[#This Row],[ID_H]],NOTA[ID_H],0)))</f>
        <v/>
      </c>
      <c r="AJ376" s="38" t="str">
        <f ca="1">IF(NOTA[[#This Row],[NAMA BARANG]]="","",INDEX(NOTA[SUPPLIER],MATCH(,INDIRECT(ADDRESS(ROW(NOTA[ID]),COLUMN(NOTA[ID]))&amp;":"&amp;ADDRESS(ROW(),COLUMN(NOTA[ID]))),-1)))</f>
        <v/>
      </c>
      <c r="AK376" s="38" t="str">
        <f ca="1">IF(NOTA[[#This Row],[ID_H]]="","",IF(NOTA[[#This Row],[FAKTUR]]="",INDIRECT(ADDRESS(ROW()-1,COLUMN())),NOTA[[#This Row],[FAKTUR]]))</f>
        <v/>
      </c>
      <c r="AL376" s="35" t="str">
        <f ca="1">IF(NOTA[[#This Row],[ID]]="","",COUNTIF(NOTA[ID_H],NOTA[[#This Row],[ID_H]]))</f>
        <v/>
      </c>
      <c r="AM376" s="35" t="str">
        <f ca="1">IF(NOTA[[#This Row],[TGL.NOTA]]="",IF(NOTA[[#This Row],[SUPPLIER_H]]="","",AM375),MONTH(NOTA[[#This Row],[TGL.NOTA]]))</f>
        <v/>
      </c>
      <c r="AN3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6" s="35" t="str">
        <f>IF(NOTA[[#This Row],[CONCAT1]]="","",MATCH(NOTA[[#This Row],[CONCAT1]],[3]!db[NB NOTA_C],0))</f>
        <v/>
      </c>
      <c r="AS376" s="35" t="str">
        <f>IF(NOTA[[#This Row],[Column5]]="","",TRUE)</f>
        <v/>
      </c>
      <c r="AT376" s="35" t="str">
        <f ca="1">IF(NOTA[[#This Row],[ID_H]]="","",IF(NOTA[[#This Row],[Column3]]=TRUE,NOTA[[#This Row],[Column5]],INDEX([3]!db[QTY/ CTN],NOTA[[#This Row],[//DB]])))</f>
        <v/>
      </c>
      <c r="AU3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6" s="35" t="str">
        <f ca="1">IF(NOTA[[#This Row],[ID_H]]="","",MATCH(NOTA[[#This Row],[NB NOTA_C_QTY]],[3]!db[NB NOTA_C_QTY+F],0))</f>
        <v/>
      </c>
      <c r="AW376" s="43" t="str">
        <f ca="1">IF(NOTA[[#This Row],[NB NOTA_C_QTY]]="","",ROW()-2)</f>
        <v/>
      </c>
    </row>
    <row r="377" spans="1:49" ht="20.100000000000001" customHeight="1">
      <c r="A3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5" t="str">
        <f ca="1">IF(NOTA[[#This Row],[NAMA BARANG]]="","",INDEX(NOTA[ID],MATCH(,INDIRECT(ADDRESS(ROW(NOTA[ID]),COLUMN(NOTA[ID]))&amp;":"&amp;ADDRESS(ROW(),COLUMN(NOTA[ID]))),-1)))</f>
        <v/>
      </c>
      <c r="C377" s="45"/>
      <c r="F377" s="46"/>
      <c r="G377" s="35"/>
      <c r="H377" s="36"/>
      <c r="I377" s="35"/>
      <c r="K377" s="37"/>
      <c r="L377" s="35"/>
      <c r="N377" s="38"/>
      <c r="O377" s="39"/>
      <c r="P377" s="47"/>
      <c r="Q377" s="48"/>
      <c r="R377" s="41"/>
      <c r="T377" s="42"/>
      <c r="U377" s="44"/>
      <c r="V377" s="42" t="str">
        <f>IF(NOTA[[#This Row],[HARGA/ CTN]]="",NOTA[[#This Row],[JUMLAH_H]],NOTA[[#This Row],[HARGA/ CTN]]*IF(NOTA[[#This Row],[C]]="",0,NOTA[[#This Row],[C]]))</f>
        <v/>
      </c>
      <c r="W377" s="42" t="str">
        <f>IF(NOTA[[#This Row],[JUMLAH]]="","",NOTA[[#This Row],[JUMLAH]]*NOTA[[#This Row],[Column6]])</f>
        <v/>
      </c>
      <c r="X377" s="42" t="str">
        <f>IF(NOTA[[#This Row],[JUMLAH]]="","",(NOTA[[#This Row],[JUMLAH]]-NOTA[[#This Row],[DISC 1-]])*NOTA[[#This Row],[Column7]])</f>
        <v/>
      </c>
      <c r="Y377" s="42" t="str">
        <f>IF(NOTA[[#This Row],[JUMLAH]]="","",(NOTA[[#This Row],[JUMLAH]]-NOTA[[#This Row],[DISC 1-]]-NOTA[[#This Row],[DISC 2-]])*NOTA[[#This Row],[Column8]])</f>
        <v/>
      </c>
      <c r="Z377" s="42" t="str">
        <f>IF(NOTA[[#This Row],[JUMLAH]]="","",NOTA[[#This Row],[DISC 1-]]+NOTA[[#This Row],[DISC 2-]]+NOTA[[#This Row],[DISC 3-]])</f>
        <v/>
      </c>
      <c r="AA377" s="42" t="str">
        <f>IF(NOTA[[#This Row],[JUMLAH]]="","",NOTA[[#This Row],[JUMLAH]]-NOTA[[#This Row],[DISC]])</f>
        <v/>
      </c>
      <c r="AB377" s="42"/>
      <c r="AC3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7" s="42" t="str">
        <f>IF(OR(NOTA[[#This Row],[QTY]]="",NOTA[[#This Row],[HARGA SATUAN]]="",),"",NOTA[[#This Row],[QTY]]*NOTA[[#This Row],[HARGA SATUAN]])</f>
        <v/>
      </c>
      <c r="AG377" s="36" t="str">
        <f ca="1">IF(NOTA[[#This Row],[ID_H]]="","",INDEX(NOTA[TANGGAL],MATCH(,INDIRECT(ADDRESS(ROW(NOTA[TANGGAL]),COLUMN(NOTA[TANGGAL]))&amp;":"&amp;ADDRESS(ROW(),COLUMN(NOTA[TANGGAL]))),-1)))</f>
        <v/>
      </c>
      <c r="AH377" s="36" t="str">
        <f ca="1">IF(NOTA[[#This Row],[ID_H]]="","",INDEX(NOTA[TGL.NOTA],MATCH(,INDIRECT(ADDRESS(ROW(NOTA[TGL.NOTA]),COLUMN(NOTA[TGL.NOTA]))&amp;":"&amp;ADDRESS(ROW(),COLUMN(NOTA[TGL.NOTA]))),-1)))</f>
        <v/>
      </c>
      <c r="AI377" s="36" t="str">
        <f ca="1">IF(NOTA[[#This Row],[ID_H]]="","",INDEX(NOTA[NO.NOTA],MATCH(NOTA[[#This Row],[ID_H]],NOTA[ID_H],0)))</f>
        <v/>
      </c>
      <c r="AJ377" s="38" t="str">
        <f ca="1">IF(NOTA[[#This Row],[NAMA BARANG]]="","",INDEX(NOTA[SUPPLIER],MATCH(,INDIRECT(ADDRESS(ROW(NOTA[ID]),COLUMN(NOTA[ID]))&amp;":"&amp;ADDRESS(ROW(),COLUMN(NOTA[ID]))),-1)))</f>
        <v/>
      </c>
      <c r="AK377" s="38" t="str">
        <f ca="1">IF(NOTA[[#This Row],[ID_H]]="","",IF(NOTA[[#This Row],[FAKTUR]]="",INDIRECT(ADDRESS(ROW()-1,COLUMN())),NOTA[[#This Row],[FAKTUR]]))</f>
        <v/>
      </c>
      <c r="AL377" s="35" t="str">
        <f ca="1">IF(NOTA[[#This Row],[ID]]="","",COUNTIF(NOTA[ID_H],NOTA[[#This Row],[ID_H]]))</f>
        <v/>
      </c>
      <c r="AM377" s="35" t="str">
        <f ca="1">IF(NOTA[[#This Row],[TGL.NOTA]]="",IF(NOTA[[#This Row],[SUPPLIER_H]]="","",AM376),MONTH(NOTA[[#This Row],[TGL.NOTA]]))</f>
        <v/>
      </c>
      <c r="AN3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7" s="35" t="str">
        <f>IF(NOTA[[#This Row],[CONCAT1]]="","",MATCH(NOTA[[#This Row],[CONCAT1]],[3]!db[NB NOTA_C],0))</f>
        <v/>
      </c>
      <c r="AS377" s="35" t="str">
        <f>IF(NOTA[[#This Row],[Column5]]="","",TRUE)</f>
        <v/>
      </c>
      <c r="AT377" s="35" t="str">
        <f ca="1">IF(NOTA[[#This Row],[ID_H]]="","",IF(NOTA[[#This Row],[Column3]]=TRUE,NOTA[[#This Row],[Column5]],INDEX([3]!db[QTY/ CTN],NOTA[[#This Row],[//DB]])))</f>
        <v/>
      </c>
      <c r="AU3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7" s="35" t="str">
        <f ca="1">IF(NOTA[[#This Row],[ID_H]]="","",MATCH(NOTA[[#This Row],[NB NOTA_C_QTY]],[3]!db[NB NOTA_C_QTY+F],0))</f>
        <v/>
      </c>
      <c r="AW377" s="43" t="str">
        <f ca="1">IF(NOTA[[#This Row],[NB NOTA_C_QTY]]="","",ROW()-2)</f>
        <v/>
      </c>
    </row>
    <row r="378" spans="1:49" ht="20.100000000000001" customHeight="1">
      <c r="A3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5" t="str">
        <f ca="1">IF(NOTA[[#This Row],[NAMA BARANG]]="","",INDEX(NOTA[ID],MATCH(,INDIRECT(ADDRESS(ROW(NOTA[ID]),COLUMN(NOTA[ID]))&amp;":"&amp;ADDRESS(ROW(),COLUMN(NOTA[ID]))),-1)))</f>
        <v/>
      </c>
      <c r="C378" s="45"/>
      <c r="F378" s="46"/>
      <c r="G378" s="35"/>
      <c r="H378" s="36"/>
      <c r="I378" s="35"/>
      <c r="K378" s="37"/>
      <c r="L378" s="35"/>
      <c r="N378" s="38"/>
      <c r="O378" s="39"/>
      <c r="P378" s="47"/>
      <c r="Q378" s="48"/>
      <c r="R378" s="41"/>
      <c r="T378" s="42"/>
      <c r="U378" s="44"/>
      <c r="V378" s="42" t="str">
        <f>IF(NOTA[[#This Row],[HARGA/ CTN]]="",NOTA[[#This Row],[JUMLAH_H]],NOTA[[#This Row],[HARGA/ CTN]]*IF(NOTA[[#This Row],[C]]="",0,NOTA[[#This Row],[C]]))</f>
        <v/>
      </c>
      <c r="W378" s="42" t="str">
        <f>IF(NOTA[[#This Row],[JUMLAH]]="","",NOTA[[#This Row],[JUMLAH]]*NOTA[[#This Row],[Column6]])</f>
        <v/>
      </c>
      <c r="X378" s="42" t="str">
        <f>IF(NOTA[[#This Row],[JUMLAH]]="","",(NOTA[[#This Row],[JUMLAH]]-NOTA[[#This Row],[DISC 1-]])*NOTA[[#This Row],[Column7]])</f>
        <v/>
      </c>
      <c r="Y378" s="42" t="str">
        <f>IF(NOTA[[#This Row],[JUMLAH]]="","",(NOTA[[#This Row],[JUMLAH]]-NOTA[[#This Row],[DISC 1-]]-NOTA[[#This Row],[DISC 2-]])*NOTA[[#This Row],[Column8]])</f>
        <v/>
      </c>
      <c r="Z378" s="42" t="str">
        <f>IF(NOTA[[#This Row],[JUMLAH]]="","",NOTA[[#This Row],[DISC 1-]]+NOTA[[#This Row],[DISC 2-]]+NOTA[[#This Row],[DISC 3-]])</f>
        <v/>
      </c>
      <c r="AA378" s="42" t="str">
        <f>IF(NOTA[[#This Row],[JUMLAH]]="","",NOTA[[#This Row],[JUMLAH]]-NOTA[[#This Row],[DISC]])</f>
        <v/>
      </c>
      <c r="AB378" s="42"/>
      <c r="AC3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8" s="42" t="str">
        <f>IF(OR(NOTA[[#This Row],[QTY]]="",NOTA[[#This Row],[HARGA SATUAN]]="",),"",NOTA[[#This Row],[QTY]]*NOTA[[#This Row],[HARGA SATUAN]])</f>
        <v/>
      </c>
      <c r="AG378" s="36" t="str">
        <f ca="1">IF(NOTA[[#This Row],[ID_H]]="","",INDEX(NOTA[TANGGAL],MATCH(,INDIRECT(ADDRESS(ROW(NOTA[TANGGAL]),COLUMN(NOTA[TANGGAL]))&amp;":"&amp;ADDRESS(ROW(),COLUMN(NOTA[TANGGAL]))),-1)))</f>
        <v/>
      </c>
      <c r="AH378" s="36" t="str">
        <f ca="1">IF(NOTA[[#This Row],[ID_H]]="","",INDEX(NOTA[TGL.NOTA],MATCH(,INDIRECT(ADDRESS(ROW(NOTA[TGL.NOTA]),COLUMN(NOTA[TGL.NOTA]))&amp;":"&amp;ADDRESS(ROW(),COLUMN(NOTA[TGL.NOTA]))),-1)))</f>
        <v/>
      </c>
      <c r="AI378" s="36" t="str">
        <f ca="1">IF(NOTA[[#This Row],[ID_H]]="","",INDEX(NOTA[NO.NOTA],MATCH(NOTA[[#This Row],[ID_H]],NOTA[ID_H],0)))</f>
        <v/>
      </c>
      <c r="AJ378" s="38" t="str">
        <f ca="1">IF(NOTA[[#This Row],[NAMA BARANG]]="","",INDEX(NOTA[SUPPLIER],MATCH(,INDIRECT(ADDRESS(ROW(NOTA[ID]),COLUMN(NOTA[ID]))&amp;":"&amp;ADDRESS(ROW(),COLUMN(NOTA[ID]))),-1)))</f>
        <v/>
      </c>
      <c r="AK378" s="38" t="str">
        <f ca="1">IF(NOTA[[#This Row],[ID_H]]="","",IF(NOTA[[#This Row],[FAKTUR]]="",INDIRECT(ADDRESS(ROW()-1,COLUMN())),NOTA[[#This Row],[FAKTUR]]))</f>
        <v/>
      </c>
      <c r="AL378" s="35" t="str">
        <f ca="1">IF(NOTA[[#This Row],[ID]]="","",COUNTIF(NOTA[ID_H],NOTA[[#This Row],[ID_H]]))</f>
        <v/>
      </c>
      <c r="AM378" s="35" t="str">
        <f ca="1">IF(NOTA[[#This Row],[TGL.NOTA]]="",IF(NOTA[[#This Row],[SUPPLIER_H]]="","",AM377),MONTH(NOTA[[#This Row],[TGL.NOTA]]))</f>
        <v/>
      </c>
      <c r="AN3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8" s="35" t="str">
        <f>IF(NOTA[[#This Row],[CONCAT1]]="","",MATCH(NOTA[[#This Row],[CONCAT1]],[3]!db[NB NOTA_C],0))</f>
        <v/>
      </c>
      <c r="AS378" s="35" t="str">
        <f>IF(NOTA[[#This Row],[Column5]]="","",TRUE)</f>
        <v/>
      </c>
      <c r="AT378" s="35" t="str">
        <f ca="1">IF(NOTA[[#This Row],[ID_H]]="","",IF(NOTA[[#This Row],[Column3]]=TRUE,NOTA[[#This Row],[Column5]],INDEX([3]!db[QTY/ CTN],NOTA[[#This Row],[//DB]])))</f>
        <v/>
      </c>
      <c r="AU3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8" s="35" t="str">
        <f ca="1">IF(NOTA[[#This Row],[ID_H]]="","",MATCH(NOTA[[#This Row],[NB NOTA_C_QTY]],[3]!db[NB NOTA_C_QTY+F],0))</f>
        <v/>
      </c>
      <c r="AW378" s="43" t="str">
        <f ca="1">IF(NOTA[[#This Row],[NB NOTA_C_QTY]]="","",ROW()-2)</f>
        <v/>
      </c>
    </row>
    <row r="379" spans="1:49" ht="20.100000000000001" customHeight="1">
      <c r="A3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5" t="str">
        <f ca="1">IF(NOTA[[#This Row],[NAMA BARANG]]="","",INDEX(NOTA[ID],MATCH(,INDIRECT(ADDRESS(ROW(NOTA[ID]),COLUMN(NOTA[ID]))&amp;":"&amp;ADDRESS(ROW(),COLUMN(NOTA[ID]))),-1)))</f>
        <v/>
      </c>
      <c r="C379" s="45"/>
      <c r="F379" s="46"/>
      <c r="G379" s="35"/>
      <c r="H379" s="36"/>
      <c r="I379" s="35"/>
      <c r="K379" s="37"/>
      <c r="L379" s="35"/>
      <c r="N379" s="38"/>
      <c r="O379" s="39"/>
      <c r="P379" s="47"/>
      <c r="Q379" s="48"/>
      <c r="R379" s="41"/>
      <c r="T379" s="42"/>
      <c r="U379" s="44"/>
      <c r="V379" s="42" t="str">
        <f>IF(NOTA[[#This Row],[HARGA/ CTN]]="",NOTA[[#This Row],[JUMLAH_H]],NOTA[[#This Row],[HARGA/ CTN]]*IF(NOTA[[#This Row],[C]]="",0,NOTA[[#This Row],[C]]))</f>
        <v/>
      </c>
      <c r="W379" s="42" t="str">
        <f>IF(NOTA[[#This Row],[JUMLAH]]="","",NOTA[[#This Row],[JUMLAH]]*NOTA[[#This Row],[Column6]])</f>
        <v/>
      </c>
      <c r="X379" s="42" t="str">
        <f>IF(NOTA[[#This Row],[JUMLAH]]="","",(NOTA[[#This Row],[JUMLAH]]-NOTA[[#This Row],[DISC 1-]])*NOTA[[#This Row],[Column7]])</f>
        <v/>
      </c>
      <c r="Y379" s="42" t="str">
        <f>IF(NOTA[[#This Row],[JUMLAH]]="","",(NOTA[[#This Row],[JUMLAH]]-NOTA[[#This Row],[DISC 1-]]-NOTA[[#This Row],[DISC 2-]])*NOTA[[#This Row],[Column8]])</f>
        <v/>
      </c>
      <c r="Z379" s="42" t="str">
        <f>IF(NOTA[[#This Row],[JUMLAH]]="","",NOTA[[#This Row],[DISC 1-]]+NOTA[[#This Row],[DISC 2-]]+NOTA[[#This Row],[DISC 3-]])</f>
        <v/>
      </c>
      <c r="AA379" s="42" t="str">
        <f>IF(NOTA[[#This Row],[JUMLAH]]="","",NOTA[[#This Row],[JUMLAH]]-NOTA[[#This Row],[DISC]])</f>
        <v/>
      </c>
      <c r="AB379" s="42"/>
      <c r="AC3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42" t="str">
        <f>IF(OR(NOTA[[#This Row],[QTY]]="",NOTA[[#This Row],[HARGA SATUAN]]="",),"",NOTA[[#This Row],[QTY]]*NOTA[[#This Row],[HARGA SATUAN]])</f>
        <v/>
      </c>
      <c r="AG379" s="36" t="str">
        <f ca="1">IF(NOTA[[#This Row],[ID_H]]="","",INDEX(NOTA[TANGGAL],MATCH(,INDIRECT(ADDRESS(ROW(NOTA[TANGGAL]),COLUMN(NOTA[TANGGAL]))&amp;":"&amp;ADDRESS(ROW(),COLUMN(NOTA[TANGGAL]))),-1)))</f>
        <v/>
      </c>
      <c r="AH379" s="36" t="str">
        <f ca="1">IF(NOTA[[#This Row],[ID_H]]="","",INDEX(NOTA[TGL.NOTA],MATCH(,INDIRECT(ADDRESS(ROW(NOTA[TGL.NOTA]),COLUMN(NOTA[TGL.NOTA]))&amp;":"&amp;ADDRESS(ROW(),COLUMN(NOTA[TGL.NOTA]))),-1)))</f>
        <v/>
      </c>
      <c r="AI379" s="36" t="str">
        <f ca="1">IF(NOTA[[#This Row],[ID_H]]="","",INDEX(NOTA[NO.NOTA],MATCH(NOTA[[#This Row],[ID_H]],NOTA[ID_H],0)))</f>
        <v/>
      </c>
      <c r="AJ379" s="38" t="str">
        <f ca="1">IF(NOTA[[#This Row],[NAMA BARANG]]="","",INDEX(NOTA[SUPPLIER],MATCH(,INDIRECT(ADDRESS(ROW(NOTA[ID]),COLUMN(NOTA[ID]))&amp;":"&amp;ADDRESS(ROW(),COLUMN(NOTA[ID]))),-1)))</f>
        <v/>
      </c>
      <c r="AK379" s="38" t="str">
        <f ca="1">IF(NOTA[[#This Row],[ID_H]]="","",IF(NOTA[[#This Row],[FAKTUR]]="",INDIRECT(ADDRESS(ROW()-1,COLUMN())),NOTA[[#This Row],[FAKTUR]]))</f>
        <v/>
      </c>
      <c r="AL379" s="35" t="str">
        <f ca="1">IF(NOTA[[#This Row],[ID]]="","",COUNTIF(NOTA[ID_H],NOTA[[#This Row],[ID_H]]))</f>
        <v/>
      </c>
      <c r="AM379" s="35" t="str">
        <f ca="1">IF(NOTA[[#This Row],[TGL.NOTA]]="",IF(NOTA[[#This Row],[SUPPLIER_H]]="","",AM378),MONTH(NOTA[[#This Row],[TGL.NOTA]]))</f>
        <v/>
      </c>
      <c r="AN3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9" s="35" t="str">
        <f>IF(NOTA[[#This Row],[CONCAT1]]="","",MATCH(NOTA[[#This Row],[CONCAT1]],[3]!db[NB NOTA_C],0))</f>
        <v/>
      </c>
      <c r="AS379" s="35" t="str">
        <f>IF(NOTA[[#This Row],[Column5]]="","",TRUE)</f>
        <v/>
      </c>
      <c r="AT379" s="35" t="str">
        <f ca="1">IF(NOTA[[#This Row],[ID_H]]="","",IF(NOTA[[#This Row],[Column3]]=TRUE,NOTA[[#This Row],[Column5]],INDEX([3]!db[QTY/ CTN],NOTA[[#This Row],[//DB]])))</f>
        <v/>
      </c>
      <c r="AU3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79" s="35" t="str">
        <f ca="1">IF(NOTA[[#This Row],[ID_H]]="","",MATCH(NOTA[[#This Row],[NB NOTA_C_QTY]],[3]!db[NB NOTA_C_QTY+F],0))</f>
        <v/>
      </c>
      <c r="AW379" s="43" t="str">
        <f ca="1">IF(NOTA[[#This Row],[NB NOTA_C_QTY]]="","",ROW()-2)</f>
        <v/>
      </c>
    </row>
    <row r="380" spans="1:49" ht="20.100000000000001" customHeight="1">
      <c r="A3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5" t="str">
        <f ca="1">IF(NOTA[[#This Row],[NAMA BARANG]]="","",INDEX(NOTA[ID],MATCH(,INDIRECT(ADDRESS(ROW(NOTA[ID]),COLUMN(NOTA[ID]))&amp;":"&amp;ADDRESS(ROW(),COLUMN(NOTA[ID]))),-1)))</f>
        <v/>
      </c>
      <c r="C380" s="45"/>
      <c r="F380" s="46"/>
      <c r="G380" s="35"/>
      <c r="H380" s="36"/>
      <c r="I380" s="35"/>
      <c r="K380" s="37"/>
      <c r="L380" s="35"/>
      <c r="N380" s="38"/>
      <c r="O380" s="39"/>
      <c r="P380" s="47"/>
      <c r="Q380" s="48"/>
      <c r="R380" s="41"/>
      <c r="T380" s="42"/>
      <c r="U380" s="44"/>
      <c r="V380" s="42" t="str">
        <f>IF(NOTA[[#This Row],[HARGA/ CTN]]="",NOTA[[#This Row],[JUMLAH_H]],NOTA[[#This Row],[HARGA/ CTN]]*IF(NOTA[[#This Row],[C]]="",0,NOTA[[#This Row],[C]]))</f>
        <v/>
      </c>
      <c r="W380" s="42" t="str">
        <f>IF(NOTA[[#This Row],[JUMLAH]]="","",NOTA[[#This Row],[JUMLAH]]*NOTA[[#This Row],[Column6]])</f>
        <v/>
      </c>
      <c r="X380" s="42" t="str">
        <f>IF(NOTA[[#This Row],[JUMLAH]]="","",(NOTA[[#This Row],[JUMLAH]]-NOTA[[#This Row],[DISC 1-]])*NOTA[[#This Row],[Column7]])</f>
        <v/>
      </c>
      <c r="Y380" s="42" t="str">
        <f>IF(NOTA[[#This Row],[JUMLAH]]="","",(NOTA[[#This Row],[JUMLAH]]-NOTA[[#This Row],[DISC 1-]]-NOTA[[#This Row],[DISC 2-]])*NOTA[[#This Row],[Column8]])</f>
        <v/>
      </c>
      <c r="Z380" s="42" t="str">
        <f>IF(NOTA[[#This Row],[JUMLAH]]="","",NOTA[[#This Row],[DISC 1-]]+NOTA[[#This Row],[DISC 2-]]+NOTA[[#This Row],[DISC 3-]])</f>
        <v/>
      </c>
      <c r="AA380" s="42" t="str">
        <f>IF(NOTA[[#This Row],[JUMLAH]]="","",NOTA[[#This Row],[JUMLAH]]-NOTA[[#This Row],[DISC]])</f>
        <v/>
      </c>
      <c r="AB380" s="42"/>
      <c r="AC3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0" s="42" t="str">
        <f>IF(OR(NOTA[[#This Row],[QTY]]="",NOTA[[#This Row],[HARGA SATUAN]]="",),"",NOTA[[#This Row],[QTY]]*NOTA[[#This Row],[HARGA SATUAN]])</f>
        <v/>
      </c>
      <c r="AG380" s="36" t="str">
        <f ca="1">IF(NOTA[[#This Row],[ID_H]]="","",INDEX(NOTA[TANGGAL],MATCH(,INDIRECT(ADDRESS(ROW(NOTA[TANGGAL]),COLUMN(NOTA[TANGGAL]))&amp;":"&amp;ADDRESS(ROW(),COLUMN(NOTA[TANGGAL]))),-1)))</f>
        <v/>
      </c>
      <c r="AH380" s="36" t="str">
        <f ca="1">IF(NOTA[[#This Row],[ID_H]]="","",INDEX(NOTA[TGL.NOTA],MATCH(,INDIRECT(ADDRESS(ROW(NOTA[TGL.NOTA]),COLUMN(NOTA[TGL.NOTA]))&amp;":"&amp;ADDRESS(ROW(),COLUMN(NOTA[TGL.NOTA]))),-1)))</f>
        <v/>
      </c>
      <c r="AI380" s="36" t="str">
        <f ca="1">IF(NOTA[[#This Row],[ID_H]]="","",INDEX(NOTA[NO.NOTA],MATCH(NOTA[[#This Row],[ID_H]],NOTA[ID_H],0)))</f>
        <v/>
      </c>
      <c r="AJ380" s="38" t="str">
        <f ca="1">IF(NOTA[[#This Row],[NAMA BARANG]]="","",INDEX(NOTA[SUPPLIER],MATCH(,INDIRECT(ADDRESS(ROW(NOTA[ID]),COLUMN(NOTA[ID]))&amp;":"&amp;ADDRESS(ROW(),COLUMN(NOTA[ID]))),-1)))</f>
        <v/>
      </c>
      <c r="AK380" s="38" t="str">
        <f ca="1">IF(NOTA[[#This Row],[ID_H]]="","",IF(NOTA[[#This Row],[FAKTUR]]="",INDIRECT(ADDRESS(ROW()-1,COLUMN())),NOTA[[#This Row],[FAKTUR]]))</f>
        <v/>
      </c>
      <c r="AL380" s="35" t="str">
        <f ca="1">IF(NOTA[[#This Row],[ID]]="","",COUNTIF(NOTA[ID_H],NOTA[[#This Row],[ID_H]]))</f>
        <v/>
      </c>
      <c r="AM380" s="35" t="str">
        <f ca="1">IF(NOTA[[#This Row],[TGL.NOTA]]="",IF(NOTA[[#This Row],[SUPPLIER_H]]="","",AM379),MONTH(NOTA[[#This Row],[TGL.NOTA]]))</f>
        <v/>
      </c>
      <c r="AN3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0" s="35" t="str">
        <f>IF(NOTA[[#This Row],[CONCAT1]]="","",MATCH(NOTA[[#This Row],[CONCAT1]],[3]!db[NB NOTA_C],0))</f>
        <v/>
      </c>
      <c r="AS380" s="35" t="str">
        <f>IF(NOTA[[#This Row],[Column5]]="","",TRUE)</f>
        <v/>
      </c>
      <c r="AT380" s="35" t="str">
        <f ca="1">IF(NOTA[[#This Row],[ID_H]]="","",IF(NOTA[[#This Row],[Column3]]=TRUE,NOTA[[#This Row],[Column5]],INDEX([3]!db[QTY/ CTN],NOTA[[#This Row],[//DB]])))</f>
        <v/>
      </c>
      <c r="AU3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0" s="35" t="str">
        <f ca="1">IF(NOTA[[#This Row],[ID_H]]="","",MATCH(NOTA[[#This Row],[NB NOTA_C_QTY]],[3]!db[NB NOTA_C_QTY+F],0))</f>
        <v/>
      </c>
      <c r="AW380" s="43" t="str">
        <f ca="1">IF(NOTA[[#This Row],[NB NOTA_C_QTY]]="","",ROW()-2)</f>
        <v/>
      </c>
    </row>
    <row r="381" spans="1:49" ht="20.100000000000001" customHeight="1">
      <c r="A3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5" t="str">
        <f ca="1">IF(NOTA[[#This Row],[NAMA BARANG]]="","",INDEX(NOTA[ID],MATCH(,INDIRECT(ADDRESS(ROW(NOTA[ID]),COLUMN(NOTA[ID]))&amp;":"&amp;ADDRESS(ROW(),COLUMN(NOTA[ID]))),-1)))</f>
        <v/>
      </c>
      <c r="C381" s="45"/>
      <c r="F381" s="46"/>
      <c r="G381" s="35"/>
      <c r="H381" s="36"/>
      <c r="I381" s="35"/>
      <c r="K381" s="37"/>
      <c r="L381" s="35"/>
      <c r="N381" s="38"/>
      <c r="O381" s="39"/>
      <c r="P381" s="47"/>
      <c r="Q381" s="48"/>
      <c r="R381" s="41"/>
      <c r="T381" s="42"/>
      <c r="U381" s="44"/>
      <c r="V381" s="42" t="str">
        <f>IF(NOTA[[#This Row],[HARGA/ CTN]]="",NOTA[[#This Row],[JUMLAH_H]],NOTA[[#This Row],[HARGA/ CTN]]*IF(NOTA[[#This Row],[C]]="",0,NOTA[[#This Row],[C]]))</f>
        <v/>
      </c>
      <c r="W381" s="42" t="str">
        <f>IF(NOTA[[#This Row],[JUMLAH]]="","",NOTA[[#This Row],[JUMLAH]]*NOTA[[#This Row],[Column6]])</f>
        <v/>
      </c>
      <c r="X381" s="42" t="str">
        <f>IF(NOTA[[#This Row],[JUMLAH]]="","",(NOTA[[#This Row],[JUMLAH]]-NOTA[[#This Row],[DISC 1-]])*NOTA[[#This Row],[Column7]])</f>
        <v/>
      </c>
      <c r="Y381" s="42" t="str">
        <f>IF(NOTA[[#This Row],[JUMLAH]]="","",(NOTA[[#This Row],[JUMLAH]]-NOTA[[#This Row],[DISC 1-]]-NOTA[[#This Row],[DISC 2-]])*NOTA[[#This Row],[Column8]])</f>
        <v/>
      </c>
      <c r="Z381" s="42" t="str">
        <f>IF(NOTA[[#This Row],[JUMLAH]]="","",NOTA[[#This Row],[DISC 1-]]+NOTA[[#This Row],[DISC 2-]]+NOTA[[#This Row],[DISC 3-]])</f>
        <v/>
      </c>
      <c r="AA381" s="42" t="str">
        <f>IF(NOTA[[#This Row],[JUMLAH]]="","",NOTA[[#This Row],[JUMLAH]]-NOTA[[#This Row],[DISC]])</f>
        <v/>
      </c>
      <c r="AB381" s="42"/>
      <c r="AC3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1" s="42" t="str">
        <f>IF(OR(NOTA[[#This Row],[QTY]]="",NOTA[[#This Row],[HARGA SATUAN]]="",),"",NOTA[[#This Row],[QTY]]*NOTA[[#This Row],[HARGA SATUAN]])</f>
        <v/>
      </c>
      <c r="AG381" s="36" t="str">
        <f ca="1">IF(NOTA[[#This Row],[ID_H]]="","",INDEX(NOTA[TANGGAL],MATCH(,INDIRECT(ADDRESS(ROW(NOTA[TANGGAL]),COLUMN(NOTA[TANGGAL]))&amp;":"&amp;ADDRESS(ROW(),COLUMN(NOTA[TANGGAL]))),-1)))</f>
        <v/>
      </c>
      <c r="AH381" s="36" t="str">
        <f ca="1">IF(NOTA[[#This Row],[ID_H]]="","",INDEX(NOTA[TGL.NOTA],MATCH(,INDIRECT(ADDRESS(ROW(NOTA[TGL.NOTA]),COLUMN(NOTA[TGL.NOTA]))&amp;":"&amp;ADDRESS(ROW(),COLUMN(NOTA[TGL.NOTA]))),-1)))</f>
        <v/>
      </c>
      <c r="AI381" s="36" t="str">
        <f ca="1">IF(NOTA[[#This Row],[ID_H]]="","",INDEX(NOTA[NO.NOTA],MATCH(NOTA[[#This Row],[ID_H]],NOTA[ID_H],0)))</f>
        <v/>
      </c>
      <c r="AJ381" s="38" t="str">
        <f ca="1">IF(NOTA[[#This Row],[NAMA BARANG]]="","",INDEX(NOTA[SUPPLIER],MATCH(,INDIRECT(ADDRESS(ROW(NOTA[ID]),COLUMN(NOTA[ID]))&amp;":"&amp;ADDRESS(ROW(),COLUMN(NOTA[ID]))),-1)))</f>
        <v/>
      </c>
      <c r="AK381" s="38" t="str">
        <f ca="1">IF(NOTA[[#This Row],[ID_H]]="","",IF(NOTA[[#This Row],[FAKTUR]]="",INDIRECT(ADDRESS(ROW()-1,COLUMN())),NOTA[[#This Row],[FAKTUR]]))</f>
        <v/>
      </c>
      <c r="AL381" s="35" t="str">
        <f ca="1">IF(NOTA[[#This Row],[ID]]="","",COUNTIF(NOTA[ID_H],NOTA[[#This Row],[ID_H]]))</f>
        <v/>
      </c>
      <c r="AM381" s="35" t="str">
        <f ca="1">IF(NOTA[[#This Row],[TGL.NOTA]]="",IF(NOTA[[#This Row],[SUPPLIER_H]]="","",AM380),MONTH(NOTA[[#This Row],[TGL.NOTA]]))</f>
        <v/>
      </c>
      <c r="AN3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1" s="35" t="str">
        <f>IF(NOTA[[#This Row],[CONCAT1]]="","",MATCH(NOTA[[#This Row],[CONCAT1]],[3]!db[NB NOTA_C],0))</f>
        <v/>
      </c>
      <c r="AS381" s="35" t="str">
        <f>IF(NOTA[[#This Row],[Column5]]="","",TRUE)</f>
        <v/>
      </c>
      <c r="AT381" s="35" t="str">
        <f ca="1">IF(NOTA[[#This Row],[ID_H]]="","",IF(NOTA[[#This Row],[Column3]]=TRUE,NOTA[[#This Row],[Column5]],INDEX([3]!db[QTY/ CTN],NOTA[[#This Row],[//DB]])))</f>
        <v/>
      </c>
      <c r="AU3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1" s="35" t="str">
        <f ca="1">IF(NOTA[[#This Row],[ID_H]]="","",MATCH(NOTA[[#This Row],[NB NOTA_C_QTY]],[3]!db[NB NOTA_C_QTY+F],0))</f>
        <v/>
      </c>
      <c r="AW381" s="43" t="str">
        <f ca="1">IF(NOTA[[#This Row],[NB NOTA_C_QTY]]="","",ROW()-2)</f>
        <v/>
      </c>
    </row>
    <row r="382" spans="1:49" ht="20.100000000000001" customHeight="1">
      <c r="A3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5" t="str">
        <f ca="1">IF(NOTA[[#This Row],[NAMA BARANG]]="","",INDEX(NOTA[ID],MATCH(,INDIRECT(ADDRESS(ROW(NOTA[ID]),COLUMN(NOTA[ID]))&amp;":"&amp;ADDRESS(ROW(),COLUMN(NOTA[ID]))),-1)))</f>
        <v/>
      </c>
      <c r="C382" s="45"/>
      <c r="F382" s="46"/>
      <c r="G382" s="35"/>
      <c r="H382" s="36"/>
      <c r="I382" s="35"/>
      <c r="K382" s="37"/>
      <c r="L382" s="35"/>
      <c r="N382" s="38"/>
      <c r="O382" s="39"/>
      <c r="P382" s="47"/>
      <c r="Q382" s="48"/>
      <c r="R382" s="41"/>
      <c r="T382" s="42"/>
      <c r="U382" s="44"/>
      <c r="V382" s="42" t="str">
        <f>IF(NOTA[[#This Row],[HARGA/ CTN]]="",NOTA[[#This Row],[JUMLAH_H]],NOTA[[#This Row],[HARGA/ CTN]]*IF(NOTA[[#This Row],[C]]="",0,NOTA[[#This Row],[C]]))</f>
        <v/>
      </c>
      <c r="W382" s="42" t="str">
        <f>IF(NOTA[[#This Row],[JUMLAH]]="","",NOTA[[#This Row],[JUMLAH]]*NOTA[[#This Row],[Column6]])</f>
        <v/>
      </c>
      <c r="X382" s="42" t="str">
        <f>IF(NOTA[[#This Row],[JUMLAH]]="","",(NOTA[[#This Row],[JUMLAH]]-NOTA[[#This Row],[DISC 1-]])*NOTA[[#This Row],[Column7]])</f>
        <v/>
      </c>
      <c r="Y382" s="42" t="str">
        <f>IF(NOTA[[#This Row],[JUMLAH]]="","",(NOTA[[#This Row],[JUMLAH]]-NOTA[[#This Row],[DISC 1-]]-NOTA[[#This Row],[DISC 2-]])*NOTA[[#This Row],[Column8]])</f>
        <v/>
      </c>
      <c r="Z382" s="42" t="str">
        <f>IF(NOTA[[#This Row],[JUMLAH]]="","",NOTA[[#This Row],[DISC 1-]]+NOTA[[#This Row],[DISC 2-]]+NOTA[[#This Row],[DISC 3-]])</f>
        <v/>
      </c>
      <c r="AA382" s="42" t="str">
        <f>IF(NOTA[[#This Row],[JUMLAH]]="","",NOTA[[#This Row],[JUMLAH]]-NOTA[[#This Row],[DISC]])</f>
        <v/>
      </c>
      <c r="AB382" s="42"/>
      <c r="AC3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42" t="str">
        <f>IF(OR(NOTA[[#This Row],[QTY]]="",NOTA[[#This Row],[HARGA SATUAN]]="",),"",NOTA[[#This Row],[QTY]]*NOTA[[#This Row],[HARGA SATUAN]])</f>
        <v/>
      </c>
      <c r="AG382" s="36" t="str">
        <f ca="1">IF(NOTA[[#This Row],[ID_H]]="","",INDEX(NOTA[TANGGAL],MATCH(,INDIRECT(ADDRESS(ROW(NOTA[TANGGAL]),COLUMN(NOTA[TANGGAL]))&amp;":"&amp;ADDRESS(ROW(),COLUMN(NOTA[TANGGAL]))),-1)))</f>
        <v/>
      </c>
      <c r="AH382" s="36" t="str">
        <f ca="1">IF(NOTA[[#This Row],[ID_H]]="","",INDEX(NOTA[TGL.NOTA],MATCH(,INDIRECT(ADDRESS(ROW(NOTA[TGL.NOTA]),COLUMN(NOTA[TGL.NOTA]))&amp;":"&amp;ADDRESS(ROW(),COLUMN(NOTA[TGL.NOTA]))),-1)))</f>
        <v/>
      </c>
      <c r="AI382" s="36" t="str">
        <f ca="1">IF(NOTA[[#This Row],[ID_H]]="","",INDEX(NOTA[NO.NOTA],MATCH(NOTA[[#This Row],[ID_H]],NOTA[ID_H],0)))</f>
        <v/>
      </c>
      <c r="AJ382" s="38" t="str">
        <f ca="1">IF(NOTA[[#This Row],[NAMA BARANG]]="","",INDEX(NOTA[SUPPLIER],MATCH(,INDIRECT(ADDRESS(ROW(NOTA[ID]),COLUMN(NOTA[ID]))&amp;":"&amp;ADDRESS(ROW(),COLUMN(NOTA[ID]))),-1)))</f>
        <v/>
      </c>
      <c r="AK382" s="38" t="str">
        <f ca="1">IF(NOTA[[#This Row],[ID_H]]="","",IF(NOTA[[#This Row],[FAKTUR]]="",INDIRECT(ADDRESS(ROW()-1,COLUMN())),NOTA[[#This Row],[FAKTUR]]))</f>
        <v/>
      </c>
      <c r="AL382" s="35" t="str">
        <f ca="1">IF(NOTA[[#This Row],[ID]]="","",COUNTIF(NOTA[ID_H],NOTA[[#This Row],[ID_H]]))</f>
        <v/>
      </c>
      <c r="AM382" s="35" t="str">
        <f ca="1">IF(NOTA[[#This Row],[TGL.NOTA]]="",IF(NOTA[[#This Row],[SUPPLIER_H]]="","",AM381),MONTH(NOTA[[#This Row],[TGL.NOTA]]))</f>
        <v/>
      </c>
      <c r="AN3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2" s="35" t="str">
        <f>IF(NOTA[[#This Row],[CONCAT1]]="","",MATCH(NOTA[[#This Row],[CONCAT1]],[3]!db[NB NOTA_C],0))</f>
        <v/>
      </c>
      <c r="AS382" s="35" t="str">
        <f>IF(NOTA[[#This Row],[Column5]]="","",TRUE)</f>
        <v/>
      </c>
      <c r="AT382" s="35" t="str">
        <f ca="1">IF(NOTA[[#This Row],[ID_H]]="","",IF(NOTA[[#This Row],[Column3]]=TRUE,NOTA[[#This Row],[Column5]],INDEX([3]!db[QTY/ CTN],NOTA[[#This Row],[//DB]])))</f>
        <v/>
      </c>
      <c r="AU3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2" s="35" t="str">
        <f ca="1">IF(NOTA[[#This Row],[ID_H]]="","",MATCH(NOTA[[#This Row],[NB NOTA_C_QTY]],[3]!db[NB NOTA_C_QTY+F],0))</f>
        <v/>
      </c>
      <c r="AW382" s="43" t="str">
        <f ca="1">IF(NOTA[[#This Row],[NB NOTA_C_QTY]]="","",ROW()-2)</f>
        <v/>
      </c>
    </row>
    <row r="383" spans="1:49" ht="20.100000000000001" customHeight="1">
      <c r="A3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5" t="str">
        <f ca="1">IF(NOTA[[#This Row],[NAMA BARANG]]="","",INDEX(NOTA[ID],MATCH(,INDIRECT(ADDRESS(ROW(NOTA[ID]),COLUMN(NOTA[ID]))&amp;":"&amp;ADDRESS(ROW(),COLUMN(NOTA[ID]))),-1)))</f>
        <v/>
      </c>
      <c r="C383" s="45"/>
      <c r="F383" s="46"/>
      <c r="G383" s="35"/>
      <c r="H383" s="36"/>
      <c r="I383" s="35"/>
      <c r="K383" s="37"/>
      <c r="L383" s="35"/>
      <c r="N383" s="38"/>
      <c r="O383" s="39"/>
      <c r="P383" s="47"/>
      <c r="Q383" s="48"/>
      <c r="R383" s="41"/>
      <c r="T383" s="42"/>
      <c r="U383" s="44"/>
      <c r="V383" s="42" t="str">
        <f>IF(NOTA[[#This Row],[HARGA/ CTN]]="",NOTA[[#This Row],[JUMLAH_H]],NOTA[[#This Row],[HARGA/ CTN]]*IF(NOTA[[#This Row],[C]]="",0,NOTA[[#This Row],[C]]))</f>
        <v/>
      </c>
      <c r="W383" s="42" t="str">
        <f>IF(NOTA[[#This Row],[JUMLAH]]="","",NOTA[[#This Row],[JUMLAH]]*NOTA[[#This Row],[Column6]])</f>
        <v/>
      </c>
      <c r="X383" s="42" t="str">
        <f>IF(NOTA[[#This Row],[JUMLAH]]="","",(NOTA[[#This Row],[JUMLAH]]-NOTA[[#This Row],[DISC 1-]])*NOTA[[#This Row],[Column7]])</f>
        <v/>
      </c>
      <c r="Y383" s="42" t="str">
        <f>IF(NOTA[[#This Row],[JUMLAH]]="","",(NOTA[[#This Row],[JUMLAH]]-NOTA[[#This Row],[DISC 1-]]-NOTA[[#This Row],[DISC 2-]])*NOTA[[#This Row],[Column8]])</f>
        <v/>
      </c>
      <c r="Z383" s="42" t="str">
        <f>IF(NOTA[[#This Row],[JUMLAH]]="","",NOTA[[#This Row],[DISC 1-]]+NOTA[[#This Row],[DISC 2-]]+NOTA[[#This Row],[DISC 3-]])</f>
        <v/>
      </c>
      <c r="AA383" s="42" t="str">
        <f>IF(NOTA[[#This Row],[JUMLAH]]="","",NOTA[[#This Row],[JUMLAH]]-NOTA[[#This Row],[DISC]])</f>
        <v/>
      </c>
      <c r="AB383" s="42"/>
      <c r="AC3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3" s="42" t="str">
        <f>IF(OR(NOTA[[#This Row],[QTY]]="",NOTA[[#This Row],[HARGA SATUAN]]="",),"",NOTA[[#This Row],[QTY]]*NOTA[[#This Row],[HARGA SATUAN]])</f>
        <v/>
      </c>
      <c r="AG383" s="36" t="str">
        <f ca="1">IF(NOTA[[#This Row],[ID_H]]="","",INDEX(NOTA[TANGGAL],MATCH(,INDIRECT(ADDRESS(ROW(NOTA[TANGGAL]),COLUMN(NOTA[TANGGAL]))&amp;":"&amp;ADDRESS(ROW(),COLUMN(NOTA[TANGGAL]))),-1)))</f>
        <v/>
      </c>
      <c r="AH383" s="36" t="str">
        <f ca="1">IF(NOTA[[#This Row],[ID_H]]="","",INDEX(NOTA[TGL.NOTA],MATCH(,INDIRECT(ADDRESS(ROW(NOTA[TGL.NOTA]),COLUMN(NOTA[TGL.NOTA]))&amp;":"&amp;ADDRESS(ROW(),COLUMN(NOTA[TGL.NOTA]))),-1)))</f>
        <v/>
      </c>
      <c r="AI383" s="36" t="str">
        <f ca="1">IF(NOTA[[#This Row],[ID_H]]="","",INDEX(NOTA[NO.NOTA],MATCH(NOTA[[#This Row],[ID_H]],NOTA[ID_H],0)))</f>
        <v/>
      </c>
      <c r="AJ383" s="38" t="str">
        <f ca="1">IF(NOTA[[#This Row],[NAMA BARANG]]="","",INDEX(NOTA[SUPPLIER],MATCH(,INDIRECT(ADDRESS(ROW(NOTA[ID]),COLUMN(NOTA[ID]))&amp;":"&amp;ADDRESS(ROW(),COLUMN(NOTA[ID]))),-1)))</f>
        <v/>
      </c>
      <c r="AK383" s="38" t="str">
        <f ca="1">IF(NOTA[[#This Row],[ID_H]]="","",IF(NOTA[[#This Row],[FAKTUR]]="",INDIRECT(ADDRESS(ROW()-1,COLUMN())),NOTA[[#This Row],[FAKTUR]]))</f>
        <v/>
      </c>
      <c r="AL383" s="35" t="str">
        <f ca="1">IF(NOTA[[#This Row],[ID]]="","",COUNTIF(NOTA[ID_H],NOTA[[#This Row],[ID_H]]))</f>
        <v/>
      </c>
      <c r="AM383" s="35" t="str">
        <f ca="1">IF(NOTA[[#This Row],[TGL.NOTA]]="",IF(NOTA[[#This Row],[SUPPLIER_H]]="","",AM382),MONTH(NOTA[[#This Row],[TGL.NOTA]]))</f>
        <v/>
      </c>
      <c r="AN3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3" s="35" t="str">
        <f>IF(NOTA[[#This Row],[CONCAT1]]="","",MATCH(NOTA[[#This Row],[CONCAT1]],[3]!db[NB NOTA_C],0))</f>
        <v/>
      </c>
      <c r="AS383" s="35" t="str">
        <f>IF(NOTA[[#This Row],[Column5]]="","",TRUE)</f>
        <v/>
      </c>
      <c r="AT383" s="35" t="str">
        <f ca="1">IF(NOTA[[#This Row],[ID_H]]="","",IF(NOTA[[#This Row],[Column3]]=TRUE,NOTA[[#This Row],[Column5]],INDEX([3]!db[QTY/ CTN],NOTA[[#This Row],[//DB]])))</f>
        <v/>
      </c>
      <c r="AU3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3" s="35" t="str">
        <f ca="1">IF(NOTA[[#This Row],[ID_H]]="","",MATCH(NOTA[[#This Row],[NB NOTA_C_QTY]],[3]!db[NB NOTA_C_QTY+F],0))</f>
        <v/>
      </c>
      <c r="AW383" s="43" t="str">
        <f ca="1">IF(NOTA[[#This Row],[NB NOTA_C_QTY]]="","",ROW()-2)</f>
        <v/>
      </c>
    </row>
    <row r="384" spans="1:49" ht="20.100000000000001" customHeight="1">
      <c r="A3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5" t="str">
        <f ca="1">IF(NOTA[[#This Row],[NAMA BARANG]]="","",INDEX(NOTA[ID],MATCH(,INDIRECT(ADDRESS(ROW(NOTA[ID]),COLUMN(NOTA[ID]))&amp;":"&amp;ADDRESS(ROW(),COLUMN(NOTA[ID]))),-1)))</f>
        <v/>
      </c>
      <c r="C384" s="45"/>
      <c r="F384" s="46"/>
      <c r="G384" s="35"/>
      <c r="H384" s="36"/>
      <c r="I384" s="35"/>
      <c r="K384" s="37"/>
      <c r="L384" s="35"/>
      <c r="N384" s="38"/>
      <c r="O384" s="39"/>
      <c r="P384" s="47"/>
      <c r="Q384" s="48"/>
      <c r="R384" s="41"/>
      <c r="T384" s="42"/>
      <c r="U384" s="44"/>
      <c r="V384" s="42" t="str">
        <f>IF(NOTA[[#This Row],[HARGA/ CTN]]="",NOTA[[#This Row],[JUMLAH_H]],NOTA[[#This Row],[HARGA/ CTN]]*IF(NOTA[[#This Row],[C]]="",0,NOTA[[#This Row],[C]]))</f>
        <v/>
      </c>
      <c r="W384" s="42" t="str">
        <f>IF(NOTA[[#This Row],[JUMLAH]]="","",NOTA[[#This Row],[JUMLAH]]*NOTA[[#This Row],[Column6]])</f>
        <v/>
      </c>
      <c r="X384" s="42" t="str">
        <f>IF(NOTA[[#This Row],[JUMLAH]]="","",(NOTA[[#This Row],[JUMLAH]]-NOTA[[#This Row],[DISC 1-]])*NOTA[[#This Row],[Column7]])</f>
        <v/>
      </c>
      <c r="Y384" s="42" t="str">
        <f>IF(NOTA[[#This Row],[JUMLAH]]="","",(NOTA[[#This Row],[JUMLAH]]-NOTA[[#This Row],[DISC 1-]]-NOTA[[#This Row],[DISC 2-]])*NOTA[[#This Row],[Column8]])</f>
        <v/>
      </c>
      <c r="Z384" s="42" t="str">
        <f>IF(NOTA[[#This Row],[JUMLAH]]="","",NOTA[[#This Row],[DISC 1-]]+NOTA[[#This Row],[DISC 2-]]+NOTA[[#This Row],[DISC 3-]])</f>
        <v/>
      </c>
      <c r="AA384" s="42" t="str">
        <f>IF(NOTA[[#This Row],[JUMLAH]]="","",NOTA[[#This Row],[JUMLAH]]-NOTA[[#This Row],[DISC]])</f>
        <v/>
      </c>
      <c r="AB384" s="42"/>
      <c r="AC3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42" t="str">
        <f>IF(OR(NOTA[[#This Row],[QTY]]="",NOTA[[#This Row],[HARGA SATUAN]]="",),"",NOTA[[#This Row],[QTY]]*NOTA[[#This Row],[HARGA SATUAN]])</f>
        <v/>
      </c>
      <c r="AG384" s="36" t="str">
        <f ca="1">IF(NOTA[[#This Row],[ID_H]]="","",INDEX(NOTA[TANGGAL],MATCH(,INDIRECT(ADDRESS(ROW(NOTA[TANGGAL]),COLUMN(NOTA[TANGGAL]))&amp;":"&amp;ADDRESS(ROW(),COLUMN(NOTA[TANGGAL]))),-1)))</f>
        <v/>
      </c>
      <c r="AH384" s="36" t="str">
        <f ca="1">IF(NOTA[[#This Row],[ID_H]]="","",INDEX(NOTA[TGL.NOTA],MATCH(,INDIRECT(ADDRESS(ROW(NOTA[TGL.NOTA]),COLUMN(NOTA[TGL.NOTA]))&amp;":"&amp;ADDRESS(ROW(),COLUMN(NOTA[TGL.NOTA]))),-1)))</f>
        <v/>
      </c>
      <c r="AI384" s="36" t="str">
        <f ca="1">IF(NOTA[[#This Row],[ID_H]]="","",INDEX(NOTA[NO.NOTA],MATCH(NOTA[[#This Row],[ID_H]],NOTA[ID_H],0)))</f>
        <v/>
      </c>
      <c r="AJ384" s="38" t="str">
        <f ca="1">IF(NOTA[[#This Row],[NAMA BARANG]]="","",INDEX(NOTA[SUPPLIER],MATCH(,INDIRECT(ADDRESS(ROW(NOTA[ID]),COLUMN(NOTA[ID]))&amp;":"&amp;ADDRESS(ROW(),COLUMN(NOTA[ID]))),-1)))</f>
        <v/>
      </c>
      <c r="AK384" s="38" t="str">
        <f ca="1">IF(NOTA[[#This Row],[ID_H]]="","",IF(NOTA[[#This Row],[FAKTUR]]="",INDIRECT(ADDRESS(ROW()-1,COLUMN())),NOTA[[#This Row],[FAKTUR]]))</f>
        <v/>
      </c>
      <c r="AL384" s="35" t="str">
        <f ca="1">IF(NOTA[[#This Row],[ID]]="","",COUNTIF(NOTA[ID_H],NOTA[[#This Row],[ID_H]]))</f>
        <v/>
      </c>
      <c r="AM384" s="35" t="str">
        <f ca="1">IF(NOTA[[#This Row],[TGL.NOTA]]="",IF(NOTA[[#This Row],[SUPPLIER_H]]="","",AM383),MONTH(NOTA[[#This Row],[TGL.NOTA]]))</f>
        <v/>
      </c>
      <c r="AN3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4" s="35" t="str">
        <f>IF(NOTA[[#This Row],[CONCAT1]]="","",MATCH(NOTA[[#This Row],[CONCAT1]],[3]!db[NB NOTA_C],0))</f>
        <v/>
      </c>
      <c r="AS384" s="35" t="str">
        <f>IF(NOTA[[#This Row],[Column5]]="","",TRUE)</f>
        <v/>
      </c>
      <c r="AT384" s="35" t="str">
        <f ca="1">IF(NOTA[[#This Row],[ID_H]]="","",IF(NOTA[[#This Row],[Column3]]=TRUE,NOTA[[#This Row],[Column5]],INDEX([3]!db[QTY/ CTN],NOTA[[#This Row],[//DB]])))</f>
        <v/>
      </c>
      <c r="AU3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4" s="35" t="str">
        <f ca="1">IF(NOTA[[#This Row],[ID_H]]="","",MATCH(NOTA[[#This Row],[NB NOTA_C_QTY]],[3]!db[NB NOTA_C_QTY+F],0))</f>
        <v/>
      </c>
      <c r="AW384" s="43" t="str">
        <f ca="1">IF(NOTA[[#This Row],[NB NOTA_C_QTY]]="","",ROW()-2)</f>
        <v/>
      </c>
    </row>
    <row r="385" spans="1:49" ht="20.100000000000001" customHeight="1">
      <c r="A3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5" t="str">
        <f ca="1">IF(NOTA[[#This Row],[NAMA BARANG]]="","",INDEX(NOTA[ID],MATCH(,INDIRECT(ADDRESS(ROW(NOTA[ID]),COLUMN(NOTA[ID]))&amp;":"&amp;ADDRESS(ROW(),COLUMN(NOTA[ID]))),-1)))</f>
        <v/>
      </c>
      <c r="C385" s="45"/>
      <c r="F385" s="46"/>
      <c r="G385" s="35"/>
      <c r="H385" s="36"/>
      <c r="I385" s="35"/>
      <c r="K385" s="37"/>
      <c r="L385" s="35"/>
      <c r="N385" s="38"/>
      <c r="O385" s="39"/>
      <c r="P385" s="47"/>
      <c r="Q385" s="48"/>
      <c r="R385" s="41"/>
      <c r="T385" s="42"/>
      <c r="U385" s="44"/>
      <c r="V385" s="42" t="str">
        <f>IF(NOTA[[#This Row],[HARGA/ CTN]]="",NOTA[[#This Row],[JUMLAH_H]],NOTA[[#This Row],[HARGA/ CTN]]*IF(NOTA[[#This Row],[C]]="",0,NOTA[[#This Row],[C]]))</f>
        <v/>
      </c>
      <c r="W385" s="42" t="str">
        <f>IF(NOTA[[#This Row],[JUMLAH]]="","",NOTA[[#This Row],[JUMLAH]]*NOTA[[#This Row],[Column6]])</f>
        <v/>
      </c>
      <c r="X385" s="42" t="str">
        <f>IF(NOTA[[#This Row],[JUMLAH]]="","",(NOTA[[#This Row],[JUMLAH]]-NOTA[[#This Row],[DISC 1-]])*NOTA[[#This Row],[Column7]])</f>
        <v/>
      </c>
      <c r="Y385" s="42" t="str">
        <f>IF(NOTA[[#This Row],[JUMLAH]]="","",(NOTA[[#This Row],[JUMLAH]]-NOTA[[#This Row],[DISC 1-]]-NOTA[[#This Row],[DISC 2-]])*NOTA[[#This Row],[Column8]])</f>
        <v/>
      </c>
      <c r="Z385" s="42" t="str">
        <f>IF(NOTA[[#This Row],[JUMLAH]]="","",NOTA[[#This Row],[DISC 1-]]+NOTA[[#This Row],[DISC 2-]]+NOTA[[#This Row],[DISC 3-]])</f>
        <v/>
      </c>
      <c r="AA385" s="42" t="str">
        <f>IF(NOTA[[#This Row],[JUMLAH]]="","",NOTA[[#This Row],[JUMLAH]]-NOTA[[#This Row],[DISC]])</f>
        <v/>
      </c>
      <c r="AB385" s="42"/>
      <c r="AC3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5" s="42" t="str">
        <f>IF(OR(NOTA[[#This Row],[QTY]]="",NOTA[[#This Row],[HARGA SATUAN]]="",),"",NOTA[[#This Row],[QTY]]*NOTA[[#This Row],[HARGA SATUAN]])</f>
        <v/>
      </c>
      <c r="AG385" s="36" t="str">
        <f ca="1">IF(NOTA[[#This Row],[ID_H]]="","",INDEX(NOTA[TANGGAL],MATCH(,INDIRECT(ADDRESS(ROW(NOTA[TANGGAL]),COLUMN(NOTA[TANGGAL]))&amp;":"&amp;ADDRESS(ROW(),COLUMN(NOTA[TANGGAL]))),-1)))</f>
        <v/>
      </c>
      <c r="AH385" s="36" t="str">
        <f ca="1">IF(NOTA[[#This Row],[ID_H]]="","",INDEX(NOTA[TGL.NOTA],MATCH(,INDIRECT(ADDRESS(ROW(NOTA[TGL.NOTA]),COLUMN(NOTA[TGL.NOTA]))&amp;":"&amp;ADDRESS(ROW(),COLUMN(NOTA[TGL.NOTA]))),-1)))</f>
        <v/>
      </c>
      <c r="AI385" s="36" t="str">
        <f ca="1">IF(NOTA[[#This Row],[ID_H]]="","",INDEX(NOTA[NO.NOTA],MATCH(NOTA[[#This Row],[ID_H]],NOTA[ID_H],0)))</f>
        <v/>
      </c>
      <c r="AJ385" s="38" t="str">
        <f ca="1">IF(NOTA[[#This Row],[NAMA BARANG]]="","",INDEX(NOTA[SUPPLIER],MATCH(,INDIRECT(ADDRESS(ROW(NOTA[ID]),COLUMN(NOTA[ID]))&amp;":"&amp;ADDRESS(ROW(),COLUMN(NOTA[ID]))),-1)))</f>
        <v/>
      </c>
      <c r="AK385" s="38" t="str">
        <f ca="1">IF(NOTA[[#This Row],[ID_H]]="","",IF(NOTA[[#This Row],[FAKTUR]]="",INDIRECT(ADDRESS(ROW()-1,COLUMN())),NOTA[[#This Row],[FAKTUR]]))</f>
        <v/>
      </c>
      <c r="AL385" s="35" t="str">
        <f ca="1">IF(NOTA[[#This Row],[ID]]="","",COUNTIF(NOTA[ID_H],NOTA[[#This Row],[ID_H]]))</f>
        <v/>
      </c>
      <c r="AM385" s="35" t="str">
        <f ca="1">IF(NOTA[[#This Row],[TGL.NOTA]]="",IF(NOTA[[#This Row],[SUPPLIER_H]]="","",AM384),MONTH(NOTA[[#This Row],[TGL.NOTA]]))</f>
        <v/>
      </c>
      <c r="AN3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5" s="35" t="str">
        <f>IF(NOTA[[#This Row],[CONCAT1]]="","",MATCH(NOTA[[#This Row],[CONCAT1]],[3]!db[NB NOTA_C],0))</f>
        <v/>
      </c>
      <c r="AS385" s="35" t="str">
        <f>IF(NOTA[[#This Row],[Column5]]="","",TRUE)</f>
        <v/>
      </c>
      <c r="AT385" s="35" t="str">
        <f ca="1">IF(NOTA[[#This Row],[ID_H]]="","",IF(NOTA[[#This Row],[Column3]]=TRUE,NOTA[[#This Row],[Column5]],INDEX([3]!db[QTY/ CTN],NOTA[[#This Row],[//DB]])))</f>
        <v/>
      </c>
      <c r="AU3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5" s="35" t="str">
        <f ca="1">IF(NOTA[[#This Row],[ID_H]]="","",MATCH(NOTA[[#This Row],[NB NOTA_C_QTY]],[3]!db[NB NOTA_C_QTY+F],0))</f>
        <v/>
      </c>
      <c r="AW385" s="43" t="str">
        <f ca="1">IF(NOTA[[#This Row],[NB NOTA_C_QTY]]="","",ROW()-2)</f>
        <v/>
      </c>
    </row>
    <row r="386" spans="1:49" ht="20.100000000000001" customHeight="1">
      <c r="A3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5" t="str">
        <f ca="1">IF(NOTA[[#This Row],[NAMA BARANG]]="","",INDEX(NOTA[ID],MATCH(,INDIRECT(ADDRESS(ROW(NOTA[ID]),COLUMN(NOTA[ID]))&amp;":"&amp;ADDRESS(ROW(),COLUMN(NOTA[ID]))),-1)))</f>
        <v/>
      </c>
      <c r="C386" s="45"/>
      <c r="F386" s="46"/>
      <c r="G386" s="35"/>
      <c r="H386" s="36"/>
      <c r="I386" s="35"/>
      <c r="K386" s="37"/>
      <c r="L386" s="35"/>
      <c r="N386" s="38"/>
      <c r="O386" s="39"/>
      <c r="P386" s="47"/>
      <c r="Q386" s="48"/>
      <c r="R386" s="41"/>
      <c r="T386" s="42"/>
      <c r="U386" s="44"/>
      <c r="V386" s="42" t="str">
        <f>IF(NOTA[[#This Row],[HARGA/ CTN]]="",NOTA[[#This Row],[JUMLAH_H]],NOTA[[#This Row],[HARGA/ CTN]]*IF(NOTA[[#This Row],[C]]="",0,NOTA[[#This Row],[C]]))</f>
        <v/>
      </c>
      <c r="W386" s="42" t="str">
        <f>IF(NOTA[[#This Row],[JUMLAH]]="","",NOTA[[#This Row],[JUMLAH]]*NOTA[[#This Row],[Column6]])</f>
        <v/>
      </c>
      <c r="X386" s="42" t="str">
        <f>IF(NOTA[[#This Row],[JUMLAH]]="","",(NOTA[[#This Row],[JUMLAH]]-NOTA[[#This Row],[DISC 1-]])*NOTA[[#This Row],[Column7]])</f>
        <v/>
      </c>
      <c r="Y386" s="42" t="str">
        <f>IF(NOTA[[#This Row],[JUMLAH]]="","",(NOTA[[#This Row],[JUMLAH]]-NOTA[[#This Row],[DISC 1-]]-NOTA[[#This Row],[DISC 2-]])*NOTA[[#This Row],[Column8]])</f>
        <v/>
      </c>
      <c r="Z386" s="42" t="str">
        <f>IF(NOTA[[#This Row],[JUMLAH]]="","",NOTA[[#This Row],[DISC 1-]]+NOTA[[#This Row],[DISC 2-]]+NOTA[[#This Row],[DISC 3-]])</f>
        <v/>
      </c>
      <c r="AA386" s="42" t="str">
        <f>IF(NOTA[[#This Row],[JUMLAH]]="","",NOTA[[#This Row],[JUMLAH]]-NOTA[[#This Row],[DISC]])</f>
        <v/>
      </c>
      <c r="AB386" s="42"/>
      <c r="AC3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42" t="str">
        <f>IF(OR(NOTA[[#This Row],[QTY]]="",NOTA[[#This Row],[HARGA SATUAN]]="",),"",NOTA[[#This Row],[QTY]]*NOTA[[#This Row],[HARGA SATUAN]])</f>
        <v/>
      </c>
      <c r="AG386" s="36" t="str">
        <f ca="1">IF(NOTA[[#This Row],[ID_H]]="","",INDEX(NOTA[TANGGAL],MATCH(,INDIRECT(ADDRESS(ROW(NOTA[TANGGAL]),COLUMN(NOTA[TANGGAL]))&amp;":"&amp;ADDRESS(ROW(),COLUMN(NOTA[TANGGAL]))),-1)))</f>
        <v/>
      </c>
      <c r="AH386" s="36" t="str">
        <f ca="1">IF(NOTA[[#This Row],[ID_H]]="","",INDEX(NOTA[TGL.NOTA],MATCH(,INDIRECT(ADDRESS(ROW(NOTA[TGL.NOTA]),COLUMN(NOTA[TGL.NOTA]))&amp;":"&amp;ADDRESS(ROW(),COLUMN(NOTA[TGL.NOTA]))),-1)))</f>
        <v/>
      </c>
      <c r="AI386" s="36" t="str">
        <f ca="1">IF(NOTA[[#This Row],[ID_H]]="","",INDEX(NOTA[NO.NOTA],MATCH(NOTA[[#This Row],[ID_H]],NOTA[ID_H],0)))</f>
        <v/>
      </c>
      <c r="AJ386" s="38" t="str">
        <f ca="1">IF(NOTA[[#This Row],[NAMA BARANG]]="","",INDEX(NOTA[SUPPLIER],MATCH(,INDIRECT(ADDRESS(ROW(NOTA[ID]),COLUMN(NOTA[ID]))&amp;":"&amp;ADDRESS(ROW(),COLUMN(NOTA[ID]))),-1)))</f>
        <v/>
      </c>
      <c r="AK386" s="38" t="str">
        <f ca="1">IF(NOTA[[#This Row],[ID_H]]="","",IF(NOTA[[#This Row],[FAKTUR]]="",INDIRECT(ADDRESS(ROW()-1,COLUMN())),NOTA[[#This Row],[FAKTUR]]))</f>
        <v/>
      </c>
      <c r="AL386" s="35" t="str">
        <f ca="1">IF(NOTA[[#This Row],[ID]]="","",COUNTIF(NOTA[ID_H],NOTA[[#This Row],[ID_H]]))</f>
        <v/>
      </c>
      <c r="AM386" s="35" t="str">
        <f ca="1">IF(NOTA[[#This Row],[TGL.NOTA]]="",IF(NOTA[[#This Row],[SUPPLIER_H]]="","",AM385),MONTH(NOTA[[#This Row],[TGL.NOTA]]))</f>
        <v/>
      </c>
      <c r="AN3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6" s="35" t="str">
        <f>IF(NOTA[[#This Row],[CONCAT1]]="","",MATCH(NOTA[[#This Row],[CONCAT1]],[3]!db[NB NOTA_C],0))</f>
        <v/>
      </c>
      <c r="AS386" s="35" t="str">
        <f>IF(NOTA[[#This Row],[Column5]]="","",TRUE)</f>
        <v/>
      </c>
      <c r="AT386" s="35" t="str">
        <f ca="1">IF(NOTA[[#This Row],[ID_H]]="","",IF(NOTA[[#This Row],[Column3]]=TRUE,NOTA[[#This Row],[Column5]],INDEX([3]!db[QTY/ CTN],NOTA[[#This Row],[//DB]])))</f>
        <v/>
      </c>
      <c r="AU3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6" s="35" t="str">
        <f ca="1">IF(NOTA[[#This Row],[ID_H]]="","",MATCH(NOTA[[#This Row],[NB NOTA_C_QTY]],[3]!db[NB NOTA_C_QTY+F],0))</f>
        <v/>
      </c>
      <c r="AW386" s="43" t="str">
        <f ca="1">IF(NOTA[[#This Row],[NB NOTA_C_QTY]]="","",ROW()-2)</f>
        <v/>
      </c>
    </row>
    <row r="387" spans="1:49" ht="20.100000000000001" customHeight="1">
      <c r="A3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5" t="str">
        <f ca="1">IF(NOTA[[#This Row],[NAMA BARANG]]="","",INDEX(NOTA[ID],MATCH(,INDIRECT(ADDRESS(ROW(NOTA[ID]),COLUMN(NOTA[ID]))&amp;":"&amp;ADDRESS(ROW(),COLUMN(NOTA[ID]))),-1)))</f>
        <v/>
      </c>
      <c r="C387" s="45"/>
      <c r="F387" s="46"/>
      <c r="G387" s="35"/>
      <c r="H387" s="36"/>
      <c r="I387" s="35"/>
      <c r="K387" s="37"/>
      <c r="L387" s="35"/>
      <c r="N387" s="38"/>
      <c r="O387" s="39"/>
      <c r="P387" s="47"/>
      <c r="Q387" s="48"/>
      <c r="R387" s="41"/>
      <c r="T387" s="42"/>
      <c r="U387" s="44"/>
      <c r="V387" s="42" t="str">
        <f>IF(NOTA[[#This Row],[HARGA/ CTN]]="",NOTA[[#This Row],[JUMLAH_H]],NOTA[[#This Row],[HARGA/ CTN]]*IF(NOTA[[#This Row],[C]]="",0,NOTA[[#This Row],[C]]))</f>
        <v/>
      </c>
      <c r="W387" s="42" t="str">
        <f>IF(NOTA[[#This Row],[JUMLAH]]="","",NOTA[[#This Row],[JUMLAH]]*NOTA[[#This Row],[Column6]])</f>
        <v/>
      </c>
      <c r="X387" s="42" t="str">
        <f>IF(NOTA[[#This Row],[JUMLAH]]="","",(NOTA[[#This Row],[JUMLAH]]-NOTA[[#This Row],[DISC 1-]])*NOTA[[#This Row],[Column7]])</f>
        <v/>
      </c>
      <c r="Y387" s="42" t="str">
        <f>IF(NOTA[[#This Row],[JUMLAH]]="","",(NOTA[[#This Row],[JUMLAH]]-NOTA[[#This Row],[DISC 1-]]-NOTA[[#This Row],[DISC 2-]])*NOTA[[#This Row],[Column8]])</f>
        <v/>
      </c>
      <c r="Z387" s="42" t="str">
        <f>IF(NOTA[[#This Row],[JUMLAH]]="","",NOTA[[#This Row],[DISC 1-]]+NOTA[[#This Row],[DISC 2-]]+NOTA[[#This Row],[DISC 3-]])</f>
        <v/>
      </c>
      <c r="AA387" s="42" t="str">
        <f>IF(NOTA[[#This Row],[JUMLAH]]="","",NOTA[[#This Row],[JUMLAH]]-NOTA[[#This Row],[DISC]])</f>
        <v/>
      </c>
      <c r="AB387" s="42"/>
      <c r="AC3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7" s="42" t="str">
        <f>IF(OR(NOTA[[#This Row],[QTY]]="",NOTA[[#This Row],[HARGA SATUAN]]="",),"",NOTA[[#This Row],[QTY]]*NOTA[[#This Row],[HARGA SATUAN]])</f>
        <v/>
      </c>
      <c r="AG387" s="36" t="str">
        <f ca="1">IF(NOTA[[#This Row],[ID_H]]="","",INDEX(NOTA[TANGGAL],MATCH(,INDIRECT(ADDRESS(ROW(NOTA[TANGGAL]),COLUMN(NOTA[TANGGAL]))&amp;":"&amp;ADDRESS(ROW(),COLUMN(NOTA[TANGGAL]))),-1)))</f>
        <v/>
      </c>
      <c r="AH387" s="36" t="str">
        <f ca="1">IF(NOTA[[#This Row],[ID_H]]="","",INDEX(NOTA[TGL.NOTA],MATCH(,INDIRECT(ADDRESS(ROW(NOTA[TGL.NOTA]),COLUMN(NOTA[TGL.NOTA]))&amp;":"&amp;ADDRESS(ROW(),COLUMN(NOTA[TGL.NOTA]))),-1)))</f>
        <v/>
      </c>
      <c r="AI387" s="36" t="str">
        <f ca="1">IF(NOTA[[#This Row],[ID_H]]="","",INDEX(NOTA[NO.NOTA],MATCH(NOTA[[#This Row],[ID_H]],NOTA[ID_H],0)))</f>
        <v/>
      </c>
      <c r="AJ387" s="38" t="str">
        <f ca="1">IF(NOTA[[#This Row],[NAMA BARANG]]="","",INDEX(NOTA[SUPPLIER],MATCH(,INDIRECT(ADDRESS(ROW(NOTA[ID]),COLUMN(NOTA[ID]))&amp;":"&amp;ADDRESS(ROW(),COLUMN(NOTA[ID]))),-1)))</f>
        <v/>
      </c>
      <c r="AK387" s="38" t="str">
        <f ca="1">IF(NOTA[[#This Row],[ID_H]]="","",IF(NOTA[[#This Row],[FAKTUR]]="",INDIRECT(ADDRESS(ROW()-1,COLUMN())),NOTA[[#This Row],[FAKTUR]]))</f>
        <v/>
      </c>
      <c r="AL387" s="35" t="str">
        <f ca="1">IF(NOTA[[#This Row],[ID]]="","",COUNTIF(NOTA[ID_H],NOTA[[#This Row],[ID_H]]))</f>
        <v/>
      </c>
      <c r="AM387" s="35" t="str">
        <f ca="1">IF(NOTA[[#This Row],[TGL.NOTA]]="",IF(NOTA[[#This Row],[SUPPLIER_H]]="","",AM386),MONTH(NOTA[[#This Row],[TGL.NOTA]]))</f>
        <v/>
      </c>
      <c r="AN3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7" s="35" t="str">
        <f>IF(NOTA[[#This Row],[CONCAT1]]="","",MATCH(NOTA[[#This Row],[CONCAT1]],[3]!db[NB NOTA_C],0))</f>
        <v/>
      </c>
      <c r="AS387" s="35" t="str">
        <f>IF(NOTA[[#This Row],[Column5]]="","",TRUE)</f>
        <v/>
      </c>
      <c r="AT387" s="35" t="str">
        <f ca="1">IF(NOTA[[#This Row],[ID_H]]="","",IF(NOTA[[#This Row],[Column3]]=TRUE,NOTA[[#This Row],[Column5]],INDEX([3]!db[QTY/ CTN],NOTA[[#This Row],[//DB]])))</f>
        <v/>
      </c>
      <c r="AU3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7" s="35" t="str">
        <f ca="1">IF(NOTA[[#This Row],[ID_H]]="","",MATCH(NOTA[[#This Row],[NB NOTA_C_QTY]],[3]!db[NB NOTA_C_QTY+F],0))</f>
        <v/>
      </c>
      <c r="AW387" s="43" t="str">
        <f ca="1">IF(NOTA[[#This Row],[NB NOTA_C_QTY]]="","",ROW()-2)</f>
        <v/>
      </c>
    </row>
    <row r="388" spans="1:49" ht="20.100000000000001" customHeight="1">
      <c r="A3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5" t="str">
        <f ca="1">IF(NOTA[[#This Row],[NAMA BARANG]]="","",INDEX(NOTA[ID],MATCH(,INDIRECT(ADDRESS(ROW(NOTA[ID]),COLUMN(NOTA[ID]))&amp;":"&amp;ADDRESS(ROW(),COLUMN(NOTA[ID]))),-1)))</f>
        <v/>
      </c>
      <c r="C388" s="45"/>
      <c r="F388" s="46"/>
      <c r="G388" s="35"/>
      <c r="H388" s="36"/>
      <c r="I388" s="35"/>
      <c r="K388" s="37"/>
      <c r="L388" s="35"/>
      <c r="N388" s="38"/>
      <c r="O388" s="39"/>
      <c r="P388" s="47"/>
      <c r="Q388" s="48"/>
      <c r="R388" s="41"/>
      <c r="T388" s="42"/>
      <c r="U388" s="44"/>
      <c r="V388" s="42" t="str">
        <f>IF(NOTA[[#This Row],[HARGA/ CTN]]="",NOTA[[#This Row],[JUMLAH_H]],NOTA[[#This Row],[HARGA/ CTN]]*IF(NOTA[[#This Row],[C]]="",0,NOTA[[#This Row],[C]]))</f>
        <v/>
      </c>
      <c r="W388" s="42" t="str">
        <f>IF(NOTA[[#This Row],[JUMLAH]]="","",NOTA[[#This Row],[JUMLAH]]*NOTA[[#This Row],[Column6]])</f>
        <v/>
      </c>
      <c r="X388" s="42" t="str">
        <f>IF(NOTA[[#This Row],[JUMLAH]]="","",(NOTA[[#This Row],[JUMLAH]]-NOTA[[#This Row],[DISC 1-]])*NOTA[[#This Row],[Column7]])</f>
        <v/>
      </c>
      <c r="Y388" s="42" t="str">
        <f>IF(NOTA[[#This Row],[JUMLAH]]="","",(NOTA[[#This Row],[JUMLAH]]-NOTA[[#This Row],[DISC 1-]]-NOTA[[#This Row],[DISC 2-]])*NOTA[[#This Row],[Column8]])</f>
        <v/>
      </c>
      <c r="Z388" s="42" t="str">
        <f>IF(NOTA[[#This Row],[JUMLAH]]="","",NOTA[[#This Row],[DISC 1-]]+NOTA[[#This Row],[DISC 2-]]+NOTA[[#This Row],[DISC 3-]])</f>
        <v/>
      </c>
      <c r="AA388" s="42" t="str">
        <f>IF(NOTA[[#This Row],[JUMLAH]]="","",NOTA[[#This Row],[JUMLAH]]-NOTA[[#This Row],[DISC]])</f>
        <v/>
      </c>
      <c r="AB388" s="42"/>
      <c r="AC3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42" t="str">
        <f>IF(OR(NOTA[[#This Row],[QTY]]="",NOTA[[#This Row],[HARGA SATUAN]]="",),"",NOTA[[#This Row],[QTY]]*NOTA[[#This Row],[HARGA SATUAN]])</f>
        <v/>
      </c>
      <c r="AG388" s="36" t="str">
        <f ca="1">IF(NOTA[[#This Row],[ID_H]]="","",INDEX(NOTA[TANGGAL],MATCH(,INDIRECT(ADDRESS(ROW(NOTA[TANGGAL]),COLUMN(NOTA[TANGGAL]))&amp;":"&amp;ADDRESS(ROW(),COLUMN(NOTA[TANGGAL]))),-1)))</f>
        <v/>
      </c>
      <c r="AH388" s="36" t="str">
        <f ca="1">IF(NOTA[[#This Row],[ID_H]]="","",INDEX(NOTA[TGL.NOTA],MATCH(,INDIRECT(ADDRESS(ROW(NOTA[TGL.NOTA]),COLUMN(NOTA[TGL.NOTA]))&amp;":"&amp;ADDRESS(ROW(),COLUMN(NOTA[TGL.NOTA]))),-1)))</f>
        <v/>
      </c>
      <c r="AI388" s="36" t="str">
        <f ca="1">IF(NOTA[[#This Row],[ID_H]]="","",INDEX(NOTA[NO.NOTA],MATCH(NOTA[[#This Row],[ID_H]],NOTA[ID_H],0)))</f>
        <v/>
      </c>
      <c r="AJ388" s="38" t="str">
        <f ca="1">IF(NOTA[[#This Row],[NAMA BARANG]]="","",INDEX(NOTA[SUPPLIER],MATCH(,INDIRECT(ADDRESS(ROW(NOTA[ID]),COLUMN(NOTA[ID]))&amp;":"&amp;ADDRESS(ROW(),COLUMN(NOTA[ID]))),-1)))</f>
        <v/>
      </c>
      <c r="AK388" s="38" t="str">
        <f ca="1">IF(NOTA[[#This Row],[ID_H]]="","",IF(NOTA[[#This Row],[FAKTUR]]="",INDIRECT(ADDRESS(ROW()-1,COLUMN())),NOTA[[#This Row],[FAKTUR]]))</f>
        <v/>
      </c>
      <c r="AL388" s="35" t="str">
        <f ca="1">IF(NOTA[[#This Row],[ID]]="","",COUNTIF(NOTA[ID_H],NOTA[[#This Row],[ID_H]]))</f>
        <v/>
      </c>
      <c r="AM388" s="35" t="str">
        <f ca="1">IF(NOTA[[#This Row],[TGL.NOTA]]="",IF(NOTA[[#This Row],[SUPPLIER_H]]="","",AM387),MONTH(NOTA[[#This Row],[TGL.NOTA]]))</f>
        <v/>
      </c>
      <c r="AN3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8" s="35" t="str">
        <f>IF(NOTA[[#This Row],[CONCAT1]]="","",MATCH(NOTA[[#This Row],[CONCAT1]],[3]!db[NB NOTA_C],0))</f>
        <v/>
      </c>
      <c r="AS388" s="35" t="str">
        <f>IF(NOTA[[#This Row],[Column5]]="","",TRUE)</f>
        <v/>
      </c>
      <c r="AT388" s="35" t="str">
        <f ca="1">IF(NOTA[[#This Row],[ID_H]]="","",IF(NOTA[[#This Row],[Column3]]=TRUE,NOTA[[#This Row],[Column5]],INDEX([3]!db[QTY/ CTN],NOTA[[#This Row],[//DB]])))</f>
        <v/>
      </c>
      <c r="AU3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8" s="35" t="str">
        <f ca="1">IF(NOTA[[#This Row],[ID_H]]="","",MATCH(NOTA[[#This Row],[NB NOTA_C_QTY]],[3]!db[NB NOTA_C_QTY+F],0))</f>
        <v/>
      </c>
      <c r="AW388" s="43" t="str">
        <f ca="1">IF(NOTA[[#This Row],[NB NOTA_C_QTY]]="","",ROW()-2)</f>
        <v/>
      </c>
    </row>
    <row r="389" spans="1:49" ht="20.100000000000001" customHeight="1">
      <c r="A3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5" t="str">
        <f ca="1">IF(NOTA[[#This Row],[NAMA BARANG]]="","",INDEX(NOTA[ID],MATCH(,INDIRECT(ADDRESS(ROW(NOTA[ID]),COLUMN(NOTA[ID]))&amp;":"&amp;ADDRESS(ROW(),COLUMN(NOTA[ID]))),-1)))</f>
        <v/>
      </c>
      <c r="C389" s="45"/>
      <c r="F389" s="46"/>
      <c r="G389" s="35"/>
      <c r="H389" s="36"/>
      <c r="I389" s="35"/>
      <c r="K389" s="37"/>
      <c r="L389" s="35"/>
      <c r="N389" s="38"/>
      <c r="O389" s="39"/>
      <c r="P389" s="47"/>
      <c r="Q389" s="48"/>
      <c r="R389" s="41"/>
      <c r="T389" s="42"/>
      <c r="U389" s="44"/>
      <c r="V389" s="42" t="str">
        <f>IF(NOTA[[#This Row],[HARGA/ CTN]]="",NOTA[[#This Row],[JUMLAH_H]],NOTA[[#This Row],[HARGA/ CTN]]*IF(NOTA[[#This Row],[C]]="",0,NOTA[[#This Row],[C]]))</f>
        <v/>
      </c>
      <c r="W389" s="42" t="str">
        <f>IF(NOTA[[#This Row],[JUMLAH]]="","",NOTA[[#This Row],[JUMLAH]]*NOTA[[#This Row],[Column6]])</f>
        <v/>
      </c>
      <c r="X389" s="42" t="str">
        <f>IF(NOTA[[#This Row],[JUMLAH]]="","",(NOTA[[#This Row],[JUMLAH]]-NOTA[[#This Row],[DISC 1-]])*NOTA[[#This Row],[Column7]])</f>
        <v/>
      </c>
      <c r="Y389" s="42" t="str">
        <f>IF(NOTA[[#This Row],[JUMLAH]]="","",(NOTA[[#This Row],[JUMLAH]]-NOTA[[#This Row],[DISC 1-]]-NOTA[[#This Row],[DISC 2-]])*NOTA[[#This Row],[Column8]])</f>
        <v/>
      </c>
      <c r="Z389" s="42" t="str">
        <f>IF(NOTA[[#This Row],[JUMLAH]]="","",NOTA[[#This Row],[DISC 1-]]+NOTA[[#This Row],[DISC 2-]]+NOTA[[#This Row],[DISC 3-]])</f>
        <v/>
      </c>
      <c r="AA389" s="42" t="str">
        <f>IF(NOTA[[#This Row],[JUMLAH]]="","",NOTA[[#This Row],[JUMLAH]]-NOTA[[#This Row],[DISC]])</f>
        <v/>
      </c>
      <c r="AB389" s="42"/>
      <c r="AC3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9" s="42" t="str">
        <f>IF(OR(NOTA[[#This Row],[QTY]]="",NOTA[[#This Row],[HARGA SATUAN]]="",),"",NOTA[[#This Row],[QTY]]*NOTA[[#This Row],[HARGA SATUAN]])</f>
        <v/>
      </c>
      <c r="AG389" s="36" t="str">
        <f ca="1">IF(NOTA[[#This Row],[ID_H]]="","",INDEX(NOTA[TANGGAL],MATCH(,INDIRECT(ADDRESS(ROW(NOTA[TANGGAL]),COLUMN(NOTA[TANGGAL]))&amp;":"&amp;ADDRESS(ROW(),COLUMN(NOTA[TANGGAL]))),-1)))</f>
        <v/>
      </c>
      <c r="AH389" s="36" t="str">
        <f ca="1">IF(NOTA[[#This Row],[ID_H]]="","",INDEX(NOTA[TGL.NOTA],MATCH(,INDIRECT(ADDRESS(ROW(NOTA[TGL.NOTA]),COLUMN(NOTA[TGL.NOTA]))&amp;":"&amp;ADDRESS(ROW(),COLUMN(NOTA[TGL.NOTA]))),-1)))</f>
        <v/>
      </c>
      <c r="AI389" s="36" t="str">
        <f ca="1">IF(NOTA[[#This Row],[ID_H]]="","",INDEX(NOTA[NO.NOTA],MATCH(NOTA[[#This Row],[ID_H]],NOTA[ID_H],0)))</f>
        <v/>
      </c>
      <c r="AJ389" s="38" t="str">
        <f ca="1">IF(NOTA[[#This Row],[NAMA BARANG]]="","",INDEX(NOTA[SUPPLIER],MATCH(,INDIRECT(ADDRESS(ROW(NOTA[ID]),COLUMN(NOTA[ID]))&amp;":"&amp;ADDRESS(ROW(),COLUMN(NOTA[ID]))),-1)))</f>
        <v/>
      </c>
      <c r="AK389" s="38" t="str">
        <f ca="1">IF(NOTA[[#This Row],[ID_H]]="","",IF(NOTA[[#This Row],[FAKTUR]]="",INDIRECT(ADDRESS(ROW()-1,COLUMN())),NOTA[[#This Row],[FAKTUR]]))</f>
        <v/>
      </c>
      <c r="AL389" s="35" t="str">
        <f ca="1">IF(NOTA[[#This Row],[ID]]="","",COUNTIF(NOTA[ID_H],NOTA[[#This Row],[ID_H]]))</f>
        <v/>
      </c>
      <c r="AM389" s="35" t="str">
        <f ca="1">IF(NOTA[[#This Row],[TGL.NOTA]]="",IF(NOTA[[#This Row],[SUPPLIER_H]]="","",AM388),MONTH(NOTA[[#This Row],[TGL.NOTA]]))</f>
        <v/>
      </c>
      <c r="AN3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9" s="35" t="str">
        <f>IF(NOTA[[#This Row],[CONCAT1]]="","",MATCH(NOTA[[#This Row],[CONCAT1]],[3]!db[NB NOTA_C],0))</f>
        <v/>
      </c>
      <c r="AS389" s="35" t="str">
        <f>IF(NOTA[[#This Row],[Column5]]="","",TRUE)</f>
        <v/>
      </c>
      <c r="AT389" s="35" t="str">
        <f ca="1">IF(NOTA[[#This Row],[ID_H]]="","",IF(NOTA[[#This Row],[Column3]]=TRUE,NOTA[[#This Row],[Column5]],INDEX([3]!db[QTY/ CTN],NOTA[[#This Row],[//DB]])))</f>
        <v/>
      </c>
      <c r="AU3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89" s="35" t="str">
        <f ca="1">IF(NOTA[[#This Row],[ID_H]]="","",MATCH(NOTA[[#This Row],[NB NOTA_C_QTY]],[3]!db[NB NOTA_C_QTY+F],0))</f>
        <v/>
      </c>
      <c r="AW389" s="43" t="str">
        <f ca="1">IF(NOTA[[#This Row],[NB NOTA_C_QTY]]="","",ROW()-2)</f>
        <v/>
      </c>
    </row>
    <row r="390" spans="1:49" ht="20.100000000000001" customHeight="1">
      <c r="A3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5" t="str">
        <f ca="1">IF(NOTA[[#This Row],[NAMA BARANG]]="","",INDEX(NOTA[ID],MATCH(,INDIRECT(ADDRESS(ROW(NOTA[ID]),COLUMN(NOTA[ID]))&amp;":"&amp;ADDRESS(ROW(),COLUMN(NOTA[ID]))),-1)))</f>
        <v/>
      </c>
      <c r="C390" s="45"/>
      <c r="F390" s="46"/>
      <c r="G390" s="35"/>
      <c r="H390" s="36"/>
      <c r="I390" s="35"/>
      <c r="K390" s="37"/>
      <c r="L390" s="35"/>
      <c r="N390" s="38"/>
      <c r="O390" s="39"/>
      <c r="P390" s="47"/>
      <c r="Q390" s="48"/>
      <c r="R390" s="41"/>
      <c r="T390" s="42"/>
      <c r="U390" s="44"/>
      <c r="V390" s="42" t="str">
        <f>IF(NOTA[[#This Row],[HARGA/ CTN]]="",NOTA[[#This Row],[JUMLAH_H]],NOTA[[#This Row],[HARGA/ CTN]]*IF(NOTA[[#This Row],[C]]="",0,NOTA[[#This Row],[C]]))</f>
        <v/>
      </c>
      <c r="W390" s="42" t="str">
        <f>IF(NOTA[[#This Row],[JUMLAH]]="","",NOTA[[#This Row],[JUMLAH]]*NOTA[[#This Row],[Column6]])</f>
        <v/>
      </c>
      <c r="X390" s="42" t="str">
        <f>IF(NOTA[[#This Row],[JUMLAH]]="","",(NOTA[[#This Row],[JUMLAH]]-NOTA[[#This Row],[DISC 1-]])*NOTA[[#This Row],[Column7]])</f>
        <v/>
      </c>
      <c r="Y390" s="42" t="str">
        <f>IF(NOTA[[#This Row],[JUMLAH]]="","",(NOTA[[#This Row],[JUMLAH]]-NOTA[[#This Row],[DISC 1-]]-NOTA[[#This Row],[DISC 2-]])*NOTA[[#This Row],[Column8]])</f>
        <v/>
      </c>
      <c r="Z390" s="42" t="str">
        <f>IF(NOTA[[#This Row],[JUMLAH]]="","",NOTA[[#This Row],[DISC 1-]]+NOTA[[#This Row],[DISC 2-]]+NOTA[[#This Row],[DISC 3-]])</f>
        <v/>
      </c>
      <c r="AA390" s="42" t="str">
        <f>IF(NOTA[[#This Row],[JUMLAH]]="","",NOTA[[#This Row],[JUMLAH]]-NOTA[[#This Row],[DISC]])</f>
        <v/>
      </c>
      <c r="AB390" s="42"/>
      <c r="AC3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0" s="42" t="str">
        <f>IF(OR(NOTA[[#This Row],[QTY]]="",NOTA[[#This Row],[HARGA SATUAN]]="",),"",NOTA[[#This Row],[QTY]]*NOTA[[#This Row],[HARGA SATUAN]])</f>
        <v/>
      </c>
      <c r="AG390" s="36" t="str">
        <f ca="1">IF(NOTA[[#This Row],[ID_H]]="","",INDEX(NOTA[TANGGAL],MATCH(,INDIRECT(ADDRESS(ROW(NOTA[TANGGAL]),COLUMN(NOTA[TANGGAL]))&amp;":"&amp;ADDRESS(ROW(),COLUMN(NOTA[TANGGAL]))),-1)))</f>
        <v/>
      </c>
      <c r="AH390" s="36" t="str">
        <f ca="1">IF(NOTA[[#This Row],[ID_H]]="","",INDEX(NOTA[TGL.NOTA],MATCH(,INDIRECT(ADDRESS(ROW(NOTA[TGL.NOTA]),COLUMN(NOTA[TGL.NOTA]))&amp;":"&amp;ADDRESS(ROW(),COLUMN(NOTA[TGL.NOTA]))),-1)))</f>
        <v/>
      </c>
      <c r="AI390" s="36" t="str">
        <f ca="1">IF(NOTA[[#This Row],[ID_H]]="","",INDEX(NOTA[NO.NOTA],MATCH(NOTA[[#This Row],[ID_H]],NOTA[ID_H],0)))</f>
        <v/>
      </c>
      <c r="AJ390" s="38" t="str">
        <f ca="1">IF(NOTA[[#This Row],[NAMA BARANG]]="","",INDEX(NOTA[SUPPLIER],MATCH(,INDIRECT(ADDRESS(ROW(NOTA[ID]),COLUMN(NOTA[ID]))&amp;":"&amp;ADDRESS(ROW(),COLUMN(NOTA[ID]))),-1)))</f>
        <v/>
      </c>
      <c r="AK390" s="38" t="str">
        <f ca="1">IF(NOTA[[#This Row],[ID_H]]="","",IF(NOTA[[#This Row],[FAKTUR]]="",INDIRECT(ADDRESS(ROW()-1,COLUMN())),NOTA[[#This Row],[FAKTUR]]))</f>
        <v/>
      </c>
      <c r="AL390" s="35" t="str">
        <f ca="1">IF(NOTA[[#This Row],[ID]]="","",COUNTIF(NOTA[ID_H],NOTA[[#This Row],[ID_H]]))</f>
        <v/>
      </c>
      <c r="AM390" s="35" t="str">
        <f ca="1">IF(NOTA[[#This Row],[TGL.NOTA]]="",IF(NOTA[[#This Row],[SUPPLIER_H]]="","",AM389),MONTH(NOTA[[#This Row],[TGL.NOTA]]))</f>
        <v/>
      </c>
      <c r="AN3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0" s="35" t="str">
        <f>IF(NOTA[[#This Row],[CONCAT1]]="","",MATCH(NOTA[[#This Row],[CONCAT1]],[3]!db[NB NOTA_C],0))</f>
        <v/>
      </c>
      <c r="AS390" s="35" t="str">
        <f>IF(NOTA[[#This Row],[Column5]]="","",TRUE)</f>
        <v/>
      </c>
      <c r="AT390" s="35" t="str">
        <f ca="1">IF(NOTA[[#This Row],[ID_H]]="","",IF(NOTA[[#This Row],[Column3]]=TRUE,NOTA[[#This Row],[Column5]],INDEX([3]!db[QTY/ CTN],NOTA[[#This Row],[//DB]])))</f>
        <v/>
      </c>
      <c r="AU3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0" s="35" t="str">
        <f ca="1">IF(NOTA[[#This Row],[ID_H]]="","",MATCH(NOTA[[#This Row],[NB NOTA_C_QTY]],[3]!db[NB NOTA_C_QTY+F],0))</f>
        <v/>
      </c>
      <c r="AW390" s="43" t="str">
        <f ca="1">IF(NOTA[[#This Row],[NB NOTA_C_QTY]]="","",ROW()-2)</f>
        <v/>
      </c>
    </row>
    <row r="391" spans="1:49" ht="20.100000000000001" customHeight="1">
      <c r="A3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5" t="str">
        <f ca="1">IF(NOTA[[#This Row],[NAMA BARANG]]="","",INDEX(NOTA[ID],MATCH(,INDIRECT(ADDRESS(ROW(NOTA[ID]),COLUMN(NOTA[ID]))&amp;":"&amp;ADDRESS(ROW(),COLUMN(NOTA[ID]))),-1)))</f>
        <v/>
      </c>
      <c r="C391" s="45"/>
      <c r="F391" s="46"/>
      <c r="G391" s="35"/>
      <c r="H391" s="36"/>
      <c r="I391" s="35"/>
      <c r="K391" s="37"/>
      <c r="L391" s="35"/>
      <c r="N391" s="38"/>
      <c r="O391" s="39"/>
      <c r="P391" s="47"/>
      <c r="Q391" s="48"/>
      <c r="R391" s="41"/>
      <c r="T391" s="42"/>
      <c r="U391" s="44"/>
      <c r="V391" s="42" t="str">
        <f>IF(NOTA[[#This Row],[HARGA/ CTN]]="",NOTA[[#This Row],[JUMLAH_H]],NOTA[[#This Row],[HARGA/ CTN]]*IF(NOTA[[#This Row],[C]]="",0,NOTA[[#This Row],[C]]))</f>
        <v/>
      </c>
      <c r="W391" s="42" t="str">
        <f>IF(NOTA[[#This Row],[JUMLAH]]="","",NOTA[[#This Row],[JUMLAH]]*NOTA[[#This Row],[Column6]])</f>
        <v/>
      </c>
      <c r="X391" s="42" t="str">
        <f>IF(NOTA[[#This Row],[JUMLAH]]="","",(NOTA[[#This Row],[JUMLAH]]-NOTA[[#This Row],[DISC 1-]])*NOTA[[#This Row],[Column7]])</f>
        <v/>
      </c>
      <c r="Y391" s="42" t="str">
        <f>IF(NOTA[[#This Row],[JUMLAH]]="","",(NOTA[[#This Row],[JUMLAH]]-NOTA[[#This Row],[DISC 1-]]-NOTA[[#This Row],[DISC 2-]])*NOTA[[#This Row],[Column8]])</f>
        <v/>
      </c>
      <c r="Z391" s="42" t="str">
        <f>IF(NOTA[[#This Row],[JUMLAH]]="","",NOTA[[#This Row],[DISC 1-]]+NOTA[[#This Row],[DISC 2-]]+NOTA[[#This Row],[DISC 3-]])</f>
        <v/>
      </c>
      <c r="AA391" s="42" t="str">
        <f>IF(NOTA[[#This Row],[JUMLAH]]="","",NOTA[[#This Row],[JUMLAH]]-NOTA[[#This Row],[DISC]])</f>
        <v/>
      </c>
      <c r="AB391" s="42"/>
      <c r="AC3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42" t="str">
        <f>IF(OR(NOTA[[#This Row],[QTY]]="",NOTA[[#This Row],[HARGA SATUAN]]="",),"",NOTA[[#This Row],[QTY]]*NOTA[[#This Row],[HARGA SATUAN]])</f>
        <v/>
      </c>
      <c r="AG391" s="36" t="str">
        <f ca="1">IF(NOTA[[#This Row],[ID_H]]="","",INDEX(NOTA[TANGGAL],MATCH(,INDIRECT(ADDRESS(ROW(NOTA[TANGGAL]),COLUMN(NOTA[TANGGAL]))&amp;":"&amp;ADDRESS(ROW(),COLUMN(NOTA[TANGGAL]))),-1)))</f>
        <v/>
      </c>
      <c r="AH391" s="36" t="str">
        <f ca="1">IF(NOTA[[#This Row],[ID_H]]="","",INDEX(NOTA[TGL.NOTA],MATCH(,INDIRECT(ADDRESS(ROW(NOTA[TGL.NOTA]),COLUMN(NOTA[TGL.NOTA]))&amp;":"&amp;ADDRESS(ROW(),COLUMN(NOTA[TGL.NOTA]))),-1)))</f>
        <v/>
      </c>
      <c r="AI391" s="36" t="str">
        <f ca="1">IF(NOTA[[#This Row],[ID_H]]="","",INDEX(NOTA[NO.NOTA],MATCH(NOTA[[#This Row],[ID_H]],NOTA[ID_H],0)))</f>
        <v/>
      </c>
      <c r="AJ391" s="38" t="str">
        <f ca="1">IF(NOTA[[#This Row],[NAMA BARANG]]="","",INDEX(NOTA[SUPPLIER],MATCH(,INDIRECT(ADDRESS(ROW(NOTA[ID]),COLUMN(NOTA[ID]))&amp;":"&amp;ADDRESS(ROW(),COLUMN(NOTA[ID]))),-1)))</f>
        <v/>
      </c>
      <c r="AK391" s="38" t="str">
        <f ca="1">IF(NOTA[[#This Row],[ID_H]]="","",IF(NOTA[[#This Row],[FAKTUR]]="",INDIRECT(ADDRESS(ROW()-1,COLUMN())),NOTA[[#This Row],[FAKTUR]]))</f>
        <v/>
      </c>
      <c r="AL391" s="35" t="str">
        <f ca="1">IF(NOTA[[#This Row],[ID]]="","",COUNTIF(NOTA[ID_H],NOTA[[#This Row],[ID_H]]))</f>
        <v/>
      </c>
      <c r="AM391" s="35" t="str">
        <f ca="1">IF(NOTA[[#This Row],[TGL.NOTA]]="",IF(NOTA[[#This Row],[SUPPLIER_H]]="","",AM390),MONTH(NOTA[[#This Row],[TGL.NOTA]]))</f>
        <v/>
      </c>
      <c r="AN3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1" s="35" t="str">
        <f>IF(NOTA[[#This Row],[CONCAT1]]="","",MATCH(NOTA[[#This Row],[CONCAT1]],[3]!db[NB NOTA_C],0))</f>
        <v/>
      </c>
      <c r="AS391" s="35" t="str">
        <f>IF(NOTA[[#This Row],[Column5]]="","",TRUE)</f>
        <v/>
      </c>
      <c r="AT391" s="35" t="str">
        <f ca="1">IF(NOTA[[#This Row],[ID_H]]="","",IF(NOTA[[#This Row],[Column3]]=TRUE,NOTA[[#This Row],[Column5]],INDEX([3]!db[QTY/ CTN],NOTA[[#This Row],[//DB]])))</f>
        <v/>
      </c>
      <c r="AU3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1" s="35" t="str">
        <f ca="1">IF(NOTA[[#This Row],[ID_H]]="","",MATCH(NOTA[[#This Row],[NB NOTA_C_QTY]],[3]!db[NB NOTA_C_QTY+F],0))</f>
        <v/>
      </c>
      <c r="AW391" s="43" t="str">
        <f ca="1">IF(NOTA[[#This Row],[NB NOTA_C_QTY]]="","",ROW()-2)</f>
        <v/>
      </c>
    </row>
    <row r="392" spans="1:49" ht="20.100000000000001" customHeight="1">
      <c r="A3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5" t="str">
        <f ca="1">IF(NOTA[[#This Row],[NAMA BARANG]]="","",INDEX(NOTA[ID],MATCH(,INDIRECT(ADDRESS(ROW(NOTA[ID]),COLUMN(NOTA[ID]))&amp;":"&amp;ADDRESS(ROW(),COLUMN(NOTA[ID]))),-1)))</f>
        <v/>
      </c>
      <c r="C392" s="45"/>
      <c r="F392" s="46"/>
      <c r="G392" s="35"/>
      <c r="H392" s="36"/>
      <c r="I392" s="35"/>
      <c r="K392" s="37"/>
      <c r="L392" s="35"/>
      <c r="N392" s="38"/>
      <c r="O392" s="39"/>
      <c r="P392" s="47"/>
      <c r="Q392" s="48"/>
      <c r="R392" s="41"/>
      <c r="T392" s="42"/>
      <c r="U392" s="44"/>
      <c r="V392" s="42" t="str">
        <f>IF(NOTA[[#This Row],[HARGA/ CTN]]="",NOTA[[#This Row],[JUMLAH_H]],NOTA[[#This Row],[HARGA/ CTN]]*IF(NOTA[[#This Row],[C]]="",0,NOTA[[#This Row],[C]]))</f>
        <v/>
      </c>
      <c r="W392" s="42" t="str">
        <f>IF(NOTA[[#This Row],[JUMLAH]]="","",NOTA[[#This Row],[JUMLAH]]*NOTA[[#This Row],[Column6]])</f>
        <v/>
      </c>
      <c r="X392" s="42" t="str">
        <f>IF(NOTA[[#This Row],[JUMLAH]]="","",(NOTA[[#This Row],[JUMLAH]]-NOTA[[#This Row],[DISC 1-]])*NOTA[[#This Row],[Column7]])</f>
        <v/>
      </c>
      <c r="Y392" s="42" t="str">
        <f>IF(NOTA[[#This Row],[JUMLAH]]="","",(NOTA[[#This Row],[JUMLAH]]-NOTA[[#This Row],[DISC 1-]]-NOTA[[#This Row],[DISC 2-]])*NOTA[[#This Row],[Column8]])</f>
        <v/>
      </c>
      <c r="Z392" s="42" t="str">
        <f>IF(NOTA[[#This Row],[JUMLAH]]="","",NOTA[[#This Row],[DISC 1-]]+NOTA[[#This Row],[DISC 2-]]+NOTA[[#This Row],[DISC 3-]])</f>
        <v/>
      </c>
      <c r="AA392" s="42" t="str">
        <f>IF(NOTA[[#This Row],[JUMLAH]]="","",NOTA[[#This Row],[JUMLAH]]-NOTA[[#This Row],[DISC]])</f>
        <v/>
      </c>
      <c r="AB392" s="42"/>
      <c r="AC3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2" s="42" t="str">
        <f>IF(OR(NOTA[[#This Row],[QTY]]="",NOTA[[#This Row],[HARGA SATUAN]]="",),"",NOTA[[#This Row],[QTY]]*NOTA[[#This Row],[HARGA SATUAN]])</f>
        <v/>
      </c>
      <c r="AG392" s="36" t="str">
        <f ca="1">IF(NOTA[[#This Row],[ID_H]]="","",INDEX(NOTA[TANGGAL],MATCH(,INDIRECT(ADDRESS(ROW(NOTA[TANGGAL]),COLUMN(NOTA[TANGGAL]))&amp;":"&amp;ADDRESS(ROW(),COLUMN(NOTA[TANGGAL]))),-1)))</f>
        <v/>
      </c>
      <c r="AH392" s="36" t="str">
        <f ca="1">IF(NOTA[[#This Row],[ID_H]]="","",INDEX(NOTA[TGL.NOTA],MATCH(,INDIRECT(ADDRESS(ROW(NOTA[TGL.NOTA]),COLUMN(NOTA[TGL.NOTA]))&amp;":"&amp;ADDRESS(ROW(),COLUMN(NOTA[TGL.NOTA]))),-1)))</f>
        <v/>
      </c>
      <c r="AI392" s="36" t="str">
        <f ca="1">IF(NOTA[[#This Row],[ID_H]]="","",INDEX(NOTA[NO.NOTA],MATCH(NOTA[[#This Row],[ID_H]],NOTA[ID_H],0)))</f>
        <v/>
      </c>
      <c r="AJ392" s="38" t="str">
        <f ca="1">IF(NOTA[[#This Row],[NAMA BARANG]]="","",INDEX(NOTA[SUPPLIER],MATCH(,INDIRECT(ADDRESS(ROW(NOTA[ID]),COLUMN(NOTA[ID]))&amp;":"&amp;ADDRESS(ROW(),COLUMN(NOTA[ID]))),-1)))</f>
        <v/>
      </c>
      <c r="AK392" s="38" t="str">
        <f ca="1">IF(NOTA[[#This Row],[ID_H]]="","",IF(NOTA[[#This Row],[FAKTUR]]="",INDIRECT(ADDRESS(ROW()-1,COLUMN())),NOTA[[#This Row],[FAKTUR]]))</f>
        <v/>
      </c>
      <c r="AL392" s="35" t="str">
        <f ca="1">IF(NOTA[[#This Row],[ID]]="","",COUNTIF(NOTA[ID_H],NOTA[[#This Row],[ID_H]]))</f>
        <v/>
      </c>
      <c r="AM392" s="35" t="str">
        <f ca="1">IF(NOTA[[#This Row],[TGL.NOTA]]="",IF(NOTA[[#This Row],[SUPPLIER_H]]="","",AM391),MONTH(NOTA[[#This Row],[TGL.NOTA]]))</f>
        <v/>
      </c>
      <c r="AN3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2" s="35" t="str">
        <f>IF(NOTA[[#This Row],[CONCAT1]]="","",MATCH(NOTA[[#This Row],[CONCAT1]],[3]!db[NB NOTA_C],0))</f>
        <v/>
      </c>
      <c r="AS392" s="35" t="str">
        <f>IF(NOTA[[#This Row],[Column5]]="","",TRUE)</f>
        <v/>
      </c>
      <c r="AT392" s="35" t="str">
        <f ca="1">IF(NOTA[[#This Row],[ID_H]]="","",IF(NOTA[[#This Row],[Column3]]=TRUE,NOTA[[#This Row],[Column5]],INDEX([3]!db[QTY/ CTN],NOTA[[#This Row],[//DB]])))</f>
        <v/>
      </c>
      <c r="AU3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2" s="35" t="str">
        <f ca="1">IF(NOTA[[#This Row],[ID_H]]="","",MATCH(NOTA[[#This Row],[NB NOTA_C_QTY]],[3]!db[NB NOTA_C_QTY+F],0))</f>
        <v/>
      </c>
      <c r="AW392" s="43" t="str">
        <f ca="1">IF(NOTA[[#This Row],[NB NOTA_C_QTY]]="","",ROW()-2)</f>
        <v/>
      </c>
    </row>
    <row r="393" spans="1:49" ht="20.100000000000001" customHeight="1">
      <c r="A3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5" t="str">
        <f ca="1">IF(NOTA[[#This Row],[NAMA BARANG]]="","",INDEX(NOTA[ID],MATCH(,INDIRECT(ADDRESS(ROW(NOTA[ID]),COLUMN(NOTA[ID]))&amp;":"&amp;ADDRESS(ROW(),COLUMN(NOTA[ID]))),-1)))</f>
        <v/>
      </c>
      <c r="C393" s="45"/>
      <c r="F393" s="46"/>
      <c r="G393" s="35"/>
      <c r="H393" s="36"/>
      <c r="I393" s="35"/>
      <c r="K393" s="37"/>
      <c r="L393" s="35"/>
      <c r="N393" s="38"/>
      <c r="O393" s="39"/>
      <c r="P393" s="47"/>
      <c r="Q393" s="48"/>
      <c r="R393" s="41"/>
      <c r="T393" s="42"/>
      <c r="U393" s="44"/>
      <c r="V393" s="42" t="str">
        <f>IF(NOTA[[#This Row],[HARGA/ CTN]]="",NOTA[[#This Row],[JUMLAH_H]],NOTA[[#This Row],[HARGA/ CTN]]*IF(NOTA[[#This Row],[C]]="",0,NOTA[[#This Row],[C]]))</f>
        <v/>
      </c>
      <c r="W393" s="42" t="str">
        <f>IF(NOTA[[#This Row],[JUMLAH]]="","",NOTA[[#This Row],[JUMLAH]]*NOTA[[#This Row],[Column6]])</f>
        <v/>
      </c>
      <c r="X393" s="42" t="str">
        <f>IF(NOTA[[#This Row],[JUMLAH]]="","",(NOTA[[#This Row],[JUMLAH]]-NOTA[[#This Row],[DISC 1-]])*NOTA[[#This Row],[Column7]])</f>
        <v/>
      </c>
      <c r="Y393" s="42" t="str">
        <f>IF(NOTA[[#This Row],[JUMLAH]]="","",(NOTA[[#This Row],[JUMLAH]]-NOTA[[#This Row],[DISC 1-]]-NOTA[[#This Row],[DISC 2-]])*NOTA[[#This Row],[Column8]])</f>
        <v/>
      </c>
      <c r="Z393" s="42" t="str">
        <f>IF(NOTA[[#This Row],[JUMLAH]]="","",NOTA[[#This Row],[DISC 1-]]+NOTA[[#This Row],[DISC 2-]]+NOTA[[#This Row],[DISC 3-]])</f>
        <v/>
      </c>
      <c r="AA393" s="42" t="str">
        <f>IF(NOTA[[#This Row],[JUMLAH]]="","",NOTA[[#This Row],[JUMLAH]]-NOTA[[#This Row],[DISC]])</f>
        <v/>
      </c>
      <c r="AB393" s="42"/>
      <c r="AC3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42" t="str">
        <f>IF(OR(NOTA[[#This Row],[QTY]]="",NOTA[[#This Row],[HARGA SATUAN]]="",),"",NOTA[[#This Row],[QTY]]*NOTA[[#This Row],[HARGA SATUAN]])</f>
        <v/>
      </c>
      <c r="AG393" s="36" t="str">
        <f ca="1">IF(NOTA[[#This Row],[ID_H]]="","",INDEX(NOTA[TANGGAL],MATCH(,INDIRECT(ADDRESS(ROW(NOTA[TANGGAL]),COLUMN(NOTA[TANGGAL]))&amp;":"&amp;ADDRESS(ROW(),COLUMN(NOTA[TANGGAL]))),-1)))</f>
        <v/>
      </c>
      <c r="AH393" s="36" t="str">
        <f ca="1">IF(NOTA[[#This Row],[ID_H]]="","",INDEX(NOTA[TGL.NOTA],MATCH(,INDIRECT(ADDRESS(ROW(NOTA[TGL.NOTA]),COLUMN(NOTA[TGL.NOTA]))&amp;":"&amp;ADDRESS(ROW(),COLUMN(NOTA[TGL.NOTA]))),-1)))</f>
        <v/>
      </c>
      <c r="AI393" s="36" t="str">
        <f ca="1">IF(NOTA[[#This Row],[ID_H]]="","",INDEX(NOTA[NO.NOTA],MATCH(NOTA[[#This Row],[ID_H]],NOTA[ID_H],0)))</f>
        <v/>
      </c>
      <c r="AJ393" s="38" t="str">
        <f ca="1">IF(NOTA[[#This Row],[NAMA BARANG]]="","",INDEX(NOTA[SUPPLIER],MATCH(,INDIRECT(ADDRESS(ROW(NOTA[ID]),COLUMN(NOTA[ID]))&amp;":"&amp;ADDRESS(ROW(),COLUMN(NOTA[ID]))),-1)))</f>
        <v/>
      </c>
      <c r="AK393" s="38" t="str">
        <f ca="1">IF(NOTA[[#This Row],[ID_H]]="","",IF(NOTA[[#This Row],[FAKTUR]]="",INDIRECT(ADDRESS(ROW()-1,COLUMN())),NOTA[[#This Row],[FAKTUR]]))</f>
        <v/>
      </c>
      <c r="AL393" s="35" t="str">
        <f ca="1">IF(NOTA[[#This Row],[ID]]="","",COUNTIF(NOTA[ID_H],NOTA[[#This Row],[ID_H]]))</f>
        <v/>
      </c>
      <c r="AM393" s="35" t="str">
        <f ca="1">IF(NOTA[[#This Row],[TGL.NOTA]]="",IF(NOTA[[#This Row],[SUPPLIER_H]]="","",AM392),MONTH(NOTA[[#This Row],[TGL.NOTA]]))</f>
        <v/>
      </c>
      <c r="AN3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3" s="35" t="str">
        <f>IF(NOTA[[#This Row],[CONCAT1]]="","",MATCH(NOTA[[#This Row],[CONCAT1]],[3]!db[NB NOTA_C],0))</f>
        <v/>
      </c>
      <c r="AS393" s="35" t="str">
        <f>IF(NOTA[[#This Row],[Column5]]="","",TRUE)</f>
        <v/>
      </c>
      <c r="AT393" s="35" t="str">
        <f ca="1">IF(NOTA[[#This Row],[ID_H]]="","",IF(NOTA[[#This Row],[Column3]]=TRUE,NOTA[[#This Row],[Column5]],INDEX([3]!db[QTY/ CTN],NOTA[[#This Row],[//DB]])))</f>
        <v/>
      </c>
      <c r="AU3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3" s="35" t="str">
        <f ca="1">IF(NOTA[[#This Row],[ID_H]]="","",MATCH(NOTA[[#This Row],[NB NOTA_C_QTY]],[3]!db[NB NOTA_C_QTY+F],0))</f>
        <v/>
      </c>
      <c r="AW393" s="43" t="str">
        <f ca="1">IF(NOTA[[#This Row],[NB NOTA_C_QTY]]="","",ROW()-2)</f>
        <v/>
      </c>
    </row>
    <row r="394" spans="1:49" ht="20.100000000000001" customHeight="1">
      <c r="A3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5" t="str">
        <f ca="1">IF(NOTA[[#This Row],[NAMA BARANG]]="","",INDEX(NOTA[ID],MATCH(,INDIRECT(ADDRESS(ROW(NOTA[ID]),COLUMN(NOTA[ID]))&amp;":"&amp;ADDRESS(ROW(),COLUMN(NOTA[ID]))),-1)))</f>
        <v/>
      </c>
      <c r="C394" s="45"/>
      <c r="F394" s="46"/>
      <c r="G394" s="35"/>
      <c r="H394" s="36"/>
      <c r="I394" s="35"/>
      <c r="K394" s="37"/>
      <c r="L394" s="35"/>
      <c r="N394" s="38"/>
      <c r="O394" s="39"/>
      <c r="P394" s="47"/>
      <c r="Q394" s="48"/>
      <c r="R394" s="41"/>
      <c r="T394" s="42"/>
      <c r="U394" s="44"/>
      <c r="V394" s="42" t="str">
        <f>IF(NOTA[[#This Row],[HARGA/ CTN]]="",NOTA[[#This Row],[JUMLAH_H]],NOTA[[#This Row],[HARGA/ CTN]]*IF(NOTA[[#This Row],[C]]="",0,NOTA[[#This Row],[C]]))</f>
        <v/>
      </c>
      <c r="W394" s="42" t="str">
        <f>IF(NOTA[[#This Row],[JUMLAH]]="","",NOTA[[#This Row],[JUMLAH]]*NOTA[[#This Row],[Column6]])</f>
        <v/>
      </c>
      <c r="X394" s="42" t="str">
        <f>IF(NOTA[[#This Row],[JUMLAH]]="","",(NOTA[[#This Row],[JUMLAH]]-NOTA[[#This Row],[DISC 1-]])*NOTA[[#This Row],[Column7]])</f>
        <v/>
      </c>
      <c r="Y394" s="42" t="str">
        <f>IF(NOTA[[#This Row],[JUMLAH]]="","",(NOTA[[#This Row],[JUMLAH]]-NOTA[[#This Row],[DISC 1-]]-NOTA[[#This Row],[DISC 2-]])*NOTA[[#This Row],[Column8]])</f>
        <v/>
      </c>
      <c r="Z394" s="42" t="str">
        <f>IF(NOTA[[#This Row],[JUMLAH]]="","",NOTA[[#This Row],[DISC 1-]]+NOTA[[#This Row],[DISC 2-]]+NOTA[[#This Row],[DISC 3-]])</f>
        <v/>
      </c>
      <c r="AA394" s="42" t="str">
        <f>IF(NOTA[[#This Row],[JUMLAH]]="","",NOTA[[#This Row],[JUMLAH]]-NOTA[[#This Row],[DISC]])</f>
        <v/>
      </c>
      <c r="AB394" s="42"/>
      <c r="AC3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4" s="42" t="str">
        <f>IF(OR(NOTA[[#This Row],[QTY]]="",NOTA[[#This Row],[HARGA SATUAN]]="",),"",NOTA[[#This Row],[QTY]]*NOTA[[#This Row],[HARGA SATUAN]])</f>
        <v/>
      </c>
      <c r="AG394" s="36" t="str">
        <f ca="1">IF(NOTA[[#This Row],[ID_H]]="","",INDEX(NOTA[TANGGAL],MATCH(,INDIRECT(ADDRESS(ROW(NOTA[TANGGAL]),COLUMN(NOTA[TANGGAL]))&amp;":"&amp;ADDRESS(ROW(),COLUMN(NOTA[TANGGAL]))),-1)))</f>
        <v/>
      </c>
      <c r="AH394" s="36" t="str">
        <f ca="1">IF(NOTA[[#This Row],[ID_H]]="","",INDEX(NOTA[TGL.NOTA],MATCH(,INDIRECT(ADDRESS(ROW(NOTA[TGL.NOTA]),COLUMN(NOTA[TGL.NOTA]))&amp;":"&amp;ADDRESS(ROW(),COLUMN(NOTA[TGL.NOTA]))),-1)))</f>
        <v/>
      </c>
      <c r="AI394" s="36" t="str">
        <f ca="1">IF(NOTA[[#This Row],[ID_H]]="","",INDEX(NOTA[NO.NOTA],MATCH(NOTA[[#This Row],[ID_H]],NOTA[ID_H],0)))</f>
        <v/>
      </c>
      <c r="AJ394" s="38" t="str">
        <f ca="1">IF(NOTA[[#This Row],[NAMA BARANG]]="","",INDEX(NOTA[SUPPLIER],MATCH(,INDIRECT(ADDRESS(ROW(NOTA[ID]),COLUMN(NOTA[ID]))&amp;":"&amp;ADDRESS(ROW(),COLUMN(NOTA[ID]))),-1)))</f>
        <v/>
      </c>
      <c r="AK394" s="38" t="str">
        <f ca="1">IF(NOTA[[#This Row],[ID_H]]="","",IF(NOTA[[#This Row],[FAKTUR]]="",INDIRECT(ADDRESS(ROW()-1,COLUMN())),NOTA[[#This Row],[FAKTUR]]))</f>
        <v/>
      </c>
      <c r="AL394" s="35" t="str">
        <f ca="1">IF(NOTA[[#This Row],[ID]]="","",COUNTIF(NOTA[ID_H],NOTA[[#This Row],[ID_H]]))</f>
        <v/>
      </c>
      <c r="AM394" s="35" t="str">
        <f ca="1">IF(NOTA[[#This Row],[TGL.NOTA]]="",IF(NOTA[[#This Row],[SUPPLIER_H]]="","",AM393),MONTH(NOTA[[#This Row],[TGL.NOTA]]))</f>
        <v/>
      </c>
      <c r="AN3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4" s="35" t="str">
        <f>IF(NOTA[[#This Row],[CONCAT1]]="","",MATCH(NOTA[[#This Row],[CONCAT1]],[3]!db[NB NOTA_C],0))</f>
        <v/>
      </c>
      <c r="AS394" s="35" t="str">
        <f>IF(NOTA[[#This Row],[Column5]]="","",TRUE)</f>
        <v/>
      </c>
      <c r="AT394" s="35" t="str">
        <f ca="1">IF(NOTA[[#This Row],[ID_H]]="","",IF(NOTA[[#This Row],[Column3]]=TRUE,NOTA[[#This Row],[Column5]],INDEX([3]!db[QTY/ CTN],NOTA[[#This Row],[//DB]])))</f>
        <v/>
      </c>
      <c r="AU3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4" s="35" t="str">
        <f ca="1">IF(NOTA[[#This Row],[ID_H]]="","",MATCH(NOTA[[#This Row],[NB NOTA_C_QTY]],[3]!db[NB NOTA_C_QTY+F],0))</f>
        <v/>
      </c>
      <c r="AW394" s="43" t="str">
        <f ca="1">IF(NOTA[[#This Row],[NB NOTA_C_QTY]]="","",ROW()-2)</f>
        <v/>
      </c>
    </row>
    <row r="395" spans="1:49" ht="20.100000000000001" customHeight="1">
      <c r="A3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5" t="str">
        <f ca="1">IF(NOTA[[#This Row],[NAMA BARANG]]="","",INDEX(NOTA[ID],MATCH(,INDIRECT(ADDRESS(ROW(NOTA[ID]),COLUMN(NOTA[ID]))&amp;":"&amp;ADDRESS(ROW(),COLUMN(NOTA[ID]))),-1)))</f>
        <v/>
      </c>
      <c r="C395" s="45"/>
      <c r="F395" s="46"/>
      <c r="G395" s="35"/>
      <c r="H395" s="36"/>
      <c r="I395" s="35"/>
      <c r="K395" s="37"/>
      <c r="L395" s="35"/>
      <c r="N395" s="38"/>
      <c r="O395" s="39"/>
      <c r="P395" s="47"/>
      <c r="Q395" s="48"/>
      <c r="R395" s="41"/>
      <c r="T395" s="42"/>
      <c r="U395" s="44"/>
      <c r="V395" s="42" t="str">
        <f>IF(NOTA[[#This Row],[HARGA/ CTN]]="",NOTA[[#This Row],[JUMLAH_H]],NOTA[[#This Row],[HARGA/ CTN]]*IF(NOTA[[#This Row],[C]]="",0,NOTA[[#This Row],[C]]))</f>
        <v/>
      </c>
      <c r="W395" s="42" t="str">
        <f>IF(NOTA[[#This Row],[JUMLAH]]="","",NOTA[[#This Row],[JUMLAH]]*NOTA[[#This Row],[Column6]])</f>
        <v/>
      </c>
      <c r="X395" s="42" t="str">
        <f>IF(NOTA[[#This Row],[JUMLAH]]="","",(NOTA[[#This Row],[JUMLAH]]-NOTA[[#This Row],[DISC 1-]])*NOTA[[#This Row],[Column7]])</f>
        <v/>
      </c>
      <c r="Y395" s="42" t="str">
        <f>IF(NOTA[[#This Row],[JUMLAH]]="","",(NOTA[[#This Row],[JUMLAH]]-NOTA[[#This Row],[DISC 1-]]-NOTA[[#This Row],[DISC 2-]])*NOTA[[#This Row],[Column8]])</f>
        <v/>
      </c>
      <c r="Z395" s="42" t="str">
        <f>IF(NOTA[[#This Row],[JUMLAH]]="","",NOTA[[#This Row],[DISC 1-]]+NOTA[[#This Row],[DISC 2-]]+NOTA[[#This Row],[DISC 3-]])</f>
        <v/>
      </c>
      <c r="AA395" s="42" t="str">
        <f>IF(NOTA[[#This Row],[JUMLAH]]="","",NOTA[[#This Row],[JUMLAH]]-NOTA[[#This Row],[DISC]])</f>
        <v/>
      </c>
      <c r="AB395" s="42"/>
      <c r="AC3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42" t="str">
        <f>IF(OR(NOTA[[#This Row],[QTY]]="",NOTA[[#This Row],[HARGA SATUAN]]="",),"",NOTA[[#This Row],[QTY]]*NOTA[[#This Row],[HARGA SATUAN]])</f>
        <v/>
      </c>
      <c r="AG395" s="36" t="str">
        <f ca="1">IF(NOTA[[#This Row],[ID_H]]="","",INDEX(NOTA[TANGGAL],MATCH(,INDIRECT(ADDRESS(ROW(NOTA[TANGGAL]),COLUMN(NOTA[TANGGAL]))&amp;":"&amp;ADDRESS(ROW(),COLUMN(NOTA[TANGGAL]))),-1)))</f>
        <v/>
      </c>
      <c r="AH395" s="36" t="str">
        <f ca="1">IF(NOTA[[#This Row],[ID_H]]="","",INDEX(NOTA[TGL.NOTA],MATCH(,INDIRECT(ADDRESS(ROW(NOTA[TGL.NOTA]),COLUMN(NOTA[TGL.NOTA]))&amp;":"&amp;ADDRESS(ROW(),COLUMN(NOTA[TGL.NOTA]))),-1)))</f>
        <v/>
      </c>
      <c r="AI395" s="36" t="str">
        <f ca="1">IF(NOTA[[#This Row],[ID_H]]="","",INDEX(NOTA[NO.NOTA],MATCH(NOTA[[#This Row],[ID_H]],NOTA[ID_H],0)))</f>
        <v/>
      </c>
      <c r="AJ395" s="38" t="str">
        <f ca="1">IF(NOTA[[#This Row],[NAMA BARANG]]="","",INDEX(NOTA[SUPPLIER],MATCH(,INDIRECT(ADDRESS(ROW(NOTA[ID]),COLUMN(NOTA[ID]))&amp;":"&amp;ADDRESS(ROW(),COLUMN(NOTA[ID]))),-1)))</f>
        <v/>
      </c>
      <c r="AK395" s="38" t="str">
        <f ca="1">IF(NOTA[[#This Row],[ID_H]]="","",IF(NOTA[[#This Row],[FAKTUR]]="",INDIRECT(ADDRESS(ROW()-1,COLUMN())),NOTA[[#This Row],[FAKTUR]]))</f>
        <v/>
      </c>
      <c r="AL395" s="35" t="str">
        <f ca="1">IF(NOTA[[#This Row],[ID]]="","",COUNTIF(NOTA[ID_H],NOTA[[#This Row],[ID_H]]))</f>
        <v/>
      </c>
      <c r="AM395" s="35" t="str">
        <f ca="1">IF(NOTA[[#This Row],[TGL.NOTA]]="",IF(NOTA[[#This Row],[SUPPLIER_H]]="","",AM394),MONTH(NOTA[[#This Row],[TGL.NOTA]]))</f>
        <v/>
      </c>
      <c r="AN3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5" s="35" t="str">
        <f>IF(NOTA[[#This Row],[CONCAT1]]="","",MATCH(NOTA[[#This Row],[CONCAT1]],[3]!db[NB NOTA_C],0))</f>
        <v/>
      </c>
      <c r="AS395" s="35" t="str">
        <f>IF(NOTA[[#This Row],[Column5]]="","",TRUE)</f>
        <v/>
      </c>
      <c r="AT395" s="35" t="str">
        <f ca="1">IF(NOTA[[#This Row],[ID_H]]="","",IF(NOTA[[#This Row],[Column3]]=TRUE,NOTA[[#This Row],[Column5]],INDEX([3]!db[QTY/ CTN],NOTA[[#This Row],[//DB]])))</f>
        <v/>
      </c>
      <c r="AU3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5" s="35" t="str">
        <f ca="1">IF(NOTA[[#This Row],[ID_H]]="","",MATCH(NOTA[[#This Row],[NB NOTA_C_QTY]],[3]!db[NB NOTA_C_QTY+F],0))</f>
        <v/>
      </c>
      <c r="AW395" s="43" t="str">
        <f ca="1">IF(NOTA[[#This Row],[NB NOTA_C_QTY]]="","",ROW()-2)</f>
        <v/>
      </c>
    </row>
    <row r="396" spans="1:49" ht="20.100000000000001" customHeight="1">
      <c r="A3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5" t="str">
        <f ca="1">IF(NOTA[[#This Row],[NAMA BARANG]]="","",INDEX(NOTA[ID],MATCH(,INDIRECT(ADDRESS(ROW(NOTA[ID]),COLUMN(NOTA[ID]))&amp;":"&amp;ADDRESS(ROW(),COLUMN(NOTA[ID]))),-1)))</f>
        <v/>
      </c>
      <c r="C396" s="45"/>
      <c r="F396" s="46"/>
      <c r="G396" s="35"/>
      <c r="H396" s="36"/>
      <c r="I396" s="35"/>
      <c r="K396" s="37"/>
      <c r="L396" s="35"/>
      <c r="N396" s="38"/>
      <c r="O396" s="39"/>
      <c r="P396" s="47"/>
      <c r="Q396" s="48"/>
      <c r="R396" s="41"/>
      <c r="T396" s="42"/>
      <c r="U396" s="44"/>
      <c r="V396" s="42" t="str">
        <f>IF(NOTA[[#This Row],[HARGA/ CTN]]="",NOTA[[#This Row],[JUMLAH_H]],NOTA[[#This Row],[HARGA/ CTN]]*IF(NOTA[[#This Row],[C]]="",0,NOTA[[#This Row],[C]]))</f>
        <v/>
      </c>
      <c r="W396" s="42" t="str">
        <f>IF(NOTA[[#This Row],[JUMLAH]]="","",NOTA[[#This Row],[JUMLAH]]*NOTA[[#This Row],[Column6]])</f>
        <v/>
      </c>
      <c r="X396" s="42" t="str">
        <f>IF(NOTA[[#This Row],[JUMLAH]]="","",(NOTA[[#This Row],[JUMLAH]]-NOTA[[#This Row],[DISC 1-]])*NOTA[[#This Row],[Column7]])</f>
        <v/>
      </c>
      <c r="Y396" s="42" t="str">
        <f>IF(NOTA[[#This Row],[JUMLAH]]="","",(NOTA[[#This Row],[JUMLAH]]-NOTA[[#This Row],[DISC 1-]]-NOTA[[#This Row],[DISC 2-]])*NOTA[[#This Row],[Column8]])</f>
        <v/>
      </c>
      <c r="Z396" s="42" t="str">
        <f>IF(NOTA[[#This Row],[JUMLAH]]="","",NOTA[[#This Row],[DISC 1-]]+NOTA[[#This Row],[DISC 2-]]+NOTA[[#This Row],[DISC 3-]])</f>
        <v/>
      </c>
      <c r="AA396" s="42" t="str">
        <f>IF(NOTA[[#This Row],[JUMLAH]]="","",NOTA[[#This Row],[JUMLAH]]-NOTA[[#This Row],[DISC]])</f>
        <v/>
      </c>
      <c r="AB396" s="42"/>
      <c r="AC3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6" s="42" t="str">
        <f>IF(OR(NOTA[[#This Row],[QTY]]="",NOTA[[#This Row],[HARGA SATUAN]]="",),"",NOTA[[#This Row],[QTY]]*NOTA[[#This Row],[HARGA SATUAN]])</f>
        <v/>
      </c>
      <c r="AG396" s="36" t="str">
        <f ca="1">IF(NOTA[[#This Row],[ID_H]]="","",INDEX(NOTA[TANGGAL],MATCH(,INDIRECT(ADDRESS(ROW(NOTA[TANGGAL]),COLUMN(NOTA[TANGGAL]))&amp;":"&amp;ADDRESS(ROW(),COLUMN(NOTA[TANGGAL]))),-1)))</f>
        <v/>
      </c>
      <c r="AH396" s="36" t="str">
        <f ca="1">IF(NOTA[[#This Row],[ID_H]]="","",INDEX(NOTA[TGL.NOTA],MATCH(,INDIRECT(ADDRESS(ROW(NOTA[TGL.NOTA]),COLUMN(NOTA[TGL.NOTA]))&amp;":"&amp;ADDRESS(ROW(),COLUMN(NOTA[TGL.NOTA]))),-1)))</f>
        <v/>
      </c>
      <c r="AI396" s="36" t="str">
        <f ca="1">IF(NOTA[[#This Row],[ID_H]]="","",INDEX(NOTA[NO.NOTA],MATCH(NOTA[[#This Row],[ID_H]],NOTA[ID_H],0)))</f>
        <v/>
      </c>
      <c r="AJ396" s="38" t="str">
        <f ca="1">IF(NOTA[[#This Row],[NAMA BARANG]]="","",INDEX(NOTA[SUPPLIER],MATCH(,INDIRECT(ADDRESS(ROW(NOTA[ID]),COLUMN(NOTA[ID]))&amp;":"&amp;ADDRESS(ROW(),COLUMN(NOTA[ID]))),-1)))</f>
        <v/>
      </c>
      <c r="AK396" s="38" t="str">
        <f ca="1">IF(NOTA[[#This Row],[ID_H]]="","",IF(NOTA[[#This Row],[FAKTUR]]="",INDIRECT(ADDRESS(ROW()-1,COLUMN())),NOTA[[#This Row],[FAKTUR]]))</f>
        <v/>
      </c>
      <c r="AL396" s="35" t="str">
        <f ca="1">IF(NOTA[[#This Row],[ID]]="","",COUNTIF(NOTA[ID_H],NOTA[[#This Row],[ID_H]]))</f>
        <v/>
      </c>
      <c r="AM396" s="35" t="str">
        <f ca="1">IF(NOTA[[#This Row],[TGL.NOTA]]="",IF(NOTA[[#This Row],[SUPPLIER_H]]="","",AM395),MONTH(NOTA[[#This Row],[TGL.NOTA]]))</f>
        <v/>
      </c>
      <c r="AN3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6" s="35" t="str">
        <f>IF(NOTA[[#This Row],[CONCAT1]]="","",MATCH(NOTA[[#This Row],[CONCAT1]],[3]!db[NB NOTA_C],0))</f>
        <v/>
      </c>
      <c r="AS396" s="35" t="str">
        <f>IF(NOTA[[#This Row],[Column5]]="","",TRUE)</f>
        <v/>
      </c>
      <c r="AT396" s="35" t="str">
        <f ca="1">IF(NOTA[[#This Row],[ID_H]]="","",IF(NOTA[[#This Row],[Column3]]=TRUE,NOTA[[#This Row],[Column5]],INDEX([3]!db[QTY/ CTN],NOTA[[#This Row],[//DB]])))</f>
        <v/>
      </c>
      <c r="AU3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6" s="35" t="str">
        <f ca="1">IF(NOTA[[#This Row],[ID_H]]="","",MATCH(NOTA[[#This Row],[NB NOTA_C_QTY]],[3]!db[NB NOTA_C_QTY+F],0))</f>
        <v/>
      </c>
      <c r="AW396" s="43" t="str">
        <f ca="1">IF(NOTA[[#This Row],[NB NOTA_C_QTY]]="","",ROW()-2)</f>
        <v/>
      </c>
    </row>
    <row r="397" spans="1:49" ht="20.100000000000001" customHeight="1">
      <c r="A3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5" t="str">
        <f ca="1">IF(NOTA[[#This Row],[NAMA BARANG]]="","",INDEX(NOTA[ID],MATCH(,INDIRECT(ADDRESS(ROW(NOTA[ID]),COLUMN(NOTA[ID]))&amp;":"&amp;ADDRESS(ROW(),COLUMN(NOTA[ID]))),-1)))</f>
        <v/>
      </c>
      <c r="C397" s="45"/>
      <c r="F397" s="46"/>
      <c r="G397" s="35"/>
      <c r="H397" s="36"/>
      <c r="I397" s="35"/>
      <c r="K397" s="37"/>
      <c r="L397" s="35"/>
      <c r="N397" s="38"/>
      <c r="O397" s="39"/>
      <c r="P397" s="47"/>
      <c r="Q397" s="48"/>
      <c r="R397" s="41"/>
      <c r="T397" s="42"/>
      <c r="U397" s="44"/>
      <c r="V397" s="42" t="str">
        <f>IF(NOTA[[#This Row],[HARGA/ CTN]]="",NOTA[[#This Row],[JUMLAH_H]],NOTA[[#This Row],[HARGA/ CTN]]*IF(NOTA[[#This Row],[C]]="",0,NOTA[[#This Row],[C]]))</f>
        <v/>
      </c>
      <c r="W397" s="42" t="str">
        <f>IF(NOTA[[#This Row],[JUMLAH]]="","",NOTA[[#This Row],[JUMLAH]]*NOTA[[#This Row],[Column6]])</f>
        <v/>
      </c>
      <c r="X397" s="42" t="str">
        <f>IF(NOTA[[#This Row],[JUMLAH]]="","",(NOTA[[#This Row],[JUMLAH]]-NOTA[[#This Row],[DISC 1-]])*NOTA[[#This Row],[Column7]])</f>
        <v/>
      </c>
      <c r="Y397" s="42" t="str">
        <f>IF(NOTA[[#This Row],[JUMLAH]]="","",(NOTA[[#This Row],[JUMLAH]]-NOTA[[#This Row],[DISC 1-]]-NOTA[[#This Row],[DISC 2-]])*NOTA[[#This Row],[Column8]])</f>
        <v/>
      </c>
      <c r="Z397" s="42" t="str">
        <f>IF(NOTA[[#This Row],[JUMLAH]]="","",NOTA[[#This Row],[DISC 1-]]+NOTA[[#This Row],[DISC 2-]]+NOTA[[#This Row],[DISC 3-]])</f>
        <v/>
      </c>
      <c r="AA397" s="42" t="str">
        <f>IF(NOTA[[#This Row],[JUMLAH]]="","",NOTA[[#This Row],[JUMLAH]]-NOTA[[#This Row],[DISC]])</f>
        <v/>
      </c>
      <c r="AB397" s="42"/>
      <c r="AC3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7" s="42" t="str">
        <f>IF(OR(NOTA[[#This Row],[QTY]]="",NOTA[[#This Row],[HARGA SATUAN]]="",),"",NOTA[[#This Row],[QTY]]*NOTA[[#This Row],[HARGA SATUAN]])</f>
        <v/>
      </c>
      <c r="AG397" s="36" t="str">
        <f ca="1">IF(NOTA[[#This Row],[ID_H]]="","",INDEX(NOTA[TANGGAL],MATCH(,INDIRECT(ADDRESS(ROW(NOTA[TANGGAL]),COLUMN(NOTA[TANGGAL]))&amp;":"&amp;ADDRESS(ROW(),COLUMN(NOTA[TANGGAL]))),-1)))</f>
        <v/>
      </c>
      <c r="AH397" s="36" t="str">
        <f ca="1">IF(NOTA[[#This Row],[ID_H]]="","",INDEX(NOTA[TGL.NOTA],MATCH(,INDIRECT(ADDRESS(ROW(NOTA[TGL.NOTA]),COLUMN(NOTA[TGL.NOTA]))&amp;":"&amp;ADDRESS(ROW(),COLUMN(NOTA[TGL.NOTA]))),-1)))</f>
        <v/>
      </c>
      <c r="AI397" s="36" t="str">
        <f ca="1">IF(NOTA[[#This Row],[ID_H]]="","",INDEX(NOTA[NO.NOTA],MATCH(NOTA[[#This Row],[ID_H]],NOTA[ID_H],0)))</f>
        <v/>
      </c>
      <c r="AJ397" s="38" t="str">
        <f ca="1">IF(NOTA[[#This Row],[NAMA BARANG]]="","",INDEX(NOTA[SUPPLIER],MATCH(,INDIRECT(ADDRESS(ROW(NOTA[ID]),COLUMN(NOTA[ID]))&amp;":"&amp;ADDRESS(ROW(),COLUMN(NOTA[ID]))),-1)))</f>
        <v/>
      </c>
      <c r="AK397" s="38" t="str">
        <f ca="1">IF(NOTA[[#This Row],[ID_H]]="","",IF(NOTA[[#This Row],[FAKTUR]]="",INDIRECT(ADDRESS(ROW()-1,COLUMN())),NOTA[[#This Row],[FAKTUR]]))</f>
        <v/>
      </c>
      <c r="AL397" s="35" t="str">
        <f ca="1">IF(NOTA[[#This Row],[ID]]="","",COUNTIF(NOTA[ID_H],NOTA[[#This Row],[ID_H]]))</f>
        <v/>
      </c>
      <c r="AM397" s="35" t="str">
        <f ca="1">IF(NOTA[[#This Row],[TGL.NOTA]]="",IF(NOTA[[#This Row],[SUPPLIER_H]]="","",AM396),MONTH(NOTA[[#This Row],[TGL.NOTA]]))</f>
        <v/>
      </c>
      <c r="AN3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7" s="35" t="str">
        <f>IF(NOTA[[#This Row],[CONCAT1]]="","",MATCH(NOTA[[#This Row],[CONCAT1]],[3]!db[NB NOTA_C],0))</f>
        <v/>
      </c>
      <c r="AS397" s="35" t="str">
        <f>IF(NOTA[[#This Row],[Column5]]="","",TRUE)</f>
        <v/>
      </c>
      <c r="AT397" s="35" t="str">
        <f ca="1">IF(NOTA[[#This Row],[ID_H]]="","",IF(NOTA[[#This Row],[Column3]]=TRUE,NOTA[[#This Row],[Column5]],INDEX([3]!db[QTY/ CTN],NOTA[[#This Row],[//DB]])))</f>
        <v/>
      </c>
      <c r="AU3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7" s="35" t="str">
        <f ca="1">IF(NOTA[[#This Row],[ID_H]]="","",MATCH(NOTA[[#This Row],[NB NOTA_C_QTY]],[3]!db[NB NOTA_C_QTY+F],0))</f>
        <v/>
      </c>
      <c r="AW397" s="43" t="str">
        <f ca="1">IF(NOTA[[#This Row],[NB NOTA_C_QTY]]="","",ROW()-2)</f>
        <v/>
      </c>
    </row>
    <row r="398" spans="1:49" ht="20.100000000000001" customHeight="1">
      <c r="A3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5" t="str">
        <f ca="1">IF(NOTA[[#This Row],[NAMA BARANG]]="","",INDEX(NOTA[ID],MATCH(,INDIRECT(ADDRESS(ROW(NOTA[ID]),COLUMN(NOTA[ID]))&amp;":"&amp;ADDRESS(ROW(),COLUMN(NOTA[ID]))),-1)))</f>
        <v/>
      </c>
      <c r="C398" s="45"/>
      <c r="F398" s="46"/>
      <c r="G398" s="35"/>
      <c r="H398" s="36"/>
      <c r="I398" s="35"/>
      <c r="K398" s="37"/>
      <c r="L398" s="35"/>
      <c r="N398" s="38"/>
      <c r="O398" s="39"/>
      <c r="P398" s="47"/>
      <c r="Q398" s="48"/>
      <c r="R398" s="41"/>
      <c r="T398" s="42"/>
      <c r="U398" s="44"/>
      <c r="V398" s="42" t="str">
        <f>IF(NOTA[[#This Row],[HARGA/ CTN]]="",NOTA[[#This Row],[JUMLAH_H]],NOTA[[#This Row],[HARGA/ CTN]]*IF(NOTA[[#This Row],[C]]="",0,NOTA[[#This Row],[C]]))</f>
        <v/>
      </c>
      <c r="W398" s="42" t="str">
        <f>IF(NOTA[[#This Row],[JUMLAH]]="","",NOTA[[#This Row],[JUMLAH]]*NOTA[[#This Row],[Column6]])</f>
        <v/>
      </c>
      <c r="X398" s="42" t="str">
        <f>IF(NOTA[[#This Row],[JUMLAH]]="","",(NOTA[[#This Row],[JUMLAH]]-NOTA[[#This Row],[DISC 1-]])*NOTA[[#This Row],[Column7]])</f>
        <v/>
      </c>
      <c r="Y398" s="42" t="str">
        <f>IF(NOTA[[#This Row],[JUMLAH]]="","",(NOTA[[#This Row],[JUMLAH]]-NOTA[[#This Row],[DISC 1-]]-NOTA[[#This Row],[DISC 2-]])*NOTA[[#This Row],[Column8]])</f>
        <v/>
      </c>
      <c r="Z398" s="42" t="str">
        <f>IF(NOTA[[#This Row],[JUMLAH]]="","",NOTA[[#This Row],[DISC 1-]]+NOTA[[#This Row],[DISC 2-]]+NOTA[[#This Row],[DISC 3-]])</f>
        <v/>
      </c>
      <c r="AA398" s="42" t="str">
        <f>IF(NOTA[[#This Row],[JUMLAH]]="","",NOTA[[#This Row],[JUMLAH]]-NOTA[[#This Row],[DISC]])</f>
        <v/>
      </c>
      <c r="AB398" s="42"/>
      <c r="AC3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42" t="str">
        <f>IF(OR(NOTA[[#This Row],[QTY]]="",NOTA[[#This Row],[HARGA SATUAN]]="",),"",NOTA[[#This Row],[QTY]]*NOTA[[#This Row],[HARGA SATUAN]])</f>
        <v/>
      </c>
      <c r="AG398" s="36" t="str">
        <f ca="1">IF(NOTA[[#This Row],[ID_H]]="","",INDEX(NOTA[TANGGAL],MATCH(,INDIRECT(ADDRESS(ROW(NOTA[TANGGAL]),COLUMN(NOTA[TANGGAL]))&amp;":"&amp;ADDRESS(ROW(),COLUMN(NOTA[TANGGAL]))),-1)))</f>
        <v/>
      </c>
      <c r="AH398" s="36" t="str">
        <f ca="1">IF(NOTA[[#This Row],[ID_H]]="","",INDEX(NOTA[TGL.NOTA],MATCH(,INDIRECT(ADDRESS(ROW(NOTA[TGL.NOTA]),COLUMN(NOTA[TGL.NOTA]))&amp;":"&amp;ADDRESS(ROW(),COLUMN(NOTA[TGL.NOTA]))),-1)))</f>
        <v/>
      </c>
      <c r="AI398" s="36" t="str">
        <f ca="1">IF(NOTA[[#This Row],[ID_H]]="","",INDEX(NOTA[NO.NOTA],MATCH(NOTA[[#This Row],[ID_H]],NOTA[ID_H],0)))</f>
        <v/>
      </c>
      <c r="AJ398" s="38" t="str">
        <f ca="1">IF(NOTA[[#This Row],[NAMA BARANG]]="","",INDEX(NOTA[SUPPLIER],MATCH(,INDIRECT(ADDRESS(ROW(NOTA[ID]),COLUMN(NOTA[ID]))&amp;":"&amp;ADDRESS(ROW(),COLUMN(NOTA[ID]))),-1)))</f>
        <v/>
      </c>
      <c r="AK398" s="38" t="str">
        <f ca="1">IF(NOTA[[#This Row],[ID_H]]="","",IF(NOTA[[#This Row],[FAKTUR]]="",INDIRECT(ADDRESS(ROW()-1,COLUMN())),NOTA[[#This Row],[FAKTUR]]))</f>
        <v/>
      </c>
      <c r="AL398" s="35" t="str">
        <f ca="1">IF(NOTA[[#This Row],[ID]]="","",COUNTIF(NOTA[ID_H],NOTA[[#This Row],[ID_H]]))</f>
        <v/>
      </c>
      <c r="AM398" s="35" t="str">
        <f ca="1">IF(NOTA[[#This Row],[TGL.NOTA]]="",IF(NOTA[[#This Row],[SUPPLIER_H]]="","",AM397),MONTH(NOTA[[#This Row],[TGL.NOTA]]))</f>
        <v/>
      </c>
      <c r="AN3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8" s="35" t="str">
        <f>IF(NOTA[[#This Row],[CONCAT1]]="","",MATCH(NOTA[[#This Row],[CONCAT1]],[3]!db[NB NOTA_C],0))</f>
        <v/>
      </c>
      <c r="AS398" s="35" t="str">
        <f>IF(NOTA[[#This Row],[Column5]]="","",TRUE)</f>
        <v/>
      </c>
      <c r="AT398" s="35" t="str">
        <f ca="1">IF(NOTA[[#This Row],[ID_H]]="","",IF(NOTA[[#This Row],[Column3]]=TRUE,NOTA[[#This Row],[Column5]],INDEX([3]!db[QTY/ CTN],NOTA[[#This Row],[//DB]])))</f>
        <v/>
      </c>
      <c r="AU3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8" s="35" t="str">
        <f ca="1">IF(NOTA[[#This Row],[ID_H]]="","",MATCH(NOTA[[#This Row],[NB NOTA_C_QTY]],[3]!db[NB NOTA_C_QTY+F],0))</f>
        <v/>
      </c>
      <c r="AW398" s="43" t="str">
        <f ca="1">IF(NOTA[[#This Row],[NB NOTA_C_QTY]]="","",ROW()-2)</f>
        <v/>
      </c>
    </row>
    <row r="399" spans="1:49" ht="20.100000000000001" customHeight="1">
      <c r="A3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5" t="str">
        <f ca="1">IF(NOTA[[#This Row],[NAMA BARANG]]="","",INDEX(NOTA[ID],MATCH(,INDIRECT(ADDRESS(ROW(NOTA[ID]),COLUMN(NOTA[ID]))&amp;":"&amp;ADDRESS(ROW(),COLUMN(NOTA[ID]))),-1)))</f>
        <v/>
      </c>
      <c r="C399" s="45"/>
      <c r="F399" s="46"/>
      <c r="G399" s="35"/>
      <c r="H399" s="36"/>
      <c r="I399" s="35"/>
      <c r="K399" s="37"/>
      <c r="L399" s="35"/>
      <c r="N399" s="38"/>
      <c r="O399" s="39"/>
      <c r="P399" s="47"/>
      <c r="Q399" s="48"/>
      <c r="R399" s="41"/>
      <c r="T399" s="42"/>
      <c r="U399" s="44"/>
      <c r="V399" s="42" t="str">
        <f>IF(NOTA[[#This Row],[HARGA/ CTN]]="",NOTA[[#This Row],[JUMLAH_H]],NOTA[[#This Row],[HARGA/ CTN]]*IF(NOTA[[#This Row],[C]]="",0,NOTA[[#This Row],[C]]))</f>
        <v/>
      </c>
      <c r="W399" s="42" t="str">
        <f>IF(NOTA[[#This Row],[JUMLAH]]="","",NOTA[[#This Row],[JUMLAH]]*NOTA[[#This Row],[Column6]])</f>
        <v/>
      </c>
      <c r="X399" s="42" t="str">
        <f>IF(NOTA[[#This Row],[JUMLAH]]="","",(NOTA[[#This Row],[JUMLAH]]-NOTA[[#This Row],[DISC 1-]])*NOTA[[#This Row],[Column7]])</f>
        <v/>
      </c>
      <c r="Y399" s="42" t="str">
        <f>IF(NOTA[[#This Row],[JUMLAH]]="","",(NOTA[[#This Row],[JUMLAH]]-NOTA[[#This Row],[DISC 1-]]-NOTA[[#This Row],[DISC 2-]])*NOTA[[#This Row],[Column8]])</f>
        <v/>
      </c>
      <c r="Z399" s="42" t="str">
        <f>IF(NOTA[[#This Row],[JUMLAH]]="","",NOTA[[#This Row],[DISC 1-]]+NOTA[[#This Row],[DISC 2-]]+NOTA[[#This Row],[DISC 3-]])</f>
        <v/>
      </c>
      <c r="AA399" s="42" t="str">
        <f>IF(NOTA[[#This Row],[JUMLAH]]="","",NOTA[[#This Row],[JUMLAH]]-NOTA[[#This Row],[DISC]])</f>
        <v/>
      </c>
      <c r="AB399" s="42"/>
      <c r="AC3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3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3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9" s="42" t="str">
        <f>IF(OR(NOTA[[#This Row],[QTY]]="",NOTA[[#This Row],[HARGA SATUAN]]="",),"",NOTA[[#This Row],[QTY]]*NOTA[[#This Row],[HARGA SATUAN]])</f>
        <v/>
      </c>
      <c r="AG399" s="36" t="str">
        <f ca="1">IF(NOTA[[#This Row],[ID_H]]="","",INDEX(NOTA[TANGGAL],MATCH(,INDIRECT(ADDRESS(ROW(NOTA[TANGGAL]),COLUMN(NOTA[TANGGAL]))&amp;":"&amp;ADDRESS(ROW(),COLUMN(NOTA[TANGGAL]))),-1)))</f>
        <v/>
      </c>
      <c r="AH399" s="36" t="str">
        <f ca="1">IF(NOTA[[#This Row],[ID_H]]="","",INDEX(NOTA[TGL.NOTA],MATCH(,INDIRECT(ADDRESS(ROW(NOTA[TGL.NOTA]),COLUMN(NOTA[TGL.NOTA]))&amp;":"&amp;ADDRESS(ROW(),COLUMN(NOTA[TGL.NOTA]))),-1)))</f>
        <v/>
      </c>
      <c r="AI399" s="36" t="str">
        <f ca="1">IF(NOTA[[#This Row],[ID_H]]="","",INDEX(NOTA[NO.NOTA],MATCH(NOTA[[#This Row],[ID_H]],NOTA[ID_H],0)))</f>
        <v/>
      </c>
      <c r="AJ399" s="38" t="str">
        <f ca="1">IF(NOTA[[#This Row],[NAMA BARANG]]="","",INDEX(NOTA[SUPPLIER],MATCH(,INDIRECT(ADDRESS(ROW(NOTA[ID]),COLUMN(NOTA[ID]))&amp;":"&amp;ADDRESS(ROW(),COLUMN(NOTA[ID]))),-1)))</f>
        <v/>
      </c>
      <c r="AK399" s="38" t="str">
        <f ca="1">IF(NOTA[[#This Row],[ID_H]]="","",IF(NOTA[[#This Row],[FAKTUR]]="",INDIRECT(ADDRESS(ROW()-1,COLUMN())),NOTA[[#This Row],[FAKTUR]]))</f>
        <v/>
      </c>
      <c r="AL399" s="35" t="str">
        <f ca="1">IF(NOTA[[#This Row],[ID]]="","",COUNTIF(NOTA[ID_H],NOTA[[#This Row],[ID_H]]))</f>
        <v/>
      </c>
      <c r="AM399" s="35" t="str">
        <f ca="1">IF(NOTA[[#This Row],[TGL.NOTA]]="",IF(NOTA[[#This Row],[SUPPLIER_H]]="","",AM398),MONTH(NOTA[[#This Row],[TGL.NOTA]]))</f>
        <v/>
      </c>
      <c r="AN3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3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3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3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9" s="35" t="str">
        <f>IF(NOTA[[#This Row],[CONCAT1]]="","",MATCH(NOTA[[#This Row],[CONCAT1]],[3]!db[NB NOTA_C],0))</f>
        <v/>
      </c>
      <c r="AS399" s="35" t="str">
        <f>IF(NOTA[[#This Row],[Column5]]="","",TRUE)</f>
        <v/>
      </c>
      <c r="AT399" s="35" t="str">
        <f ca="1">IF(NOTA[[#This Row],[ID_H]]="","",IF(NOTA[[#This Row],[Column3]]=TRUE,NOTA[[#This Row],[Column5]],INDEX([3]!db[QTY/ CTN],NOTA[[#This Row],[//DB]])))</f>
        <v/>
      </c>
      <c r="AU3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399" s="35" t="str">
        <f ca="1">IF(NOTA[[#This Row],[ID_H]]="","",MATCH(NOTA[[#This Row],[NB NOTA_C_QTY]],[3]!db[NB NOTA_C_QTY+F],0))</f>
        <v/>
      </c>
      <c r="AW399" s="43" t="str">
        <f ca="1">IF(NOTA[[#This Row],[NB NOTA_C_QTY]]="","",ROW()-2)</f>
        <v/>
      </c>
    </row>
    <row r="400" spans="1:49" ht="20.100000000000001" customHeight="1">
      <c r="A4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5" t="str">
        <f ca="1">IF(NOTA[[#This Row],[NAMA BARANG]]="","",INDEX(NOTA[ID],MATCH(,INDIRECT(ADDRESS(ROW(NOTA[ID]),COLUMN(NOTA[ID]))&amp;":"&amp;ADDRESS(ROW(),COLUMN(NOTA[ID]))),-1)))</f>
        <v/>
      </c>
      <c r="C400" s="45"/>
      <c r="F400" s="46"/>
      <c r="G400" s="35"/>
      <c r="H400" s="36"/>
      <c r="I400" s="35"/>
      <c r="K400" s="37"/>
      <c r="L400" s="35"/>
      <c r="N400" s="38"/>
      <c r="O400" s="39"/>
      <c r="P400" s="47"/>
      <c r="Q400" s="48"/>
      <c r="R400" s="41"/>
      <c r="T400" s="42"/>
      <c r="U400" s="44"/>
      <c r="V400" s="42" t="str">
        <f>IF(NOTA[[#This Row],[HARGA/ CTN]]="",NOTA[[#This Row],[JUMLAH_H]],NOTA[[#This Row],[HARGA/ CTN]]*IF(NOTA[[#This Row],[C]]="",0,NOTA[[#This Row],[C]]))</f>
        <v/>
      </c>
      <c r="W400" s="42" t="str">
        <f>IF(NOTA[[#This Row],[JUMLAH]]="","",NOTA[[#This Row],[JUMLAH]]*NOTA[[#This Row],[Column6]])</f>
        <v/>
      </c>
      <c r="X400" s="42" t="str">
        <f>IF(NOTA[[#This Row],[JUMLAH]]="","",(NOTA[[#This Row],[JUMLAH]]-NOTA[[#This Row],[DISC 1-]])*NOTA[[#This Row],[Column7]])</f>
        <v/>
      </c>
      <c r="Y400" s="42" t="str">
        <f>IF(NOTA[[#This Row],[JUMLAH]]="","",(NOTA[[#This Row],[JUMLAH]]-NOTA[[#This Row],[DISC 1-]]-NOTA[[#This Row],[DISC 2-]])*NOTA[[#This Row],[Column8]])</f>
        <v/>
      </c>
      <c r="Z400" s="42" t="str">
        <f>IF(NOTA[[#This Row],[JUMLAH]]="","",NOTA[[#This Row],[DISC 1-]]+NOTA[[#This Row],[DISC 2-]]+NOTA[[#This Row],[DISC 3-]])</f>
        <v/>
      </c>
      <c r="AA400" s="42" t="str">
        <f>IF(NOTA[[#This Row],[JUMLAH]]="","",NOTA[[#This Row],[JUMLAH]]-NOTA[[#This Row],[DISC]])</f>
        <v/>
      </c>
      <c r="AB400" s="42"/>
      <c r="AC4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42" t="str">
        <f>IF(OR(NOTA[[#This Row],[QTY]]="",NOTA[[#This Row],[HARGA SATUAN]]="",),"",NOTA[[#This Row],[QTY]]*NOTA[[#This Row],[HARGA SATUAN]])</f>
        <v/>
      </c>
      <c r="AG400" s="36" t="str">
        <f ca="1">IF(NOTA[[#This Row],[ID_H]]="","",INDEX(NOTA[TANGGAL],MATCH(,INDIRECT(ADDRESS(ROW(NOTA[TANGGAL]),COLUMN(NOTA[TANGGAL]))&amp;":"&amp;ADDRESS(ROW(),COLUMN(NOTA[TANGGAL]))),-1)))</f>
        <v/>
      </c>
      <c r="AH400" s="36" t="str">
        <f ca="1">IF(NOTA[[#This Row],[ID_H]]="","",INDEX(NOTA[TGL.NOTA],MATCH(,INDIRECT(ADDRESS(ROW(NOTA[TGL.NOTA]),COLUMN(NOTA[TGL.NOTA]))&amp;":"&amp;ADDRESS(ROW(),COLUMN(NOTA[TGL.NOTA]))),-1)))</f>
        <v/>
      </c>
      <c r="AI400" s="36" t="str">
        <f ca="1">IF(NOTA[[#This Row],[ID_H]]="","",INDEX(NOTA[NO.NOTA],MATCH(NOTA[[#This Row],[ID_H]],NOTA[ID_H],0)))</f>
        <v/>
      </c>
      <c r="AJ400" s="38" t="str">
        <f ca="1">IF(NOTA[[#This Row],[NAMA BARANG]]="","",INDEX(NOTA[SUPPLIER],MATCH(,INDIRECT(ADDRESS(ROW(NOTA[ID]),COLUMN(NOTA[ID]))&amp;":"&amp;ADDRESS(ROW(),COLUMN(NOTA[ID]))),-1)))</f>
        <v/>
      </c>
      <c r="AK400" s="38" t="str">
        <f ca="1">IF(NOTA[[#This Row],[ID_H]]="","",IF(NOTA[[#This Row],[FAKTUR]]="",INDIRECT(ADDRESS(ROW()-1,COLUMN())),NOTA[[#This Row],[FAKTUR]]))</f>
        <v/>
      </c>
      <c r="AL400" s="35" t="str">
        <f ca="1">IF(NOTA[[#This Row],[ID]]="","",COUNTIF(NOTA[ID_H],NOTA[[#This Row],[ID_H]]))</f>
        <v/>
      </c>
      <c r="AM400" s="35" t="str">
        <f ca="1">IF(NOTA[[#This Row],[TGL.NOTA]]="",IF(NOTA[[#This Row],[SUPPLIER_H]]="","",AM399),MONTH(NOTA[[#This Row],[TGL.NOTA]]))</f>
        <v/>
      </c>
      <c r="AN4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0" s="35" t="str">
        <f>IF(NOTA[[#This Row],[CONCAT1]]="","",MATCH(NOTA[[#This Row],[CONCAT1]],[3]!db[NB NOTA_C],0))</f>
        <v/>
      </c>
      <c r="AS400" s="35" t="str">
        <f>IF(NOTA[[#This Row],[Column5]]="","",TRUE)</f>
        <v/>
      </c>
      <c r="AT400" s="35" t="str">
        <f ca="1">IF(NOTA[[#This Row],[ID_H]]="","",IF(NOTA[[#This Row],[Column3]]=TRUE,NOTA[[#This Row],[Column5]],INDEX([3]!db[QTY/ CTN],NOTA[[#This Row],[//DB]])))</f>
        <v/>
      </c>
      <c r="AU4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0" s="35" t="str">
        <f ca="1">IF(NOTA[[#This Row],[ID_H]]="","",MATCH(NOTA[[#This Row],[NB NOTA_C_QTY]],[3]!db[NB NOTA_C_QTY+F],0))</f>
        <v/>
      </c>
      <c r="AW400" s="43" t="str">
        <f ca="1">IF(NOTA[[#This Row],[NB NOTA_C_QTY]]="","",ROW()-2)</f>
        <v/>
      </c>
    </row>
    <row r="401" spans="1:49" ht="20.100000000000001" customHeight="1">
      <c r="A4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5" t="str">
        <f ca="1">IF(NOTA[[#This Row],[NAMA BARANG]]="","",INDEX(NOTA[ID],MATCH(,INDIRECT(ADDRESS(ROW(NOTA[ID]),COLUMN(NOTA[ID]))&amp;":"&amp;ADDRESS(ROW(),COLUMN(NOTA[ID]))),-1)))</f>
        <v/>
      </c>
      <c r="C401" s="45"/>
      <c r="F401" s="46"/>
      <c r="G401" s="35"/>
      <c r="H401" s="36"/>
      <c r="I401" s="35"/>
      <c r="K401" s="37"/>
      <c r="L401" s="35"/>
      <c r="N401" s="38"/>
      <c r="O401" s="39"/>
      <c r="P401" s="47"/>
      <c r="Q401" s="48"/>
      <c r="R401" s="41"/>
      <c r="T401" s="42"/>
      <c r="U401" s="44"/>
      <c r="V401" s="42" t="str">
        <f>IF(NOTA[[#This Row],[HARGA/ CTN]]="",NOTA[[#This Row],[JUMLAH_H]],NOTA[[#This Row],[HARGA/ CTN]]*IF(NOTA[[#This Row],[C]]="",0,NOTA[[#This Row],[C]]))</f>
        <v/>
      </c>
      <c r="W401" s="42" t="str">
        <f>IF(NOTA[[#This Row],[JUMLAH]]="","",NOTA[[#This Row],[JUMLAH]]*NOTA[[#This Row],[Column6]])</f>
        <v/>
      </c>
      <c r="X401" s="42" t="str">
        <f>IF(NOTA[[#This Row],[JUMLAH]]="","",(NOTA[[#This Row],[JUMLAH]]-NOTA[[#This Row],[DISC 1-]])*NOTA[[#This Row],[Column7]])</f>
        <v/>
      </c>
      <c r="Y401" s="42" t="str">
        <f>IF(NOTA[[#This Row],[JUMLAH]]="","",(NOTA[[#This Row],[JUMLAH]]-NOTA[[#This Row],[DISC 1-]]-NOTA[[#This Row],[DISC 2-]])*NOTA[[#This Row],[Column8]])</f>
        <v/>
      </c>
      <c r="Z401" s="42" t="str">
        <f>IF(NOTA[[#This Row],[JUMLAH]]="","",NOTA[[#This Row],[DISC 1-]]+NOTA[[#This Row],[DISC 2-]]+NOTA[[#This Row],[DISC 3-]])</f>
        <v/>
      </c>
      <c r="AA401" s="42" t="str">
        <f>IF(NOTA[[#This Row],[JUMLAH]]="","",NOTA[[#This Row],[JUMLAH]]-NOTA[[#This Row],[DISC]])</f>
        <v/>
      </c>
      <c r="AB401" s="42"/>
      <c r="AC4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1" s="42" t="str">
        <f>IF(OR(NOTA[[#This Row],[QTY]]="",NOTA[[#This Row],[HARGA SATUAN]]="",),"",NOTA[[#This Row],[QTY]]*NOTA[[#This Row],[HARGA SATUAN]])</f>
        <v/>
      </c>
      <c r="AG401" s="36" t="str">
        <f ca="1">IF(NOTA[[#This Row],[ID_H]]="","",INDEX(NOTA[TANGGAL],MATCH(,INDIRECT(ADDRESS(ROW(NOTA[TANGGAL]),COLUMN(NOTA[TANGGAL]))&amp;":"&amp;ADDRESS(ROW(),COLUMN(NOTA[TANGGAL]))),-1)))</f>
        <v/>
      </c>
      <c r="AH401" s="36" t="str">
        <f ca="1">IF(NOTA[[#This Row],[ID_H]]="","",INDEX(NOTA[TGL.NOTA],MATCH(,INDIRECT(ADDRESS(ROW(NOTA[TGL.NOTA]),COLUMN(NOTA[TGL.NOTA]))&amp;":"&amp;ADDRESS(ROW(),COLUMN(NOTA[TGL.NOTA]))),-1)))</f>
        <v/>
      </c>
      <c r="AI401" s="36" t="str">
        <f ca="1">IF(NOTA[[#This Row],[ID_H]]="","",INDEX(NOTA[NO.NOTA],MATCH(NOTA[[#This Row],[ID_H]],NOTA[ID_H],0)))</f>
        <v/>
      </c>
      <c r="AJ401" s="38" t="str">
        <f ca="1">IF(NOTA[[#This Row],[NAMA BARANG]]="","",INDEX(NOTA[SUPPLIER],MATCH(,INDIRECT(ADDRESS(ROW(NOTA[ID]),COLUMN(NOTA[ID]))&amp;":"&amp;ADDRESS(ROW(),COLUMN(NOTA[ID]))),-1)))</f>
        <v/>
      </c>
      <c r="AK401" s="38" t="str">
        <f ca="1">IF(NOTA[[#This Row],[ID_H]]="","",IF(NOTA[[#This Row],[FAKTUR]]="",INDIRECT(ADDRESS(ROW()-1,COLUMN())),NOTA[[#This Row],[FAKTUR]]))</f>
        <v/>
      </c>
      <c r="AL401" s="35" t="str">
        <f ca="1">IF(NOTA[[#This Row],[ID]]="","",COUNTIF(NOTA[ID_H],NOTA[[#This Row],[ID_H]]))</f>
        <v/>
      </c>
      <c r="AM401" s="35" t="str">
        <f ca="1">IF(NOTA[[#This Row],[TGL.NOTA]]="",IF(NOTA[[#This Row],[SUPPLIER_H]]="","",AM400),MONTH(NOTA[[#This Row],[TGL.NOTA]]))</f>
        <v/>
      </c>
      <c r="AN4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1" s="35" t="str">
        <f>IF(NOTA[[#This Row],[CONCAT1]]="","",MATCH(NOTA[[#This Row],[CONCAT1]],[3]!db[NB NOTA_C],0))</f>
        <v/>
      </c>
      <c r="AS401" s="35" t="str">
        <f>IF(NOTA[[#This Row],[Column5]]="","",TRUE)</f>
        <v/>
      </c>
      <c r="AT401" s="35" t="str">
        <f ca="1">IF(NOTA[[#This Row],[ID_H]]="","",IF(NOTA[[#This Row],[Column3]]=TRUE,NOTA[[#This Row],[Column5]],INDEX([3]!db[QTY/ CTN],NOTA[[#This Row],[//DB]])))</f>
        <v/>
      </c>
      <c r="AU4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1" s="35" t="str">
        <f ca="1">IF(NOTA[[#This Row],[ID_H]]="","",MATCH(NOTA[[#This Row],[NB NOTA_C_QTY]],[3]!db[NB NOTA_C_QTY+F],0))</f>
        <v/>
      </c>
      <c r="AW401" s="43" t="str">
        <f ca="1">IF(NOTA[[#This Row],[NB NOTA_C_QTY]]="","",ROW()-2)</f>
        <v/>
      </c>
    </row>
    <row r="402" spans="1:49" ht="20.100000000000001" customHeight="1">
      <c r="A4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5" t="str">
        <f ca="1">IF(NOTA[[#This Row],[NAMA BARANG]]="","",INDEX(NOTA[ID],MATCH(,INDIRECT(ADDRESS(ROW(NOTA[ID]),COLUMN(NOTA[ID]))&amp;":"&amp;ADDRESS(ROW(),COLUMN(NOTA[ID]))),-1)))</f>
        <v/>
      </c>
      <c r="C402" s="45"/>
      <c r="F402" s="46"/>
      <c r="G402" s="35"/>
      <c r="H402" s="36"/>
      <c r="I402" s="35"/>
      <c r="K402" s="37"/>
      <c r="L402" s="35"/>
      <c r="N402" s="38"/>
      <c r="O402" s="39"/>
      <c r="P402" s="47"/>
      <c r="Q402" s="48"/>
      <c r="R402" s="41"/>
      <c r="T402" s="42"/>
      <c r="U402" s="44"/>
      <c r="V402" s="42" t="str">
        <f>IF(NOTA[[#This Row],[HARGA/ CTN]]="",NOTA[[#This Row],[JUMLAH_H]],NOTA[[#This Row],[HARGA/ CTN]]*IF(NOTA[[#This Row],[C]]="",0,NOTA[[#This Row],[C]]))</f>
        <v/>
      </c>
      <c r="W402" s="42" t="str">
        <f>IF(NOTA[[#This Row],[JUMLAH]]="","",NOTA[[#This Row],[JUMLAH]]*NOTA[[#This Row],[Column6]])</f>
        <v/>
      </c>
      <c r="X402" s="42" t="str">
        <f>IF(NOTA[[#This Row],[JUMLAH]]="","",(NOTA[[#This Row],[JUMLAH]]-NOTA[[#This Row],[DISC 1-]])*NOTA[[#This Row],[Column7]])</f>
        <v/>
      </c>
      <c r="Y402" s="42" t="str">
        <f>IF(NOTA[[#This Row],[JUMLAH]]="","",(NOTA[[#This Row],[JUMLAH]]-NOTA[[#This Row],[DISC 1-]]-NOTA[[#This Row],[DISC 2-]])*NOTA[[#This Row],[Column8]])</f>
        <v/>
      </c>
      <c r="Z402" s="42" t="str">
        <f>IF(NOTA[[#This Row],[JUMLAH]]="","",NOTA[[#This Row],[DISC 1-]]+NOTA[[#This Row],[DISC 2-]]+NOTA[[#This Row],[DISC 3-]])</f>
        <v/>
      </c>
      <c r="AA402" s="42" t="str">
        <f>IF(NOTA[[#This Row],[JUMLAH]]="","",NOTA[[#This Row],[JUMLAH]]-NOTA[[#This Row],[DISC]])</f>
        <v/>
      </c>
      <c r="AB402" s="42"/>
      <c r="AC4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2" s="42" t="str">
        <f>IF(OR(NOTA[[#This Row],[QTY]]="",NOTA[[#This Row],[HARGA SATUAN]]="",),"",NOTA[[#This Row],[QTY]]*NOTA[[#This Row],[HARGA SATUAN]])</f>
        <v/>
      </c>
      <c r="AG402" s="36" t="str">
        <f ca="1">IF(NOTA[[#This Row],[ID_H]]="","",INDEX(NOTA[TANGGAL],MATCH(,INDIRECT(ADDRESS(ROW(NOTA[TANGGAL]),COLUMN(NOTA[TANGGAL]))&amp;":"&amp;ADDRESS(ROW(),COLUMN(NOTA[TANGGAL]))),-1)))</f>
        <v/>
      </c>
      <c r="AH402" s="36" t="str">
        <f ca="1">IF(NOTA[[#This Row],[ID_H]]="","",INDEX(NOTA[TGL.NOTA],MATCH(,INDIRECT(ADDRESS(ROW(NOTA[TGL.NOTA]),COLUMN(NOTA[TGL.NOTA]))&amp;":"&amp;ADDRESS(ROW(),COLUMN(NOTA[TGL.NOTA]))),-1)))</f>
        <v/>
      </c>
      <c r="AI402" s="36" t="str">
        <f ca="1">IF(NOTA[[#This Row],[ID_H]]="","",INDEX(NOTA[NO.NOTA],MATCH(NOTA[[#This Row],[ID_H]],NOTA[ID_H],0)))</f>
        <v/>
      </c>
      <c r="AJ402" s="38" t="str">
        <f ca="1">IF(NOTA[[#This Row],[NAMA BARANG]]="","",INDEX(NOTA[SUPPLIER],MATCH(,INDIRECT(ADDRESS(ROW(NOTA[ID]),COLUMN(NOTA[ID]))&amp;":"&amp;ADDRESS(ROW(),COLUMN(NOTA[ID]))),-1)))</f>
        <v/>
      </c>
      <c r="AK402" s="38" t="str">
        <f ca="1">IF(NOTA[[#This Row],[ID_H]]="","",IF(NOTA[[#This Row],[FAKTUR]]="",INDIRECT(ADDRESS(ROW()-1,COLUMN())),NOTA[[#This Row],[FAKTUR]]))</f>
        <v/>
      </c>
      <c r="AL402" s="35" t="str">
        <f ca="1">IF(NOTA[[#This Row],[ID]]="","",COUNTIF(NOTA[ID_H],NOTA[[#This Row],[ID_H]]))</f>
        <v/>
      </c>
      <c r="AM402" s="35" t="str">
        <f ca="1">IF(NOTA[[#This Row],[TGL.NOTA]]="",IF(NOTA[[#This Row],[SUPPLIER_H]]="","",AM401),MONTH(NOTA[[#This Row],[TGL.NOTA]]))</f>
        <v/>
      </c>
      <c r="AN4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2" s="35" t="str">
        <f>IF(NOTA[[#This Row],[CONCAT1]]="","",MATCH(NOTA[[#This Row],[CONCAT1]],[3]!db[NB NOTA_C],0))</f>
        <v/>
      </c>
      <c r="AS402" s="35" t="str">
        <f>IF(NOTA[[#This Row],[Column5]]="","",TRUE)</f>
        <v/>
      </c>
      <c r="AT402" s="35" t="str">
        <f ca="1">IF(NOTA[[#This Row],[ID_H]]="","",IF(NOTA[[#This Row],[Column3]]=TRUE,NOTA[[#This Row],[Column5]],INDEX([3]!db[QTY/ CTN],NOTA[[#This Row],[//DB]])))</f>
        <v/>
      </c>
      <c r="AU4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2" s="35" t="str">
        <f ca="1">IF(NOTA[[#This Row],[ID_H]]="","",MATCH(NOTA[[#This Row],[NB NOTA_C_QTY]],[3]!db[NB NOTA_C_QTY+F],0))</f>
        <v/>
      </c>
      <c r="AW402" s="43" t="str">
        <f ca="1">IF(NOTA[[#This Row],[NB NOTA_C_QTY]]="","",ROW()-2)</f>
        <v/>
      </c>
    </row>
    <row r="403" spans="1:49" ht="20.100000000000001" customHeight="1">
      <c r="A4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5" t="str">
        <f ca="1">IF(NOTA[[#This Row],[NAMA BARANG]]="","",INDEX(NOTA[ID],MATCH(,INDIRECT(ADDRESS(ROW(NOTA[ID]),COLUMN(NOTA[ID]))&amp;":"&amp;ADDRESS(ROW(),COLUMN(NOTA[ID]))),-1)))</f>
        <v/>
      </c>
      <c r="C403" s="45"/>
      <c r="F403" s="46"/>
      <c r="G403" s="35"/>
      <c r="H403" s="36"/>
      <c r="I403" s="35"/>
      <c r="K403" s="37"/>
      <c r="L403" s="35"/>
      <c r="N403" s="38"/>
      <c r="O403" s="39"/>
      <c r="P403" s="47"/>
      <c r="Q403" s="48"/>
      <c r="R403" s="41"/>
      <c r="T403" s="42"/>
      <c r="U403" s="44"/>
      <c r="V403" s="42" t="str">
        <f>IF(NOTA[[#This Row],[HARGA/ CTN]]="",NOTA[[#This Row],[JUMLAH_H]],NOTA[[#This Row],[HARGA/ CTN]]*IF(NOTA[[#This Row],[C]]="",0,NOTA[[#This Row],[C]]))</f>
        <v/>
      </c>
      <c r="W403" s="42" t="str">
        <f>IF(NOTA[[#This Row],[JUMLAH]]="","",NOTA[[#This Row],[JUMLAH]]*NOTA[[#This Row],[Column6]])</f>
        <v/>
      </c>
      <c r="X403" s="42" t="str">
        <f>IF(NOTA[[#This Row],[JUMLAH]]="","",(NOTA[[#This Row],[JUMLAH]]-NOTA[[#This Row],[DISC 1-]])*NOTA[[#This Row],[Column7]])</f>
        <v/>
      </c>
      <c r="Y403" s="42" t="str">
        <f>IF(NOTA[[#This Row],[JUMLAH]]="","",(NOTA[[#This Row],[JUMLAH]]-NOTA[[#This Row],[DISC 1-]]-NOTA[[#This Row],[DISC 2-]])*NOTA[[#This Row],[Column8]])</f>
        <v/>
      </c>
      <c r="Z403" s="42" t="str">
        <f>IF(NOTA[[#This Row],[JUMLAH]]="","",NOTA[[#This Row],[DISC 1-]]+NOTA[[#This Row],[DISC 2-]]+NOTA[[#This Row],[DISC 3-]])</f>
        <v/>
      </c>
      <c r="AA403" s="42" t="str">
        <f>IF(NOTA[[#This Row],[JUMLAH]]="","",NOTA[[#This Row],[JUMLAH]]-NOTA[[#This Row],[DISC]])</f>
        <v/>
      </c>
      <c r="AB403" s="42"/>
      <c r="AC4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42" t="str">
        <f>IF(OR(NOTA[[#This Row],[QTY]]="",NOTA[[#This Row],[HARGA SATUAN]]="",),"",NOTA[[#This Row],[QTY]]*NOTA[[#This Row],[HARGA SATUAN]])</f>
        <v/>
      </c>
      <c r="AG403" s="36" t="str">
        <f ca="1">IF(NOTA[[#This Row],[ID_H]]="","",INDEX(NOTA[TANGGAL],MATCH(,INDIRECT(ADDRESS(ROW(NOTA[TANGGAL]),COLUMN(NOTA[TANGGAL]))&amp;":"&amp;ADDRESS(ROW(),COLUMN(NOTA[TANGGAL]))),-1)))</f>
        <v/>
      </c>
      <c r="AH403" s="36" t="str">
        <f ca="1">IF(NOTA[[#This Row],[ID_H]]="","",INDEX(NOTA[TGL.NOTA],MATCH(,INDIRECT(ADDRESS(ROW(NOTA[TGL.NOTA]),COLUMN(NOTA[TGL.NOTA]))&amp;":"&amp;ADDRESS(ROW(),COLUMN(NOTA[TGL.NOTA]))),-1)))</f>
        <v/>
      </c>
      <c r="AI403" s="36" t="str">
        <f ca="1">IF(NOTA[[#This Row],[ID_H]]="","",INDEX(NOTA[NO.NOTA],MATCH(NOTA[[#This Row],[ID_H]],NOTA[ID_H],0)))</f>
        <v/>
      </c>
      <c r="AJ403" s="38" t="str">
        <f ca="1">IF(NOTA[[#This Row],[NAMA BARANG]]="","",INDEX(NOTA[SUPPLIER],MATCH(,INDIRECT(ADDRESS(ROW(NOTA[ID]),COLUMN(NOTA[ID]))&amp;":"&amp;ADDRESS(ROW(),COLUMN(NOTA[ID]))),-1)))</f>
        <v/>
      </c>
      <c r="AK403" s="38" t="str">
        <f ca="1">IF(NOTA[[#This Row],[ID_H]]="","",IF(NOTA[[#This Row],[FAKTUR]]="",INDIRECT(ADDRESS(ROW()-1,COLUMN())),NOTA[[#This Row],[FAKTUR]]))</f>
        <v/>
      </c>
      <c r="AL403" s="35" t="str">
        <f ca="1">IF(NOTA[[#This Row],[ID]]="","",COUNTIF(NOTA[ID_H],NOTA[[#This Row],[ID_H]]))</f>
        <v/>
      </c>
      <c r="AM403" s="35" t="str">
        <f ca="1">IF(NOTA[[#This Row],[TGL.NOTA]]="",IF(NOTA[[#This Row],[SUPPLIER_H]]="","",AM402),MONTH(NOTA[[#This Row],[TGL.NOTA]]))</f>
        <v/>
      </c>
      <c r="AN4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3" s="35" t="str">
        <f>IF(NOTA[[#This Row],[CONCAT1]]="","",MATCH(NOTA[[#This Row],[CONCAT1]],[3]!db[NB NOTA_C],0))</f>
        <v/>
      </c>
      <c r="AS403" s="35" t="str">
        <f>IF(NOTA[[#This Row],[Column5]]="","",TRUE)</f>
        <v/>
      </c>
      <c r="AT403" s="35" t="str">
        <f ca="1">IF(NOTA[[#This Row],[ID_H]]="","",IF(NOTA[[#This Row],[Column3]]=TRUE,NOTA[[#This Row],[Column5]],INDEX([3]!db[QTY/ CTN],NOTA[[#This Row],[//DB]])))</f>
        <v/>
      </c>
      <c r="AU4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3" s="35" t="str">
        <f ca="1">IF(NOTA[[#This Row],[ID_H]]="","",MATCH(NOTA[[#This Row],[NB NOTA_C_QTY]],[3]!db[NB NOTA_C_QTY+F],0))</f>
        <v/>
      </c>
      <c r="AW403" s="43" t="str">
        <f ca="1">IF(NOTA[[#This Row],[NB NOTA_C_QTY]]="","",ROW()-2)</f>
        <v/>
      </c>
    </row>
    <row r="404" spans="1:49" ht="20.100000000000001" customHeight="1">
      <c r="A4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5" t="str">
        <f ca="1">IF(NOTA[[#This Row],[NAMA BARANG]]="","",INDEX(NOTA[ID],MATCH(,INDIRECT(ADDRESS(ROW(NOTA[ID]),COLUMN(NOTA[ID]))&amp;":"&amp;ADDRESS(ROW(),COLUMN(NOTA[ID]))),-1)))</f>
        <v/>
      </c>
      <c r="C404" s="45"/>
      <c r="F404" s="46"/>
      <c r="G404" s="35"/>
      <c r="H404" s="36"/>
      <c r="I404" s="35"/>
      <c r="K404" s="37"/>
      <c r="L404" s="35"/>
      <c r="N404" s="38"/>
      <c r="O404" s="39"/>
      <c r="P404" s="47"/>
      <c r="Q404" s="48"/>
      <c r="R404" s="41"/>
      <c r="T404" s="42"/>
      <c r="U404" s="44"/>
      <c r="V404" s="42" t="str">
        <f>IF(NOTA[[#This Row],[HARGA/ CTN]]="",NOTA[[#This Row],[JUMLAH_H]],NOTA[[#This Row],[HARGA/ CTN]]*IF(NOTA[[#This Row],[C]]="",0,NOTA[[#This Row],[C]]))</f>
        <v/>
      </c>
      <c r="W404" s="42" t="str">
        <f>IF(NOTA[[#This Row],[JUMLAH]]="","",NOTA[[#This Row],[JUMLAH]]*NOTA[[#This Row],[Column6]])</f>
        <v/>
      </c>
      <c r="X404" s="42" t="str">
        <f>IF(NOTA[[#This Row],[JUMLAH]]="","",(NOTA[[#This Row],[JUMLAH]]-NOTA[[#This Row],[DISC 1-]])*NOTA[[#This Row],[Column7]])</f>
        <v/>
      </c>
      <c r="Y404" s="42" t="str">
        <f>IF(NOTA[[#This Row],[JUMLAH]]="","",(NOTA[[#This Row],[JUMLAH]]-NOTA[[#This Row],[DISC 1-]]-NOTA[[#This Row],[DISC 2-]])*NOTA[[#This Row],[Column8]])</f>
        <v/>
      </c>
      <c r="Z404" s="42" t="str">
        <f>IF(NOTA[[#This Row],[JUMLAH]]="","",NOTA[[#This Row],[DISC 1-]]+NOTA[[#This Row],[DISC 2-]]+NOTA[[#This Row],[DISC 3-]])</f>
        <v/>
      </c>
      <c r="AA404" s="42" t="str">
        <f>IF(NOTA[[#This Row],[JUMLAH]]="","",NOTA[[#This Row],[JUMLAH]]-NOTA[[#This Row],[DISC]])</f>
        <v/>
      </c>
      <c r="AB404" s="42"/>
      <c r="AC4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4" s="42" t="str">
        <f>IF(OR(NOTA[[#This Row],[QTY]]="",NOTA[[#This Row],[HARGA SATUAN]]="",),"",NOTA[[#This Row],[QTY]]*NOTA[[#This Row],[HARGA SATUAN]])</f>
        <v/>
      </c>
      <c r="AG404" s="36" t="str">
        <f ca="1">IF(NOTA[[#This Row],[ID_H]]="","",INDEX(NOTA[TANGGAL],MATCH(,INDIRECT(ADDRESS(ROW(NOTA[TANGGAL]),COLUMN(NOTA[TANGGAL]))&amp;":"&amp;ADDRESS(ROW(),COLUMN(NOTA[TANGGAL]))),-1)))</f>
        <v/>
      </c>
      <c r="AH404" s="36" t="str">
        <f ca="1">IF(NOTA[[#This Row],[ID_H]]="","",INDEX(NOTA[TGL.NOTA],MATCH(,INDIRECT(ADDRESS(ROW(NOTA[TGL.NOTA]),COLUMN(NOTA[TGL.NOTA]))&amp;":"&amp;ADDRESS(ROW(),COLUMN(NOTA[TGL.NOTA]))),-1)))</f>
        <v/>
      </c>
      <c r="AI404" s="36" t="str">
        <f ca="1">IF(NOTA[[#This Row],[ID_H]]="","",INDEX(NOTA[NO.NOTA],MATCH(NOTA[[#This Row],[ID_H]],NOTA[ID_H],0)))</f>
        <v/>
      </c>
      <c r="AJ404" s="38" t="str">
        <f ca="1">IF(NOTA[[#This Row],[NAMA BARANG]]="","",INDEX(NOTA[SUPPLIER],MATCH(,INDIRECT(ADDRESS(ROW(NOTA[ID]),COLUMN(NOTA[ID]))&amp;":"&amp;ADDRESS(ROW(),COLUMN(NOTA[ID]))),-1)))</f>
        <v/>
      </c>
      <c r="AK404" s="38" t="str">
        <f ca="1">IF(NOTA[[#This Row],[ID_H]]="","",IF(NOTA[[#This Row],[FAKTUR]]="",INDIRECT(ADDRESS(ROW()-1,COLUMN())),NOTA[[#This Row],[FAKTUR]]))</f>
        <v/>
      </c>
      <c r="AL404" s="35" t="str">
        <f ca="1">IF(NOTA[[#This Row],[ID]]="","",COUNTIF(NOTA[ID_H],NOTA[[#This Row],[ID_H]]))</f>
        <v/>
      </c>
      <c r="AM404" s="35" t="str">
        <f ca="1">IF(NOTA[[#This Row],[TGL.NOTA]]="",IF(NOTA[[#This Row],[SUPPLIER_H]]="","",AM403),MONTH(NOTA[[#This Row],[TGL.NOTA]]))</f>
        <v/>
      </c>
      <c r="AN4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4" s="35" t="str">
        <f>IF(NOTA[[#This Row],[CONCAT1]]="","",MATCH(NOTA[[#This Row],[CONCAT1]],[3]!db[NB NOTA_C],0))</f>
        <v/>
      </c>
      <c r="AS404" s="35" t="str">
        <f>IF(NOTA[[#This Row],[Column5]]="","",TRUE)</f>
        <v/>
      </c>
      <c r="AT404" s="35" t="str">
        <f ca="1">IF(NOTA[[#This Row],[ID_H]]="","",IF(NOTA[[#This Row],[Column3]]=TRUE,NOTA[[#This Row],[Column5]],INDEX([3]!db[QTY/ CTN],NOTA[[#This Row],[//DB]])))</f>
        <v/>
      </c>
      <c r="AU4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4" s="35" t="str">
        <f ca="1">IF(NOTA[[#This Row],[ID_H]]="","",MATCH(NOTA[[#This Row],[NB NOTA_C_QTY]],[3]!db[NB NOTA_C_QTY+F],0))</f>
        <v/>
      </c>
      <c r="AW404" s="43" t="str">
        <f ca="1">IF(NOTA[[#This Row],[NB NOTA_C_QTY]]="","",ROW()-2)</f>
        <v/>
      </c>
    </row>
    <row r="405" spans="1:49" ht="20.100000000000001" customHeight="1">
      <c r="A4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5" t="str">
        <f ca="1">IF(NOTA[[#This Row],[NAMA BARANG]]="","",INDEX(NOTA[ID],MATCH(,INDIRECT(ADDRESS(ROW(NOTA[ID]),COLUMN(NOTA[ID]))&amp;":"&amp;ADDRESS(ROW(),COLUMN(NOTA[ID]))),-1)))</f>
        <v/>
      </c>
      <c r="C405" s="45"/>
      <c r="F405" s="46"/>
      <c r="G405" s="35"/>
      <c r="H405" s="36"/>
      <c r="I405" s="35"/>
      <c r="K405" s="37"/>
      <c r="L405" s="35"/>
      <c r="N405" s="38"/>
      <c r="O405" s="39"/>
      <c r="P405" s="47"/>
      <c r="Q405" s="48"/>
      <c r="R405" s="41"/>
      <c r="T405" s="42"/>
      <c r="U405" s="44"/>
      <c r="V405" s="42" t="str">
        <f>IF(NOTA[[#This Row],[HARGA/ CTN]]="",NOTA[[#This Row],[JUMLAH_H]],NOTA[[#This Row],[HARGA/ CTN]]*IF(NOTA[[#This Row],[C]]="",0,NOTA[[#This Row],[C]]))</f>
        <v/>
      </c>
      <c r="W405" s="42" t="str">
        <f>IF(NOTA[[#This Row],[JUMLAH]]="","",NOTA[[#This Row],[JUMLAH]]*NOTA[[#This Row],[Column6]])</f>
        <v/>
      </c>
      <c r="X405" s="42" t="str">
        <f>IF(NOTA[[#This Row],[JUMLAH]]="","",(NOTA[[#This Row],[JUMLAH]]-NOTA[[#This Row],[DISC 1-]])*NOTA[[#This Row],[Column7]])</f>
        <v/>
      </c>
      <c r="Y405" s="42" t="str">
        <f>IF(NOTA[[#This Row],[JUMLAH]]="","",(NOTA[[#This Row],[JUMLAH]]-NOTA[[#This Row],[DISC 1-]]-NOTA[[#This Row],[DISC 2-]])*NOTA[[#This Row],[Column8]])</f>
        <v/>
      </c>
      <c r="Z405" s="42" t="str">
        <f>IF(NOTA[[#This Row],[JUMLAH]]="","",NOTA[[#This Row],[DISC 1-]]+NOTA[[#This Row],[DISC 2-]]+NOTA[[#This Row],[DISC 3-]])</f>
        <v/>
      </c>
      <c r="AA405" s="42" t="str">
        <f>IF(NOTA[[#This Row],[JUMLAH]]="","",NOTA[[#This Row],[JUMLAH]]-NOTA[[#This Row],[DISC]])</f>
        <v/>
      </c>
      <c r="AB405" s="42"/>
      <c r="AC4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5" s="42" t="str">
        <f>IF(OR(NOTA[[#This Row],[QTY]]="",NOTA[[#This Row],[HARGA SATUAN]]="",),"",NOTA[[#This Row],[QTY]]*NOTA[[#This Row],[HARGA SATUAN]])</f>
        <v/>
      </c>
      <c r="AG405" s="36" t="str">
        <f ca="1">IF(NOTA[[#This Row],[ID_H]]="","",INDEX(NOTA[TANGGAL],MATCH(,INDIRECT(ADDRESS(ROW(NOTA[TANGGAL]),COLUMN(NOTA[TANGGAL]))&amp;":"&amp;ADDRESS(ROW(),COLUMN(NOTA[TANGGAL]))),-1)))</f>
        <v/>
      </c>
      <c r="AH405" s="36" t="str">
        <f ca="1">IF(NOTA[[#This Row],[ID_H]]="","",INDEX(NOTA[TGL.NOTA],MATCH(,INDIRECT(ADDRESS(ROW(NOTA[TGL.NOTA]),COLUMN(NOTA[TGL.NOTA]))&amp;":"&amp;ADDRESS(ROW(),COLUMN(NOTA[TGL.NOTA]))),-1)))</f>
        <v/>
      </c>
      <c r="AI405" s="36" t="str">
        <f ca="1">IF(NOTA[[#This Row],[ID_H]]="","",INDEX(NOTA[NO.NOTA],MATCH(NOTA[[#This Row],[ID_H]],NOTA[ID_H],0)))</f>
        <v/>
      </c>
      <c r="AJ405" s="38" t="str">
        <f ca="1">IF(NOTA[[#This Row],[NAMA BARANG]]="","",INDEX(NOTA[SUPPLIER],MATCH(,INDIRECT(ADDRESS(ROW(NOTA[ID]),COLUMN(NOTA[ID]))&amp;":"&amp;ADDRESS(ROW(),COLUMN(NOTA[ID]))),-1)))</f>
        <v/>
      </c>
      <c r="AK405" s="38" t="str">
        <f ca="1">IF(NOTA[[#This Row],[ID_H]]="","",IF(NOTA[[#This Row],[FAKTUR]]="",INDIRECT(ADDRESS(ROW()-1,COLUMN())),NOTA[[#This Row],[FAKTUR]]))</f>
        <v/>
      </c>
      <c r="AL405" s="35" t="str">
        <f ca="1">IF(NOTA[[#This Row],[ID]]="","",COUNTIF(NOTA[ID_H],NOTA[[#This Row],[ID_H]]))</f>
        <v/>
      </c>
      <c r="AM405" s="35" t="str">
        <f ca="1">IF(NOTA[[#This Row],[TGL.NOTA]]="",IF(NOTA[[#This Row],[SUPPLIER_H]]="","",AM404),MONTH(NOTA[[#This Row],[TGL.NOTA]]))</f>
        <v/>
      </c>
      <c r="AN4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5" s="35" t="str">
        <f>IF(NOTA[[#This Row],[CONCAT1]]="","",MATCH(NOTA[[#This Row],[CONCAT1]],[3]!db[NB NOTA_C],0))</f>
        <v/>
      </c>
      <c r="AS405" s="35" t="str">
        <f>IF(NOTA[[#This Row],[Column5]]="","",TRUE)</f>
        <v/>
      </c>
      <c r="AT405" s="35" t="str">
        <f ca="1">IF(NOTA[[#This Row],[ID_H]]="","",IF(NOTA[[#This Row],[Column3]]=TRUE,NOTA[[#This Row],[Column5]],INDEX([3]!db[QTY/ CTN],NOTA[[#This Row],[//DB]])))</f>
        <v/>
      </c>
      <c r="AU4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5" s="35" t="str">
        <f ca="1">IF(NOTA[[#This Row],[ID_H]]="","",MATCH(NOTA[[#This Row],[NB NOTA_C_QTY]],[3]!db[NB NOTA_C_QTY+F],0))</f>
        <v/>
      </c>
      <c r="AW405" s="43" t="str">
        <f ca="1">IF(NOTA[[#This Row],[NB NOTA_C_QTY]]="","",ROW()-2)</f>
        <v/>
      </c>
    </row>
    <row r="406" spans="1:49" ht="20.100000000000001" customHeight="1">
      <c r="A4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5" t="str">
        <f ca="1">IF(NOTA[[#This Row],[NAMA BARANG]]="","",INDEX(NOTA[ID],MATCH(,INDIRECT(ADDRESS(ROW(NOTA[ID]),COLUMN(NOTA[ID]))&amp;":"&amp;ADDRESS(ROW(),COLUMN(NOTA[ID]))),-1)))</f>
        <v/>
      </c>
      <c r="C406" s="45"/>
      <c r="F406" s="46"/>
      <c r="G406" s="35"/>
      <c r="H406" s="36"/>
      <c r="I406" s="35"/>
      <c r="K406" s="37"/>
      <c r="L406" s="35"/>
      <c r="N406" s="38"/>
      <c r="O406" s="39"/>
      <c r="P406" s="47"/>
      <c r="Q406" s="48"/>
      <c r="R406" s="41"/>
      <c r="T406" s="42"/>
      <c r="U406" s="44"/>
      <c r="V406" s="42" t="str">
        <f>IF(NOTA[[#This Row],[HARGA/ CTN]]="",NOTA[[#This Row],[JUMLAH_H]],NOTA[[#This Row],[HARGA/ CTN]]*IF(NOTA[[#This Row],[C]]="",0,NOTA[[#This Row],[C]]))</f>
        <v/>
      </c>
      <c r="W406" s="42" t="str">
        <f>IF(NOTA[[#This Row],[JUMLAH]]="","",NOTA[[#This Row],[JUMLAH]]*NOTA[[#This Row],[Column6]])</f>
        <v/>
      </c>
      <c r="X406" s="42" t="str">
        <f>IF(NOTA[[#This Row],[JUMLAH]]="","",(NOTA[[#This Row],[JUMLAH]]-NOTA[[#This Row],[DISC 1-]])*NOTA[[#This Row],[Column7]])</f>
        <v/>
      </c>
      <c r="Y406" s="42" t="str">
        <f>IF(NOTA[[#This Row],[JUMLAH]]="","",(NOTA[[#This Row],[JUMLAH]]-NOTA[[#This Row],[DISC 1-]]-NOTA[[#This Row],[DISC 2-]])*NOTA[[#This Row],[Column8]])</f>
        <v/>
      </c>
      <c r="Z406" s="42" t="str">
        <f>IF(NOTA[[#This Row],[JUMLAH]]="","",NOTA[[#This Row],[DISC 1-]]+NOTA[[#This Row],[DISC 2-]]+NOTA[[#This Row],[DISC 3-]])</f>
        <v/>
      </c>
      <c r="AA406" s="42" t="str">
        <f>IF(NOTA[[#This Row],[JUMLAH]]="","",NOTA[[#This Row],[JUMLAH]]-NOTA[[#This Row],[DISC]])</f>
        <v/>
      </c>
      <c r="AB406" s="42"/>
      <c r="AC4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6" s="42" t="str">
        <f>IF(OR(NOTA[[#This Row],[QTY]]="",NOTA[[#This Row],[HARGA SATUAN]]="",),"",NOTA[[#This Row],[QTY]]*NOTA[[#This Row],[HARGA SATUAN]])</f>
        <v/>
      </c>
      <c r="AG406" s="36" t="str">
        <f ca="1">IF(NOTA[[#This Row],[ID_H]]="","",INDEX(NOTA[TANGGAL],MATCH(,INDIRECT(ADDRESS(ROW(NOTA[TANGGAL]),COLUMN(NOTA[TANGGAL]))&amp;":"&amp;ADDRESS(ROW(),COLUMN(NOTA[TANGGAL]))),-1)))</f>
        <v/>
      </c>
      <c r="AH406" s="36" t="str">
        <f ca="1">IF(NOTA[[#This Row],[ID_H]]="","",INDEX(NOTA[TGL.NOTA],MATCH(,INDIRECT(ADDRESS(ROW(NOTA[TGL.NOTA]),COLUMN(NOTA[TGL.NOTA]))&amp;":"&amp;ADDRESS(ROW(),COLUMN(NOTA[TGL.NOTA]))),-1)))</f>
        <v/>
      </c>
      <c r="AI406" s="36" t="str">
        <f ca="1">IF(NOTA[[#This Row],[ID_H]]="","",INDEX(NOTA[NO.NOTA],MATCH(NOTA[[#This Row],[ID_H]],NOTA[ID_H],0)))</f>
        <v/>
      </c>
      <c r="AJ406" s="38" t="str">
        <f ca="1">IF(NOTA[[#This Row],[NAMA BARANG]]="","",INDEX(NOTA[SUPPLIER],MATCH(,INDIRECT(ADDRESS(ROW(NOTA[ID]),COLUMN(NOTA[ID]))&amp;":"&amp;ADDRESS(ROW(),COLUMN(NOTA[ID]))),-1)))</f>
        <v/>
      </c>
      <c r="AK406" s="38" t="str">
        <f ca="1">IF(NOTA[[#This Row],[ID_H]]="","",IF(NOTA[[#This Row],[FAKTUR]]="",INDIRECT(ADDRESS(ROW()-1,COLUMN())),NOTA[[#This Row],[FAKTUR]]))</f>
        <v/>
      </c>
      <c r="AL406" s="35" t="str">
        <f ca="1">IF(NOTA[[#This Row],[ID]]="","",COUNTIF(NOTA[ID_H],NOTA[[#This Row],[ID_H]]))</f>
        <v/>
      </c>
      <c r="AM406" s="35" t="str">
        <f ca="1">IF(NOTA[[#This Row],[TGL.NOTA]]="",IF(NOTA[[#This Row],[SUPPLIER_H]]="","",AM405),MONTH(NOTA[[#This Row],[TGL.NOTA]]))</f>
        <v/>
      </c>
      <c r="AN4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6" s="35" t="str">
        <f>IF(NOTA[[#This Row],[CONCAT1]]="","",MATCH(NOTA[[#This Row],[CONCAT1]],[3]!db[NB NOTA_C],0))</f>
        <v/>
      </c>
      <c r="AS406" s="35" t="str">
        <f>IF(NOTA[[#This Row],[Column5]]="","",TRUE)</f>
        <v/>
      </c>
      <c r="AT406" s="35" t="str">
        <f ca="1">IF(NOTA[[#This Row],[ID_H]]="","",IF(NOTA[[#This Row],[Column3]]=TRUE,NOTA[[#This Row],[Column5]],INDEX([3]!db[QTY/ CTN],NOTA[[#This Row],[//DB]])))</f>
        <v/>
      </c>
      <c r="AU4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6" s="35" t="str">
        <f ca="1">IF(NOTA[[#This Row],[ID_H]]="","",MATCH(NOTA[[#This Row],[NB NOTA_C_QTY]],[3]!db[NB NOTA_C_QTY+F],0))</f>
        <v/>
      </c>
      <c r="AW406" s="43" t="str">
        <f ca="1">IF(NOTA[[#This Row],[NB NOTA_C_QTY]]="","",ROW()-2)</f>
        <v/>
      </c>
    </row>
    <row r="407" spans="1:49" ht="20.100000000000001" customHeight="1">
      <c r="A4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5" t="str">
        <f ca="1">IF(NOTA[[#This Row],[NAMA BARANG]]="","",INDEX(NOTA[ID],MATCH(,INDIRECT(ADDRESS(ROW(NOTA[ID]),COLUMN(NOTA[ID]))&amp;":"&amp;ADDRESS(ROW(),COLUMN(NOTA[ID]))),-1)))</f>
        <v/>
      </c>
      <c r="C407" s="45"/>
      <c r="F407" s="46"/>
      <c r="G407" s="35"/>
      <c r="H407" s="36"/>
      <c r="I407" s="35"/>
      <c r="K407" s="37"/>
      <c r="L407" s="35"/>
      <c r="N407" s="38"/>
      <c r="O407" s="39"/>
      <c r="P407" s="47"/>
      <c r="Q407" s="48"/>
      <c r="R407" s="41"/>
      <c r="T407" s="42"/>
      <c r="U407" s="44"/>
      <c r="V407" s="42" t="str">
        <f>IF(NOTA[[#This Row],[HARGA/ CTN]]="",NOTA[[#This Row],[JUMLAH_H]],NOTA[[#This Row],[HARGA/ CTN]]*IF(NOTA[[#This Row],[C]]="",0,NOTA[[#This Row],[C]]))</f>
        <v/>
      </c>
      <c r="W407" s="42" t="str">
        <f>IF(NOTA[[#This Row],[JUMLAH]]="","",NOTA[[#This Row],[JUMLAH]]*NOTA[[#This Row],[Column6]])</f>
        <v/>
      </c>
      <c r="X407" s="42" t="str">
        <f>IF(NOTA[[#This Row],[JUMLAH]]="","",(NOTA[[#This Row],[JUMLAH]]-NOTA[[#This Row],[DISC 1-]])*NOTA[[#This Row],[Column7]])</f>
        <v/>
      </c>
      <c r="Y407" s="42" t="str">
        <f>IF(NOTA[[#This Row],[JUMLAH]]="","",(NOTA[[#This Row],[JUMLAH]]-NOTA[[#This Row],[DISC 1-]]-NOTA[[#This Row],[DISC 2-]])*NOTA[[#This Row],[Column8]])</f>
        <v/>
      </c>
      <c r="Z407" s="42" t="str">
        <f>IF(NOTA[[#This Row],[JUMLAH]]="","",NOTA[[#This Row],[DISC 1-]]+NOTA[[#This Row],[DISC 2-]]+NOTA[[#This Row],[DISC 3-]])</f>
        <v/>
      </c>
      <c r="AA407" s="42" t="str">
        <f>IF(NOTA[[#This Row],[JUMLAH]]="","",NOTA[[#This Row],[JUMLAH]]-NOTA[[#This Row],[DISC]])</f>
        <v/>
      </c>
      <c r="AB407" s="42"/>
      <c r="AC4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7" s="42" t="str">
        <f>IF(OR(NOTA[[#This Row],[QTY]]="",NOTA[[#This Row],[HARGA SATUAN]]="",),"",NOTA[[#This Row],[QTY]]*NOTA[[#This Row],[HARGA SATUAN]])</f>
        <v/>
      </c>
      <c r="AG407" s="36" t="str">
        <f ca="1">IF(NOTA[[#This Row],[ID_H]]="","",INDEX(NOTA[TANGGAL],MATCH(,INDIRECT(ADDRESS(ROW(NOTA[TANGGAL]),COLUMN(NOTA[TANGGAL]))&amp;":"&amp;ADDRESS(ROW(),COLUMN(NOTA[TANGGAL]))),-1)))</f>
        <v/>
      </c>
      <c r="AH407" s="36" t="str">
        <f ca="1">IF(NOTA[[#This Row],[ID_H]]="","",INDEX(NOTA[TGL.NOTA],MATCH(,INDIRECT(ADDRESS(ROW(NOTA[TGL.NOTA]),COLUMN(NOTA[TGL.NOTA]))&amp;":"&amp;ADDRESS(ROW(),COLUMN(NOTA[TGL.NOTA]))),-1)))</f>
        <v/>
      </c>
      <c r="AI407" s="36" t="str">
        <f ca="1">IF(NOTA[[#This Row],[ID_H]]="","",INDEX(NOTA[NO.NOTA],MATCH(NOTA[[#This Row],[ID_H]],NOTA[ID_H],0)))</f>
        <v/>
      </c>
      <c r="AJ407" s="38" t="str">
        <f ca="1">IF(NOTA[[#This Row],[NAMA BARANG]]="","",INDEX(NOTA[SUPPLIER],MATCH(,INDIRECT(ADDRESS(ROW(NOTA[ID]),COLUMN(NOTA[ID]))&amp;":"&amp;ADDRESS(ROW(),COLUMN(NOTA[ID]))),-1)))</f>
        <v/>
      </c>
      <c r="AK407" s="38" t="str">
        <f ca="1">IF(NOTA[[#This Row],[ID_H]]="","",IF(NOTA[[#This Row],[FAKTUR]]="",INDIRECT(ADDRESS(ROW()-1,COLUMN())),NOTA[[#This Row],[FAKTUR]]))</f>
        <v/>
      </c>
      <c r="AL407" s="35" t="str">
        <f ca="1">IF(NOTA[[#This Row],[ID]]="","",COUNTIF(NOTA[ID_H],NOTA[[#This Row],[ID_H]]))</f>
        <v/>
      </c>
      <c r="AM407" s="35" t="str">
        <f ca="1">IF(NOTA[[#This Row],[TGL.NOTA]]="",IF(NOTA[[#This Row],[SUPPLIER_H]]="","",AM406),MONTH(NOTA[[#This Row],[TGL.NOTA]]))</f>
        <v/>
      </c>
      <c r="AN4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7" s="35" t="str">
        <f>IF(NOTA[[#This Row],[CONCAT1]]="","",MATCH(NOTA[[#This Row],[CONCAT1]],[3]!db[NB NOTA_C],0))</f>
        <v/>
      </c>
      <c r="AS407" s="35" t="str">
        <f>IF(NOTA[[#This Row],[Column5]]="","",TRUE)</f>
        <v/>
      </c>
      <c r="AT407" s="35" t="str">
        <f ca="1">IF(NOTA[[#This Row],[ID_H]]="","",IF(NOTA[[#This Row],[Column3]]=TRUE,NOTA[[#This Row],[Column5]],INDEX([3]!db[QTY/ CTN],NOTA[[#This Row],[//DB]])))</f>
        <v/>
      </c>
      <c r="AU4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7" s="35" t="str">
        <f ca="1">IF(NOTA[[#This Row],[ID_H]]="","",MATCH(NOTA[[#This Row],[NB NOTA_C_QTY]],[3]!db[NB NOTA_C_QTY+F],0))</f>
        <v/>
      </c>
      <c r="AW407" s="43" t="str">
        <f ca="1">IF(NOTA[[#This Row],[NB NOTA_C_QTY]]="","",ROW()-2)</f>
        <v/>
      </c>
    </row>
    <row r="408" spans="1:49" ht="20.100000000000001" customHeight="1">
      <c r="A4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5" t="str">
        <f ca="1">IF(NOTA[[#This Row],[NAMA BARANG]]="","",INDEX(NOTA[ID],MATCH(,INDIRECT(ADDRESS(ROW(NOTA[ID]),COLUMN(NOTA[ID]))&amp;":"&amp;ADDRESS(ROW(),COLUMN(NOTA[ID]))),-1)))</f>
        <v/>
      </c>
      <c r="C408" s="45"/>
      <c r="F408" s="46"/>
      <c r="G408" s="35"/>
      <c r="H408" s="36"/>
      <c r="I408" s="35"/>
      <c r="K408" s="37"/>
      <c r="L408" s="35"/>
      <c r="N408" s="38"/>
      <c r="O408" s="39"/>
      <c r="P408" s="47"/>
      <c r="Q408" s="48"/>
      <c r="R408" s="41"/>
      <c r="T408" s="42"/>
      <c r="U408" s="44"/>
      <c r="V408" s="42" t="str">
        <f>IF(NOTA[[#This Row],[HARGA/ CTN]]="",NOTA[[#This Row],[JUMLAH_H]],NOTA[[#This Row],[HARGA/ CTN]]*IF(NOTA[[#This Row],[C]]="",0,NOTA[[#This Row],[C]]))</f>
        <v/>
      </c>
      <c r="W408" s="42" t="str">
        <f>IF(NOTA[[#This Row],[JUMLAH]]="","",NOTA[[#This Row],[JUMLAH]]*NOTA[[#This Row],[Column6]])</f>
        <v/>
      </c>
      <c r="X408" s="42" t="str">
        <f>IF(NOTA[[#This Row],[JUMLAH]]="","",(NOTA[[#This Row],[JUMLAH]]-NOTA[[#This Row],[DISC 1-]])*NOTA[[#This Row],[Column7]])</f>
        <v/>
      </c>
      <c r="Y408" s="42" t="str">
        <f>IF(NOTA[[#This Row],[JUMLAH]]="","",(NOTA[[#This Row],[JUMLAH]]-NOTA[[#This Row],[DISC 1-]]-NOTA[[#This Row],[DISC 2-]])*NOTA[[#This Row],[Column8]])</f>
        <v/>
      </c>
      <c r="Z408" s="42" t="str">
        <f>IF(NOTA[[#This Row],[JUMLAH]]="","",NOTA[[#This Row],[DISC 1-]]+NOTA[[#This Row],[DISC 2-]]+NOTA[[#This Row],[DISC 3-]])</f>
        <v/>
      </c>
      <c r="AA408" s="42" t="str">
        <f>IF(NOTA[[#This Row],[JUMLAH]]="","",NOTA[[#This Row],[JUMLAH]]-NOTA[[#This Row],[DISC]])</f>
        <v/>
      </c>
      <c r="AB408" s="42"/>
      <c r="AC4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8" s="42" t="str">
        <f>IF(OR(NOTA[[#This Row],[QTY]]="",NOTA[[#This Row],[HARGA SATUAN]]="",),"",NOTA[[#This Row],[QTY]]*NOTA[[#This Row],[HARGA SATUAN]])</f>
        <v/>
      </c>
      <c r="AG408" s="36" t="str">
        <f ca="1">IF(NOTA[[#This Row],[ID_H]]="","",INDEX(NOTA[TANGGAL],MATCH(,INDIRECT(ADDRESS(ROW(NOTA[TANGGAL]),COLUMN(NOTA[TANGGAL]))&amp;":"&amp;ADDRESS(ROW(),COLUMN(NOTA[TANGGAL]))),-1)))</f>
        <v/>
      </c>
      <c r="AH408" s="36" t="str">
        <f ca="1">IF(NOTA[[#This Row],[ID_H]]="","",INDEX(NOTA[TGL.NOTA],MATCH(,INDIRECT(ADDRESS(ROW(NOTA[TGL.NOTA]),COLUMN(NOTA[TGL.NOTA]))&amp;":"&amp;ADDRESS(ROW(),COLUMN(NOTA[TGL.NOTA]))),-1)))</f>
        <v/>
      </c>
      <c r="AI408" s="36" t="str">
        <f ca="1">IF(NOTA[[#This Row],[ID_H]]="","",INDEX(NOTA[NO.NOTA],MATCH(NOTA[[#This Row],[ID_H]],NOTA[ID_H],0)))</f>
        <v/>
      </c>
      <c r="AJ408" s="38" t="str">
        <f ca="1">IF(NOTA[[#This Row],[NAMA BARANG]]="","",INDEX(NOTA[SUPPLIER],MATCH(,INDIRECT(ADDRESS(ROW(NOTA[ID]),COLUMN(NOTA[ID]))&amp;":"&amp;ADDRESS(ROW(),COLUMN(NOTA[ID]))),-1)))</f>
        <v/>
      </c>
      <c r="AK408" s="38" t="str">
        <f ca="1">IF(NOTA[[#This Row],[ID_H]]="","",IF(NOTA[[#This Row],[FAKTUR]]="",INDIRECT(ADDRESS(ROW()-1,COLUMN())),NOTA[[#This Row],[FAKTUR]]))</f>
        <v/>
      </c>
      <c r="AL408" s="35" t="str">
        <f ca="1">IF(NOTA[[#This Row],[ID]]="","",COUNTIF(NOTA[ID_H],NOTA[[#This Row],[ID_H]]))</f>
        <v/>
      </c>
      <c r="AM408" s="35" t="str">
        <f ca="1">IF(NOTA[[#This Row],[TGL.NOTA]]="",IF(NOTA[[#This Row],[SUPPLIER_H]]="","",AM407),MONTH(NOTA[[#This Row],[TGL.NOTA]]))</f>
        <v/>
      </c>
      <c r="AN4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8" s="35" t="str">
        <f>IF(NOTA[[#This Row],[CONCAT1]]="","",MATCH(NOTA[[#This Row],[CONCAT1]],[3]!db[NB NOTA_C],0))</f>
        <v/>
      </c>
      <c r="AS408" s="35" t="str">
        <f>IF(NOTA[[#This Row],[Column5]]="","",TRUE)</f>
        <v/>
      </c>
      <c r="AT408" s="35" t="str">
        <f ca="1">IF(NOTA[[#This Row],[ID_H]]="","",IF(NOTA[[#This Row],[Column3]]=TRUE,NOTA[[#This Row],[Column5]],INDEX([3]!db[QTY/ CTN],NOTA[[#This Row],[//DB]])))</f>
        <v/>
      </c>
      <c r="AU4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8" s="35" t="str">
        <f ca="1">IF(NOTA[[#This Row],[ID_H]]="","",MATCH(NOTA[[#This Row],[NB NOTA_C_QTY]],[3]!db[NB NOTA_C_QTY+F],0))</f>
        <v/>
      </c>
      <c r="AW408" s="43" t="str">
        <f ca="1">IF(NOTA[[#This Row],[NB NOTA_C_QTY]]="","",ROW()-2)</f>
        <v/>
      </c>
    </row>
    <row r="409" spans="1:49" ht="20.100000000000001" customHeight="1">
      <c r="A4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5" t="str">
        <f ca="1">IF(NOTA[[#This Row],[NAMA BARANG]]="","",INDEX(NOTA[ID],MATCH(,INDIRECT(ADDRESS(ROW(NOTA[ID]),COLUMN(NOTA[ID]))&amp;":"&amp;ADDRESS(ROW(),COLUMN(NOTA[ID]))),-1)))</f>
        <v/>
      </c>
      <c r="C409" s="45"/>
      <c r="F409" s="46"/>
      <c r="G409" s="35"/>
      <c r="H409" s="36"/>
      <c r="I409" s="35"/>
      <c r="K409" s="37"/>
      <c r="L409" s="35"/>
      <c r="N409" s="38"/>
      <c r="O409" s="39"/>
      <c r="P409" s="47"/>
      <c r="Q409" s="48"/>
      <c r="R409" s="41"/>
      <c r="T409" s="42"/>
      <c r="U409" s="44"/>
      <c r="V409" s="42" t="str">
        <f>IF(NOTA[[#This Row],[HARGA/ CTN]]="",NOTA[[#This Row],[JUMLAH_H]],NOTA[[#This Row],[HARGA/ CTN]]*IF(NOTA[[#This Row],[C]]="",0,NOTA[[#This Row],[C]]))</f>
        <v/>
      </c>
      <c r="W409" s="42" t="str">
        <f>IF(NOTA[[#This Row],[JUMLAH]]="","",NOTA[[#This Row],[JUMLAH]]*NOTA[[#This Row],[Column6]])</f>
        <v/>
      </c>
      <c r="X409" s="42" t="str">
        <f>IF(NOTA[[#This Row],[JUMLAH]]="","",(NOTA[[#This Row],[JUMLAH]]-NOTA[[#This Row],[DISC 1-]])*NOTA[[#This Row],[Column7]])</f>
        <v/>
      </c>
      <c r="Y409" s="42" t="str">
        <f>IF(NOTA[[#This Row],[JUMLAH]]="","",(NOTA[[#This Row],[JUMLAH]]-NOTA[[#This Row],[DISC 1-]]-NOTA[[#This Row],[DISC 2-]])*NOTA[[#This Row],[Column8]])</f>
        <v/>
      </c>
      <c r="Z409" s="42" t="str">
        <f>IF(NOTA[[#This Row],[JUMLAH]]="","",NOTA[[#This Row],[DISC 1-]]+NOTA[[#This Row],[DISC 2-]]+NOTA[[#This Row],[DISC 3-]])</f>
        <v/>
      </c>
      <c r="AA409" s="42" t="str">
        <f>IF(NOTA[[#This Row],[JUMLAH]]="","",NOTA[[#This Row],[JUMLAH]]-NOTA[[#This Row],[DISC]])</f>
        <v/>
      </c>
      <c r="AB409" s="42"/>
      <c r="AC4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42" t="str">
        <f>IF(OR(NOTA[[#This Row],[QTY]]="",NOTA[[#This Row],[HARGA SATUAN]]="",),"",NOTA[[#This Row],[QTY]]*NOTA[[#This Row],[HARGA SATUAN]])</f>
        <v/>
      </c>
      <c r="AG409" s="36" t="str">
        <f ca="1">IF(NOTA[[#This Row],[ID_H]]="","",INDEX(NOTA[TANGGAL],MATCH(,INDIRECT(ADDRESS(ROW(NOTA[TANGGAL]),COLUMN(NOTA[TANGGAL]))&amp;":"&amp;ADDRESS(ROW(),COLUMN(NOTA[TANGGAL]))),-1)))</f>
        <v/>
      </c>
      <c r="AH409" s="36" t="str">
        <f ca="1">IF(NOTA[[#This Row],[ID_H]]="","",INDEX(NOTA[TGL.NOTA],MATCH(,INDIRECT(ADDRESS(ROW(NOTA[TGL.NOTA]),COLUMN(NOTA[TGL.NOTA]))&amp;":"&amp;ADDRESS(ROW(),COLUMN(NOTA[TGL.NOTA]))),-1)))</f>
        <v/>
      </c>
      <c r="AI409" s="36" t="str">
        <f ca="1">IF(NOTA[[#This Row],[ID_H]]="","",INDEX(NOTA[NO.NOTA],MATCH(NOTA[[#This Row],[ID_H]],NOTA[ID_H],0)))</f>
        <v/>
      </c>
      <c r="AJ409" s="38" t="str">
        <f ca="1">IF(NOTA[[#This Row],[NAMA BARANG]]="","",INDEX(NOTA[SUPPLIER],MATCH(,INDIRECT(ADDRESS(ROW(NOTA[ID]),COLUMN(NOTA[ID]))&amp;":"&amp;ADDRESS(ROW(),COLUMN(NOTA[ID]))),-1)))</f>
        <v/>
      </c>
      <c r="AK409" s="38" t="str">
        <f ca="1">IF(NOTA[[#This Row],[ID_H]]="","",IF(NOTA[[#This Row],[FAKTUR]]="",INDIRECT(ADDRESS(ROW()-1,COLUMN())),NOTA[[#This Row],[FAKTUR]]))</f>
        <v/>
      </c>
      <c r="AL409" s="35" t="str">
        <f ca="1">IF(NOTA[[#This Row],[ID]]="","",COUNTIF(NOTA[ID_H],NOTA[[#This Row],[ID_H]]))</f>
        <v/>
      </c>
      <c r="AM409" s="35" t="str">
        <f ca="1">IF(NOTA[[#This Row],[TGL.NOTA]]="",IF(NOTA[[#This Row],[SUPPLIER_H]]="","",AM408),MONTH(NOTA[[#This Row],[TGL.NOTA]]))</f>
        <v/>
      </c>
      <c r="AN4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9" s="35" t="str">
        <f>IF(NOTA[[#This Row],[CONCAT1]]="","",MATCH(NOTA[[#This Row],[CONCAT1]],[3]!db[NB NOTA_C],0))</f>
        <v/>
      </c>
      <c r="AS409" s="35" t="str">
        <f>IF(NOTA[[#This Row],[Column5]]="","",TRUE)</f>
        <v/>
      </c>
      <c r="AT409" s="35" t="str">
        <f ca="1">IF(NOTA[[#This Row],[ID_H]]="","",IF(NOTA[[#This Row],[Column3]]=TRUE,NOTA[[#This Row],[Column5]],INDEX([3]!db[QTY/ CTN],NOTA[[#This Row],[//DB]])))</f>
        <v/>
      </c>
      <c r="AU4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09" s="35" t="str">
        <f ca="1">IF(NOTA[[#This Row],[ID_H]]="","",MATCH(NOTA[[#This Row],[NB NOTA_C_QTY]],[3]!db[NB NOTA_C_QTY+F],0))</f>
        <v/>
      </c>
      <c r="AW409" s="43" t="str">
        <f ca="1">IF(NOTA[[#This Row],[NB NOTA_C_QTY]]="","",ROW()-2)</f>
        <v/>
      </c>
    </row>
    <row r="410" spans="1:49" ht="20.100000000000001" customHeight="1">
      <c r="A4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5" t="str">
        <f ca="1">IF(NOTA[[#This Row],[NAMA BARANG]]="","",INDEX(NOTA[ID],MATCH(,INDIRECT(ADDRESS(ROW(NOTA[ID]),COLUMN(NOTA[ID]))&amp;":"&amp;ADDRESS(ROW(),COLUMN(NOTA[ID]))),-1)))</f>
        <v/>
      </c>
      <c r="C410" s="45"/>
      <c r="F410" s="46"/>
      <c r="G410" s="35"/>
      <c r="H410" s="36"/>
      <c r="I410" s="35"/>
      <c r="K410" s="37"/>
      <c r="L410" s="35"/>
      <c r="N410" s="38"/>
      <c r="O410" s="39"/>
      <c r="P410" s="47"/>
      <c r="Q410" s="48"/>
      <c r="R410" s="41"/>
      <c r="T410" s="42"/>
      <c r="U410" s="44"/>
      <c r="V410" s="42" t="str">
        <f>IF(NOTA[[#This Row],[HARGA/ CTN]]="",NOTA[[#This Row],[JUMLAH_H]],NOTA[[#This Row],[HARGA/ CTN]]*IF(NOTA[[#This Row],[C]]="",0,NOTA[[#This Row],[C]]))</f>
        <v/>
      </c>
      <c r="W410" s="42" t="str">
        <f>IF(NOTA[[#This Row],[JUMLAH]]="","",NOTA[[#This Row],[JUMLAH]]*NOTA[[#This Row],[Column6]])</f>
        <v/>
      </c>
      <c r="X410" s="42" t="str">
        <f>IF(NOTA[[#This Row],[JUMLAH]]="","",(NOTA[[#This Row],[JUMLAH]]-NOTA[[#This Row],[DISC 1-]])*NOTA[[#This Row],[Column7]])</f>
        <v/>
      </c>
      <c r="Y410" s="42" t="str">
        <f>IF(NOTA[[#This Row],[JUMLAH]]="","",(NOTA[[#This Row],[JUMLAH]]-NOTA[[#This Row],[DISC 1-]]-NOTA[[#This Row],[DISC 2-]])*NOTA[[#This Row],[Column8]])</f>
        <v/>
      </c>
      <c r="Z410" s="42" t="str">
        <f>IF(NOTA[[#This Row],[JUMLAH]]="","",NOTA[[#This Row],[DISC 1-]]+NOTA[[#This Row],[DISC 2-]]+NOTA[[#This Row],[DISC 3-]])</f>
        <v/>
      </c>
      <c r="AA410" s="42" t="str">
        <f>IF(NOTA[[#This Row],[JUMLAH]]="","",NOTA[[#This Row],[JUMLAH]]-NOTA[[#This Row],[DISC]])</f>
        <v/>
      </c>
      <c r="AB410" s="42"/>
      <c r="AC4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0" s="42" t="str">
        <f>IF(OR(NOTA[[#This Row],[QTY]]="",NOTA[[#This Row],[HARGA SATUAN]]="",),"",NOTA[[#This Row],[QTY]]*NOTA[[#This Row],[HARGA SATUAN]])</f>
        <v/>
      </c>
      <c r="AG410" s="36" t="str">
        <f ca="1">IF(NOTA[[#This Row],[ID_H]]="","",INDEX(NOTA[TANGGAL],MATCH(,INDIRECT(ADDRESS(ROW(NOTA[TANGGAL]),COLUMN(NOTA[TANGGAL]))&amp;":"&amp;ADDRESS(ROW(),COLUMN(NOTA[TANGGAL]))),-1)))</f>
        <v/>
      </c>
      <c r="AH410" s="36" t="str">
        <f ca="1">IF(NOTA[[#This Row],[ID_H]]="","",INDEX(NOTA[TGL.NOTA],MATCH(,INDIRECT(ADDRESS(ROW(NOTA[TGL.NOTA]),COLUMN(NOTA[TGL.NOTA]))&amp;":"&amp;ADDRESS(ROW(),COLUMN(NOTA[TGL.NOTA]))),-1)))</f>
        <v/>
      </c>
      <c r="AI410" s="36" t="str">
        <f ca="1">IF(NOTA[[#This Row],[ID_H]]="","",INDEX(NOTA[NO.NOTA],MATCH(NOTA[[#This Row],[ID_H]],NOTA[ID_H],0)))</f>
        <v/>
      </c>
      <c r="AJ410" s="38" t="str">
        <f ca="1">IF(NOTA[[#This Row],[NAMA BARANG]]="","",INDEX(NOTA[SUPPLIER],MATCH(,INDIRECT(ADDRESS(ROW(NOTA[ID]),COLUMN(NOTA[ID]))&amp;":"&amp;ADDRESS(ROW(),COLUMN(NOTA[ID]))),-1)))</f>
        <v/>
      </c>
      <c r="AK410" s="38" t="str">
        <f ca="1">IF(NOTA[[#This Row],[ID_H]]="","",IF(NOTA[[#This Row],[FAKTUR]]="",INDIRECT(ADDRESS(ROW()-1,COLUMN())),NOTA[[#This Row],[FAKTUR]]))</f>
        <v/>
      </c>
      <c r="AL410" s="35" t="str">
        <f ca="1">IF(NOTA[[#This Row],[ID]]="","",COUNTIF(NOTA[ID_H],NOTA[[#This Row],[ID_H]]))</f>
        <v/>
      </c>
      <c r="AM410" s="35" t="str">
        <f ca="1">IF(NOTA[[#This Row],[TGL.NOTA]]="",IF(NOTA[[#This Row],[SUPPLIER_H]]="","",AM409),MONTH(NOTA[[#This Row],[TGL.NOTA]]))</f>
        <v/>
      </c>
      <c r="AN4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0" s="35" t="str">
        <f>IF(NOTA[[#This Row],[CONCAT1]]="","",MATCH(NOTA[[#This Row],[CONCAT1]],[3]!db[NB NOTA_C],0))</f>
        <v/>
      </c>
      <c r="AS410" s="35" t="str">
        <f>IF(NOTA[[#This Row],[Column5]]="","",TRUE)</f>
        <v/>
      </c>
      <c r="AT410" s="35" t="str">
        <f ca="1">IF(NOTA[[#This Row],[ID_H]]="","",IF(NOTA[[#This Row],[Column3]]=TRUE,NOTA[[#This Row],[Column5]],INDEX([3]!db[QTY/ CTN],NOTA[[#This Row],[//DB]])))</f>
        <v/>
      </c>
      <c r="AU4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0" s="35" t="str">
        <f ca="1">IF(NOTA[[#This Row],[ID_H]]="","",MATCH(NOTA[[#This Row],[NB NOTA_C_QTY]],[3]!db[NB NOTA_C_QTY+F],0))</f>
        <v/>
      </c>
      <c r="AW410" s="43" t="str">
        <f ca="1">IF(NOTA[[#This Row],[NB NOTA_C_QTY]]="","",ROW()-2)</f>
        <v/>
      </c>
    </row>
    <row r="411" spans="1:49" ht="20.100000000000001" customHeight="1">
      <c r="A4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5" t="str">
        <f ca="1">IF(NOTA[[#This Row],[NAMA BARANG]]="","",INDEX(NOTA[ID],MATCH(,INDIRECT(ADDRESS(ROW(NOTA[ID]),COLUMN(NOTA[ID]))&amp;":"&amp;ADDRESS(ROW(),COLUMN(NOTA[ID]))),-1)))</f>
        <v/>
      </c>
      <c r="C411" s="45"/>
      <c r="F411" s="46"/>
      <c r="G411" s="35"/>
      <c r="H411" s="36"/>
      <c r="I411" s="35"/>
      <c r="K411" s="37"/>
      <c r="L411" s="35"/>
      <c r="N411" s="38"/>
      <c r="O411" s="39"/>
      <c r="P411" s="47"/>
      <c r="Q411" s="48"/>
      <c r="R411" s="41"/>
      <c r="T411" s="42"/>
      <c r="U411" s="44"/>
      <c r="V411" s="42" t="str">
        <f>IF(NOTA[[#This Row],[HARGA/ CTN]]="",NOTA[[#This Row],[JUMLAH_H]],NOTA[[#This Row],[HARGA/ CTN]]*IF(NOTA[[#This Row],[C]]="",0,NOTA[[#This Row],[C]]))</f>
        <v/>
      </c>
      <c r="W411" s="42" t="str">
        <f>IF(NOTA[[#This Row],[JUMLAH]]="","",NOTA[[#This Row],[JUMLAH]]*NOTA[[#This Row],[Column6]])</f>
        <v/>
      </c>
      <c r="X411" s="42" t="str">
        <f>IF(NOTA[[#This Row],[JUMLAH]]="","",(NOTA[[#This Row],[JUMLAH]]-NOTA[[#This Row],[DISC 1-]])*NOTA[[#This Row],[Column7]])</f>
        <v/>
      </c>
      <c r="Y411" s="42" t="str">
        <f>IF(NOTA[[#This Row],[JUMLAH]]="","",(NOTA[[#This Row],[JUMLAH]]-NOTA[[#This Row],[DISC 1-]]-NOTA[[#This Row],[DISC 2-]])*NOTA[[#This Row],[Column8]])</f>
        <v/>
      </c>
      <c r="Z411" s="42" t="str">
        <f>IF(NOTA[[#This Row],[JUMLAH]]="","",NOTA[[#This Row],[DISC 1-]]+NOTA[[#This Row],[DISC 2-]]+NOTA[[#This Row],[DISC 3-]])</f>
        <v/>
      </c>
      <c r="AA411" s="42" t="str">
        <f>IF(NOTA[[#This Row],[JUMLAH]]="","",NOTA[[#This Row],[JUMLAH]]-NOTA[[#This Row],[DISC]])</f>
        <v/>
      </c>
      <c r="AB411" s="42"/>
      <c r="AC4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1" s="42" t="str">
        <f>IF(OR(NOTA[[#This Row],[QTY]]="",NOTA[[#This Row],[HARGA SATUAN]]="",),"",NOTA[[#This Row],[QTY]]*NOTA[[#This Row],[HARGA SATUAN]])</f>
        <v/>
      </c>
      <c r="AG411" s="36" t="str">
        <f ca="1">IF(NOTA[[#This Row],[ID_H]]="","",INDEX(NOTA[TANGGAL],MATCH(,INDIRECT(ADDRESS(ROW(NOTA[TANGGAL]),COLUMN(NOTA[TANGGAL]))&amp;":"&amp;ADDRESS(ROW(),COLUMN(NOTA[TANGGAL]))),-1)))</f>
        <v/>
      </c>
      <c r="AH411" s="36" t="str">
        <f ca="1">IF(NOTA[[#This Row],[ID_H]]="","",INDEX(NOTA[TGL.NOTA],MATCH(,INDIRECT(ADDRESS(ROW(NOTA[TGL.NOTA]),COLUMN(NOTA[TGL.NOTA]))&amp;":"&amp;ADDRESS(ROW(),COLUMN(NOTA[TGL.NOTA]))),-1)))</f>
        <v/>
      </c>
      <c r="AI411" s="36" t="str">
        <f ca="1">IF(NOTA[[#This Row],[ID_H]]="","",INDEX(NOTA[NO.NOTA],MATCH(NOTA[[#This Row],[ID_H]],NOTA[ID_H],0)))</f>
        <v/>
      </c>
      <c r="AJ411" s="38" t="str">
        <f ca="1">IF(NOTA[[#This Row],[NAMA BARANG]]="","",INDEX(NOTA[SUPPLIER],MATCH(,INDIRECT(ADDRESS(ROW(NOTA[ID]),COLUMN(NOTA[ID]))&amp;":"&amp;ADDRESS(ROW(),COLUMN(NOTA[ID]))),-1)))</f>
        <v/>
      </c>
      <c r="AK411" s="38" t="str">
        <f ca="1">IF(NOTA[[#This Row],[ID_H]]="","",IF(NOTA[[#This Row],[FAKTUR]]="",INDIRECT(ADDRESS(ROW()-1,COLUMN())),NOTA[[#This Row],[FAKTUR]]))</f>
        <v/>
      </c>
      <c r="AL411" s="35" t="str">
        <f ca="1">IF(NOTA[[#This Row],[ID]]="","",COUNTIF(NOTA[ID_H],NOTA[[#This Row],[ID_H]]))</f>
        <v/>
      </c>
      <c r="AM411" s="35" t="str">
        <f ca="1">IF(NOTA[[#This Row],[TGL.NOTA]]="",IF(NOTA[[#This Row],[SUPPLIER_H]]="","",AM410),MONTH(NOTA[[#This Row],[TGL.NOTA]]))</f>
        <v/>
      </c>
      <c r="AN4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1" s="35" t="str">
        <f>IF(NOTA[[#This Row],[CONCAT1]]="","",MATCH(NOTA[[#This Row],[CONCAT1]],[3]!db[NB NOTA_C],0))</f>
        <v/>
      </c>
      <c r="AS411" s="35" t="str">
        <f>IF(NOTA[[#This Row],[Column5]]="","",TRUE)</f>
        <v/>
      </c>
      <c r="AT411" s="35" t="str">
        <f ca="1">IF(NOTA[[#This Row],[ID_H]]="","",IF(NOTA[[#This Row],[Column3]]=TRUE,NOTA[[#This Row],[Column5]],INDEX([3]!db[QTY/ CTN],NOTA[[#This Row],[//DB]])))</f>
        <v/>
      </c>
      <c r="AU4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1" s="35" t="str">
        <f ca="1">IF(NOTA[[#This Row],[ID_H]]="","",MATCH(NOTA[[#This Row],[NB NOTA_C_QTY]],[3]!db[NB NOTA_C_QTY+F],0))</f>
        <v/>
      </c>
      <c r="AW411" s="43" t="str">
        <f ca="1">IF(NOTA[[#This Row],[NB NOTA_C_QTY]]="","",ROW()-2)</f>
        <v/>
      </c>
    </row>
    <row r="412" spans="1:49" ht="20.100000000000001" customHeight="1">
      <c r="A4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5" t="str">
        <f ca="1">IF(NOTA[[#This Row],[NAMA BARANG]]="","",INDEX(NOTA[ID],MATCH(,INDIRECT(ADDRESS(ROW(NOTA[ID]),COLUMN(NOTA[ID]))&amp;":"&amp;ADDRESS(ROW(),COLUMN(NOTA[ID]))),-1)))</f>
        <v/>
      </c>
      <c r="C412" s="45"/>
      <c r="F412" s="46"/>
      <c r="G412" s="35"/>
      <c r="H412" s="36"/>
      <c r="I412" s="35"/>
      <c r="K412" s="37"/>
      <c r="L412" s="35"/>
      <c r="N412" s="38"/>
      <c r="O412" s="39"/>
      <c r="P412" s="47"/>
      <c r="Q412" s="48"/>
      <c r="R412" s="41"/>
      <c r="T412" s="42"/>
      <c r="U412" s="44"/>
      <c r="V412" s="42" t="str">
        <f>IF(NOTA[[#This Row],[HARGA/ CTN]]="",NOTA[[#This Row],[JUMLAH_H]],NOTA[[#This Row],[HARGA/ CTN]]*IF(NOTA[[#This Row],[C]]="",0,NOTA[[#This Row],[C]]))</f>
        <v/>
      </c>
      <c r="W412" s="42" t="str">
        <f>IF(NOTA[[#This Row],[JUMLAH]]="","",NOTA[[#This Row],[JUMLAH]]*NOTA[[#This Row],[Column6]])</f>
        <v/>
      </c>
      <c r="X412" s="42" t="str">
        <f>IF(NOTA[[#This Row],[JUMLAH]]="","",(NOTA[[#This Row],[JUMLAH]]-NOTA[[#This Row],[DISC 1-]])*NOTA[[#This Row],[Column7]])</f>
        <v/>
      </c>
      <c r="Y412" s="42" t="str">
        <f>IF(NOTA[[#This Row],[JUMLAH]]="","",(NOTA[[#This Row],[JUMLAH]]-NOTA[[#This Row],[DISC 1-]]-NOTA[[#This Row],[DISC 2-]])*NOTA[[#This Row],[Column8]])</f>
        <v/>
      </c>
      <c r="Z412" s="42" t="str">
        <f>IF(NOTA[[#This Row],[JUMLAH]]="","",NOTA[[#This Row],[DISC 1-]]+NOTA[[#This Row],[DISC 2-]]+NOTA[[#This Row],[DISC 3-]])</f>
        <v/>
      </c>
      <c r="AA412" s="42" t="str">
        <f>IF(NOTA[[#This Row],[JUMLAH]]="","",NOTA[[#This Row],[JUMLAH]]-NOTA[[#This Row],[DISC]])</f>
        <v/>
      </c>
      <c r="AB412" s="42"/>
      <c r="AC4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42" t="str">
        <f>IF(OR(NOTA[[#This Row],[QTY]]="",NOTA[[#This Row],[HARGA SATUAN]]="",),"",NOTA[[#This Row],[QTY]]*NOTA[[#This Row],[HARGA SATUAN]])</f>
        <v/>
      </c>
      <c r="AG412" s="36" t="str">
        <f ca="1">IF(NOTA[[#This Row],[ID_H]]="","",INDEX(NOTA[TANGGAL],MATCH(,INDIRECT(ADDRESS(ROW(NOTA[TANGGAL]),COLUMN(NOTA[TANGGAL]))&amp;":"&amp;ADDRESS(ROW(),COLUMN(NOTA[TANGGAL]))),-1)))</f>
        <v/>
      </c>
      <c r="AH412" s="36" t="str">
        <f ca="1">IF(NOTA[[#This Row],[ID_H]]="","",INDEX(NOTA[TGL.NOTA],MATCH(,INDIRECT(ADDRESS(ROW(NOTA[TGL.NOTA]),COLUMN(NOTA[TGL.NOTA]))&amp;":"&amp;ADDRESS(ROW(),COLUMN(NOTA[TGL.NOTA]))),-1)))</f>
        <v/>
      </c>
      <c r="AI412" s="36" t="str">
        <f ca="1">IF(NOTA[[#This Row],[ID_H]]="","",INDEX(NOTA[NO.NOTA],MATCH(NOTA[[#This Row],[ID_H]],NOTA[ID_H],0)))</f>
        <v/>
      </c>
      <c r="AJ412" s="38" t="str">
        <f ca="1">IF(NOTA[[#This Row],[NAMA BARANG]]="","",INDEX(NOTA[SUPPLIER],MATCH(,INDIRECT(ADDRESS(ROW(NOTA[ID]),COLUMN(NOTA[ID]))&amp;":"&amp;ADDRESS(ROW(),COLUMN(NOTA[ID]))),-1)))</f>
        <v/>
      </c>
      <c r="AK412" s="38" t="str">
        <f ca="1">IF(NOTA[[#This Row],[ID_H]]="","",IF(NOTA[[#This Row],[FAKTUR]]="",INDIRECT(ADDRESS(ROW()-1,COLUMN())),NOTA[[#This Row],[FAKTUR]]))</f>
        <v/>
      </c>
      <c r="AL412" s="35" t="str">
        <f ca="1">IF(NOTA[[#This Row],[ID]]="","",COUNTIF(NOTA[ID_H],NOTA[[#This Row],[ID_H]]))</f>
        <v/>
      </c>
      <c r="AM412" s="35" t="str">
        <f ca="1">IF(NOTA[[#This Row],[TGL.NOTA]]="",IF(NOTA[[#This Row],[SUPPLIER_H]]="","",AM411),MONTH(NOTA[[#This Row],[TGL.NOTA]]))</f>
        <v/>
      </c>
      <c r="AN4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2" s="35" t="str">
        <f>IF(NOTA[[#This Row],[CONCAT1]]="","",MATCH(NOTA[[#This Row],[CONCAT1]],[3]!db[NB NOTA_C],0))</f>
        <v/>
      </c>
      <c r="AS412" s="35" t="str">
        <f>IF(NOTA[[#This Row],[Column5]]="","",TRUE)</f>
        <v/>
      </c>
      <c r="AT412" s="35" t="str">
        <f ca="1">IF(NOTA[[#This Row],[ID_H]]="","",IF(NOTA[[#This Row],[Column3]]=TRUE,NOTA[[#This Row],[Column5]],INDEX([3]!db[QTY/ CTN],NOTA[[#This Row],[//DB]])))</f>
        <v/>
      </c>
      <c r="AU4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2" s="35" t="str">
        <f ca="1">IF(NOTA[[#This Row],[ID_H]]="","",MATCH(NOTA[[#This Row],[NB NOTA_C_QTY]],[3]!db[NB NOTA_C_QTY+F],0))</f>
        <v/>
      </c>
      <c r="AW412" s="43" t="str">
        <f ca="1">IF(NOTA[[#This Row],[NB NOTA_C_QTY]]="","",ROW()-2)</f>
        <v/>
      </c>
    </row>
    <row r="413" spans="1:49" ht="20.100000000000001" customHeight="1">
      <c r="A4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5" t="str">
        <f ca="1">IF(NOTA[[#This Row],[NAMA BARANG]]="","",INDEX(NOTA[ID],MATCH(,INDIRECT(ADDRESS(ROW(NOTA[ID]),COLUMN(NOTA[ID]))&amp;":"&amp;ADDRESS(ROW(),COLUMN(NOTA[ID]))),-1)))</f>
        <v/>
      </c>
      <c r="C413" s="45"/>
      <c r="F413" s="46"/>
      <c r="G413" s="35"/>
      <c r="H413" s="36"/>
      <c r="I413" s="35"/>
      <c r="K413" s="37"/>
      <c r="L413" s="35"/>
      <c r="N413" s="38"/>
      <c r="O413" s="39"/>
      <c r="P413" s="47"/>
      <c r="Q413" s="48"/>
      <c r="R413" s="41"/>
      <c r="T413" s="42"/>
      <c r="U413" s="44"/>
      <c r="V413" s="42" t="str">
        <f>IF(NOTA[[#This Row],[HARGA/ CTN]]="",NOTA[[#This Row],[JUMLAH_H]],NOTA[[#This Row],[HARGA/ CTN]]*IF(NOTA[[#This Row],[C]]="",0,NOTA[[#This Row],[C]]))</f>
        <v/>
      </c>
      <c r="W413" s="42" t="str">
        <f>IF(NOTA[[#This Row],[JUMLAH]]="","",NOTA[[#This Row],[JUMLAH]]*NOTA[[#This Row],[Column6]])</f>
        <v/>
      </c>
      <c r="X413" s="42" t="str">
        <f>IF(NOTA[[#This Row],[JUMLAH]]="","",(NOTA[[#This Row],[JUMLAH]]-NOTA[[#This Row],[DISC 1-]])*NOTA[[#This Row],[Column7]])</f>
        <v/>
      </c>
      <c r="Y413" s="42" t="str">
        <f>IF(NOTA[[#This Row],[JUMLAH]]="","",(NOTA[[#This Row],[JUMLAH]]-NOTA[[#This Row],[DISC 1-]]-NOTA[[#This Row],[DISC 2-]])*NOTA[[#This Row],[Column8]])</f>
        <v/>
      </c>
      <c r="Z413" s="42" t="str">
        <f>IF(NOTA[[#This Row],[JUMLAH]]="","",NOTA[[#This Row],[DISC 1-]]+NOTA[[#This Row],[DISC 2-]]+NOTA[[#This Row],[DISC 3-]])</f>
        <v/>
      </c>
      <c r="AA413" s="42" t="str">
        <f>IF(NOTA[[#This Row],[JUMLAH]]="","",NOTA[[#This Row],[JUMLAH]]-NOTA[[#This Row],[DISC]])</f>
        <v/>
      </c>
      <c r="AB413" s="42"/>
      <c r="AC4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3" s="42" t="str">
        <f>IF(OR(NOTA[[#This Row],[QTY]]="",NOTA[[#This Row],[HARGA SATUAN]]="",),"",NOTA[[#This Row],[QTY]]*NOTA[[#This Row],[HARGA SATUAN]])</f>
        <v/>
      </c>
      <c r="AG413" s="36" t="str">
        <f ca="1">IF(NOTA[[#This Row],[ID_H]]="","",INDEX(NOTA[TANGGAL],MATCH(,INDIRECT(ADDRESS(ROW(NOTA[TANGGAL]),COLUMN(NOTA[TANGGAL]))&amp;":"&amp;ADDRESS(ROW(),COLUMN(NOTA[TANGGAL]))),-1)))</f>
        <v/>
      </c>
      <c r="AH413" s="36" t="str">
        <f ca="1">IF(NOTA[[#This Row],[ID_H]]="","",INDEX(NOTA[TGL.NOTA],MATCH(,INDIRECT(ADDRESS(ROW(NOTA[TGL.NOTA]),COLUMN(NOTA[TGL.NOTA]))&amp;":"&amp;ADDRESS(ROW(),COLUMN(NOTA[TGL.NOTA]))),-1)))</f>
        <v/>
      </c>
      <c r="AI413" s="36" t="str">
        <f ca="1">IF(NOTA[[#This Row],[ID_H]]="","",INDEX(NOTA[NO.NOTA],MATCH(NOTA[[#This Row],[ID_H]],NOTA[ID_H],0)))</f>
        <v/>
      </c>
      <c r="AJ413" s="38" t="str">
        <f ca="1">IF(NOTA[[#This Row],[NAMA BARANG]]="","",INDEX(NOTA[SUPPLIER],MATCH(,INDIRECT(ADDRESS(ROW(NOTA[ID]),COLUMN(NOTA[ID]))&amp;":"&amp;ADDRESS(ROW(),COLUMN(NOTA[ID]))),-1)))</f>
        <v/>
      </c>
      <c r="AK413" s="38" t="str">
        <f ca="1">IF(NOTA[[#This Row],[ID_H]]="","",IF(NOTA[[#This Row],[FAKTUR]]="",INDIRECT(ADDRESS(ROW()-1,COLUMN())),NOTA[[#This Row],[FAKTUR]]))</f>
        <v/>
      </c>
      <c r="AL413" s="35" t="str">
        <f ca="1">IF(NOTA[[#This Row],[ID]]="","",COUNTIF(NOTA[ID_H],NOTA[[#This Row],[ID_H]]))</f>
        <v/>
      </c>
      <c r="AM413" s="35" t="str">
        <f ca="1">IF(NOTA[[#This Row],[TGL.NOTA]]="",IF(NOTA[[#This Row],[SUPPLIER_H]]="","",AM412),MONTH(NOTA[[#This Row],[TGL.NOTA]]))</f>
        <v/>
      </c>
      <c r="AN4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3" s="35" t="str">
        <f>IF(NOTA[[#This Row],[CONCAT1]]="","",MATCH(NOTA[[#This Row],[CONCAT1]],[3]!db[NB NOTA_C],0))</f>
        <v/>
      </c>
      <c r="AS413" s="35" t="str">
        <f>IF(NOTA[[#This Row],[Column5]]="","",TRUE)</f>
        <v/>
      </c>
      <c r="AT413" s="35" t="str">
        <f ca="1">IF(NOTA[[#This Row],[ID_H]]="","",IF(NOTA[[#This Row],[Column3]]=TRUE,NOTA[[#This Row],[Column5]],INDEX([3]!db[QTY/ CTN],NOTA[[#This Row],[//DB]])))</f>
        <v/>
      </c>
      <c r="AU4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3" s="35" t="str">
        <f ca="1">IF(NOTA[[#This Row],[ID_H]]="","",MATCH(NOTA[[#This Row],[NB NOTA_C_QTY]],[3]!db[NB NOTA_C_QTY+F],0))</f>
        <v/>
      </c>
      <c r="AW413" s="43" t="str">
        <f ca="1">IF(NOTA[[#This Row],[NB NOTA_C_QTY]]="","",ROW()-2)</f>
        <v/>
      </c>
    </row>
    <row r="414" spans="1:49" ht="20.100000000000001" customHeight="1">
      <c r="A4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5" t="str">
        <f ca="1">IF(NOTA[[#This Row],[NAMA BARANG]]="","",INDEX(NOTA[ID],MATCH(,INDIRECT(ADDRESS(ROW(NOTA[ID]),COLUMN(NOTA[ID]))&amp;":"&amp;ADDRESS(ROW(),COLUMN(NOTA[ID]))),-1)))</f>
        <v/>
      </c>
      <c r="C414" s="45"/>
      <c r="F414" s="46"/>
      <c r="G414" s="35"/>
      <c r="H414" s="36"/>
      <c r="I414" s="35"/>
      <c r="K414" s="37"/>
      <c r="L414" s="35"/>
      <c r="N414" s="38"/>
      <c r="O414" s="39"/>
      <c r="P414" s="47"/>
      <c r="Q414" s="48"/>
      <c r="R414" s="41"/>
      <c r="T414" s="42"/>
      <c r="U414" s="44"/>
      <c r="V414" s="42" t="str">
        <f>IF(NOTA[[#This Row],[HARGA/ CTN]]="",NOTA[[#This Row],[JUMLAH_H]],NOTA[[#This Row],[HARGA/ CTN]]*IF(NOTA[[#This Row],[C]]="",0,NOTA[[#This Row],[C]]))</f>
        <v/>
      </c>
      <c r="W414" s="42" t="str">
        <f>IF(NOTA[[#This Row],[JUMLAH]]="","",NOTA[[#This Row],[JUMLAH]]*NOTA[[#This Row],[Column6]])</f>
        <v/>
      </c>
      <c r="X414" s="42" t="str">
        <f>IF(NOTA[[#This Row],[JUMLAH]]="","",(NOTA[[#This Row],[JUMLAH]]-NOTA[[#This Row],[DISC 1-]])*NOTA[[#This Row],[Column7]])</f>
        <v/>
      </c>
      <c r="Y414" s="42" t="str">
        <f>IF(NOTA[[#This Row],[JUMLAH]]="","",(NOTA[[#This Row],[JUMLAH]]-NOTA[[#This Row],[DISC 1-]]-NOTA[[#This Row],[DISC 2-]])*NOTA[[#This Row],[Column8]])</f>
        <v/>
      </c>
      <c r="Z414" s="42" t="str">
        <f>IF(NOTA[[#This Row],[JUMLAH]]="","",NOTA[[#This Row],[DISC 1-]]+NOTA[[#This Row],[DISC 2-]]+NOTA[[#This Row],[DISC 3-]])</f>
        <v/>
      </c>
      <c r="AA414" s="42" t="str">
        <f>IF(NOTA[[#This Row],[JUMLAH]]="","",NOTA[[#This Row],[JUMLAH]]-NOTA[[#This Row],[DISC]])</f>
        <v/>
      </c>
      <c r="AB414" s="42"/>
      <c r="AC4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4" s="42" t="str">
        <f>IF(OR(NOTA[[#This Row],[QTY]]="",NOTA[[#This Row],[HARGA SATUAN]]="",),"",NOTA[[#This Row],[QTY]]*NOTA[[#This Row],[HARGA SATUAN]])</f>
        <v/>
      </c>
      <c r="AG414" s="36" t="str">
        <f ca="1">IF(NOTA[[#This Row],[ID_H]]="","",INDEX(NOTA[TANGGAL],MATCH(,INDIRECT(ADDRESS(ROW(NOTA[TANGGAL]),COLUMN(NOTA[TANGGAL]))&amp;":"&amp;ADDRESS(ROW(),COLUMN(NOTA[TANGGAL]))),-1)))</f>
        <v/>
      </c>
      <c r="AH414" s="36" t="str">
        <f ca="1">IF(NOTA[[#This Row],[ID_H]]="","",INDEX(NOTA[TGL.NOTA],MATCH(,INDIRECT(ADDRESS(ROW(NOTA[TGL.NOTA]),COLUMN(NOTA[TGL.NOTA]))&amp;":"&amp;ADDRESS(ROW(),COLUMN(NOTA[TGL.NOTA]))),-1)))</f>
        <v/>
      </c>
      <c r="AI414" s="36" t="str">
        <f ca="1">IF(NOTA[[#This Row],[ID_H]]="","",INDEX(NOTA[NO.NOTA],MATCH(NOTA[[#This Row],[ID_H]],NOTA[ID_H],0)))</f>
        <v/>
      </c>
      <c r="AJ414" s="38" t="str">
        <f ca="1">IF(NOTA[[#This Row],[NAMA BARANG]]="","",INDEX(NOTA[SUPPLIER],MATCH(,INDIRECT(ADDRESS(ROW(NOTA[ID]),COLUMN(NOTA[ID]))&amp;":"&amp;ADDRESS(ROW(),COLUMN(NOTA[ID]))),-1)))</f>
        <v/>
      </c>
      <c r="AK414" s="38" t="str">
        <f ca="1">IF(NOTA[[#This Row],[ID_H]]="","",IF(NOTA[[#This Row],[FAKTUR]]="",INDIRECT(ADDRESS(ROW()-1,COLUMN())),NOTA[[#This Row],[FAKTUR]]))</f>
        <v/>
      </c>
      <c r="AL414" s="35" t="str">
        <f ca="1">IF(NOTA[[#This Row],[ID]]="","",COUNTIF(NOTA[ID_H],NOTA[[#This Row],[ID_H]]))</f>
        <v/>
      </c>
      <c r="AM414" s="35" t="str">
        <f ca="1">IF(NOTA[[#This Row],[TGL.NOTA]]="",IF(NOTA[[#This Row],[SUPPLIER_H]]="","",AM413),MONTH(NOTA[[#This Row],[TGL.NOTA]]))</f>
        <v/>
      </c>
      <c r="AN4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4" s="35" t="str">
        <f>IF(NOTA[[#This Row],[CONCAT1]]="","",MATCH(NOTA[[#This Row],[CONCAT1]],[3]!db[NB NOTA_C],0))</f>
        <v/>
      </c>
      <c r="AS414" s="35" t="str">
        <f>IF(NOTA[[#This Row],[Column5]]="","",TRUE)</f>
        <v/>
      </c>
      <c r="AT414" s="35" t="str">
        <f ca="1">IF(NOTA[[#This Row],[ID_H]]="","",IF(NOTA[[#This Row],[Column3]]=TRUE,NOTA[[#This Row],[Column5]],INDEX([3]!db[QTY/ CTN],NOTA[[#This Row],[//DB]])))</f>
        <v/>
      </c>
      <c r="AU4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4" s="35" t="str">
        <f ca="1">IF(NOTA[[#This Row],[ID_H]]="","",MATCH(NOTA[[#This Row],[NB NOTA_C_QTY]],[3]!db[NB NOTA_C_QTY+F],0))</f>
        <v/>
      </c>
      <c r="AW414" s="43" t="str">
        <f ca="1">IF(NOTA[[#This Row],[NB NOTA_C_QTY]]="","",ROW()-2)</f>
        <v/>
      </c>
    </row>
    <row r="415" spans="1:49" ht="20.100000000000001" customHeight="1">
      <c r="A4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5" t="str">
        <f ca="1">IF(NOTA[[#This Row],[NAMA BARANG]]="","",INDEX(NOTA[ID],MATCH(,INDIRECT(ADDRESS(ROW(NOTA[ID]),COLUMN(NOTA[ID]))&amp;":"&amp;ADDRESS(ROW(),COLUMN(NOTA[ID]))),-1)))</f>
        <v/>
      </c>
      <c r="C415" s="45"/>
      <c r="F415" s="46"/>
      <c r="G415" s="35"/>
      <c r="H415" s="36"/>
      <c r="I415" s="35"/>
      <c r="K415" s="37"/>
      <c r="L415" s="35"/>
      <c r="N415" s="38"/>
      <c r="O415" s="39"/>
      <c r="P415" s="47"/>
      <c r="Q415" s="48"/>
      <c r="R415" s="41"/>
      <c r="T415" s="42"/>
      <c r="U415" s="44"/>
      <c r="V415" s="42" t="str">
        <f>IF(NOTA[[#This Row],[HARGA/ CTN]]="",NOTA[[#This Row],[JUMLAH_H]],NOTA[[#This Row],[HARGA/ CTN]]*IF(NOTA[[#This Row],[C]]="",0,NOTA[[#This Row],[C]]))</f>
        <v/>
      </c>
      <c r="W415" s="42" t="str">
        <f>IF(NOTA[[#This Row],[JUMLAH]]="","",NOTA[[#This Row],[JUMLAH]]*NOTA[[#This Row],[Column6]])</f>
        <v/>
      </c>
      <c r="X415" s="42" t="str">
        <f>IF(NOTA[[#This Row],[JUMLAH]]="","",(NOTA[[#This Row],[JUMLAH]]-NOTA[[#This Row],[DISC 1-]])*NOTA[[#This Row],[Column7]])</f>
        <v/>
      </c>
      <c r="Y415" s="42" t="str">
        <f>IF(NOTA[[#This Row],[JUMLAH]]="","",(NOTA[[#This Row],[JUMLAH]]-NOTA[[#This Row],[DISC 1-]]-NOTA[[#This Row],[DISC 2-]])*NOTA[[#This Row],[Column8]])</f>
        <v/>
      </c>
      <c r="Z415" s="42" t="str">
        <f>IF(NOTA[[#This Row],[JUMLAH]]="","",NOTA[[#This Row],[DISC 1-]]+NOTA[[#This Row],[DISC 2-]]+NOTA[[#This Row],[DISC 3-]])</f>
        <v/>
      </c>
      <c r="AA415" s="42" t="str">
        <f>IF(NOTA[[#This Row],[JUMLAH]]="","",NOTA[[#This Row],[JUMLAH]]-NOTA[[#This Row],[DISC]])</f>
        <v/>
      </c>
      <c r="AB415" s="42"/>
      <c r="AC4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5" s="42" t="str">
        <f>IF(OR(NOTA[[#This Row],[QTY]]="",NOTA[[#This Row],[HARGA SATUAN]]="",),"",NOTA[[#This Row],[QTY]]*NOTA[[#This Row],[HARGA SATUAN]])</f>
        <v/>
      </c>
      <c r="AG415" s="36" t="str">
        <f ca="1">IF(NOTA[[#This Row],[ID_H]]="","",INDEX(NOTA[TANGGAL],MATCH(,INDIRECT(ADDRESS(ROW(NOTA[TANGGAL]),COLUMN(NOTA[TANGGAL]))&amp;":"&amp;ADDRESS(ROW(),COLUMN(NOTA[TANGGAL]))),-1)))</f>
        <v/>
      </c>
      <c r="AH415" s="36" t="str">
        <f ca="1">IF(NOTA[[#This Row],[ID_H]]="","",INDEX(NOTA[TGL.NOTA],MATCH(,INDIRECT(ADDRESS(ROW(NOTA[TGL.NOTA]),COLUMN(NOTA[TGL.NOTA]))&amp;":"&amp;ADDRESS(ROW(),COLUMN(NOTA[TGL.NOTA]))),-1)))</f>
        <v/>
      </c>
      <c r="AI415" s="36" t="str">
        <f ca="1">IF(NOTA[[#This Row],[ID_H]]="","",INDEX(NOTA[NO.NOTA],MATCH(NOTA[[#This Row],[ID_H]],NOTA[ID_H],0)))</f>
        <v/>
      </c>
      <c r="AJ415" s="38" t="str">
        <f ca="1">IF(NOTA[[#This Row],[NAMA BARANG]]="","",INDEX(NOTA[SUPPLIER],MATCH(,INDIRECT(ADDRESS(ROW(NOTA[ID]),COLUMN(NOTA[ID]))&amp;":"&amp;ADDRESS(ROW(),COLUMN(NOTA[ID]))),-1)))</f>
        <v/>
      </c>
      <c r="AK415" s="38" t="str">
        <f ca="1">IF(NOTA[[#This Row],[ID_H]]="","",IF(NOTA[[#This Row],[FAKTUR]]="",INDIRECT(ADDRESS(ROW()-1,COLUMN())),NOTA[[#This Row],[FAKTUR]]))</f>
        <v/>
      </c>
      <c r="AL415" s="35" t="str">
        <f ca="1">IF(NOTA[[#This Row],[ID]]="","",COUNTIF(NOTA[ID_H],NOTA[[#This Row],[ID_H]]))</f>
        <v/>
      </c>
      <c r="AM415" s="35" t="str">
        <f ca="1">IF(NOTA[[#This Row],[TGL.NOTA]]="",IF(NOTA[[#This Row],[SUPPLIER_H]]="","",AM414),MONTH(NOTA[[#This Row],[TGL.NOTA]]))</f>
        <v/>
      </c>
      <c r="AN4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5" s="35" t="str">
        <f>IF(NOTA[[#This Row],[CONCAT1]]="","",MATCH(NOTA[[#This Row],[CONCAT1]],[3]!db[NB NOTA_C],0))</f>
        <v/>
      </c>
      <c r="AS415" s="35" t="str">
        <f>IF(NOTA[[#This Row],[Column5]]="","",TRUE)</f>
        <v/>
      </c>
      <c r="AT415" s="35" t="str">
        <f ca="1">IF(NOTA[[#This Row],[ID_H]]="","",IF(NOTA[[#This Row],[Column3]]=TRUE,NOTA[[#This Row],[Column5]],INDEX([3]!db[QTY/ CTN],NOTA[[#This Row],[//DB]])))</f>
        <v/>
      </c>
      <c r="AU4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5" s="35" t="str">
        <f ca="1">IF(NOTA[[#This Row],[ID_H]]="","",MATCH(NOTA[[#This Row],[NB NOTA_C_QTY]],[3]!db[NB NOTA_C_QTY+F],0))</f>
        <v/>
      </c>
      <c r="AW415" s="43" t="str">
        <f ca="1">IF(NOTA[[#This Row],[NB NOTA_C_QTY]]="","",ROW()-2)</f>
        <v/>
      </c>
    </row>
    <row r="416" spans="1:49" ht="20.100000000000001" customHeight="1">
      <c r="A4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5" t="str">
        <f ca="1">IF(NOTA[[#This Row],[NAMA BARANG]]="","",INDEX(NOTA[ID],MATCH(,INDIRECT(ADDRESS(ROW(NOTA[ID]),COLUMN(NOTA[ID]))&amp;":"&amp;ADDRESS(ROW(),COLUMN(NOTA[ID]))),-1)))</f>
        <v/>
      </c>
      <c r="C416" s="45"/>
      <c r="F416" s="46"/>
      <c r="G416" s="35"/>
      <c r="H416" s="36"/>
      <c r="I416" s="35"/>
      <c r="K416" s="37"/>
      <c r="L416" s="35"/>
      <c r="N416" s="38"/>
      <c r="O416" s="39"/>
      <c r="P416" s="47"/>
      <c r="Q416" s="48"/>
      <c r="R416" s="41"/>
      <c r="T416" s="42"/>
      <c r="U416" s="44"/>
      <c r="V416" s="42" t="str">
        <f>IF(NOTA[[#This Row],[HARGA/ CTN]]="",NOTA[[#This Row],[JUMLAH_H]],NOTA[[#This Row],[HARGA/ CTN]]*IF(NOTA[[#This Row],[C]]="",0,NOTA[[#This Row],[C]]))</f>
        <v/>
      </c>
      <c r="W416" s="42" t="str">
        <f>IF(NOTA[[#This Row],[JUMLAH]]="","",NOTA[[#This Row],[JUMLAH]]*NOTA[[#This Row],[Column6]])</f>
        <v/>
      </c>
      <c r="X416" s="42" t="str">
        <f>IF(NOTA[[#This Row],[JUMLAH]]="","",(NOTA[[#This Row],[JUMLAH]]-NOTA[[#This Row],[DISC 1-]])*NOTA[[#This Row],[Column7]])</f>
        <v/>
      </c>
      <c r="Y416" s="42" t="str">
        <f>IF(NOTA[[#This Row],[JUMLAH]]="","",(NOTA[[#This Row],[JUMLAH]]-NOTA[[#This Row],[DISC 1-]]-NOTA[[#This Row],[DISC 2-]])*NOTA[[#This Row],[Column8]])</f>
        <v/>
      </c>
      <c r="Z416" s="42" t="str">
        <f>IF(NOTA[[#This Row],[JUMLAH]]="","",NOTA[[#This Row],[DISC 1-]]+NOTA[[#This Row],[DISC 2-]]+NOTA[[#This Row],[DISC 3-]])</f>
        <v/>
      </c>
      <c r="AA416" s="42" t="str">
        <f>IF(NOTA[[#This Row],[JUMLAH]]="","",NOTA[[#This Row],[JUMLAH]]-NOTA[[#This Row],[DISC]])</f>
        <v/>
      </c>
      <c r="AB416" s="42"/>
      <c r="AC4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6" s="42" t="str">
        <f>IF(OR(NOTA[[#This Row],[QTY]]="",NOTA[[#This Row],[HARGA SATUAN]]="",),"",NOTA[[#This Row],[QTY]]*NOTA[[#This Row],[HARGA SATUAN]])</f>
        <v/>
      </c>
      <c r="AG416" s="36" t="str">
        <f ca="1">IF(NOTA[[#This Row],[ID_H]]="","",INDEX(NOTA[TANGGAL],MATCH(,INDIRECT(ADDRESS(ROW(NOTA[TANGGAL]),COLUMN(NOTA[TANGGAL]))&amp;":"&amp;ADDRESS(ROW(),COLUMN(NOTA[TANGGAL]))),-1)))</f>
        <v/>
      </c>
      <c r="AH416" s="36" t="str">
        <f ca="1">IF(NOTA[[#This Row],[ID_H]]="","",INDEX(NOTA[TGL.NOTA],MATCH(,INDIRECT(ADDRESS(ROW(NOTA[TGL.NOTA]),COLUMN(NOTA[TGL.NOTA]))&amp;":"&amp;ADDRESS(ROW(),COLUMN(NOTA[TGL.NOTA]))),-1)))</f>
        <v/>
      </c>
      <c r="AI416" s="36" t="str">
        <f ca="1">IF(NOTA[[#This Row],[ID_H]]="","",INDEX(NOTA[NO.NOTA],MATCH(NOTA[[#This Row],[ID_H]],NOTA[ID_H],0)))</f>
        <v/>
      </c>
      <c r="AJ416" s="38" t="str">
        <f ca="1">IF(NOTA[[#This Row],[NAMA BARANG]]="","",INDEX(NOTA[SUPPLIER],MATCH(,INDIRECT(ADDRESS(ROW(NOTA[ID]),COLUMN(NOTA[ID]))&amp;":"&amp;ADDRESS(ROW(),COLUMN(NOTA[ID]))),-1)))</f>
        <v/>
      </c>
      <c r="AK416" s="38" t="str">
        <f ca="1">IF(NOTA[[#This Row],[ID_H]]="","",IF(NOTA[[#This Row],[FAKTUR]]="",INDIRECT(ADDRESS(ROW()-1,COLUMN())),NOTA[[#This Row],[FAKTUR]]))</f>
        <v/>
      </c>
      <c r="AL416" s="35" t="str">
        <f ca="1">IF(NOTA[[#This Row],[ID]]="","",COUNTIF(NOTA[ID_H],NOTA[[#This Row],[ID_H]]))</f>
        <v/>
      </c>
      <c r="AM416" s="35" t="str">
        <f ca="1">IF(NOTA[[#This Row],[TGL.NOTA]]="",IF(NOTA[[#This Row],[SUPPLIER_H]]="","",AM415),MONTH(NOTA[[#This Row],[TGL.NOTA]]))</f>
        <v/>
      </c>
      <c r="AN4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6" s="35" t="str">
        <f>IF(NOTA[[#This Row],[CONCAT1]]="","",MATCH(NOTA[[#This Row],[CONCAT1]],[3]!db[NB NOTA_C],0))</f>
        <v/>
      </c>
      <c r="AS416" s="35" t="str">
        <f>IF(NOTA[[#This Row],[Column5]]="","",TRUE)</f>
        <v/>
      </c>
      <c r="AT416" s="35" t="str">
        <f ca="1">IF(NOTA[[#This Row],[ID_H]]="","",IF(NOTA[[#This Row],[Column3]]=TRUE,NOTA[[#This Row],[Column5]],INDEX([3]!db[QTY/ CTN],NOTA[[#This Row],[//DB]])))</f>
        <v/>
      </c>
      <c r="AU4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6" s="35" t="str">
        <f ca="1">IF(NOTA[[#This Row],[ID_H]]="","",MATCH(NOTA[[#This Row],[NB NOTA_C_QTY]],[3]!db[NB NOTA_C_QTY+F],0))</f>
        <v/>
      </c>
      <c r="AW416" s="43" t="str">
        <f ca="1">IF(NOTA[[#This Row],[NB NOTA_C_QTY]]="","",ROW()-2)</f>
        <v/>
      </c>
    </row>
    <row r="417" spans="1:49" ht="20.100000000000001" customHeight="1">
      <c r="A4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5" t="str">
        <f ca="1">IF(NOTA[[#This Row],[NAMA BARANG]]="","",INDEX(NOTA[ID],MATCH(,INDIRECT(ADDRESS(ROW(NOTA[ID]),COLUMN(NOTA[ID]))&amp;":"&amp;ADDRESS(ROW(),COLUMN(NOTA[ID]))),-1)))</f>
        <v/>
      </c>
      <c r="C417" s="45"/>
      <c r="F417" s="46"/>
      <c r="G417" s="35"/>
      <c r="H417" s="36"/>
      <c r="I417" s="35"/>
      <c r="K417" s="37"/>
      <c r="L417" s="35"/>
      <c r="N417" s="38"/>
      <c r="O417" s="39"/>
      <c r="P417" s="47"/>
      <c r="Q417" s="48"/>
      <c r="R417" s="41"/>
      <c r="T417" s="42"/>
      <c r="U417" s="44"/>
      <c r="V417" s="42" t="str">
        <f>IF(NOTA[[#This Row],[HARGA/ CTN]]="",NOTA[[#This Row],[JUMLAH_H]],NOTA[[#This Row],[HARGA/ CTN]]*IF(NOTA[[#This Row],[C]]="",0,NOTA[[#This Row],[C]]))</f>
        <v/>
      </c>
      <c r="W417" s="42" t="str">
        <f>IF(NOTA[[#This Row],[JUMLAH]]="","",NOTA[[#This Row],[JUMLAH]]*NOTA[[#This Row],[Column6]])</f>
        <v/>
      </c>
      <c r="X417" s="42" t="str">
        <f>IF(NOTA[[#This Row],[JUMLAH]]="","",(NOTA[[#This Row],[JUMLAH]]-NOTA[[#This Row],[DISC 1-]])*NOTA[[#This Row],[Column7]])</f>
        <v/>
      </c>
      <c r="Y417" s="42" t="str">
        <f>IF(NOTA[[#This Row],[JUMLAH]]="","",(NOTA[[#This Row],[JUMLAH]]-NOTA[[#This Row],[DISC 1-]]-NOTA[[#This Row],[DISC 2-]])*NOTA[[#This Row],[Column8]])</f>
        <v/>
      </c>
      <c r="Z417" s="42" t="str">
        <f>IF(NOTA[[#This Row],[JUMLAH]]="","",NOTA[[#This Row],[DISC 1-]]+NOTA[[#This Row],[DISC 2-]]+NOTA[[#This Row],[DISC 3-]])</f>
        <v/>
      </c>
      <c r="AA417" s="42" t="str">
        <f>IF(NOTA[[#This Row],[JUMLAH]]="","",NOTA[[#This Row],[JUMLAH]]-NOTA[[#This Row],[DISC]])</f>
        <v/>
      </c>
      <c r="AB417" s="42"/>
      <c r="AC4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42" t="str">
        <f>IF(OR(NOTA[[#This Row],[QTY]]="",NOTA[[#This Row],[HARGA SATUAN]]="",),"",NOTA[[#This Row],[QTY]]*NOTA[[#This Row],[HARGA SATUAN]])</f>
        <v/>
      </c>
      <c r="AG417" s="36" t="str">
        <f ca="1">IF(NOTA[[#This Row],[ID_H]]="","",INDEX(NOTA[TANGGAL],MATCH(,INDIRECT(ADDRESS(ROW(NOTA[TANGGAL]),COLUMN(NOTA[TANGGAL]))&amp;":"&amp;ADDRESS(ROW(),COLUMN(NOTA[TANGGAL]))),-1)))</f>
        <v/>
      </c>
      <c r="AH417" s="36" t="str">
        <f ca="1">IF(NOTA[[#This Row],[ID_H]]="","",INDEX(NOTA[TGL.NOTA],MATCH(,INDIRECT(ADDRESS(ROW(NOTA[TGL.NOTA]),COLUMN(NOTA[TGL.NOTA]))&amp;":"&amp;ADDRESS(ROW(),COLUMN(NOTA[TGL.NOTA]))),-1)))</f>
        <v/>
      </c>
      <c r="AI417" s="36" t="str">
        <f ca="1">IF(NOTA[[#This Row],[ID_H]]="","",INDEX(NOTA[NO.NOTA],MATCH(NOTA[[#This Row],[ID_H]],NOTA[ID_H],0)))</f>
        <v/>
      </c>
      <c r="AJ417" s="38" t="str">
        <f ca="1">IF(NOTA[[#This Row],[NAMA BARANG]]="","",INDEX(NOTA[SUPPLIER],MATCH(,INDIRECT(ADDRESS(ROW(NOTA[ID]),COLUMN(NOTA[ID]))&amp;":"&amp;ADDRESS(ROW(),COLUMN(NOTA[ID]))),-1)))</f>
        <v/>
      </c>
      <c r="AK417" s="38" t="str">
        <f ca="1">IF(NOTA[[#This Row],[ID_H]]="","",IF(NOTA[[#This Row],[FAKTUR]]="",INDIRECT(ADDRESS(ROW()-1,COLUMN())),NOTA[[#This Row],[FAKTUR]]))</f>
        <v/>
      </c>
      <c r="AL417" s="35" t="str">
        <f ca="1">IF(NOTA[[#This Row],[ID]]="","",COUNTIF(NOTA[ID_H],NOTA[[#This Row],[ID_H]]))</f>
        <v/>
      </c>
      <c r="AM417" s="35" t="str">
        <f ca="1">IF(NOTA[[#This Row],[TGL.NOTA]]="",IF(NOTA[[#This Row],[SUPPLIER_H]]="","",AM416),MONTH(NOTA[[#This Row],[TGL.NOTA]]))</f>
        <v/>
      </c>
      <c r="AN4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7" s="35" t="str">
        <f>IF(NOTA[[#This Row],[CONCAT1]]="","",MATCH(NOTA[[#This Row],[CONCAT1]],[3]!db[NB NOTA_C],0))</f>
        <v/>
      </c>
      <c r="AS417" s="35" t="str">
        <f>IF(NOTA[[#This Row],[Column5]]="","",TRUE)</f>
        <v/>
      </c>
      <c r="AT417" s="35" t="str">
        <f ca="1">IF(NOTA[[#This Row],[ID_H]]="","",IF(NOTA[[#This Row],[Column3]]=TRUE,NOTA[[#This Row],[Column5]],INDEX([3]!db[QTY/ CTN],NOTA[[#This Row],[//DB]])))</f>
        <v/>
      </c>
      <c r="AU4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7" s="35" t="str">
        <f ca="1">IF(NOTA[[#This Row],[ID_H]]="","",MATCH(NOTA[[#This Row],[NB NOTA_C_QTY]],[3]!db[NB NOTA_C_QTY+F],0))</f>
        <v/>
      </c>
      <c r="AW417" s="43" t="str">
        <f ca="1">IF(NOTA[[#This Row],[NB NOTA_C_QTY]]="","",ROW()-2)</f>
        <v/>
      </c>
    </row>
    <row r="418" spans="1:49" ht="20.100000000000001" customHeight="1">
      <c r="A4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5" t="str">
        <f ca="1">IF(NOTA[[#This Row],[NAMA BARANG]]="","",INDEX(NOTA[ID],MATCH(,INDIRECT(ADDRESS(ROW(NOTA[ID]),COLUMN(NOTA[ID]))&amp;":"&amp;ADDRESS(ROW(),COLUMN(NOTA[ID]))),-1)))</f>
        <v/>
      </c>
      <c r="C418" s="45"/>
      <c r="F418" s="46"/>
      <c r="G418" s="35"/>
      <c r="H418" s="36"/>
      <c r="I418" s="35"/>
      <c r="K418" s="37"/>
      <c r="L418" s="35"/>
      <c r="N418" s="38"/>
      <c r="O418" s="39"/>
      <c r="P418" s="47"/>
      <c r="Q418" s="48"/>
      <c r="R418" s="41"/>
      <c r="T418" s="42"/>
      <c r="U418" s="44"/>
      <c r="V418" s="42" t="str">
        <f>IF(NOTA[[#This Row],[HARGA/ CTN]]="",NOTA[[#This Row],[JUMLAH_H]],NOTA[[#This Row],[HARGA/ CTN]]*IF(NOTA[[#This Row],[C]]="",0,NOTA[[#This Row],[C]]))</f>
        <v/>
      </c>
      <c r="W418" s="42" t="str">
        <f>IF(NOTA[[#This Row],[JUMLAH]]="","",NOTA[[#This Row],[JUMLAH]]*NOTA[[#This Row],[Column6]])</f>
        <v/>
      </c>
      <c r="X418" s="42" t="str">
        <f>IF(NOTA[[#This Row],[JUMLAH]]="","",(NOTA[[#This Row],[JUMLAH]]-NOTA[[#This Row],[DISC 1-]])*NOTA[[#This Row],[Column7]])</f>
        <v/>
      </c>
      <c r="Y418" s="42" t="str">
        <f>IF(NOTA[[#This Row],[JUMLAH]]="","",(NOTA[[#This Row],[JUMLAH]]-NOTA[[#This Row],[DISC 1-]]-NOTA[[#This Row],[DISC 2-]])*NOTA[[#This Row],[Column8]])</f>
        <v/>
      </c>
      <c r="Z418" s="42" t="str">
        <f>IF(NOTA[[#This Row],[JUMLAH]]="","",NOTA[[#This Row],[DISC 1-]]+NOTA[[#This Row],[DISC 2-]]+NOTA[[#This Row],[DISC 3-]])</f>
        <v/>
      </c>
      <c r="AA418" s="42" t="str">
        <f>IF(NOTA[[#This Row],[JUMLAH]]="","",NOTA[[#This Row],[JUMLAH]]-NOTA[[#This Row],[DISC]])</f>
        <v/>
      </c>
      <c r="AB418" s="42"/>
      <c r="AC4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8" s="42" t="str">
        <f>IF(OR(NOTA[[#This Row],[QTY]]="",NOTA[[#This Row],[HARGA SATUAN]]="",),"",NOTA[[#This Row],[QTY]]*NOTA[[#This Row],[HARGA SATUAN]])</f>
        <v/>
      </c>
      <c r="AG418" s="36" t="str">
        <f ca="1">IF(NOTA[[#This Row],[ID_H]]="","",INDEX(NOTA[TANGGAL],MATCH(,INDIRECT(ADDRESS(ROW(NOTA[TANGGAL]),COLUMN(NOTA[TANGGAL]))&amp;":"&amp;ADDRESS(ROW(),COLUMN(NOTA[TANGGAL]))),-1)))</f>
        <v/>
      </c>
      <c r="AH418" s="36" t="str">
        <f ca="1">IF(NOTA[[#This Row],[ID_H]]="","",INDEX(NOTA[TGL.NOTA],MATCH(,INDIRECT(ADDRESS(ROW(NOTA[TGL.NOTA]),COLUMN(NOTA[TGL.NOTA]))&amp;":"&amp;ADDRESS(ROW(),COLUMN(NOTA[TGL.NOTA]))),-1)))</f>
        <v/>
      </c>
      <c r="AI418" s="36" t="str">
        <f ca="1">IF(NOTA[[#This Row],[ID_H]]="","",INDEX(NOTA[NO.NOTA],MATCH(NOTA[[#This Row],[ID_H]],NOTA[ID_H],0)))</f>
        <v/>
      </c>
      <c r="AJ418" s="38" t="str">
        <f ca="1">IF(NOTA[[#This Row],[NAMA BARANG]]="","",INDEX(NOTA[SUPPLIER],MATCH(,INDIRECT(ADDRESS(ROW(NOTA[ID]),COLUMN(NOTA[ID]))&amp;":"&amp;ADDRESS(ROW(),COLUMN(NOTA[ID]))),-1)))</f>
        <v/>
      </c>
      <c r="AK418" s="38" t="str">
        <f ca="1">IF(NOTA[[#This Row],[ID_H]]="","",IF(NOTA[[#This Row],[FAKTUR]]="",INDIRECT(ADDRESS(ROW()-1,COLUMN())),NOTA[[#This Row],[FAKTUR]]))</f>
        <v/>
      </c>
      <c r="AL418" s="35" t="str">
        <f ca="1">IF(NOTA[[#This Row],[ID]]="","",COUNTIF(NOTA[ID_H],NOTA[[#This Row],[ID_H]]))</f>
        <v/>
      </c>
      <c r="AM418" s="35" t="str">
        <f ca="1">IF(NOTA[[#This Row],[TGL.NOTA]]="",IF(NOTA[[#This Row],[SUPPLIER_H]]="","",AM417),MONTH(NOTA[[#This Row],[TGL.NOTA]]))</f>
        <v/>
      </c>
      <c r="AN4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8" s="35" t="str">
        <f>IF(NOTA[[#This Row],[CONCAT1]]="","",MATCH(NOTA[[#This Row],[CONCAT1]],[3]!db[NB NOTA_C],0))</f>
        <v/>
      </c>
      <c r="AS418" s="35" t="str">
        <f>IF(NOTA[[#This Row],[Column5]]="","",TRUE)</f>
        <v/>
      </c>
      <c r="AT418" s="35" t="str">
        <f ca="1">IF(NOTA[[#This Row],[ID_H]]="","",IF(NOTA[[#This Row],[Column3]]=TRUE,NOTA[[#This Row],[Column5]],INDEX([3]!db[QTY/ CTN],NOTA[[#This Row],[//DB]])))</f>
        <v/>
      </c>
      <c r="AU4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8" s="35" t="str">
        <f ca="1">IF(NOTA[[#This Row],[ID_H]]="","",MATCH(NOTA[[#This Row],[NB NOTA_C_QTY]],[3]!db[NB NOTA_C_QTY+F],0))</f>
        <v/>
      </c>
      <c r="AW418" s="43" t="str">
        <f ca="1">IF(NOTA[[#This Row],[NB NOTA_C_QTY]]="","",ROW()-2)</f>
        <v/>
      </c>
    </row>
    <row r="419" spans="1:49" ht="20.100000000000001" customHeight="1">
      <c r="A4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5" t="str">
        <f ca="1">IF(NOTA[[#This Row],[NAMA BARANG]]="","",INDEX(NOTA[ID],MATCH(,INDIRECT(ADDRESS(ROW(NOTA[ID]),COLUMN(NOTA[ID]))&amp;":"&amp;ADDRESS(ROW(),COLUMN(NOTA[ID]))),-1)))</f>
        <v/>
      </c>
      <c r="C419" s="45"/>
      <c r="F419" s="46"/>
      <c r="G419" s="35"/>
      <c r="H419" s="36"/>
      <c r="I419" s="35"/>
      <c r="K419" s="37"/>
      <c r="L419" s="35"/>
      <c r="N419" s="38"/>
      <c r="O419" s="39"/>
      <c r="P419" s="47"/>
      <c r="Q419" s="48"/>
      <c r="R419" s="41"/>
      <c r="T419" s="42"/>
      <c r="U419" s="44"/>
      <c r="V419" s="42" t="str">
        <f>IF(NOTA[[#This Row],[HARGA/ CTN]]="",NOTA[[#This Row],[JUMLAH_H]],NOTA[[#This Row],[HARGA/ CTN]]*IF(NOTA[[#This Row],[C]]="",0,NOTA[[#This Row],[C]]))</f>
        <v/>
      </c>
      <c r="W419" s="42" t="str">
        <f>IF(NOTA[[#This Row],[JUMLAH]]="","",NOTA[[#This Row],[JUMLAH]]*NOTA[[#This Row],[Column6]])</f>
        <v/>
      </c>
      <c r="X419" s="42" t="str">
        <f>IF(NOTA[[#This Row],[JUMLAH]]="","",(NOTA[[#This Row],[JUMLAH]]-NOTA[[#This Row],[DISC 1-]])*NOTA[[#This Row],[Column7]])</f>
        <v/>
      </c>
      <c r="Y419" s="42" t="str">
        <f>IF(NOTA[[#This Row],[JUMLAH]]="","",(NOTA[[#This Row],[JUMLAH]]-NOTA[[#This Row],[DISC 1-]]-NOTA[[#This Row],[DISC 2-]])*NOTA[[#This Row],[Column8]])</f>
        <v/>
      </c>
      <c r="Z419" s="42" t="str">
        <f>IF(NOTA[[#This Row],[JUMLAH]]="","",NOTA[[#This Row],[DISC 1-]]+NOTA[[#This Row],[DISC 2-]]+NOTA[[#This Row],[DISC 3-]])</f>
        <v/>
      </c>
      <c r="AA419" s="42" t="str">
        <f>IF(NOTA[[#This Row],[JUMLAH]]="","",NOTA[[#This Row],[JUMLAH]]-NOTA[[#This Row],[DISC]])</f>
        <v/>
      </c>
      <c r="AB419" s="42"/>
      <c r="AC4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42" t="str">
        <f>IF(OR(NOTA[[#This Row],[QTY]]="",NOTA[[#This Row],[HARGA SATUAN]]="",),"",NOTA[[#This Row],[QTY]]*NOTA[[#This Row],[HARGA SATUAN]])</f>
        <v/>
      </c>
      <c r="AG419" s="36" t="str">
        <f ca="1">IF(NOTA[[#This Row],[ID_H]]="","",INDEX(NOTA[TANGGAL],MATCH(,INDIRECT(ADDRESS(ROW(NOTA[TANGGAL]),COLUMN(NOTA[TANGGAL]))&amp;":"&amp;ADDRESS(ROW(),COLUMN(NOTA[TANGGAL]))),-1)))</f>
        <v/>
      </c>
      <c r="AH419" s="36" t="str">
        <f ca="1">IF(NOTA[[#This Row],[ID_H]]="","",INDEX(NOTA[TGL.NOTA],MATCH(,INDIRECT(ADDRESS(ROW(NOTA[TGL.NOTA]),COLUMN(NOTA[TGL.NOTA]))&amp;":"&amp;ADDRESS(ROW(),COLUMN(NOTA[TGL.NOTA]))),-1)))</f>
        <v/>
      </c>
      <c r="AI419" s="36" t="str">
        <f ca="1">IF(NOTA[[#This Row],[ID_H]]="","",INDEX(NOTA[NO.NOTA],MATCH(NOTA[[#This Row],[ID_H]],NOTA[ID_H],0)))</f>
        <v/>
      </c>
      <c r="AJ419" s="38" t="str">
        <f ca="1">IF(NOTA[[#This Row],[NAMA BARANG]]="","",INDEX(NOTA[SUPPLIER],MATCH(,INDIRECT(ADDRESS(ROW(NOTA[ID]),COLUMN(NOTA[ID]))&amp;":"&amp;ADDRESS(ROW(),COLUMN(NOTA[ID]))),-1)))</f>
        <v/>
      </c>
      <c r="AK419" s="38" t="str">
        <f ca="1">IF(NOTA[[#This Row],[ID_H]]="","",IF(NOTA[[#This Row],[FAKTUR]]="",INDIRECT(ADDRESS(ROW()-1,COLUMN())),NOTA[[#This Row],[FAKTUR]]))</f>
        <v/>
      </c>
      <c r="AL419" s="35" t="str">
        <f ca="1">IF(NOTA[[#This Row],[ID]]="","",COUNTIF(NOTA[ID_H],NOTA[[#This Row],[ID_H]]))</f>
        <v/>
      </c>
      <c r="AM419" s="35" t="str">
        <f ca="1">IF(NOTA[[#This Row],[TGL.NOTA]]="",IF(NOTA[[#This Row],[SUPPLIER_H]]="","",AM418),MONTH(NOTA[[#This Row],[TGL.NOTA]]))</f>
        <v/>
      </c>
      <c r="AN4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9" s="35" t="str">
        <f>IF(NOTA[[#This Row],[CONCAT1]]="","",MATCH(NOTA[[#This Row],[CONCAT1]],[3]!db[NB NOTA_C],0))</f>
        <v/>
      </c>
      <c r="AS419" s="35" t="str">
        <f>IF(NOTA[[#This Row],[Column5]]="","",TRUE)</f>
        <v/>
      </c>
      <c r="AT419" s="35" t="str">
        <f ca="1">IF(NOTA[[#This Row],[ID_H]]="","",IF(NOTA[[#This Row],[Column3]]=TRUE,NOTA[[#This Row],[Column5]],INDEX([3]!db[QTY/ CTN],NOTA[[#This Row],[//DB]])))</f>
        <v/>
      </c>
      <c r="AU4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19" s="35" t="str">
        <f ca="1">IF(NOTA[[#This Row],[ID_H]]="","",MATCH(NOTA[[#This Row],[NB NOTA_C_QTY]],[3]!db[NB NOTA_C_QTY+F],0))</f>
        <v/>
      </c>
      <c r="AW419" s="43" t="str">
        <f ca="1">IF(NOTA[[#This Row],[NB NOTA_C_QTY]]="","",ROW()-2)</f>
        <v/>
      </c>
    </row>
    <row r="420" spans="1:49" ht="20.100000000000001" customHeight="1">
      <c r="A4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5" t="str">
        <f ca="1">IF(NOTA[[#This Row],[NAMA BARANG]]="","",INDEX(NOTA[ID],MATCH(,INDIRECT(ADDRESS(ROW(NOTA[ID]),COLUMN(NOTA[ID]))&amp;":"&amp;ADDRESS(ROW(),COLUMN(NOTA[ID]))),-1)))</f>
        <v/>
      </c>
      <c r="C420" s="45"/>
      <c r="F420" s="46"/>
      <c r="G420" s="35"/>
      <c r="H420" s="36"/>
      <c r="I420" s="35"/>
      <c r="K420" s="37"/>
      <c r="L420" s="35"/>
      <c r="N420" s="38"/>
      <c r="O420" s="39"/>
      <c r="P420" s="47"/>
      <c r="Q420" s="48"/>
      <c r="R420" s="41"/>
      <c r="T420" s="42"/>
      <c r="U420" s="44"/>
      <c r="V420" s="42" t="str">
        <f>IF(NOTA[[#This Row],[HARGA/ CTN]]="",NOTA[[#This Row],[JUMLAH_H]],NOTA[[#This Row],[HARGA/ CTN]]*IF(NOTA[[#This Row],[C]]="",0,NOTA[[#This Row],[C]]))</f>
        <v/>
      </c>
      <c r="W420" s="42" t="str">
        <f>IF(NOTA[[#This Row],[JUMLAH]]="","",NOTA[[#This Row],[JUMLAH]]*NOTA[[#This Row],[Column6]])</f>
        <v/>
      </c>
      <c r="X420" s="42" t="str">
        <f>IF(NOTA[[#This Row],[JUMLAH]]="","",(NOTA[[#This Row],[JUMLAH]]-NOTA[[#This Row],[DISC 1-]])*NOTA[[#This Row],[Column7]])</f>
        <v/>
      </c>
      <c r="Y420" s="42" t="str">
        <f>IF(NOTA[[#This Row],[JUMLAH]]="","",(NOTA[[#This Row],[JUMLAH]]-NOTA[[#This Row],[DISC 1-]]-NOTA[[#This Row],[DISC 2-]])*NOTA[[#This Row],[Column8]])</f>
        <v/>
      </c>
      <c r="Z420" s="42" t="str">
        <f>IF(NOTA[[#This Row],[JUMLAH]]="","",NOTA[[#This Row],[DISC 1-]]+NOTA[[#This Row],[DISC 2-]]+NOTA[[#This Row],[DISC 3-]])</f>
        <v/>
      </c>
      <c r="AA420" s="42" t="str">
        <f>IF(NOTA[[#This Row],[JUMLAH]]="","",NOTA[[#This Row],[JUMLAH]]-NOTA[[#This Row],[DISC]])</f>
        <v/>
      </c>
      <c r="AB420" s="42"/>
      <c r="AC4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0" s="42" t="str">
        <f>IF(OR(NOTA[[#This Row],[QTY]]="",NOTA[[#This Row],[HARGA SATUAN]]="",),"",NOTA[[#This Row],[QTY]]*NOTA[[#This Row],[HARGA SATUAN]])</f>
        <v/>
      </c>
      <c r="AG420" s="36" t="str">
        <f ca="1">IF(NOTA[[#This Row],[ID_H]]="","",INDEX(NOTA[TANGGAL],MATCH(,INDIRECT(ADDRESS(ROW(NOTA[TANGGAL]),COLUMN(NOTA[TANGGAL]))&amp;":"&amp;ADDRESS(ROW(),COLUMN(NOTA[TANGGAL]))),-1)))</f>
        <v/>
      </c>
      <c r="AH420" s="36" t="str">
        <f ca="1">IF(NOTA[[#This Row],[ID_H]]="","",INDEX(NOTA[TGL.NOTA],MATCH(,INDIRECT(ADDRESS(ROW(NOTA[TGL.NOTA]),COLUMN(NOTA[TGL.NOTA]))&amp;":"&amp;ADDRESS(ROW(),COLUMN(NOTA[TGL.NOTA]))),-1)))</f>
        <v/>
      </c>
      <c r="AI420" s="36" t="str">
        <f ca="1">IF(NOTA[[#This Row],[ID_H]]="","",INDEX(NOTA[NO.NOTA],MATCH(NOTA[[#This Row],[ID_H]],NOTA[ID_H],0)))</f>
        <v/>
      </c>
      <c r="AJ420" s="38" t="str">
        <f ca="1">IF(NOTA[[#This Row],[NAMA BARANG]]="","",INDEX(NOTA[SUPPLIER],MATCH(,INDIRECT(ADDRESS(ROW(NOTA[ID]),COLUMN(NOTA[ID]))&amp;":"&amp;ADDRESS(ROW(),COLUMN(NOTA[ID]))),-1)))</f>
        <v/>
      </c>
      <c r="AK420" s="38" t="str">
        <f ca="1">IF(NOTA[[#This Row],[ID_H]]="","",IF(NOTA[[#This Row],[FAKTUR]]="",INDIRECT(ADDRESS(ROW()-1,COLUMN())),NOTA[[#This Row],[FAKTUR]]))</f>
        <v/>
      </c>
      <c r="AL420" s="35" t="str">
        <f ca="1">IF(NOTA[[#This Row],[ID]]="","",COUNTIF(NOTA[ID_H],NOTA[[#This Row],[ID_H]]))</f>
        <v/>
      </c>
      <c r="AM420" s="35" t="str">
        <f ca="1">IF(NOTA[[#This Row],[TGL.NOTA]]="",IF(NOTA[[#This Row],[SUPPLIER_H]]="","",AM419),MONTH(NOTA[[#This Row],[TGL.NOTA]]))</f>
        <v/>
      </c>
      <c r="AN4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0" s="35" t="str">
        <f>IF(NOTA[[#This Row],[CONCAT1]]="","",MATCH(NOTA[[#This Row],[CONCAT1]],[3]!db[NB NOTA_C],0))</f>
        <v/>
      </c>
      <c r="AS420" s="35" t="str">
        <f>IF(NOTA[[#This Row],[Column5]]="","",TRUE)</f>
        <v/>
      </c>
      <c r="AT420" s="35" t="str">
        <f ca="1">IF(NOTA[[#This Row],[ID_H]]="","",IF(NOTA[[#This Row],[Column3]]=TRUE,NOTA[[#This Row],[Column5]],INDEX([3]!db[QTY/ CTN],NOTA[[#This Row],[//DB]])))</f>
        <v/>
      </c>
      <c r="AU4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0" s="35" t="str">
        <f ca="1">IF(NOTA[[#This Row],[ID_H]]="","",MATCH(NOTA[[#This Row],[NB NOTA_C_QTY]],[3]!db[NB NOTA_C_QTY+F],0))</f>
        <v/>
      </c>
      <c r="AW420" s="43" t="str">
        <f ca="1">IF(NOTA[[#This Row],[NB NOTA_C_QTY]]="","",ROW()-2)</f>
        <v/>
      </c>
    </row>
    <row r="421" spans="1:49" ht="20.100000000000001" customHeight="1">
      <c r="A4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5" t="str">
        <f ca="1">IF(NOTA[[#This Row],[NAMA BARANG]]="","",INDEX(NOTA[ID],MATCH(,INDIRECT(ADDRESS(ROW(NOTA[ID]),COLUMN(NOTA[ID]))&amp;":"&amp;ADDRESS(ROW(),COLUMN(NOTA[ID]))),-1)))</f>
        <v/>
      </c>
      <c r="C421" s="45"/>
      <c r="F421" s="46"/>
      <c r="G421" s="35"/>
      <c r="H421" s="36"/>
      <c r="I421" s="35"/>
      <c r="K421" s="37"/>
      <c r="L421" s="35"/>
      <c r="N421" s="38"/>
      <c r="O421" s="39"/>
      <c r="P421" s="47"/>
      <c r="Q421" s="48"/>
      <c r="R421" s="41"/>
      <c r="T421" s="42"/>
      <c r="U421" s="44"/>
      <c r="V421" s="42" t="str">
        <f>IF(NOTA[[#This Row],[HARGA/ CTN]]="",NOTA[[#This Row],[JUMLAH_H]],NOTA[[#This Row],[HARGA/ CTN]]*IF(NOTA[[#This Row],[C]]="",0,NOTA[[#This Row],[C]]))</f>
        <v/>
      </c>
      <c r="W421" s="42" t="str">
        <f>IF(NOTA[[#This Row],[JUMLAH]]="","",NOTA[[#This Row],[JUMLAH]]*NOTA[[#This Row],[Column6]])</f>
        <v/>
      </c>
      <c r="X421" s="42" t="str">
        <f>IF(NOTA[[#This Row],[JUMLAH]]="","",(NOTA[[#This Row],[JUMLAH]]-NOTA[[#This Row],[DISC 1-]])*NOTA[[#This Row],[Column7]])</f>
        <v/>
      </c>
      <c r="Y421" s="42" t="str">
        <f>IF(NOTA[[#This Row],[JUMLAH]]="","",(NOTA[[#This Row],[JUMLAH]]-NOTA[[#This Row],[DISC 1-]]-NOTA[[#This Row],[DISC 2-]])*NOTA[[#This Row],[Column8]])</f>
        <v/>
      </c>
      <c r="Z421" s="42" t="str">
        <f>IF(NOTA[[#This Row],[JUMLAH]]="","",NOTA[[#This Row],[DISC 1-]]+NOTA[[#This Row],[DISC 2-]]+NOTA[[#This Row],[DISC 3-]])</f>
        <v/>
      </c>
      <c r="AA421" s="42" t="str">
        <f>IF(NOTA[[#This Row],[JUMLAH]]="","",NOTA[[#This Row],[JUMLAH]]-NOTA[[#This Row],[DISC]])</f>
        <v/>
      </c>
      <c r="AB421" s="42"/>
      <c r="AC4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42" t="str">
        <f>IF(OR(NOTA[[#This Row],[QTY]]="",NOTA[[#This Row],[HARGA SATUAN]]="",),"",NOTA[[#This Row],[QTY]]*NOTA[[#This Row],[HARGA SATUAN]])</f>
        <v/>
      </c>
      <c r="AG421" s="36" t="str">
        <f ca="1">IF(NOTA[[#This Row],[ID_H]]="","",INDEX(NOTA[TANGGAL],MATCH(,INDIRECT(ADDRESS(ROW(NOTA[TANGGAL]),COLUMN(NOTA[TANGGAL]))&amp;":"&amp;ADDRESS(ROW(),COLUMN(NOTA[TANGGAL]))),-1)))</f>
        <v/>
      </c>
      <c r="AH421" s="36" t="str">
        <f ca="1">IF(NOTA[[#This Row],[ID_H]]="","",INDEX(NOTA[TGL.NOTA],MATCH(,INDIRECT(ADDRESS(ROW(NOTA[TGL.NOTA]),COLUMN(NOTA[TGL.NOTA]))&amp;":"&amp;ADDRESS(ROW(),COLUMN(NOTA[TGL.NOTA]))),-1)))</f>
        <v/>
      </c>
      <c r="AI421" s="36" t="str">
        <f ca="1">IF(NOTA[[#This Row],[ID_H]]="","",INDEX(NOTA[NO.NOTA],MATCH(NOTA[[#This Row],[ID_H]],NOTA[ID_H],0)))</f>
        <v/>
      </c>
      <c r="AJ421" s="38" t="str">
        <f ca="1">IF(NOTA[[#This Row],[NAMA BARANG]]="","",INDEX(NOTA[SUPPLIER],MATCH(,INDIRECT(ADDRESS(ROW(NOTA[ID]),COLUMN(NOTA[ID]))&amp;":"&amp;ADDRESS(ROW(),COLUMN(NOTA[ID]))),-1)))</f>
        <v/>
      </c>
      <c r="AK421" s="38" t="str">
        <f ca="1">IF(NOTA[[#This Row],[ID_H]]="","",IF(NOTA[[#This Row],[FAKTUR]]="",INDIRECT(ADDRESS(ROW()-1,COLUMN())),NOTA[[#This Row],[FAKTUR]]))</f>
        <v/>
      </c>
      <c r="AL421" s="35" t="str">
        <f ca="1">IF(NOTA[[#This Row],[ID]]="","",COUNTIF(NOTA[ID_H],NOTA[[#This Row],[ID_H]]))</f>
        <v/>
      </c>
      <c r="AM421" s="35" t="str">
        <f ca="1">IF(NOTA[[#This Row],[TGL.NOTA]]="",IF(NOTA[[#This Row],[SUPPLIER_H]]="","",AM420),MONTH(NOTA[[#This Row],[TGL.NOTA]]))</f>
        <v/>
      </c>
      <c r="AN4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1" s="35" t="str">
        <f>IF(NOTA[[#This Row],[CONCAT1]]="","",MATCH(NOTA[[#This Row],[CONCAT1]],[3]!db[NB NOTA_C],0))</f>
        <v/>
      </c>
      <c r="AS421" s="35" t="str">
        <f>IF(NOTA[[#This Row],[Column5]]="","",TRUE)</f>
        <v/>
      </c>
      <c r="AT421" s="35" t="str">
        <f ca="1">IF(NOTA[[#This Row],[ID_H]]="","",IF(NOTA[[#This Row],[Column3]]=TRUE,NOTA[[#This Row],[Column5]],INDEX([3]!db[QTY/ CTN],NOTA[[#This Row],[//DB]])))</f>
        <v/>
      </c>
      <c r="AU4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1" s="35" t="str">
        <f ca="1">IF(NOTA[[#This Row],[ID_H]]="","",MATCH(NOTA[[#This Row],[NB NOTA_C_QTY]],[3]!db[NB NOTA_C_QTY+F],0))</f>
        <v/>
      </c>
      <c r="AW421" s="43" t="str">
        <f ca="1">IF(NOTA[[#This Row],[NB NOTA_C_QTY]]="","",ROW()-2)</f>
        <v/>
      </c>
    </row>
    <row r="422" spans="1:49" ht="20.100000000000001" customHeight="1">
      <c r="A4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5" t="str">
        <f ca="1">IF(NOTA[[#This Row],[NAMA BARANG]]="","",INDEX(NOTA[ID],MATCH(,INDIRECT(ADDRESS(ROW(NOTA[ID]),COLUMN(NOTA[ID]))&amp;":"&amp;ADDRESS(ROW(),COLUMN(NOTA[ID]))),-1)))</f>
        <v/>
      </c>
      <c r="C422" s="45"/>
      <c r="F422" s="46"/>
      <c r="G422" s="35"/>
      <c r="H422" s="36"/>
      <c r="I422" s="35"/>
      <c r="K422" s="37"/>
      <c r="L422" s="35"/>
      <c r="N422" s="38"/>
      <c r="O422" s="39"/>
      <c r="P422" s="47"/>
      <c r="Q422" s="48"/>
      <c r="R422" s="41"/>
      <c r="T422" s="42"/>
      <c r="U422" s="44"/>
      <c r="V422" s="42" t="str">
        <f>IF(NOTA[[#This Row],[HARGA/ CTN]]="",NOTA[[#This Row],[JUMLAH_H]],NOTA[[#This Row],[HARGA/ CTN]]*IF(NOTA[[#This Row],[C]]="",0,NOTA[[#This Row],[C]]))</f>
        <v/>
      </c>
      <c r="W422" s="42" t="str">
        <f>IF(NOTA[[#This Row],[JUMLAH]]="","",NOTA[[#This Row],[JUMLAH]]*NOTA[[#This Row],[Column6]])</f>
        <v/>
      </c>
      <c r="X422" s="42" t="str">
        <f>IF(NOTA[[#This Row],[JUMLAH]]="","",(NOTA[[#This Row],[JUMLAH]]-NOTA[[#This Row],[DISC 1-]])*NOTA[[#This Row],[Column7]])</f>
        <v/>
      </c>
      <c r="Y422" s="42" t="str">
        <f>IF(NOTA[[#This Row],[JUMLAH]]="","",(NOTA[[#This Row],[JUMLAH]]-NOTA[[#This Row],[DISC 1-]]-NOTA[[#This Row],[DISC 2-]])*NOTA[[#This Row],[Column8]])</f>
        <v/>
      </c>
      <c r="Z422" s="42" t="str">
        <f>IF(NOTA[[#This Row],[JUMLAH]]="","",NOTA[[#This Row],[DISC 1-]]+NOTA[[#This Row],[DISC 2-]]+NOTA[[#This Row],[DISC 3-]])</f>
        <v/>
      </c>
      <c r="AA422" s="42" t="str">
        <f>IF(NOTA[[#This Row],[JUMLAH]]="","",NOTA[[#This Row],[JUMLAH]]-NOTA[[#This Row],[DISC]])</f>
        <v/>
      </c>
      <c r="AB422" s="42"/>
      <c r="AC4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2" s="42" t="str">
        <f>IF(OR(NOTA[[#This Row],[QTY]]="",NOTA[[#This Row],[HARGA SATUAN]]="",),"",NOTA[[#This Row],[QTY]]*NOTA[[#This Row],[HARGA SATUAN]])</f>
        <v/>
      </c>
      <c r="AG422" s="36" t="str">
        <f ca="1">IF(NOTA[[#This Row],[ID_H]]="","",INDEX(NOTA[TANGGAL],MATCH(,INDIRECT(ADDRESS(ROW(NOTA[TANGGAL]),COLUMN(NOTA[TANGGAL]))&amp;":"&amp;ADDRESS(ROW(),COLUMN(NOTA[TANGGAL]))),-1)))</f>
        <v/>
      </c>
      <c r="AH422" s="36" t="str">
        <f ca="1">IF(NOTA[[#This Row],[ID_H]]="","",INDEX(NOTA[TGL.NOTA],MATCH(,INDIRECT(ADDRESS(ROW(NOTA[TGL.NOTA]),COLUMN(NOTA[TGL.NOTA]))&amp;":"&amp;ADDRESS(ROW(),COLUMN(NOTA[TGL.NOTA]))),-1)))</f>
        <v/>
      </c>
      <c r="AI422" s="36" t="str">
        <f ca="1">IF(NOTA[[#This Row],[ID_H]]="","",INDEX(NOTA[NO.NOTA],MATCH(NOTA[[#This Row],[ID_H]],NOTA[ID_H],0)))</f>
        <v/>
      </c>
      <c r="AJ422" s="38" t="str">
        <f ca="1">IF(NOTA[[#This Row],[NAMA BARANG]]="","",INDEX(NOTA[SUPPLIER],MATCH(,INDIRECT(ADDRESS(ROW(NOTA[ID]),COLUMN(NOTA[ID]))&amp;":"&amp;ADDRESS(ROW(),COLUMN(NOTA[ID]))),-1)))</f>
        <v/>
      </c>
      <c r="AK422" s="38" t="str">
        <f ca="1">IF(NOTA[[#This Row],[ID_H]]="","",IF(NOTA[[#This Row],[FAKTUR]]="",INDIRECT(ADDRESS(ROW()-1,COLUMN())),NOTA[[#This Row],[FAKTUR]]))</f>
        <v/>
      </c>
      <c r="AL422" s="35" t="str">
        <f ca="1">IF(NOTA[[#This Row],[ID]]="","",COUNTIF(NOTA[ID_H],NOTA[[#This Row],[ID_H]]))</f>
        <v/>
      </c>
      <c r="AM422" s="35" t="str">
        <f ca="1">IF(NOTA[[#This Row],[TGL.NOTA]]="",IF(NOTA[[#This Row],[SUPPLIER_H]]="","",AM421),MONTH(NOTA[[#This Row],[TGL.NOTA]]))</f>
        <v/>
      </c>
      <c r="AN4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2" s="35" t="str">
        <f>IF(NOTA[[#This Row],[CONCAT1]]="","",MATCH(NOTA[[#This Row],[CONCAT1]],[3]!db[NB NOTA_C],0))</f>
        <v/>
      </c>
      <c r="AS422" s="35" t="str">
        <f>IF(NOTA[[#This Row],[Column5]]="","",TRUE)</f>
        <v/>
      </c>
      <c r="AT422" s="35" t="str">
        <f ca="1">IF(NOTA[[#This Row],[ID_H]]="","",IF(NOTA[[#This Row],[Column3]]=TRUE,NOTA[[#This Row],[Column5]],INDEX([3]!db[QTY/ CTN],NOTA[[#This Row],[//DB]])))</f>
        <v/>
      </c>
      <c r="AU4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2" s="35" t="str">
        <f ca="1">IF(NOTA[[#This Row],[ID_H]]="","",MATCH(NOTA[[#This Row],[NB NOTA_C_QTY]],[3]!db[NB NOTA_C_QTY+F],0))</f>
        <v/>
      </c>
      <c r="AW422" s="43" t="str">
        <f ca="1">IF(NOTA[[#This Row],[NB NOTA_C_QTY]]="","",ROW()-2)</f>
        <v/>
      </c>
    </row>
    <row r="423" spans="1:49" ht="20.100000000000001" customHeight="1">
      <c r="A4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5" t="str">
        <f ca="1">IF(NOTA[[#This Row],[NAMA BARANG]]="","",INDEX(NOTA[ID],MATCH(,INDIRECT(ADDRESS(ROW(NOTA[ID]),COLUMN(NOTA[ID]))&amp;":"&amp;ADDRESS(ROW(),COLUMN(NOTA[ID]))),-1)))</f>
        <v/>
      </c>
      <c r="C423" s="45"/>
      <c r="F423" s="46"/>
      <c r="G423" s="35"/>
      <c r="H423" s="36"/>
      <c r="I423" s="35"/>
      <c r="K423" s="37"/>
      <c r="L423" s="35"/>
      <c r="N423" s="38"/>
      <c r="O423" s="39"/>
      <c r="P423" s="47"/>
      <c r="Q423" s="48"/>
      <c r="R423" s="41"/>
      <c r="T423" s="42"/>
      <c r="U423" s="44"/>
      <c r="V423" s="42" t="str">
        <f>IF(NOTA[[#This Row],[HARGA/ CTN]]="",NOTA[[#This Row],[JUMLAH_H]],NOTA[[#This Row],[HARGA/ CTN]]*IF(NOTA[[#This Row],[C]]="",0,NOTA[[#This Row],[C]]))</f>
        <v/>
      </c>
      <c r="W423" s="42" t="str">
        <f>IF(NOTA[[#This Row],[JUMLAH]]="","",NOTA[[#This Row],[JUMLAH]]*NOTA[[#This Row],[Column6]])</f>
        <v/>
      </c>
      <c r="X423" s="42" t="str">
        <f>IF(NOTA[[#This Row],[JUMLAH]]="","",(NOTA[[#This Row],[JUMLAH]]-NOTA[[#This Row],[DISC 1-]])*NOTA[[#This Row],[Column7]])</f>
        <v/>
      </c>
      <c r="Y423" s="42" t="str">
        <f>IF(NOTA[[#This Row],[JUMLAH]]="","",(NOTA[[#This Row],[JUMLAH]]-NOTA[[#This Row],[DISC 1-]]-NOTA[[#This Row],[DISC 2-]])*NOTA[[#This Row],[Column8]])</f>
        <v/>
      </c>
      <c r="Z423" s="42" t="str">
        <f>IF(NOTA[[#This Row],[JUMLAH]]="","",NOTA[[#This Row],[DISC 1-]]+NOTA[[#This Row],[DISC 2-]]+NOTA[[#This Row],[DISC 3-]])</f>
        <v/>
      </c>
      <c r="AA423" s="42" t="str">
        <f>IF(NOTA[[#This Row],[JUMLAH]]="","",NOTA[[#This Row],[JUMLAH]]-NOTA[[#This Row],[DISC]])</f>
        <v/>
      </c>
      <c r="AB423" s="42"/>
      <c r="AC4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3" s="42" t="str">
        <f>IF(OR(NOTA[[#This Row],[QTY]]="",NOTA[[#This Row],[HARGA SATUAN]]="",),"",NOTA[[#This Row],[QTY]]*NOTA[[#This Row],[HARGA SATUAN]])</f>
        <v/>
      </c>
      <c r="AG423" s="36" t="str">
        <f ca="1">IF(NOTA[[#This Row],[ID_H]]="","",INDEX(NOTA[TANGGAL],MATCH(,INDIRECT(ADDRESS(ROW(NOTA[TANGGAL]),COLUMN(NOTA[TANGGAL]))&amp;":"&amp;ADDRESS(ROW(),COLUMN(NOTA[TANGGAL]))),-1)))</f>
        <v/>
      </c>
      <c r="AH423" s="36" t="str">
        <f ca="1">IF(NOTA[[#This Row],[ID_H]]="","",INDEX(NOTA[TGL.NOTA],MATCH(,INDIRECT(ADDRESS(ROW(NOTA[TGL.NOTA]),COLUMN(NOTA[TGL.NOTA]))&amp;":"&amp;ADDRESS(ROW(),COLUMN(NOTA[TGL.NOTA]))),-1)))</f>
        <v/>
      </c>
      <c r="AI423" s="36" t="str">
        <f ca="1">IF(NOTA[[#This Row],[ID_H]]="","",INDEX(NOTA[NO.NOTA],MATCH(NOTA[[#This Row],[ID_H]],NOTA[ID_H],0)))</f>
        <v/>
      </c>
      <c r="AJ423" s="38" t="str">
        <f ca="1">IF(NOTA[[#This Row],[NAMA BARANG]]="","",INDEX(NOTA[SUPPLIER],MATCH(,INDIRECT(ADDRESS(ROW(NOTA[ID]),COLUMN(NOTA[ID]))&amp;":"&amp;ADDRESS(ROW(),COLUMN(NOTA[ID]))),-1)))</f>
        <v/>
      </c>
      <c r="AK423" s="38" t="str">
        <f ca="1">IF(NOTA[[#This Row],[ID_H]]="","",IF(NOTA[[#This Row],[FAKTUR]]="",INDIRECT(ADDRESS(ROW()-1,COLUMN())),NOTA[[#This Row],[FAKTUR]]))</f>
        <v/>
      </c>
      <c r="AL423" s="35" t="str">
        <f ca="1">IF(NOTA[[#This Row],[ID]]="","",COUNTIF(NOTA[ID_H],NOTA[[#This Row],[ID_H]]))</f>
        <v/>
      </c>
      <c r="AM423" s="35" t="str">
        <f ca="1">IF(NOTA[[#This Row],[TGL.NOTA]]="",IF(NOTA[[#This Row],[SUPPLIER_H]]="","",AM422),MONTH(NOTA[[#This Row],[TGL.NOTA]]))</f>
        <v/>
      </c>
      <c r="AN4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3" s="35" t="str">
        <f>IF(NOTA[[#This Row],[CONCAT1]]="","",MATCH(NOTA[[#This Row],[CONCAT1]],[3]!db[NB NOTA_C],0))</f>
        <v/>
      </c>
      <c r="AS423" s="35" t="str">
        <f>IF(NOTA[[#This Row],[Column5]]="","",TRUE)</f>
        <v/>
      </c>
      <c r="AT423" s="35" t="str">
        <f ca="1">IF(NOTA[[#This Row],[ID_H]]="","",IF(NOTA[[#This Row],[Column3]]=TRUE,NOTA[[#This Row],[Column5]],INDEX([3]!db[QTY/ CTN],NOTA[[#This Row],[//DB]])))</f>
        <v/>
      </c>
      <c r="AU4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3" s="35" t="str">
        <f ca="1">IF(NOTA[[#This Row],[ID_H]]="","",MATCH(NOTA[[#This Row],[NB NOTA_C_QTY]],[3]!db[NB NOTA_C_QTY+F],0))</f>
        <v/>
      </c>
      <c r="AW423" s="43" t="str">
        <f ca="1">IF(NOTA[[#This Row],[NB NOTA_C_QTY]]="","",ROW()-2)</f>
        <v/>
      </c>
    </row>
    <row r="424" spans="1:49" ht="20.100000000000001" customHeight="1">
      <c r="A4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5" t="str">
        <f ca="1">IF(NOTA[[#This Row],[NAMA BARANG]]="","",INDEX(NOTA[ID],MATCH(,INDIRECT(ADDRESS(ROW(NOTA[ID]),COLUMN(NOTA[ID]))&amp;":"&amp;ADDRESS(ROW(),COLUMN(NOTA[ID]))),-1)))</f>
        <v/>
      </c>
      <c r="C424" s="45"/>
      <c r="F424" s="46"/>
      <c r="G424" s="35"/>
      <c r="H424" s="36"/>
      <c r="I424" s="35"/>
      <c r="K424" s="37"/>
      <c r="L424" s="35"/>
      <c r="N424" s="38"/>
      <c r="O424" s="39"/>
      <c r="P424" s="47"/>
      <c r="Q424" s="48"/>
      <c r="R424" s="41"/>
      <c r="T424" s="42"/>
      <c r="U424" s="44"/>
      <c r="V424" s="42" t="str">
        <f>IF(NOTA[[#This Row],[HARGA/ CTN]]="",NOTA[[#This Row],[JUMLAH_H]],NOTA[[#This Row],[HARGA/ CTN]]*IF(NOTA[[#This Row],[C]]="",0,NOTA[[#This Row],[C]]))</f>
        <v/>
      </c>
      <c r="W424" s="42" t="str">
        <f>IF(NOTA[[#This Row],[JUMLAH]]="","",NOTA[[#This Row],[JUMLAH]]*NOTA[[#This Row],[Column6]])</f>
        <v/>
      </c>
      <c r="X424" s="42" t="str">
        <f>IF(NOTA[[#This Row],[JUMLAH]]="","",(NOTA[[#This Row],[JUMLAH]]-NOTA[[#This Row],[DISC 1-]])*NOTA[[#This Row],[Column7]])</f>
        <v/>
      </c>
      <c r="Y424" s="42" t="str">
        <f>IF(NOTA[[#This Row],[JUMLAH]]="","",(NOTA[[#This Row],[JUMLAH]]-NOTA[[#This Row],[DISC 1-]]-NOTA[[#This Row],[DISC 2-]])*NOTA[[#This Row],[Column8]])</f>
        <v/>
      </c>
      <c r="Z424" s="42" t="str">
        <f>IF(NOTA[[#This Row],[JUMLAH]]="","",NOTA[[#This Row],[DISC 1-]]+NOTA[[#This Row],[DISC 2-]]+NOTA[[#This Row],[DISC 3-]])</f>
        <v/>
      </c>
      <c r="AA424" s="42" t="str">
        <f>IF(NOTA[[#This Row],[JUMLAH]]="","",NOTA[[#This Row],[JUMLAH]]-NOTA[[#This Row],[DISC]])</f>
        <v/>
      </c>
      <c r="AB424" s="42"/>
      <c r="AC4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4" s="42" t="str">
        <f>IF(OR(NOTA[[#This Row],[QTY]]="",NOTA[[#This Row],[HARGA SATUAN]]="",),"",NOTA[[#This Row],[QTY]]*NOTA[[#This Row],[HARGA SATUAN]])</f>
        <v/>
      </c>
      <c r="AG424" s="36" t="str">
        <f ca="1">IF(NOTA[[#This Row],[ID_H]]="","",INDEX(NOTA[TANGGAL],MATCH(,INDIRECT(ADDRESS(ROW(NOTA[TANGGAL]),COLUMN(NOTA[TANGGAL]))&amp;":"&amp;ADDRESS(ROW(),COLUMN(NOTA[TANGGAL]))),-1)))</f>
        <v/>
      </c>
      <c r="AH424" s="36" t="str">
        <f ca="1">IF(NOTA[[#This Row],[ID_H]]="","",INDEX(NOTA[TGL.NOTA],MATCH(,INDIRECT(ADDRESS(ROW(NOTA[TGL.NOTA]),COLUMN(NOTA[TGL.NOTA]))&amp;":"&amp;ADDRESS(ROW(),COLUMN(NOTA[TGL.NOTA]))),-1)))</f>
        <v/>
      </c>
      <c r="AI424" s="36" t="str">
        <f ca="1">IF(NOTA[[#This Row],[ID_H]]="","",INDEX(NOTA[NO.NOTA],MATCH(NOTA[[#This Row],[ID_H]],NOTA[ID_H],0)))</f>
        <v/>
      </c>
      <c r="AJ424" s="38" t="str">
        <f ca="1">IF(NOTA[[#This Row],[NAMA BARANG]]="","",INDEX(NOTA[SUPPLIER],MATCH(,INDIRECT(ADDRESS(ROW(NOTA[ID]),COLUMN(NOTA[ID]))&amp;":"&amp;ADDRESS(ROW(),COLUMN(NOTA[ID]))),-1)))</f>
        <v/>
      </c>
      <c r="AK424" s="38" t="str">
        <f ca="1">IF(NOTA[[#This Row],[ID_H]]="","",IF(NOTA[[#This Row],[FAKTUR]]="",INDIRECT(ADDRESS(ROW()-1,COLUMN())),NOTA[[#This Row],[FAKTUR]]))</f>
        <v/>
      </c>
      <c r="AL424" s="35" t="str">
        <f ca="1">IF(NOTA[[#This Row],[ID]]="","",COUNTIF(NOTA[ID_H],NOTA[[#This Row],[ID_H]]))</f>
        <v/>
      </c>
      <c r="AM424" s="35" t="str">
        <f ca="1">IF(NOTA[[#This Row],[TGL.NOTA]]="",IF(NOTA[[#This Row],[SUPPLIER_H]]="","",AM423),MONTH(NOTA[[#This Row],[TGL.NOTA]]))</f>
        <v/>
      </c>
      <c r="AN4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4" s="35" t="str">
        <f>IF(NOTA[[#This Row],[CONCAT1]]="","",MATCH(NOTA[[#This Row],[CONCAT1]],[3]!db[NB NOTA_C],0))</f>
        <v/>
      </c>
      <c r="AS424" s="35" t="str">
        <f>IF(NOTA[[#This Row],[Column5]]="","",TRUE)</f>
        <v/>
      </c>
      <c r="AT424" s="35" t="str">
        <f ca="1">IF(NOTA[[#This Row],[ID_H]]="","",IF(NOTA[[#This Row],[Column3]]=TRUE,NOTA[[#This Row],[Column5]],INDEX([3]!db[QTY/ CTN],NOTA[[#This Row],[//DB]])))</f>
        <v/>
      </c>
      <c r="AU4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4" s="35" t="str">
        <f ca="1">IF(NOTA[[#This Row],[ID_H]]="","",MATCH(NOTA[[#This Row],[NB NOTA_C_QTY]],[3]!db[NB NOTA_C_QTY+F],0))</f>
        <v/>
      </c>
      <c r="AW424" s="43" t="str">
        <f ca="1">IF(NOTA[[#This Row],[NB NOTA_C_QTY]]="","",ROW()-2)</f>
        <v/>
      </c>
    </row>
    <row r="425" spans="1:49" ht="20.100000000000001" customHeight="1">
      <c r="A4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5" t="str">
        <f ca="1">IF(NOTA[[#This Row],[NAMA BARANG]]="","",INDEX(NOTA[ID],MATCH(,INDIRECT(ADDRESS(ROW(NOTA[ID]),COLUMN(NOTA[ID]))&amp;":"&amp;ADDRESS(ROW(),COLUMN(NOTA[ID]))),-1)))</f>
        <v/>
      </c>
      <c r="C425" s="45"/>
      <c r="F425" s="46"/>
      <c r="G425" s="35"/>
      <c r="H425" s="36"/>
      <c r="I425" s="35"/>
      <c r="K425" s="37"/>
      <c r="L425" s="35"/>
      <c r="N425" s="38"/>
      <c r="O425" s="39"/>
      <c r="P425" s="47"/>
      <c r="Q425" s="48"/>
      <c r="R425" s="41"/>
      <c r="T425" s="42"/>
      <c r="U425" s="44"/>
      <c r="V425" s="42" t="str">
        <f>IF(NOTA[[#This Row],[HARGA/ CTN]]="",NOTA[[#This Row],[JUMLAH_H]],NOTA[[#This Row],[HARGA/ CTN]]*IF(NOTA[[#This Row],[C]]="",0,NOTA[[#This Row],[C]]))</f>
        <v/>
      </c>
      <c r="W425" s="42" t="str">
        <f>IF(NOTA[[#This Row],[JUMLAH]]="","",NOTA[[#This Row],[JUMLAH]]*NOTA[[#This Row],[Column6]])</f>
        <v/>
      </c>
      <c r="X425" s="42" t="str">
        <f>IF(NOTA[[#This Row],[JUMLAH]]="","",(NOTA[[#This Row],[JUMLAH]]-NOTA[[#This Row],[DISC 1-]])*NOTA[[#This Row],[Column7]])</f>
        <v/>
      </c>
      <c r="Y425" s="42" t="str">
        <f>IF(NOTA[[#This Row],[JUMLAH]]="","",(NOTA[[#This Row],[JUMLAH]]-NOTA[[#This Row],[DISC 1-]]-NOTA[[#This Row],[DISC 2-]])*NOTA[[#This Row],[Column8]])</f>
        <v/>
      </c>
      <c r="Z425" s="42" t="str">
        <f>IF(NOTA[[#This Row],[JUMLAH]]="","",NOTA[[#This Row],[DISC 1-]]+NOTA[[#This Row],[DISC 2-]]+NOTA[[#This Row],[DISC 3-]])</f>
        <v/>
      </c>
      <c r="AA425" s="42" t="str">
        <f>IF(NOTA[[#This Row],[JUMLAH]]="","",NOTA[[#This Row],[JUMLAH]]-NOTA[[#This Row],[DISC]])</f>
        <v/>
      </c>
      <c r="AB425" s="42"/>
      <c r="AC4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5" s="42" t="str">
        <f>IF(OR(NOTA[[#This Row],[QTY]]="",NOTA[[#This Row],[HARGA SATUAN]]="",),"",NOTA[[#This Row],[QTY]]*NOTA[[#This Row],[HARGA SATUAN]])</f>
        <v/>
      </c>
      <c r="AG425" s="36" t="str">
        <f ca="1">IF(NOTA[[#This Row],[ID_H]]="","",INDEX(NOTA[TANGGAL],MATCH(,INDIRECT(ADDRESS(ROW(NOTA[TANGGAL]),COLUMN(NOTA[TANGGAL]))&amp;":"&amp;ADDRESS(ROW(),COLUMN(NOTA[TANGGAL]))),-1)))</f>
        <v/>
      </c>
      <c r="AH425" s="36" t="str">
        <f ca="1">IF(NOTA[[#This Row],[ID_H]]="","",INDEX(NOTA[TGL.NOTA],MATCH(,INDIRECT(ADDRESS(ROW(NOTA[TGL.NOTA]),COLUMN(NOTA[TGL.NOTA]))&amp;":"&amp;ADDRESS(ROW(),COLUMN(NOTA[TGL.NOTA]))),-1)))</f>
        <v/>
      </c>
      <c r="AI425" s="36" t="str">
        <f ca="1">IF(NOTA[[#This Row],[ID_H]]="","",INDEX(NOTA[NO.NOTA],MATCH(NOTA[[#This Row],[ID_H]],NOTA[ID_H],0)))</f>
        <v/>
      </c>
      <c r="AJ425" s="38" t="str">
        <f ca="1">IF(NOTA[[#This Row],[NAMA BARANG]]="","",INDEX(NOTA[SUPPLIER],MATCH(,INDIRECT(ADDRESS(ROW(NOTA[ID]),COLUMN(NOTA[ID]))&amp;":"&amp;ADDRESS(ROW(),COLUMN(NOTA[ID]))),-1)))</f>
        <v/>
      </c>
      <c r="AK425" s="38" t="str">
        <f ca="1">IF(NOTA[[#This Row],[ID_H]]="","",IF(NOTA[[#This Row],[FAKTUR]]="",INDIRECT(ADDRESS(ROW()-1,COLUMN())),NOTA[[#This Row],[FAKTUR]]))</f>
        <v/>
      </c>
      <c r="AL425" s="35" t="str">
        <f ca="1">IF(NOTA[[#This Row],[ID]]="","",COUNTIF(NOTA[ID_H],NOTA[[#This Row],[ID_H]]))</f>
        <v/>
      </c>
      <c r="AM425" s="35" t="str">
        <f ca="1">IF(NOTA[[#This Row],[TGL.NOTA]]="",IF(NOTA[[#This Row],[SUPPLIER_H]]="","",AM424),MONTH(NOTA[[#This Row],[TGL.NOTA]]))</f>
        <v/>
      </c>
      <c r="AN4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5" s="35" t="str">
        <f>IF(NOTA[[#This Row],[CONCAT1]]="","",MATCH(NOTA[[#This Row],[CONCAT1]],[3]!db[NB NOTA_C],0))</f>
        <v/>
      </c>
      <c r="AS425" s="35" t="str">
        <f>IF(NOTA[[#This Row],[Column5]]="","",TRUE)</f>
        <v/>
      </c>
      <c r="AT425" s="35" t="str">
        <f ca="1">IF(NOTA[[#This Row],[ID_H]]="","",IF(NOTA[[#This Row],[Column3]]=TRUE,NOTA[[#This Row],[Column5]],INDEX([3]!db[QTY/ CTN],NOTA[[#This Row],[//DB]])))</f>
        <v/>
      </c>
      <c r="AU4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5" s="35" t="str">
        <f ca="1">IF(NOTA[[#This Row],[ID_H]]="","",MATCH(NOTA[[#This Row],[NB NOTA_C_QTY]],[3]!db[NB NOTA_C_QTY+F],0))</f>
        <v/>
      </c>
      <c r="AW425" s="43" t="str">
        <f ca="1">IF(NOTA[[#This Row],[NB NOTA_C_QTY]]="","",ROW()-2)</f>
        <v/>
      </c>
    </row>
    <row r="426" spans="1:49" ht="20.100000000000001" customHeight="1">
      <c r="A4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5" t="str">
        <f ca="1">IF(NOTA[[#This Row],[NAMA BARANG]]="","",INDEX(NOTA[ID],MATCH(,INDIRECT(ADDRESS(ROW(NOTA[ID]),COLUMN(NOTA[ID]))&amp;":"&amp;ADDRESS(ROW(),COLUMN(NOTA[ID]))),-1)))</f>
        <v/>
      </c>
      <c r="C426" s="45"/>
      <c r="F426" s="46"/>
      <c r="G426" s="35"/>
      <c r="H426" s="36"/>
      <c r="I426" s="35"/>
      <c r="K426" s="37"/>
      <c r="L426" s="35"/>
      <c r="N426" s="38"/>
      <c r="O426" s="39"/>
      <c r="P426" s="47"/>
      <c r="Q426" s="48"/>
      <c r="R426" s="41"/>
      <c r="T426" s="42"/>
      <c r="U426" s="44"/>
      <c r="V426" s="42" t="str">
        <f>IF(NOTA[[#This Row],[HARGA/ CTN]]="",NOTA[[#This Row],[JUMLAH_H]],NOTA[[#This Row],[HARGA/ CTN]]*IF(NOTA[[#This Row],[C]]="",0,NOTA[[#This Row],[C]]))</f>
        <v/>
      </c>
      <c r="W426" s="42" t="str">
        <f>IF(NOTA[[#This Row],[JUMLAH]]="","",NOTA[[#This Row],[JUMLAH]]*NOTA[[#This Row],[Column6]])</f>
        <v/>
      </c>
      <c r="X426" s="42" t="str">
        <f>IF(NOTA[[#This Row],[JUMLAH]]="","",(NOTA[[#This Row],[JUMLAH]]-NOTA[[#This Row],[DISC 1-]])*NOTA[[#This Row],[Column7]])</f>
        <v/>
      </c>
      <c r="Y426" s="42" t="str">
        <f>IF(NOTA[[#This Row],[JUMLAH]]="","",(NOTA[[#This Row],[JUMLAH]]-NOTA[[#This Row],[DISC 1-]]-NOTA[[#This Row],[DISC 2-]])*NOTA[[#This Row],[Column8]])</f>
        <v/>
      </c>
      <c r="Z426" s="42" t="str">
        <f>IF(NOTA[[#This Row],[JUMLAH]]="","",NOTA[[#This Row],[DISC 1-]]+NOTA[[#This Row],[DISC 2-]]+NOTA[[#This Row],[DISC 3-]])</f>
        <v/>
      </c>
      <c r="AA426" s="42" t="str">
        <f>IF(NOTA[[#This Row],[JUMLAH]]="","",NOTA[[#This Row],[JUMLAH]]-NOTA[[#This Row],[DISC]])</f>
        <v/>
      </c>
      <c r="AB426" s="42"/>
      <c r="AC4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6" s="42" t="str">
        <f>IF(OR(NOTA[[#This Row],[QTY]]="",NOTA[[#This Row],[HARGA SATUAN]]="",),"",NOTA[[#This Row],[QTY]]*NOTA[[#This Row],[HARGA SATUAN]])</f>
        <v/>
      </c>
      <c r="AG426" s="36" t="str">
        <f ca="1">IF(NOTA[[#This Row],[ID_H]]="","",INDEX(NOTA[TANGGAL],MATCH(,INDIRECT(ADDRESS(ROW(NOTA[TANGGAL]),COLUMN(NOTA[TANGGAL]))&amp;":"&amp;ADDRESS(ROW(),COLUMN(NOTA[TANGGAL]))),-1)))</f>
        <v/>
      </c>
      <c r="AH426" s="36" t="str">
        <f ca="1">IF(NOTA[[#This Row],[ID_H]]="","",INDEX(NOTA[TGL.NOTA],MATCH(,INDIRECT(ADDRESS(ROW(NOTA[TGL.NOTA]),COLUMN(NOTA[TGL.NOTA]))&amp;":"&amp;ADDRESS(ROW(),COLUMN(NOTA[TGL.NOTA]))),-1)))</f>
        <v/>
      </c>
      <c r="AI426" s="36" t="str">
        <f ca="1">IF(NOTA[[#This Row],[ID_H]]="","",INDEX(NOTA[NO.NOTA],MATCH(NOTA[[#This Row],[ID_H]],NOTA[ID_H],0)))</f>
        <v/>
      </c>
      <c r="AJ426" s="38" t="str">
        <f ca="1">IF(NOTA[[#This Row],[NAMA BARANG]]="","",INDEX(NOTA[SUPPLIER],MATCH(,INDIRECT(ADDRESS(ROW(NOTA[ID]),COLUMN(NOTA[ID]))&amp;":"&amp;ADDRESS(ROW(),COLUMN(NOTA[ID]))),-1)))</f>
        <v/>
      </c>
      <c r="AK426" s="38" t="str">
        <f ca="1">IF(NOTA[[#This Row],[ID_H]]="","",IF(NOTA[[#This Row],[FAKTUR]]="",INDIRECT(ADDRESS(ROW()-1,COLUMN())),NOTA[[#This Row],[FAKTUR]]))</f>
        <v/>
      </c>
      <c r="AL426" s="35" t="str">
        <f ca="1">IF(NOTA[[#This Row],[ID]]="","",COUNTIF(NOTA[ID_H],NOTA[[#This Row],[ID_H]]))</f>
        <v/>
      </c>
      <c r="AM426" s="35" t="str">
        <f ca="1">IF(NOTA[[#This Row],[TGL.NOTA]]="",IF(NOTA[[#This Row],[SUPPLIER_H]]="","",AM425),MONTH(NOTA[[#This Row],[TGL.NOTA]]))</f>
        <v/>
      </c>
      <c r="AN4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6" s="35" t="str">
        <f>IF(NOTA[[#This Row],[CONCAT1]]="","",MATCH(NOTA[[#This Row],[CONCAT1]],[3]!db[NB NOTA_C],0))</f>
        <v/>
      </c>
      <c r="AS426" s="35" t="str">
        <f>IF(NOTA[[#This Row],[Column5]]="","",TRUE)</f>
        <v/>
      </c>
      <c r="AT426" s="35" t="str">
        <f ca="1">IF(NOTA[[#This Row],[ID_H]]="","",IF(NOTA[[#This Row],[Column3]]=TRUE,NOTA[[#This Row],[Column5]],INDEX([3]!db[QTY/ CTN],NOTA[[#This Row],[//DB]])))</f>
        <v/>
      </c>
      <c r="AU4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6" s="35" t="str">
        <f ca="1">IF(NOTA[[#This Row],[ID_H]]="","",MATCH(NOTA[[#This Row],[NB NOTA_C_QTY]],[3]!db[NB NOTA_C_QTY+F],0))</f>
        <v/>
      </c>
      <c r="AW426" s="43" t="str">
        <f ca="1">IF(NOTA[[#This Row],[NB NOTA_C_QTY]]="","",ROW()-2)</f>
        <v/>
      </c>
    </row>
    <row r="427" spans="1:49" ht="20.100000000000001" customHeight="1">
      <c r="A4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5" t="str">
        <f ca="1">IF(NOTA[[#This Row],[NAMA BARANG]]="","",INDEX(NOTA[ID],MATCH(,INDIRECT(ADDRESS(ROW(NOTA[ID]),COLUMN(NOTA[ID]))&amp;":"&amp;ADDRESS(ROW(),COLUMN(NOTA[ID]))),-1)))</f>
        <v/>
      </c>
      <c r="C427" s="45"/>
      <c r="F427" s="46"/>
      <c r="G427" s="35"/>
      <c r="H427" s="36"/>
      <c r="I427" s="35"/>
      <c r="K427" s="37"/>
      <c r="L427" s="35"/>
      <c r="N427" s="38"/>
      <c r="O427" s="39"/>
      <c r="P427" s="47"/>
      <c r="Q427" s="48"/>
      <c r="R427" s="41"/>
      <c r="T427" s="42"/>
      <c r="U427" s="44"/>
      <c r="V427" s="42" t="str">
        <f>IF(NOTA[[#This Row],[HARGA/ CTN]]="",NOTA[[#This Row],[JUMLAH_H]],NOTA[[#This Row],[HARGA/ CTN]]*IF(NOTA[[#This Row],[C]]="",0,NOTA[[#This Row],[C]]))</f>
        <v/>
      </c>
      <c r="W427" s="42" t="str">
        <f>IF(NOTA[[#This Row],[JUMLAH]]="","",NOTA[[#This Row],[JUMLAH]]*NOTA[[#This Row],[Column6]])</f>
        <v/>
      </c>
      <c r="X427" s="42" t="str">
        <f>IF(NOTA[[#This Row],[JUMLAH]]="","",(NOTA[[#This Row],[JUMLAH]]-NOTA[[#This Row],[DISC 1-]])*NOTA[[#This Row],[Column7]])</f>
        <v/>
      </c>
      <c r="Y427" s="42" t="str">
        <f>IF(NOTA[[#This Row],[JUMLAH]]="","",(NOTA[[#This Row],[JUMLAH]]-NOTA[[#This Row],[DISC 1-]]-NOTA[[#This Row],[DISC 2-]])*NOTA[[#This Row],[Column8]])</f>
        <v/>
      </c>
      <c r="Z427" s="42" t="str">
        <f>IF(NOTA[[#This Row],[JUMLAH]]="","",NOTA[[#This Row],[DISC 1-]]+NOTA[[#This Row],[DISC 2-]]+NOTA[[#This Row],[DISC 3-]])</f>
        <v/>
      </c>
      <c r="AA427" s="42" t="str">
        <f>IF(NOTA[[#This Row],[JUMLAH]]="","",NOTA[[#This Row],[JUMLAH]]-NOTA[[#This Row],[DISC]])</f>
        <v/>
      </c>
      <c r="AB427" s="42"/>
      <c r="AC4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42" t="str">
        <f>IF(OR(NOTA[[#This Row],[QTY]]="",NOTA[[#This Row],[HARGA SATUAN]]="",),"",NOTA[[#This Row],[QTY]]*NOTA[[#This Row],[HARGA SATUAN]])</f>
        <v/>
      </c>
      <c r="AG427" s="36" t="str">
        <f ca="1">IF(NOTA[[#This Row],[ID_H]]="","",INDEX(NOTA[TANGGAL],MATCH(,INDIRECT(ADDRESS(ROW(NOTA[TANGGAL]),COLUMN(NOTA[TANGGAL]))&amp;":"&amp;ADDRESS(ROW(),COLUMN(NOTA[TANGGAL]))),-1)))</f>
        <v/>
      </c>
      <c r="AH427" s="36" t="str">
        <f ca="1">IF(NOTA[[#This Row],[ID_H]]="","",INDEX(NOTA[TGL.NOTA],MATCH(,INDIRECT(ADDRESS(ROW(NOTA[TGL.NOTA]),COLUMN(NOTA[TGL.NOTA]))&amp;":"&amp;ADDRESS(ROW(),COLUMN(NOTA[TGL.NOTA]))),-1)))</f>
        <v/>
      </c>
      <c r="AI427" s="36" t="str">
        <f ca="1">IF(NOTA[[#This Row],[ID_H]]="","",INDEX(NOTA[NO.NOTA],MATCH(NOTA[[#This Row],[ID_H]],NOTA[ID_H],0)))</f>
        <v/>
      </c>
      <c r="AJ427" s="38" t="str">
        <f ca="1">IF(NOTA[[#This Row],[NAMA BARANG]]="","",INDEX(NOTA[SUPPLIER],MATCH(,INDIRECT(ADDRESS(ROW(NOTA[ID]),COLUMN(NOTA[ID]))&amp;":"&amp;ADDRESS(ROW(),COLUMN(NOTA[ID]))),-1)))</f>
        <v/>
      </c>
      <c r="AK427" s="38" t="str">
        <f ca="1">IF(NOTA[[#This Row],[ID_H]]="","",IF(NOTA[[#This Row],[FAKTUR]]="",INDIRECT(ADDRESS(ROW()-1,COLUMN())),NOTA[[#This Row],[FAKTUR]]))</f>
        <v/>
      </c>
      <c r="AL427" s="35" t="str">
        <f ca="1">IF(NOTA[[#This Row],[ID]]="","",COUNTIF(NOTA[ID_H],NOTA[[#This Row],[ID_H]]))</f>
        <v/>
      </c>
      <c r="AM427" s="35" t="str">
        <f ca="1">IF(NOTA[[#This Row],[TGL.NOTA]]="",IF(NOTA[[#This Row],[SUPPLIER_H]]="","",AM426),MONTH(NOTA[[#This Row],[TGL.NOTA]]))</f>
        <v/>
      </c>
      <c r="AN4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7" s="35" t="str">
        <f>IF(NOTA[[#This Row],[CONCAT1]]="","",MATCH(NOTA[[#This Row],[CONCAT1]],[3]!db[NB NOTA_C],0))</f>
        <v/>
      </c>
      <c r="AS427" s="35" t="str">
        <f>IF(NOTA[[#This Row],[Column5]]="","",TRUE)</f>
        <v/>
      </c>
      <c r="AT427" s="35" t="str">
        <f ca="1">IF(NOTA[[#This Row],[ID_H]]="","",IF(NOTA[[#This Row],[Column3]]=TRUE,NOTA[[#This Row],[Column5]],INDEX([3]!db[QTY/ CTN],NOTA[[#This Row],[//DB]])))</f>
        <v/>
      </c>
      <c r="AU4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7" s="35" t="str">
        <f ca="1">IF(NOTA[[#This Row],[ID_H]]="","",MATCH(NOTA[[#This Row],[NB NOTA_C_QTY]],[3]!db[NB NOTA_C_QTY+F],0))</f>
        <v/>
      </c>
      <c r="AW427" s="43" t="str">
        <f ca="1">IF(NOTA[[#This Row],[NB NOTA_C_QTY]]="","",ROW()-2)</f>
        <v/>
      </c>
    </row>
    <row r="428" spans="1:49" ht="20.100000000000001" customHeight="1">
      <c r="A4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5" t="str">
        <f ca="1">IF(NOTA[[#This Row],[NAMA BARANG]]="","",INDEX(NOTA[ID],MATCH(,INDIRECT(ADDRESS(ROW(NOTA[ID]),COLUMN(NOTA[ID]))&amp;":"&amp;ADDRESS(ROW(),COLUMN(NOTA[ID]))),-1)))</f>
        <v/>
      </c>
      <c r="C428" s="45"/>
      <c r="F428" s="46"/>
      <c r="G428" s="35"/>
      <c r="H428" s="36"/>
      <c r="I428" s="35"/>
      <c r="K428" s="37"/>
      <c r="L428" s="35"/>
      <c r="N428" s="38"/>
      <c r="O428" s="39"/>
      <c r="P428" s="47"/>
      <c r="Q428" s="48"/>
      <c r="R428" s="41"/>
      <c r="T428" s="42"/>
      <c r="U428" s="44"/>
      <c r="V428" s="42" t="str">
        <f>IF(NOTA[[#This Row],[HARGA/ CTN]]="",NOTA[[#This Row],[JUMLAH_H]],NOTA[[#This Row],[HARGA/ CTN]]*IF(NOTA[[#This Row],[C]]="",0,NOTA[[#This Row],[C]]))</f>
        <v/>
      </c>
      <c r="W428" s="42" t="str">
        <f>IF(NOTA[[#This Row],[JUMLAH]]="","",NOTA[[#This Row],[JUMLAH]]*NOTA[[#This Row],[Column6]])</f>
        <v/>
      </c>
      <c r="X428" s="42" t="str">
        <f>IF(NOTA[[#This Row],[JUMLAH]]="","",(NOTA[[#This Row],[JUMLAH]]-NOTA[[#This Row],[DISC 1-]])*NOTA[[#This Row],[Column7]])</f>
        <v/>
      </c>
      <c r="Y428" s="42" t="str">
        <f>IF(NOTA[[#This Row],[JUMLAH]]="","",(NOTA[[#This Row],[JUMLAH]]-NOTA[[#This Row],[DISC 1-]]-NOTA[[#This Row],[DISC 2-]])*NOTA[[#This Row],[Column8]])</f>
        <v/>
      </c>
      <c r="Z428" s="42" t="str">
        <f>IF(NOTA[[#This Row],[JUMLAH]]="","",NOTA[[#This Row],[DISC 1-]]+NOTA[[#This Row],[DISC 2-]]+NOTA[[#This Row],[DISC 3-]])</f>
        <v/>
      </c>
      <c r="AA428" s="42" t="str">
        <f>IF(NOTA[[#This Row],[JUMLAH]]="","",NOTA[[#This Row],[JUMLAH]]-NOTA[[#This Row],[DISC]])</f>
        <v/>
      </c>
      <c r="AB428" s="42"/>
      <c r="AC4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8" s="42" t="str">
        <f>IF(OR(NOTA[[#This Row],[QTY]]="",NOTA[[#This Row],[HARGA SATUAN]]="",),"",NOTA[[#This Row],[QTY]]*NOTA[[#This Row],[HARGA SATUAN]])</f>
        <v/>
      </c>
      <c r="AG428" s="36" t="str">
        <f ca="1">IF(NOTA[[#This Row],[ID_H]]="","",INDEX(NOTA[TANGGAL],MATCH(,INDIRECT(ADDRESS(ROW(NOTA[TANGGAL]),COLUMN(NOTA[TANGGAL]))&amp;":"&amp;ADDRESS(ROW(),COLUMN(NOTA[TANGGAL]))),-1)))</f>
        <v/>
      </c>
      <c r="AH428" s="36" t="str">
        <f ca="1">IF(NOTA[[#This Row],[ID_H]]="","",INDEX(NOTA[TGL.NOTA],MATCH(,INDIRECT(ADDRESS(ROW(NOTA[TGL.NOTA]),COLUMN(NOTA[TGL.NOTA]))&amp;":"&amp;ADDRESS(ROW(),COLUMN(NOTA[TGL.NOTA]))),-1)))</f>
        <v/>
      </c>
      <c r="AI428" s="36" t="str">
        <f ca="1">IF(NOTA[[#This Row],[ID_H]]="","",INDEX(NOTA[NO.NOTA],MATCH(NOTA[[#This Row],[ID_H]],NOTA[ID_H],0)))</f>
        <v/>
      </c>
      <c r="AJ428" s="38" t="str">
        <f ca="1">IF(NOTA[[#This Row],[NAMA BARANG]]="","",INDEX(NOTA[SUPPLIER],MATCH(,INDIRECT(ADDRESS(ROW(NOTA[ID]),COLUMN(NOTA[ID]))&amp;":"&amp;ADDRESS(ROW(),COLUMN(NOTA[ID]))),-1)))</f>
        <v/>
      </c>
      <c r="AK428" s="38" t="str">
        <f ca="1">IF(NOTA[[#This Row],[ID_H]]="","",IF(NOTA[[#This Row],[FAKTUR]]="",INDIRECT(ADDRESS(ROW()-1,COLUMN())),NOTA[[#This Row],[FAKTUR]]))</f>
        <v/>
      </c>
      <c r="AL428" s="35" t="str">
        <f ca="1">IF(NOTA[[#This Row],[ID]]="","",COUNTIF(NOTA[ID_H],NOTA[[#This Row],[ID_H]]))</f>
        <v/>
      </c>
      <c r="AM428" s="35" t="str">
        <f ca="1">IF(NOTA[[#This Row],[TGL.NOTA]]="",IF(NOTA[[#This Row],[SUPPLIER_H]]="","",AM427),MONTH(NOTA[[#This Row],[TGL.NOTA]]))</f>
        <v/>
      </c>
      <c r="AN4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8" s="35" t="str">
        <f>IF(NOTA[[#This Row],[CONCAT1]]="","",MATCH(NOTA[[#This Row],[CONCAT1]],[3]!db[NB NOTA_C],0))</f>
        <v/>
      </c>
      <c r="AS428" s="35" t="str">
        <f>IF(NOTA[[#This Row],[Column5]]="","",TRUE)</f>
        <v/>
      </c>
      <c r="AT428" s="35" t="str">
        <f ca="1">IF(NOTA[[#This Row],[ID_H]]="","",IF(NOTA[[#This Row],[Column3]]=TRUE,NOTA[[#This Row],[Column5]],INDEX([3]!db[QTY/ CTN],NOTA[[#This Row],[//DB]])))</f>
        <v/>
      </c>
      <c r="AU4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8" s="35" t="str">
        <f ca="1">IF(NOTA[[#This Row],[ID_H]]="","",MATCH(NOTA[[#This Row],[NB NOTA_C_QTY]],[3]!db[NB NOTA_C_QTY+F],0))</f>
        <v/>
      </c>
      <c r="AW428" s="43" t="str">
        <f ca="1">IF(NOTA[[#This Row],[NB NOTA_C_QTY]]="","",ROW()-2)</f>
        <v/>
      </c>
    </row>
    <row r="429" spans="1:49" ht="20.100000000000001" customHeight="1">
      <c r="A4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5" t="str">
        <f ca="1">IF(NOTA[[#This Row],[NAMA BARANG]]="","",INDEX(NOTA[ID],MATCH(,INDIRECT(ADDRESS(ROW(NOTA[ID]),COLUMN(NOTA[ID]))&amp;":"&amp;ADDRESS(ROW(),COLUMN(NOTA[ID]))),-1)))</f>
        <v/>
      </c>
      <c r="C429" s="45"/>
      <c r="F429" s="46"/>
      <c r="G429" s="35"/>
      <c r="H429" s="36"/>
      <c r="I429" s="35"/>
      <c r="K429" s="37"/>
      <c r="L429" s="35"/>
      <c r="N429" s="38"/>
      <c r="O429" s="39"/>
      <c r="P429" s="47"/>
      <c r="Q429" s="48"/>
      <c r="R429" s="41"/>
      <c r="T429" s="42"/>
      <c r="U429" s="44"/>
      <c r="V429" s="42" t="str">
        <f>IF(NOTA[[#This Row],[HARGA/ CTN]]="",NOTA[[#This Row],[JUMLAH_H]],NOTA[[#This Row],[HARGA/ CTN]]*IF(NOTA[[#This Row],[C]]="",0,NOTA[[#This Row],[C]]))</f>
        <v/>
      </c>
      <c r="W429" s="42" t="str">
        <f>IF(NOTA[[#This Row],[JUMLAH]]="","",NOTA[[#This Row],[JUMLAH]]*NOTA[[#This Row],[Column6]])</f>
        <v/>
      </c>
      <c r="X429" s="42" t="str">
        <f>IF(NOTA[[#This Row],[JUMLAH]]="","",(NOTA[[#This Row],[JUMLAH]]-NOTA[[#This Row],[DISC 1-]])*NOTA[[#This Row],[Column7]])</f>
        <v/>
      </c>
      <c r="Y429" s="42" t="str">
        <f>IF(NOTA[[#This Row],[JUMLAH]]="","",(NOTA[[#This Row],[JUMLAH]]-NOTA[[#This Row],[DISC 1-]]-NOTA[[#This Row],[DISC 2-]])*NOTA[[#This Row],[Column8]])</f>
        <v/>
      </c>
      <c r="Z429" s="42" t="str">
        <f>IF(NOTA[[#This Row],[JUMLAH]]="","",NOTA[[#This Row],[DISC 1-]]+NOTA[[#This Row],[DISC 2-]]+NOTA[[#This Row],[DISC 3-]])</f>
        <v/>
      </c>
      <c r="AA429" s="42" t="str">
        <f>IF(NOTA[[#This Row],[JUMLAH]]="","",NOTA[[#This Row],[JUMLAH]]-NOTA[[#This Row],[DISC]])</f>
        <v/>
      </c>
      <c r="AB429" s="42"/>
      <c r="AC4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42" t="str">
        <f>IF(OR(NOTA[[#This Row],[QTY]]="",NOTA[[#This Row],[HARGA SATUAN]]="",),"",NOTA[[#This Row],[QTY]]*NOTA[[#This Row],[HARGA SATUAN]])</f>
        <v/>
      </c>
      <c r="AG429" s="36" t="str">
        <f ca="1">IF(NOTA[[#This Row],[ID_H]]="","",INDEX(NOTA[TANGGAL],MATCH(,INDIRECT(ADDRESS(ROW(NOTA[TANGGAL]),COLUMN(NOTA[TANGGAL]))&amp;":"&amp;ADDRESS(ROW(),COLUMN(NOTA[TANGGAL]))),-1)))</f>
        <v/>
      </c>
      <c r="AH429" s="36" t="str">
        <f ca="1">IF(NOTA[[#This Row],[ID_H]]="","",INDEX(NOTA[TGL.NOTA],MATCH(,INDIRECT(ADDRESS(ROW(NOTA[TGL.NOTA]),COLUMN(NOTA[TGL.NOTA]))&amp;":"&amp;ADDRESS(ROW(),COLUMN(NOTA[TGL.NOTA]))),-1)))</f>
        <v/>
      </c>
      <c r="AI429" s="36" t="str">
        <f ca="1">IF(NOTA[[#This Row],[ID_H]]="","",INDEX(NOTA[NO.NOTA],MATCH(NOTA[[#This Row],[ID_H]],NOTA[ID_H],0)))</f>
        <v/>
      </c>
      <c r="AJ429" s="38" t="str">
        <f ca="1">IF(NOTA[[#This Row],[NAMA BARANG]]="","",INDEX(NOTA[SUPPLIER],MATCH(,INDIRECT(ADDRESS(ROW(NOTA[ID]),COLUMN(NOTA[ID]))&amp;":"&amp;ADDRESS(ROW(),COLUMN(NOTA[ID]))),-1)))</f>
        <v/>
      </c>
      <c r="AK429" s="38" t="str">
        <f ca="1">IF(NOTA[[#This Row],[ID_H]]="","",IF(NOTA[[#This Row],[FAKTUR]]="",INDIRECT(ADDRESS(ROW()-1,COLUMN())),NOTA[[#This Row],[FAKTUR]]))</f>
        <v/>
      </c>
      <c r="AL429" s="35" t="str">
        <f ca="1">IF(NOTA[[#This Row],[ID]]="","",COUNTIF(NOTA[ID_H],NOTA[[#This Row],[ID_H]]))</f>
        <v/>
      </c>
      <c r="AM429" s="35" t="str">
        <f ca="1">IF(NOTA[[#This Row],[TGL.NOTA]]="",IF(NOTA[[#This Row],[SUPPLIER_H]]="","",AM428),MONTH(NOTA[[#This Row],[TGL.NOTA]]))</f>
        <v/>
      </c>
      <c r="AN4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9" s="35" t="str">
        <f>IF(NOTA[[#This Row],[CONCAT1]]="","",MATCH(NOTA[[#This Row],[CONCAT1]],[3]!db[NB NOTA_C],0))</f>
        <v/>
      </c>
      <c r="AS429" s="35" t="str">
        <f>IF(NOTA[[#This Row],[Column5]]="","",TRUE)</f>
        <v/>
      </c>
      <c r="AT429" s="35" t="str">
        <f ca="1">IF(NOTA[[#This Row],[ID_H]]="","",IF(NOTA[[#This Row],[Column3]]=TRUE,NOTA[[#This Row],[Column5]],INDEX([3]!db[QTY/ CTN],NOTA[[#This Row],[//DB]])))</f>
        <v/>
      </c>
      <c r="AU4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29" s="35" t="str">
        <f ca="1">IF(NOTA[[#This Row],[ID_H]]="","",MATCH(NOTA[[#This Row],[NB NOTA_C_QTY]],[3]!db[NB NOTA_C_QTY+F],0))</f>
        <v/>
      </c>
      <c r="AW429" s="43" t="str">
        <f ca="1">IF(NOTA[[#This Row],[NB NOTA_C_QTY]]="","",ROW()-2)</f>
        <v/>
      </c>
    </row>
    <row r="430" spans="1:49" ht="20.100000000000001" customHeight="1">
      <c r="A4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5" t="str">
        <f ca="1">IF(NOTA[[#This Row],[NAMA BARANG]]="","",INDEX(NOTA[ID],MATCH(,INDIRECT(ADDRESS(ROW(NOTA[ID]),COLUMN(NOTA[ID]))&amp;":"&amp;ADDRESS(ROW(),COLUMN(NOTA[ID]))),-1)))</f>
        <v/>
      </c>
      <c r="C430" s="45"/>
      <c r="F430" s="46"/>
      <c r="G430" s="35"/>
      <c r="H430" s="36"/>
      <c r="I430" s="35"/>
      <c r="K430" s="37"/>
      <c r="L430" s="35"/>
      <c r="N430" s="38"/>
      <c r="O430" s="39"/>
      <c r="P430" s="47"/>
      <c r="Q430" s="48"/>
      <c r="R430" s="41"/>
      <c r="T430" s="42"/>
      <c r="U430" s="44"/>
      <c r="V430" s="42" t="str">
        <f>IF(NOTA[[#This Row],[HARGA/ CTN]]="",NOTA[[#This Row],[JUMLAH_H]],NOTA[[#This Row],[HARGA/ CTN]]*IF(NOTA[[#This Row],[C]]="",0,NOTA[[#This Row],[C]]))</f>
        <v/>
      </c>
      <c r="W430" s="42" t="str">
        <f>IF(NOTA[[#This Row],[JUMLAH]]="","",NOTA[[#This Row],[JUMLAH]]*NOTA[[#This Row],[Column6]])</f>
        <v/>
      </c>
      <c r="X430" s="42" t="str">
        <f>IF(NOTA[[#This Row],[JUMLAH]]="","",(NOTA[[#This Row],[JUMLAH]]-NOTA[[#This Row],[DISC 1-]])*NOTA[[#This Row],[Column7]])</f>
        <v/>
      </c>
      <c r="Y430" s="42" t="str">
        <f>IF(NOTA[[#This Row],[JUMLAH]]="","",(NOTA[[#This Row],[JUMLAH]]-NOTA[[#This Row],[DISC 1-]]-NOTA[[#This Row],[DISC 2-]])*NOTA[[#This Row],[Column8]])</f>
        <v/>
      </c>
      <c r="Z430" s="42" t="str">
        <f>IF(NOTA[[#This Row],[JUMLAH]]="","",NOTA[[#This Row],[DISC 1-]]+NOTA[[#This Row],[DISC 2-]]+NOTA[[#This Row],[DISC 3-]])</f>
        <v/>
      </c>
      <c r="AA430" s="42" t="str">
        <f>IF(NOTA[[#This Row],[JUMLAH]]="","",NOTA[[#This Row],[JUMLAH]]-NOTA[[#This Row],[DISC]])</f>
        <v/>
      </c>
      <c r="AB430" s="42"/>
      <c r="AC4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42" t="str">
        <f>IF(OR(NOTA[[#This Row],[QTY]]="",NOTA[[#This Row],[HARGA SATUAN]]="",),"",NOTA[[#This Row],[QTY]]*NOTA[[#This Row],[HARGA SATUAN]])</f>
        <v/>
      </c>
      <c r="AG430" s="36" t="str">
        <f ca="1">IF(NOTA[[#This Row],[ID_H]]="","",INDEX(NOTA[TANGGAL],MATCH(,INDIRECT(ADDRESS(ROW(NOTA[TANGGAL]),COLUMN(NOTA[TANGGAL]))&amp;":"&amp;ADDRESS(ROW(),COLUMN(NOTA[TANGGAL]))),-1)))</f>
        <v/>
      </c>
      <c r="AH430" s="36" t="str">
        <f ca="1">IF(NOTA[[#This Row],[ID_H]]="","",INDEX(NOTA[TGL.NOTA],MATCH(,INDIRECT(ADDRESS(ROW(NOTA[TGL.NOTA]),COLUMN(NOTA[TGL.NOTA]))&amp;":"&amp;ADDRESS(ROW(),COLUMN(NOTA[TGL.NOTA]))),-1)))</f>
        <v/>
      </c>
      <c r="AI430" s="36" t="str">
        <f ca="1">IF(NOTA[[#This Row],[ID_H]]="","",INDEX(NOTA[NO.NOTA],MATCH(NOTA[[#This Row],[ID_H]],NOTA[ID_H],0)))</f>
        <v/>
      </c>
      <c r="AJ430" s="38" t="str">
        <f ca="1">IF(NOTA[[#This Row],[NAMA BARANG]]="","",INDEX(NOTA[SUPPLIER],MATCH(,INDIRECT(ADDRESS(ROW(NOTA[ID]),COLUMN(NOTA[ID]))&amp;":"&amp;ADDRESS(ROW(),COLUMN(NOTA[ID]))),-1)))</f>
        <v/>
      </c>
      <c r="AK430" s="38" t="str">
        <f ca="1">IF(NOTA[[#This Row],[ID_H]]="","",IF(NOTA[[#This Row],[FAKTUR]]="",INDIRECT(ADDRESS(ROW()-1,COLUMN())),NOTA[[#This Row],[FAKTUR]]))</f>
        <v/>
      </c>
      <c r="AL430" s="35" t="str">
        <f ca="1">IF(NOTA[[#This Row],[ID]]="","",COUNTIF(NOTA[ID_H],NOTA[[#This Row],[ID_H]]))</f>
        <v/>
      </c>
      <c r="AM430" s="35" t="str">
        <f ca="1">IF(NOTA[[#This Row],[TGL.NOTA]]="",IF(NOTA[[#This Row],[SUPPLIER_H]]="","",AM429),MONTH(NOTA[[#This Row],[TGL.NOTA]]))</f>
        <v/>
      </c>
      <c r="AN4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0" s="35" t="str">
        <f>IF(NOTA[[#This Row],[CONCAT1]]="","",MATCH(NOTA[[#This Row],[CONCAT1]],[3]!db[NB NOTA_C],0))</f>
        <v/>
      </c>
      <c r="AS430" s="35" t="str">
        <f>IF(NOTA[[#This Row],[Column5]]="","",TRUE)</f>
        <v/>
      </c>
      <c r="AT430" s="35" t="str">
        <f ca="1">IF(NOTA[[#This Row],[ID_H]]="","",IF(NOTA[[#This Row],[Column3]]=TRUE,NOTA[[#This Row],[Column5]],INDEX([3]!db[QTY/ CTN],NOTA[[#This Row],[//DB]])))</f>
        <v/>
      </c>
      <c r="AU4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0" s="35" t="str">
        <f ca="1">IF(NOTA[[#This Row],[ID_H]]="","",MATCH(NOTA[[#This Row],[NB NOTA_C_QTY]],[3]!db[NB NOTA_C_QTY+F],0))</f>
        <v/>
      </c>
      <c r="AW430" s="43" t="str">
        <f ca="1">IF(NOTA[[#This Row],[NB NOTA_C_QTY]]="","",ROW()-2)</f>
        <v/>
      </c>
    </row>
    <row r="431" spans="1:49" ht="20.100000000000001" customHeight="1">
      <c r="A4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5" t="str">
        <f ca="1">IF(NOTA[[#This Row],[NAMA BARANG]]="","",INDEX(NOTA[ID],MATCH(,INDIRECT(ADDRESS(ROW(NOTA[ID]),COLUMN(NOTA[ID]))&amp;":"&amp;ADDRESS(ROW(),COLUMN(NOTA[ID]))),-1)))</f>
        <v/>
      </c>
      <c r="C431" s="45"/>
      <c r="F431" s="46"/>
      <c r="G431" s="35"/>
      <c r="H431" s="36"/>
      <c r="I431" s="35"/>
      <c r="K431" s="37"/>
      <c r="L431" s="35"/>
      <c r="N431" s="38"/>
      <c r="O431" s="39"/>
      <c r="P431" s="47"/>
      <c r="Q431" s="48"/>
      <c r="R431" s="41"/>
      <c r="T431" s="42"/>
      <c r="U431" s="44"/>
      <c r="V431" s="42" t="str">
        <f>IF(NOTA[[#This Row],[HARGA/ CTN]]="",NOTA[[#This Row],[JUMLAH_H]],NOTA[[#This Row],[HARGA/ CTN]]*IF(NOTA[[#This Row],[C]]="",0,NOTA[[#This Row],[C]]))</f>
        <v/>
      </c>
      <c r="W431" s="42" t="str">
        <f>IF(NOTA[[#This Row],[JUMLAH]]="","",NOTA[[#This Row],[JUMLAH]]*NOTA[[#This Row],[Column6]])</f>
        <v/>
      </c>
      <c r="X431" s="42" t="str">
        <f>IF(NOTA[[#This Row],[JUMLAH]]="","",(NOTA[[#This Row],[JUMLAH]]-NOTA[[#This Row],[DISC 1-]])*NOTA[[#This Row],[Column7]])</f>
        <v/>
      </c>
      <c r="Y431" s="42" t="str">
        <f>IF(NOTA[[#This Row],[JUMLAH]]="","",(NOTA[[#This Row],[JUMLAH]]-NOTA[[#This Row],[DISC 1-]]-NOTA[[#This Row],[DISC 2-]])*NOTA[[#This Row],[Column8]])</f>
        <v/>
      </c>
      <c r="Z431" s="42" t="str">
        <f>IF(NOTA[[#This Row],[JUMLAH]]="","",NOTA[[#This Row],[DISC 1-]]+NOTA[[#This Row],[DISC 2-]]+NOTA[[#This Row],[DISC 3-]])</f>
        <v/>
      </c>
      <c r="AA431" s="42" t="str">
        <f>IF(NOTA[[#This Row],[JUMLAH]]="","",NOTA[[#This Row],[JUMLAH]]-NOTA[[#This Row],[DISC]])</f>
        <v/>
      </c>
      <c r="AB431" s="42"/>
      <c r="AC4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42" t="str">
        <f>IF(OR(NOTA[[#This Row],[QTY]]="",NOTA[[#This Row],[HARGA SATUAN]]="",),"",NOTA[[#This Row],[QTY]]*NOTA[[#This Row],[HARGA SATUAN]])</f>
        <v/>
      </c>
      <c r="AG431" s="36" t="str">
        <f ca="1">IF(NOTA[[#This Row],[ID_H]]="","",INDEX(NOTA[TANGGAL],MATCH(,INDIRECT(ADDRESS(ROW(NOTA[TANGGAL]),COLUMN(NOTA[TANGGAL]))&amp;":"&amp;ADDRESS(ROW(),COLUMN(NOTA[TANGGAL]))),-1)))</f>
        <v/>
      </c>
      <c r="AH431" s="36" t="str">
        <f ca="1">IF(NOTA[[#This Row],[ID_H]]="","",INDEX(NOTA[TGL.NOTA],MATCH(,INDIRECT(ADDRESS(ROW(NOTA[TGL.NOTA]),COLUMN(NOTA[TGL.NOTA]))&amp;":"&amp;ADDRESS(ROW(),COLUMN(NOTA[TGL.NOTA]))),-1)))</f>
        <v/>
      </c>
      <c r="AI431" s="36" t="str">
        <f ca="1">IF(NOTA[[#This Row],[ID_H]]="","",INDEX(NOTA[NO.NOTA],MATCH(NOTA[[#This Row],[ID_H]],NOTA[ID_H],0)))</f>
        <v/>
      </c>
      <c r="AJ431" s="38" t="str">
        <f ca="1">IF(NOTA[[#This Row],[NAMA BARANG]]="","",INDEX(NOTA[SUPPLIER],MATCH(,INDIRECT(ADDRESS(ROW(NOTA[ID]),COLUMN(NOTA[ID]))&amp;":"&amp;ADDRESS(ROW(),COLUMN(NOTA[ID]))),-1)))</f>
        <v/>
      </c>
      <c r="AK431" s="38" t="str">
        <f ca="1">IF(NOTA[[#This Row],[ID_H]]="","",IF(NOTA[[#This Row],[FAKTUR]]="",INDIRECT(ADDRESS(ROW()-1,COLUMN())),NOTA[[#This Row],[FAKTUR]]))</f>
        <v/>
      </c>
      <c r="AL431" s="35" t="str">
        <f ca="1">IF(NOTA[[#This Row],[ID]]="","",COUNTIF(NOTA[ID_H],NOTA[[#This Row],[ID_H]]))</f>
        <v/>
      </c>
      <c r="AM431" s="35" t="str">
        <f ca="1">IF(NOTA[[#This Row],[TGL.NOTA]]="",IF(NOTA[[#This Row],[SUPPLIER_H]]="","",AM430),MONTH(NOTA[[#This Row],[TGL.NOTA]]))</f>
        <v/>
      </c>
      <c r="AN4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1" s="35" t="str">
        <f>IF(NOTA[[#This Row],[CONCAT1]]="","",MATCH(NOTA[[#This Row],[CONCAT1]],[3]!db[NB NOTA_C],0))</f>
        <v/>
      </c>
      <c r="AS431" s="35" t="str">
        <f>IF(NOTA[[#This Row],[Column5]]="","",TRUE)</f>
        <v/>
      </c>
      <c r="AT431" s="35" t="str">
        <f ca="1">IF(NOTA[[#This Row],[ID_H]]="","",IF(NOTA[[#This Row],[Column3]]=TRUE,NOTA[[#This Row],[Column5]],INDEX([3]!db[QTY/ CTN],NOTA[[#This Row],[//DB]])))</f>
        <v/>
      </c>
      <c r="AU4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1" s="35" t="str">
        <f ca="1">IF(NOTA[[#This Row],[ID_H]]="","",MATCH(NOTA[[#This Row],[NB NOTA_C_QTY]],[3]!db[NB NOTA_C_QTY+F],0))</f>
        <v/>
      </c>
      <c r="AW431" s="43" t="str">
        <f ca="1">IF(NOTA[[#This Row],[NB NOTA_C_QTY]]="","",ROW()-2)</f>
        <v/>
      </c>
    </row>
    <row r="432" spans="1:49" ht="20.100000000000001" customHeight="1">
      <c r="A4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5" t="str">
        <f ca="1">IF(NOTA[[#This Row],[NAMA BARANG]]="","",INDEX(NOTA[ID],MATCH(,INDIRECT(ADDRESS(ROW(NOTA[ID]),COLUMN(NOTA[ID]))&amp;":"&amp;ADDRESS(ROW(),COLUMN(NOTA[ID]))),-1)))</f>
        <v/>
      </c>
      <c r="C432" s="45"/>
      <c r="F432" s="46"/>
      <c r="G432" s="35"/>
      <c r="H432" s="36"/>
      <c r="I432" s="35"/>
      <c r="K432" s="37"/>
      <c r="L432" s="35"/>
      <c r="N432" s="38"/>
      <c r="O432" s="39"/>
      <c r="P432" s="47"/>
      <c r="Q432" s="48"/>
      <c r="R432" s="41"/>
      <c r="T432" s="42"/>
      <c r="U432" s="44"/>
      <c r="V432" s="42" t="str">
        <f>IF(NOTA[[#This Row],[HARGA/ CTN]]="",NOTA[[#This Row],[JUMLAH_H]],NOTA[[#This Row],[HARGA/ CTN]]*IF(NOTA[[#This Row],[C]]="",0,NOTA[[#This Row],[C]]))</f>
        <v/>
      </c>
      <c r="W432" s="42" t="str">
        <f>IF(NOTA[[#This Row],[JUMLAH]]="","",NOTA[[#This Row],[JUMLAH]]*NOTA[[#This Row],[Column6]])</f>
        <v/>
      </c>
      <c r="X432" s="42" t="str">
        <f>IF(NOTA[[#This Row],[JUMLAH]]="","",(NOTA[[#This Row],[JUMLAH]]-NOTA[[#This Row],[DISC 1-]])*NOTA[[#This Row],[Column7]])</f>
        <v/>
      </c>
      <c r="Y432" s="42" t="str">
        <f>IF(NOTA[[#This Row],[JUMLAH]]="","",(NOTA[[#This Row],[JUMLAH]]-NOTA[[#This Row],[DISC 1-]]-NOTA[[#This Row],[DISC 2-]])*NOTA[[#This Row],[Column8]])</f>
        <v/>
      </c>
      <c r="Z432" s="42" t="str">
        <f>IF(NOTA[[#This Row],[JUMLAH]]="","",NOTA[[#This Row],[DISC 1-]]+NOTA[[#This Row],[DISC 2-]]+NOTA[[#This Row],[DISC 3-]])</f>
        <v/>
      </c>
      <c r="AA432" s="42" t="str">
        <f>IF(NOTA[[#This Row],[JUMLAH]]="","",NOTA[[#This Row],[JUMLAH]]-NOTA[[#This Row],[DISC]])</f>
        <v/>
      </c>
      <c r="AB432" s="42"/>
      <c r="AC4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42" t="str">
        <f>IF(OR(NOTA[[#This Row],[QTY]]="",NOTA[[#This Row],[HARGA SATUAN]]="",),"",NOTA[[#This Row],[QTY]]*NOTA[[#This Row],[HARGA SATUAN]])</f>
        <v/>
      </c>
      <c r="AG432" s="36" t="str">
        <f ca="1">IF(NOTA[[#This Row],[ID_H]]="","",INDEX(NOTA[TANGGAL],MATCH(,INDIRECT(ADDRESS(ROW(NOTA[TANGGAL]),COLUMN(NOTA[TANGGAL]))&amp;":"&amp;ADDRESS(ROW(),COLUMN(NOTA[TANGGAL]))),-1)))</f>
        <v/>
      </c>
      <c r="AH432" s="36" t="str">
        <f ca="1">IF(NOTA[[#This Row],[ID_H]]="","",INDEX(NOTA[TGL.NOTA],MATCH(,INDIRECT(ADDRESS(ROW(NOTA[TGL.NOTA]),COLUMN(NOTA[TGL.NOTA]))&amp;":"&amp;ADDRESS(ROW(),COLUMN(NOTA[TGL.NOTA]))),-1)))</f>
        <v/>
      </c>
      <c r="AI432" s="36" t="str">
        <f ca="1">IF(NOTA[[#This Row],[ID_H]]="","",INDEX(NOTA[NO.NOTA],MATCH(NOTA[[#This Row],[ID_H]],NOTA[ID_H],0)))</f>
        <v/>
      </c>
      <c r="AJ432" s="38" t="str">
        <f ca="1">IF(NOTA[[#This Row],[NAMA BARANG]]="","",INDEX(NOTA[SUPPLIER],MATCH(,INDIRECT(ADDRESS(ROW(NOTA[ID]),COLUMN(NOTA[ID]))&amp;":"&amp;ADDRESS(ROW(),COLUMN(NOTA[ID]))),-1)))</f>
        <v/>
      </c>
      <c r="AK432" s="38" t="str">
        <f ca="1">IF(NOTA[[#This Row],[ID_H]]="","",IF(NOTA[[#This Row],[FAKTUR]]="",INDIRECT(ADDRESS(ROW()-1,COLUMN())),NOTA[[#This Row],[FAKTUR]]))</f>
        <v/>
      </c>
      <c r="AL432" s="35" t="str">
        <f ca="1">IF(NOTA[[#This Row],[ID]]="","",COUNTIF(NOTA[ID_H],NOTA[[#This Row],[ID_H]]))</f>
        <v/>
      </c>
      <c r="AM432" s="35" t="str">
        <f ca="1">IF(NOTA[[#This Row],[TGL.NOTA]]="",IF(NOTA[[#This Row],[SUPPLIER_H]]="","",AM431),MONTH(NOTA[[#This Row],[TGL.NOTA]]))</f>
        <v/>
      </c>
      <c r="AN4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2" s="35" t="str">
        <f>IF(NOTA[[#This Row],[CONCAT1]]="","",MATCH(NOTA[[#This Row],[CONCAT1]],[3]!db[NB NOTA_C],0))</f>
        <v/>
      </c>
      <c r="AS432" s="35" t="str">
        <f>IF(NOTA[[#This Row],[Column5]]="","",TRUE)</f>
        <v/>
      </c>
      <c r="AT432" s="35" t="str">
        <f ca="1">IF(NOTA[[#This Row],[ID_H]]="","",IF(NOTA[[#This Row],[Column3]]=TRUE,NOTA[[#This Row],[Column5]],INDEX([3]!db[QTY/ CTN],NOTA[[#This Row],[//DB]])))</f>
        <v/>
      </c>
      <c r="AU4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2" s="35" t="str">
        <f ca="1">IF(NOTA[[#This Row],[ID_H]]="","",MATCH(NOTA[[#This Row],[NB NOTA_C_QTY]],[3]!db[NB NOTA_C_QTY+F],0))</f>
        <v/>
      </c>
      <c r="AW432" s="43" t="str">
        <f ca="1">IF(NOTA[[#This Row],[NB NOTA_C_QTY]]="","",ROW()-2)</f>
        <v/>
      </c>
    </row>
    <row r="433" spans="1:49" ht="20.100000000000001" customHeight="1">
      <c r="A4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5" t="str">
        <f ca="1">IF(NOTA[[#This Row],[NAMA BARANG]]="","",INDEX(NOTA[ID],MATCH(,INDIRECT(ADDRESS(ROW(NOTA[ID]),COLUMN(NOTA[ID]))&amp;":"&amp;ADDRESS(ROW(),COLUMN(NOTA[ID]))),-1)))</f>
        <v/>
      </c>
      <c r="C433" s="45"/>
      <c r="F433" s="46"/>
      <c r="G433" s="35"/>
      <c r="H433" s="36"/>
      <c r="I433" s="35"/>
      <c r="K433" s="37"/>
      <c r="L433" s="35"/>
      <c r="N433" s="38"/>
      <c r="O433" s="39"/>
      <c r="P433" s="47"/>
      <c r="Q433" s="48"/>
      <c r="R433" s="41"/>
      <c r="T433" s="42"/>
      <c r="U433" s="44"/>
      <c r="V433" s="42" t="str">
        <f>IF(NOTA[[#This Row],[HARGA/ CTN]]="",NOTA[[#This Row],[JUMLAH_H]],NOTA[[#This Row],[HARGA/ CTN]]*IF(NOTA[[#This Row],[C]]="",0,NOTA[[#This Row],[C]]))</f>
        <v/>
      </c>
      <c r="W433" s="42" t="str">
        <f>IF(NOTA[[#This Row],[JUMLAH]]="","",NOTA[[#This Row],[JUMLAH]]*NOTA[[#This Row],[Column6]])</f>
        <v/>
      </c>
      <c r="X433" s="42" t="str">
        <f>IF(NOTA[[#This Row],[JUMLAH]]="","",(NOTA[[#This Row],[JUMLAH]]-NOTA[[#This Row],[DISC 1-]])*NOTA[[#This Row],[Column7]])</f>
        <v/>
      </c>
      <c r="Y433" s="42" t="str">
        <f>IF(NOTA[[#This Row],[JUMLAH]]="","",(NOTA[[#This Row],[JUMLAH]]-NOTA[[#This Row],[DISC 1-]]-NOTA[[#This Row],[DISC 2-]])*NOTA[[#This Row],[Column8]])</f>
        <v/>
      </c>
      <c r="Z433" s="42" t="str">
        <f>IF(NOTA[[#This Row],[JUMLAH]]="","",NOTA[[#This Row],[DISC 1-]]+NOTA[[#This Row],[DISC 2-]]+NOTA[[#This Row],[DISC 3-]])</f>
        <v/>
      </c>
      <c r="AA433" s="42" t="str">
        <f>IF(NOTA[[#This Row],[JUMLAH]]="","",NOTA[[#This Row],[JUMLAH]]-NOTA[[#This Row],[DISC]])</f>
        <v/>
      </c>
      <c r="AB433" s="42"/>
      <c r="AC4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42" t="str">
        <f>IF(OR(NOTA[[#This Row],[QTY]]="",NOTA[[#This Row],[HARGA SATUAN]]="",),"",NOTA[[#This Row],[QTY]]*NOTA[[#This Row],[HARGA SATUAN]])</f>
        <v/>
      </c>
      <c r="AG433" s="36" t="str">
        <f ca="1">IF(NOTA[[#This Row],[ID_H]]="","",INDEX(NOTA[TANGGAL],MATCH(,INDIRECT(ADDRESS(ROW(NOTA[TANGGAL]),COLUMN(NOTA[TANGGAL]))&amp;":"&amp;ADDRESS(ROW(),COLUMN(NOTA[TANGGAL]))),-1)))</f>
        <v/>
      </c>
      <c r="AH433" s="36" t="str">
        <f ca="1">IF(NOTA[[#This Row],[ID_H]]="","",INDEX(NOTA[TGL.NOTA],MATCH(,INDIRECT(ADDRESS(ROW(NOTA[TGL.NOTA]),COLUMN(NOTA[TGL.NOTA]))&amp;":"&amp;ADDRESS(ROW(),COLUMN(NOTA[TGL.NOTA]))),-1)))</f>
        <v/>
      </c>
      <c r="AI433" s="36" t="str">
        <f ca="1">IF(NOTA[[#This Row],[ID_H]]="","",INDEX(NOTA[NO.NOTA],MATCH(NOTA[[#This Row],[ID_H]],NOTA[ID_H],0)))</f>
        <v/>
      </c>
      <c r="AJ433" s="38" t="str">
        <f ca="1">IF(NOTA[[#This Row],[NAMA BARANG]]="","",INDEX(NOTA[SUPPLIER],MATCH(,INDIRECT(ADDRESS(ROW(NOTA[ID]),COLUMN(NOTA[ID]))&amp;":"&amp;ADDRESS(ROW(),COLUMN(NOTA[ID]))),-1)))</f>
        <v/>
      </c>
      <c r="AK433" s="38" t="str">
        <f ca="1">IF(NOTA[[#This Row],[ID_H]]="","",IF(NOTA[[#This Row],[FAKTUR]]="",INDIRECT(ADDRESS(ROW()-1,COLUMN())),NOTA[[#This Row],[FAKTUR]]))</f>
        <v/>
      </c>
      <c r="AL433" s="35" t="str">
        <f ca="1">IF(NOTA[[#This Row],[ID]]="","",COUNTIF(NOTA[ID_H],NOTA[[#This Row],[ID_H]]))</f>
        <v/>
      </c>
      <c r="AM433" s="35" t="str">
        <f ca="1">IF(NOTA[[#This Row],[TGL.NOTA]]="",IF(NOTA[[#This Row],[SUPPLIER_H]]="","",AM432),MONTH(NOTA[[#This Row],[TGL.NOTA]]))</f>
        <v/>
      </c>
      <c r="AN4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3" s="35" t="str">
        <f>IF(NOTA[[#This Row],[CONCAT1]]="","",MATCH(NOTA[[#This Row],[CONCAT1]],[3]!db[NB NOTA_C],0))</f>
        <v/>
      </c>
      <c r="AS433" s="35" t="str">
        <f>IF(NOTA[[#This Row],[Column5]]="","",TRUE)</f>
        <v/>
      </c>
      <c r="AT433" s="35" t="str">
        <f ca="1">IF(NOTA[[#This Row],[ID_H]]="","",IF(NOTA[[#This Row],[Column3]]=TRUE,NOTA[[#This Row],[Column5]],INDEX([3]!db[QTY/ CTN],NOTA[[#This Row],[//DB]])))</f>
        <v/>
      </c>
      <c r="AU4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3" s="35" t="str">
        <f ca="1">IF(NOTA[[#This Row],[ID_H]]="","",MATCH(NOTA[[#This Row],[NB NOTA_C_QTY]],[3]!db[NB NOTA_C_QTY+F],0))</f>
        <v/>
      </c>
      <c r="AW433" s="43" t="str">
        <f ca="1">IF(NOTA[[#This Row],[NB NOTA_C_QTY]]="","",ROW()-2)</f>
        <v/>
      </c>
    </row>
    <row r="434" spans="1:49" ht="20.100000000000001" customHeight="1">
      <c r="A4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5" t="str">
        <f ca="1">IF(NOTA[[#This Row],[NAMA BARANG]]="","",INDEX(NOTA[ID],MATCH(,INDIRECT(ADDRESS(ROW(NOTA[ID]),COLUMN(NOTA[ID]))&amp;":"&amp;ADDRESS(ROW(),COLUMN(NOTA[ID]))),-1)))</f>
        <v/>
      </c>
      <c r="C434" s="45"/>
      <c r="F434" s="46"/>
      <c r="G434" s="35"/>
      <c r="H434" s="36"/>
      <c r="I434" s="35"/>
      <c r="K434" s="37"/>
      <c r="L434" s="35"/>
      <c r="N434" s="38"/>
      <c r="O434" s="39"/>
      <c r="P434" s="47"/>
      <c r="Q434" s="48"/>
      <c r="R434" s="41"/>
      <c r="T434" s="42"/>
      <c r="U434" s="44"/>
      <c r="V434" s="42" t="str">
        <f>IF(NOTA[[#This Row],[HARGA/ CTN]]="",NOTA[[#This Row],[JUMLAH_H]],NOTA[[#This Row],[HARGA/ CTN]]*IF(NOTA[[#This Row],[C]]="",0,NOTA[[#This Row],[C]]))</f>
        <v/>
      </c>
      <c r="W434" s="42" t="str">
        <f>IF(NOTA[[#This Row],[JUMLAH]]="","",NOTA[[#This Row],[JUMLAH]]*NOTA[[#This Row],[Column6]])</f>
        <v/>
      </c>
      <c r="X434" s="42" t="str">
        <f>IF(NOTA[[#This Row],[JUMLAH]]="","",(NOTA[[#This Row],[JUMLAH]]-NOTA[[#This Row],[DISC 1-]])*NOTA[[#This Row],[Column7]])</f>
        <v/>
      </c>
      <c r="Y434" s="42" t="str">
        <f>IF(NOTA[[#This Row],[JUMLAH]]="","",(NOTA[[#This Row],[JUMLAH]]-NOTA[[#This Row],[DISC 1-]]-NOTA[[#This Row],[DISC 2-]])*NOTA[[#This Row],[Column8]])</f>
        <v/>
      </c>
      <c r="Z434" s="42" t="str">
        <f>IF(NOTA[[#This Row],[JUMLAH]]="","",NOTA[[#This Row],[DISC 1-]]+NOTA[[#This Row],[DISC 2-]]+NOTA[[#This Row],[DISC 3-]])</f>
        <v/>
      </c>
      <c r="AA434" s="42" t="str">
        <f>IF(NOTA[[#This Row],[JUMLAH]]="","",NOTA[[#This Row],[JUMLAH]]-NOTA[[#This Row],[DISC]])</f>
        <v/>
      </c>
      <c r="AB434" s="42"/>
      <c r="AC4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42" t="str">
        <f>IF(OR(NOTA[[#This Row],[QTY]]="",NOTA[[#This Row],[HARGA SATUAN]]="",),"",NOTA[[#This Row],[QTY]]*NOTA[[#This Row],[HARGA SATUAN]])</f>
        <v/>
      </c>
      <c r="AG434" s="36" t="str">
        <f ca="1">IF(NOTA[[#This Row],[ID_H]]="","",INDEX(NOTA[TANGGAL],MATCH(,INDIRECT(ADDRESS(ROW(NOTA[TANGGAL]),COLUMN(NOTA[TANGGAL]))&amp;":"&amp;ADDRESS(ROW(),COLUMN(NOTA[TANGGAL]))),-1)))</f>
        <v/>
      </c>
      <c r="AH434" s="36" t="str">
        <f ca="1">IF(NOTA[[#This Row],[ID_H]]="","",INDEX(NOTA[TGL.NOTA],MATCH(,INDIRECT(ADDRESS(ROW(NOTA[TGL.NOTA]),COLUMN(NOTA[TGL.NOTA]))&amp;":"&amp;ADDRESS(ROW(),COLUMN(NOTA[TGL.NOTA]))),-1)))</f>
        <v/>
      </c>
      <c r="AI434" s="36" t="str">
        <f ca="1">IF(NOTA[[#This Row],[ID_H]]="","",INDEX(NOTA[NO.NOTA],MATCH(NOTA[[#This Row],[ID_H]],NOTA[ID_H],0)))</f>
        <v/>
      </c>
      <c r="AJ434" s="38" t="str">
        <f ca="1">IF(NOTA[[#This Row],[NAMA BARANG]]="","",INDEX(NOTA[SUPPLIER],MATCH(,INDIRECT(ADDRESS(ROW(NOTA[ID]),COLUMN(NOTA[ID]))&amp;":"&amp;ADDRESS(ROW(),COLUMN(NOTA[ID]))),-1)))</f>
        <v/>
      </c>
      <c r="AK434" s="38" t="str">
        <f ca="1">IF(NOTA[[#This Row],[ID_H]]="","",IF(NOTA[[#This Row],[FAKTUR]]="",INDIRECT(ADDRESS(ROW()-1,COLUMN())),NOTA[[#This Row],[FAKTUR]]))</f>
        <v/>
      </c>
      <c r="AL434" s="35" t="str">
        <f ca="1">IF(NOTA[[#This Row],[ID]]="","",COUNTIF(NOTA[ID_H],NOTA[[#This Row],[ID_H]]))</f>
        <v/>
      </c>
      <c r="AM434" s="35" t="str">
        <f ca="1">IF(NOTA[[#This Row],[TGL.NOTA]]="",IF(NOTA[[#This Row],[SUPPLIER_H]]="","",AM433),MONTH(NOTA[[#This Row],[TGL.NOTA]]))</f>
        <v/>
      </c>
      <c r="AN4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4" s="35" t="str">
        <f>IF(NOTA[[#This Row],[CONCAT1]]="","",MATCH(NOTA[[#This Row],[CONCAT1]],[3]!db[NB NOTA_C],0))</f>
        <v/>
      </c>
      <c r="AS434" s="35" t="str">
        <f>IF(NOTA[[#This Row],[Column5]]="","",TRUE)</f>
        <v/>
      </c>
      <c r="AT434" s="35" t="str">
        <f ca="1">IF(NOTA[[#This Row],[ID_H]]="","",IF(NOTA[[#This Row],[Column3]]=TRUE,NOTA[[#This Row],[Column5]],INDEX([3]!db[QTY/ CTN],NOTA[[#This Row],[//DB]])))</f>
        <v/>
      </c>
      <c r="AU4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4" s="35" t="str">
        <f ca="1">IF(NOTA[[#This Row],[ID_H]]="","",MATCH(NOTA[[#This Row],[NB NOTA_C_QTY]],[3]!db[NB NOTA_C_QTY+F],0))</f>
        <v/>
      </c>
      <c r="AW434" s="43" t="str">
        <f ca="1">IF(NOTA[[#This Row],[NB NOTA_C_QTY]]="","",ROW()-2)</f>
        <v/>
      </c>
    </row>
    <row r="435" spans="1:49" ht="20.100000000000001" customHeight="1">
      <c r="A4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5" t="str">
        <f ca="1">IF(NOTA[[#This Row],[NAMA BARANG]]="","",INDEX(NOTA[ID],MATCH(,INDIRECT(ADDRESS(ROW(NOTA[ID]),COLUMN(NOTA[ID]))&amp;":"&amp;ADDRESS(ROW(),COLUMN(NOTA[ID]))),-1)))</f>
        <v/>
      </c>
      <c r="C435" s="45"/>
      <c r="F435" s="46"/>
      <c r="G435" s="35"/>
      <c r="H435" s="36"/>
      <c r="I435" s="35"/>
      <c r="K435" s="37"/>
      <c r="L435" s="35"/>
      <c r="N435" s="38"/>
      <c r="O435" s="39"/>
      <c r="P435" s="47"/>
      <c r="Q435" s="48"/>
      <c r="R435" s="41"/>
      <c r="T435" s="42"/>
      <c r="U435" s="44"/>
      <c r="V435" s="42" t="str">
        <f>IF(NOTA[[#This Row],[HARGA/ CTN]]="",NOTA[[#This Row],[JUMLAH_H]],NOTA[[#This Row],[HARGA/ CTN]]*IF(NOTA[[#This Row],[C]]="",0,NOTA[[#This Row],[C]]))</f>
        <v/>
      </c>
      <c r="W435" s="42" t="str">
        <f>IF(NOTA[[#This Row],[JUMLAH]]="","",NOTA[[#This Row],[JUMLAH]]*NOTA[[#This Row],[Column6]])</f>
        <v/>
      </c>
      <c r="X435" s="42" t="str">
        <f>IF(NOTA[[#This Row],[JUMLAH]]="","",(NOTA[[#This Row],[JUMLAH]]-NOTA[[#This Row],[DISC 1-]])*NOTA[[#This Row],[Column7]])</f>
        <v/>
      </c>
      <c r="Y435" s="42" t="str">
        <f>IF(NOTA[[#This Row],[JUMLAH]]="","",(NOTA[[#This Row],[JUMLAH]]-NOTA[[#This Row],[DISC 1-]]-NOTA[[#This Row],[DISC 2-]])*NOTA[[#This Row],[Column8]])</f>
        <v/>
      </c>
      <c r="Z435" s="42" t="str">
        <f>IF(NOTA[[#This Row],[JUMLAH]]="","",NOTA[[#This Row],[DISC 1-]]+NOTA[[#This Row],[DISC 2-]]+NOTA[[#This Row],[DISC 3-]])</f>
        <v/>
      </c>
      <c r="AA435" s="42" t="str">
        <f>IF(NOTA[[#This Row],[JUMLAH]]="","",NOTA[[#This Row],[JUMLAH]]-NOTA[[#This Row],[DISC]])</f>
        <v/>
      </c>
      <c r="AB435" s="42"/>
      <c r="AC4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42" t="str">
        <f>IF(OR(NOTA[[#This Row],[QTY]]="",NOTA[[#This Row],[HARGA SATUAN]]="",),"",NOTA[[#This Row],[QTY]]*NOTA[[#This Row],[HARGA SATUAN]])</f>
        <v/>
      </c>
      <c r="AG435" s="36" t="str">
        <f ca="1">IF(NOTA[[#This Row],[ID_H]]="","",INDEX(NOTA[TANGGAL],MATCH(,INDIRECT(ADDRESS(ROW(NOTA[TANGGAL]),COLUMN(NOTA[TANGGAL]))&amp;":"&amp;ADDRESS(ROW(),COLUMN(NOTA[TANGGAL]))),-1)))</f>
        <v/>
      </c>
      <c r="AH435" s="36" t="str">
        <f ca="1">IF(NOTA[[#This Row],[ID_H]]="","",INDEX(NOTA[TGL.NOTA],MATCH(,INDIRECT(ADDRESS(ROW(NOTA[TGL.NOTA]),COLUMN(NOTA[TGL.NOTA]))&amp;":"&amp;ADDRESS(ROW(),COLUMN(NOTA[TGL.NOTA]))),-1)))</f>
        <v/>
      </c>
      <c r="AI435" s="36" t="str">
        <f ca="1">IF(NOTA[[#This Row],[ID_H]]="","",INDEX(NOTA[NO.NOTA],MATCH(NOTA[[#This Row],[ID_H]],NOTA[ID_H],0)))</f>
        <v/>
      </c>
      <c r="AJ435" s="38" t="str">
        <f ca="1">IF(NOTA[[#This Row],[NAMA BARANG]]="","",INDEX(NOTA[SUPPLIER],MATCH(,INDIRECT(ADDRESS(ROW(NOTA[ID]),COLUMN(NOTA[ID]))&amp;":"&amp;ADDRESS(ROW(),COLUMN(NOTA[ID]))),-1)))</f>
        <v/>
      </c>
      <c r="AK435" s="38" t="str">
        <f ca="1">IF(NOTA[[#This Row],[ID_H]]="","",IF(NOTA[[#This Row],[FAKTUR]]="",INDIRECT(ADDRESS(ROW()-1,COLUMN())),NOTA[[#This Row],[FAKTUR]]))</f>
        <v/>
      </c>
      <c r="AL435" s="35" t="str">
        <f ca="1">IF(NOTA[[#This Row],[ID]]="","",COUNTIF(NOTA[ID_H],NOTA[[#This Row],[ID_H]]))</f>
        <v/>
      </c>
      <c r="AM435" s="35" t="str">
        <f ca="1">IF(NOTA[[#This Row],[TGL.NOTA]]="",IF(NOTA[[#This Row],[SUPPLIER_H]]="","",AM434),MONTH(NOTA[[#This Row],[TGL.NOTA]]))</f>
        <v/>
      </c>
      <c r="AN4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5" s="35" t="str">
        <f>IF(NOTA[[#This Row],[CONCAT1]]="","",MATCH(NOTA[[#This Row],[CONCAT1]],[3]!db[NB NOTA_C],0))</f>
        <v/>
      </c>
      <c r="AS435" s="35" t="str">
        <f>IF(NOTA[[#This Row],[Column5]]="","",TRUE)</f>
        <v/>
      </c>
      <c r="AT435" s="35" t="str">
        <f ca="1">IF(NOTA[[#This Row],[ID_H]]="","",IF(NOTA[[#This Row],[Column3]]=TRUE,NOTA[[#This Row],[Column5]],INDEX([3]!db[QTY/ CTN],NOTA[[#This Row],[//DB]])))</f>
        <v/>
      </c>
      <c r="AU4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5" s="35" t="str">
        <f ca="1">IF(NOTA[[#This Row],[ID_H]]="","",MATCH(NOTA[[#This Row],[NB NOTA_C_QTY]],[3]!db[NB NOTA_C_QTY+F],0))</f>
        <v/>
      </c>
      <c r="AW435" s="43" t="str">
        <f ca="1">IF(NOTA[[#This Row],[NB NOTA_C_QTY]]="","",ROW()-2)</f>
        <v/>
      </c>
    </row>
    <row r="436" spans="1:49" ht="20.100000000000001" customHeight="1">
      <c r="A4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5" t="str">
        <f ca="1">IF(NOTA[[#This Row],[NAMA BARANG]]="","",INDEX(NOTA[ID],MATCH(,INDIRECT(ADDRESS(ROW(NOTA[ID]),COLUMN(NOTA[ID]))&amp;":"&amp;ADDRESS(ROW(),COLUMN(NOTA[ID]))),-1)))</f>
        <v/>
      </c>
      <c r="C436" s="45"/>
      <c r="F436" s="46"/>
      <c r="G436" s="35"/>
      <c r="H436" s="36"/>
      <c r="I436" s="35"/>
      <c r="K436" s="37"/>
      <c r="L436" s="35"/>
      <c r="N436" s="38"/>
      <c r="O436" s="39"/>
      <c r="P436" s="47"/>
      <c r="Q436" s="48"/>
      <c r="R436" s="41"/>
      <c r="T436" s="42"/>
      <c r="U436" s="44"/>
      <c r="V436" s="42" t="str">
        <f>IF(NOTA[[#This Row],[HARGA/ CTN]]="",NOTA[[#This Row],[JUMLAH_H]],NOTA[[#This Row],[HARGA/ CTN]]*IF(NOTA[[#This Row],[C]]="",0,NOTA[[#This Row],[C]]))</f>
        <v/>
      </c>
      <c r="W436" s="42" t="str">
        <f>IF(NOTA[[#This Row],[JUMLAH]]="","",NOTA[[#This Row],[JUMLAH]]*NOTA[[#This Row],[Column6]])</f>
        <v/>
      </c>
      <c r="X436" s="42" t="str">
        <f>IF(NOTA[[#This Row],[JUMLAH]]="","",(NOTA[[#This Row],[JUMLAH]]-NOTA[[#This Row],[DISC 1-]])*NOTA[[#This Row],[Column7]])</f>
        <v/>
      </c>
      <c r="Y436" s="42" t="str">
        <f>IF(NOTA[[#This Row],[JUMLAH]]="","",(NOTA[[#This Row],[JUMLAH]]-NOTA[[#This Row],[DISC 1-]]-NOTA[[#This Row],[DISC 2-]])*NOTA[[#This Row],[Column8]])</f>
        <v/>
      </c>
      <c r="Z436" s="42" t="str">
        <f>IF(NOTA[[#This Row],[JUMLAH]]="","",NOTA[[#This Row],[DISC 1-]]+NOTA[[#This Row],[DISC 2-]]+NOTA[[#This Row],[DISC 3-]])</f>
        <v/>
      </c>
      <c r="AA436" s="42" t="str">
        <f>IF(NOTA[[#This Row],[JUMLAH]]="","",NOTA[[#This Row],[JUMLAH]]-NOTA[[#This Row],[DISC]])</f>
        <v/>
      </c>
      <c r="AB436" s="42"/>
      <c r="AC4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42" t="str">
        <f>IF(OR(NOTA[[#This Row],[QTY]]="",NOTA[[#This Row],[HARGA SATUAN]]="",),"",NOTA[[#This Row],[QTY]]*NOTA[[#This Row],[HARGA SATUAN]])</f>
        <v/>
      </c>
      <c r="AG436" s="36" t="str">
        <f ca="1">IF(NOTA[[#This Row],[ID_H]]="","",INDEX(NOTA[TANGGAL],MATCH(,INDIRECT(ADDRESS(ROW(NOTA[TANGGAL]),COLUMN(NOTA[TANGGAL]))&amp;":"&amp;ADDRESS(ROW(),COLUMN(NOTA[TANGGAL]))),-1)))</f>
        <v/>
      </c>
      <c r="AH436" s="36" t="str">
        <f ca="1">IF(NOTA[[#This Row],[ID_H]]="","",INDEX(NOTA[TGL.NOTA],MATCH(,INDIRECT(ADDRESS(ROW(NOTA[TGL.NOTA]),COLUMN(NOTA[TGL.NOTA]))&amp;":"&amp;ADDRESS(ROW(),COLUMN(NOTA[TGL.NOTA]))),-1)))</f>
        <v/>
      </c>
      <c r="AI436" s="36" t="str">
        <f ca="1">IF(NOTA[[#This Row],[ID_H]]="","",INDEX(NOTA[NO.NOTA],MATCH(NOTA[[#This Row],[ID_H]],NOTA[ID_H],0)))</f>
        <v/>
      </c>
      <c r="AJ436" s="38" t="str">
        <f ca="1">IF(NOTA[[#This Row],[NAMA BARANG]]="","",INDEX(NOTA[SUPPLIER],MATCH(,INDIRECT(ADDRESS(ROW(NOTA[ID]),COLUMN(NOTA[ID]))&amp;":"&amp;ADDRESS(ROW(),COLUMN(NOTA[ID]))),-1)))</f>
        <v/>
      </c>
      <c r="AK436" s="38" t="str">
        <f ca="1">IF(NOTA[[#This Row],[ID_H]]="","",IF(NOTA[[#This Row],[FAKTUR]]="",INDIRECT(ADDRESS(ROW()-1,COLUMN())),NOTA[[#This Row],[FAKTUR]]))</f>
        <v/>
      </c>
      <c r="AL436" s="35" t="str">
        <f ca="1">IF(NOTA[[#This Row],[ID]]="","",COUNTIF(NOTA[ID_H],NOTA[[#This Row],[ID_H]]))</f>
        <v/>
      </c>
      <c r="AM436" s="35" t="str">
        <f ca="1">IF(NOTA[[#This Row],[TGL.NOTA]]="",IF(NOTA[[#This Row],[SUPPLIER_H]]="","",AM435),MONTH(NOTA[[#This Row],[TGL.NOTA]]))</f>
        <v/>
      </c>
      <c r="AN4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6" s="35" t="str">
        <f>IF(NOTA[[#This Row],[CONCAT1]]="","",MATCH(NOTA[[#This Row],[CONCAT1]],[3]!db[NB NOTA_C],0))</f>
        <v/>
      </c>
      <c r="AS436" s="35" t="str">
        <f>IF(NOTA[[#This Row],[Column5]]="","",TRUE)</f>
        <v/>
      </c>
      <c r="AT436" s="35" t="str">
        <f ca="1">IF(NOTA[[#This Row],[ID_H]]="","",IF(NOTA[[#This Row],[Column3]]=TRUE,NOTA[[#This Row],[Column5]],INDEX([3]!db[QTY/ CTN],NOTA[[#This Row],[//DB]])))</f>
        <v/>
      </c>
      <c r="AU4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6" s="35" t="str">
        <f ca="1">IF(NOTA[[#This Row],[ID_H]]="","",MATCH(NOTA[[#This Row],[NB NOTA_C_QTY]],[3]!db[NB NOTA_C_QTY+F],0))</f>
        <v/>
      </c>
      <c r="AW436" s="43" t="str">
        <f ca="1">IF(NOTA[[#This Row],[NB NOTA_C_QTY]]="","",ROW()-2)</f>
        <v/>
      </c>
    </row>
    <row r="437" spans="1:49" ht="20.100000000000001" customHeight="1">
      <c r="A4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5" t="str">
        <f ca="1">IF(NOTA[[#This Row],[NAMA BARANG]]="","",INDEX(NOTA[ID],MATCH(,INDIRECT(ADDRESS(ROW(NOTA[ID]),COLUMN(NOTA[ID]))&amp;":"&amp;ADDRESS(ROW(),COLUMN(NOTA[ID]))),-1)))</f>
        <v/>
      </c>
      <c r="C437" s="45"/>
      <c r="F437" s="46"/>
      <c r="G437" s="35"/>
      <c r="H437" s="36"/>
      <c r="I437" s="35"/>
      <c r="K437" s="37"/>
      <c r="L437" s="35"/>
      <c r="N437" s="38"/>
      <c r="O437" s="39"/>
      <c r="P437" s="47"/>
      <c r="Q437" s="48"/>
      <c r="R437" s="41"/>
      <c r="T437" s="42"/>
      <c r="U437" s="44"/>
      <c r="V437" s="42" t="str">
        <f>IF(NOTA[[#This Row],[HARGA/ CTN]]="",NOTA[[#This Row],[JUMLAH_H]],NOTA[[#This Row],[HARGA/ CTN]]*IF(NOTA[[#This Row],[C]]="",0,NOTA[[#This Row],[C]]))</f>
        <v/>
      </c>
      <c r="W437" s="42" t="str">
        <f>IF(NOTA[[#This Row],[JUMLAH]]="","",NOTA[[#This Row],[JUMLAH]]*NOTA[[#This Row],[Column6]])</f>
        <v/>
      </c>
      <c r="X437" s="42" t="str">
        <f>IF(NOTA[[#This Row],[JUMLAH]]="","",(NOTA[[#This Row],[JUMLAH]]-NOTA[[#This Row],[DISC 1-]])*NOTA[[#This Row],[Column7]])</f>
        <v/>
      </c>
      <c r="Y437" s="42" t="str">
        <f>IF(NOTA[[#This Row],[JUMLAH]]="","",(NOTA[[#This Row],[JUMLAH]]-NOTA[[#This Row],[DISC 1-]]-NOTA[[#This Row],[DISC 2-]])*NOTA[[#This Row],[Column8]])</f>
        <v/>
      </c>
      <c r="Z437" s="42" t="str">
        <f>IF(NOTA[[#This Row],[JUMLAH]]="","",NOTA[[#This Row],[DISC 1-]]+NOTA[[#This Row],[DISC 2-]]+NOTA[[#This Row],[DISC 3-]])</f>
        <v/>
      </c>
      <c r="AA437" s="42" t="str">
        <f>IF(NOTA[[#This Row],[JUMLAH]]="","",NOTA[[#This Row],[JUMLAH]]-NOTA[[#This Row],[DISC]])</f>
        <v/>
      </c>
      <c r="AB437" s="42"/>
      <c r="AC4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42" t="str">
        <f>IF(OR(NOTA[[#This Row],[QTY]]="",NOTA[[#This Row],[HARGA SATUAN]]="",),"",NOTA[[#This Row],[QTY]]*NOTA[[#This Row],[HARGA SATUAN]])</f>
        <v/>
      </c>
      <c r="AG437" s="36" t="str">
        <f ca="1">IF(NOTA[[#This Row],[ID_H]]="","",INDEX(NOTA[TANGGAL],MATCH(,INDIRECT(ADDRESS(ROW(NOTA[TANGGAL]),COLUMN(NOTA[TANGGAL]))&amp;":"&amp;ADDRESS(ROW(),COLUMN(NOTA[TANGGAL]))),-1)))</f>
        <v/>
      </c>
      <c r="AH437" s="36" t="str">
        <f ca="1">IF(NOTA[[#This Row],[ID_H]]="","",INDEX(NOTA[TGL.NOTA],MATCH(,INDIRECT(ADDRESS(ROW(NOTA[TGL.NOTA]),COLUMN(NOTA[TGL.NOTA]))&amp;":"&amp;ADDRESS(ROW(),COLUMN(NOTA[TGL.NOTA]))),-1)))</f>
        <v/>
      </c>
      <c r="AI437" s="36" t="str">
        <f ca="1">IF(NOTA[[#This Row],[ID_H]]="","",INDEX(NOTA[NO.NOTA],MATCH(NOTA[[#This Row],[ID_H]],NOTA[ID_H],0)))</f>
        <v/>
      </c>
      <c r="AJ437" s="38" t="str">
        <f ca="1">IF(NOTA[[#This Row],[NAMA BARANG]]="","",INDEX(NOTA[SUPPLIER],MATCH(,INDIRECT(ADDRESS(ROW(NOTA[ID]),COLUMN(NOTA[ID]))&amp;":"&amp;ADDRESS(ROW(),COLUMN(NOTA[ID]))),-1)))</f>
        <v/>
      </c>
      <c r="AK437" s="38" t="str">
        <f ca="1">IF(NOTA[[#This Row],[ID_H]]="","",IF(NOTA[[#This Row],[FAKTUR]]="",INDIRECT(ADDRESS(ROW()-1,COLUMN())),NOTA[[#This Row],[FAKTUR]]))</f>
        <v/>
      </c>
      <c r="AL437" s="35" t="str">
        <f ca="1">IF(NOTA[[#This Row],[ID]]="","",COUNTIF(NOTA[ID_H],NOTA[[#This Row],[ID_H]]))</f>
        <v/>
      </c>
      <c r="AM437" s="35" t="str">
        <f ca="1">IF(NOTA[[#This Row],[TGL.NOTA]]="",IF(NOTA[[#This Row],[SUPPLIER_H]]="","",AM436),MONTH(NOTA[[#This Row],[TGL.NOTA]]))</f>
        <v/>
      </c>
      <c r="AN4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7" s="35" t="str">
        <f>IF(NOTA[[#This Row],[CONCAT1]]="","",MATCH(NOTA[[#This Row],[CONCAT1]],[3]!db[NB NOTA_C],0))</f>
        <v/>
      </c>
      <c r="AS437" s="35" t="str">
        <f>IF(NOTA[[#This Row],[Column5]]="","",TRUE)</f>
        <v/>
      </c>
      <c r="AT437" s="35" t="str">
        <f ca="1">IF(NOTA[[#This Row],[ID_H]]="","",IF(NOTA[[#This Row],[Column3]]=TRUE,NOTA[[#This Row],[Column5]],INDEX([3]!db[QTY/ CTN],NOTA[[#This Row],[//DB]])))</f>
        <v/>
      </c>
      <c r="AU4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7" s="35" t="str">
        <f ca="1">IF(NOTA[[#This Row],[ID_H]]="","",MATCH(NOTA[[#This Row],[NB NOTA_C_QTY]],[3]!db[NB NOTA_C_QTY+F],0))</f>
        <v/>
      </c>
      <c r="AW437" s="43" t="str">
        <f ca="1">IF(NOTA[[#This Row],[NB NOTA_C_QTY]]="","",ROW()-2)</f>
        <v/>
      </c>
    </row>
    <row r="438" spans="1:49" ht="20.100000000000001" customHeight="1">
      <c r="A4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5" t="str">
        <f ca="1">IF(NOTA[[#This Row],[NAMA BARANG]]="","",INDEX(NOTA[ID],MATCH(,INDIRECT(ADDRESS(ROW(NOTA[ID]),COLUMN(NOTA[ID]))&amp;":"&amp;ADDRESS(ROW(),COLUMN(NOTA[ID]))),-1)))</f>
        <v/>
      </c>
      <c r="C438" s="45"/>
      <c r="F438" s="46"/>
      <c r="G438" s="35"/>
      <c r="H438" s="36"/>
      <c r="I438" s="35"/>
      <c r="K438" s="37"/>
      <c r="L438" s="35"/>
      <c r="N438" s="38"/>
      <c r="O438" s="39"/>
      <c r="P438" s="47"/>
      <c r="Q438" s="48"/>
      <c r="R438" s="41"/>
      <c r="T438" s="42"/>
      <c r="U438" s="44"/>
      <c r="V438" s="42" t="str">
        <f>IF(NOTA[[#This Row],[HARGA/ CTN]]="",NOTA[[#This Row],[JUMLAH_H]],NOTA[[#This Row],[HARGA/ CTN]]*IF(NOTA[[#This Row],[C]]="",0,NOTA[[#This Row],[C]]))</f>
        <v/>
      </c>
      <c r="W438" s="42" t="str">
        <f>IF(NOTA[[#This Row],[JUMLAH]]="","",NOTA[[#This Row],[JUMLAH]]*NOTA[[#This Row],[Column6]])</f>
        <v/>
      </c>
      <c r="X438" s="42" t="str">
        <f>IF(NOTA[[#This Row],[JUMLAH]]="","",(NOTA[[#This Row],[JUMLAH]]-NOTA[[#This Row],[DISC 1-]])*NOTA[[#This Row],[Column7]])</f>
        <v/>
      </c>
      <c r="Y438" s="42" t="str">
        <f>IF(NOTA[[#This Row],[JUMLAH]]="","",(NOTA[[#This Row],[JUMLAH]]-NOTA[[#This Row],[DISC 1-]]-NOTA[[#This Row],[DISC 2-]])*NOTA[[#This Row],[Column8]])</f>
        <v/>
      </c>
      <c r="Z438" s="42" t="str">
        <f>IF(NOTA[[#This Row],[JUMLAH]]="","",NOTA[[#This Row],[DISC 1-]]+NOTA[[#This Row],[DISC 2-]]+NOTA[[#This Row],[DISC 3-]])</f>
        <v/>
      </c>
      <c r="AA438" s="42" t="str">
        <f>IF(NOTA[[#This Row],[JUMLAH]]="","",NOTA[[#This Row],[JUMLAH]]-NOTA[[#This Row],[DISC]])</f>
        <v/>
      </c>
      <c r="AB438" s="42"/>
      <c r="AC4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42" t="str">
        <f>IF(OR(NOTA[[#This Row],[QTY]]="",NOTA[[#This Row],[HARGA SATUAN]]="",),"",NOTA[[#This Row],[QTY]]*NOTA[[#This Row],[HARGA SATUAN]])</f>
        <v/>
      </c>
      <c r="AG438" s="36" t="str">
        <f ca="1">IF(NOTA[[#This Row],[ID_H]]="","",INDEX(NOTA[TANGGAL],MATCH(,INDIRECT(ADDRESS(ROW(NOTA[TANGGAL]),COLUMN(NOTA[TANGGAL]))&amp;":"&amp;ADDRESS(ROW(),COLUMN(NOTA[TANGGAL]))),-1)))</f>
        <v/>
      </c>
      <c r="AH438" s="36" t="str">
        <f ca="1">IF(NOTA[[#This Row],[ID_H]]="","",INDEX(NOTA[TGL.NOTA],MATCH(,INDIRECT(ADDRESS(ROW(NOTA[TGL.NOTA]),COLUMN(NOTA[TGL.NOTA]))&amp;":"&amp;ADDRESS(ROW(),COLUMN(NOTA[TGL.NOTA]))),-1)))</f>
        <v/>
      </c>
      <c r="AI438" s="36" t="str">
        <f ca="1">IF(NOTA[[#This Row],[ID_H]]="","",INDEX(NOTA[NO.NOTA],MATCH(NOTA[[#This Row],[ID_H]],NOTA[ID_H],0)))</f>
        <v/>
      </c>
      <c r="AJ438" s="38" t="str">
        <f ca="1">IF(NOTA[[#This Row],[NAMA BARANG]]="","",INDEX(NOTA[SUPPLIER],MATCH(,INDIRECT(ADDRESS(ROW(NOTA[ID]),COLUMN(NOTA[ID]))&amp;":"&amp;ADDRESS(ROW(),COLUMN(NOTA[ID]))),-1)))</f>
        <v/>
      </c>
      <c r="AK438" s="38" t="str">
        <f ca="1">IF(NOTA[[#This Row],[ID_H]]="","",IF(NOTA[[#This Row],[FAKTUR]]="",INDIRECT(ADDRESS(ROW()-1,COLUMN())),NOTA[[#This Row],[FAKTUR]]))</f>
        <v/>
      </c>
      <c r="AL438" s="35" t="str">
        <f ca="1">IF(NOTA[[#This Row],[ID]]="","",COUNTIF(NOTA[ID_H],NOTA[[#This Row],[ID_H]]))</f>
        <v/>
      </c>
      <c r="AM438" s="35" t="str">
        <f ca="1">IF(NOTA[[#This Row],[TGL.NOTA]]="",IF(NOTA[[#This Row],[SUPPLIER_H]]="","",AM437),MONTH(NOTA[[#This Row],[TGL.NOTA]]))</f>
        <v/>
      </c>
      <c r="AN4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8" s="35" t="str">
        <f>IF(NOTA[[#This Row],[CONCAT1]]="","",MATCH(NOTA[[#This Row],[CONCAT1]],[3]!db[NB NOTA_C],0))</f>
        <v/>
      </c>
      <c r="AS438" s="35" t="str">
        <f>IF(NOTA[[#This Row],[Column5]]="","",TRUE)</f>
        <v/>
      </c>
      <c r="AT438" s="35" t="str">
        <f ca="1">IF(NOTA[[#This Row],[ID_H]]="","",IF(NOTA[[#This Row],[Column3]]=TRUE,NOTA[[#This Row],[Column5]],INDEX([3]!db[QTY/ CTN],NOTA[[#This Row],[//DB]])))</f>
        <v/>
      </c>
      <c r="AU4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8" s="35" t="str">
        <f ca="1">IF(NOTA[[#This Row],[ID_H]]="","",MATCH(NOTA[[#This Row],[NB NOTA_C_QTY]],[3]!db[NB NOTA_C_QTY+F],0))</f>
        <v/>
      </c>
      <c r="AW438" s="43" t="str">
        <f ca="1">IF(NOTA[[#This Row],[NB NOTA_C_QTY]]="","",ROW()-2)</f>
        <v/>
      </c>
    </row>
    <row r="439" spans="1:49" ht="20.100000000000001" customHeight="1">
      <c r="A4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5" t="str">
        <f ca="1">IF(NOTA[[#This Row],[NAMA BARANG]]="","",INDEX(NOTA[ID],MATCH(,INDIRECT(ADDRESS(ROW(NOTA[ID]),COLUMN(NOTA[ID]))&amp;":"&amp;ADDRESS(ROW(),COLUMN(NOTA[ID]))),-1)))</f>
        <v/>
      </c>
      <c r="C439" s="45"/>
      <c r="F439" s="46"/>
      <c r="G439" s="35"/>
      <c r="H439" s="36"/>
      <c r="I439" s="35"/>
      <c r="K439" s="37"/>
      <c r="L439" s="35"/>
      <c r="N439" s="38"/>
      <c r="O439" s="39"/>
      <c r="P439" s="47"/>
      <c r="Q439" s="48"/>
      <c r="R439" s="41"/>
      <c r="T439" s="42"/>
      <c r="U439" s="44"/>
      <c r="V439" s="42" t="str">
        <f>IF(NOTA[[#This Row],[HARGA/ CTN]]="",NOTA[[#This Row],[JUMLAH_H]],NOTA[[#This Row],[HARGA/ CTN]]*IF(NOTA[[#This Row],[C]]="",0,NOTA[[#This Row],[C]]))</f>
        <v/>
      </c>
      <c r="W439" s="42" t="str">
        <f>IF(NOTA[[#This Row],[JUMLAH]]="","",NOTA[[#This Row],[JUMLAH]]*NOTA[[#This Row],[Column6]])</f>
        <v/>
      </c>
      <c r="X439" s="42" t="str">
        <f>IF(NOTA[[#This Row],[JUMLAH]]="","",(NOTA[[#This Row],[JUMLAH]]-NOTA[[#This Row],[DISC 1-]])*NOTA[[#This Row],[Column7]])</f>
        <v/>
      </c>
      <c r="Y439" s="42" t="str">
        <f>IF(NOTA[[#This Row],[JUMLAH]]="","",(NOTA[[#This Row],[JUMLAH]]-NOTA[[#This Row],[DISC 1-]]-NOTA[[#This Row],[DISC 2-]])*NOTA[[#This Row],[Column8]])</f>
        <v/>
      </c>
      <c r="Z439" s="42" t="str">
        <f>IF(NOTA[[#This Row],[JUMLAH]]="","",NOTA[[#This Row],[DISC 1-]]+NOTA[[#This Row],[DISC 2-]]+NOTA[[#This Row],[DISC 3-]])</f>
        <v/>
      </c>
      <c r="AA439" s="42" t="str">
        <f>IF(NOTA[[#This Row],[JUMLAH]]="","",NOTA[[#This Row],[JUMLAH]]-NOTA[[#This Row],[DISC]])</f>
        <v/>
      </c>
      <c r="AB439" s="42"/>
      <c r="AC4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42" t="str">
        <f>IF(OR(NOTA[[#This Row],[QTY]]="",NOTA[[#This Row],[HARGA SATUAN]]="",),"",NOTA[[#This Row],[QTY]]*NOTA[[#This Row],[HARGA SATUAN]])</f>
        <v/>
      </c>
      <c r="AG439" s="36" t="str">
        <f ca="1">IF(NOTA[[#This Row],[ID_H]]="","",INDEX(NOTA[TANGGAL],MATCH(,INDIRECT(ADDRESS(ROW(NOTA[TANGGAL]),COLUMN(NOTA[TANGGAL]))&amp;":"&amp;ADDRESS(ROW(),COLUMN(NOTA[TANGGAL]))),-1)))</f>
        <v/>
      </c>
      <c r="AH439" s="36" t="str">
        <f ca="1">IF(NOTA[[#This Row],[ID_H]]="","",INDEX(NOTA[TGL.NOTA],MATCH(,INDIRECT(ADDRESS(ROW(NOTA[TGL.NOTA]),COLUMN(NOTA[TGL.NOTA]))&amp;":"&amp;ADDRESS(ROW(),COLUMN(NOTA[TGL.NOTA]))),-1)))</f>
        <v/>
      </c>
      <c r="AI439" s="36" t="str">
        <f ca="1">IF(NOTA[[#This Row],[ID_H]]="","",INDEX(NOTA[NO.NOTA],MATCH(NOTA[[#This Row],[ID_H]],NOTA[ID_H],0)))</f>
        <v/>
      </c>
      <c r="AJ439" s="38" t="str">
        <f ca="1">IF(NOTA[[#This Row],[NAMA BARANG]]="","",INDEX(NOTA[SUPPLIER],MATCH(,INDIRECT(ADDRESS(ROW(NOTA[ID]),COLUMN(NOTA[ID]))&amp;":"&amp;ADDRESS(ROW(),COLUMN(NOTA[ID]))),-1)))</f>
        <v/>
      </c>
      <c r="AK439" s="38" t="str">
        <f ca="1">IF(NOTA[[#This Row],[ID_H]]="","",IF(NOTA[[#This Row],[FAKTUR]]="",INDIRECT(ADDRESS(ROW()-1,COLUMN())),NOTA[[#This Row],[FAKTUR]]))</f>
        <v/>
      </c>
      <c r="AL439" s="35" t="str">
        <f ca="1">IF(NOTA[[#This Row],[ID]]="","",COUNTIF(NOTA[ID_H],NOTA[[#This Row],[ID_H]]))</f>
        <v/>
      </c>
      <c r="AM439" s="35" t="str">
        <f ca="1">IF(NOTA[[#This Row],[TGL.NOTA]]="",IF(NOTA[[#This Row],[SUPPLIER_H]]="","",AM438),MONTH(NOTA[[#This Row],[TGL.NOTA]]))</f>
        <v/>
      </c>
      <c r="AN4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9" s="35" t="str">
        <f>IF(NOTA[[#This Row],[CONCAT1]]="","",MATCH(NOTA[[#This Row],[CONCAT1]],[3]!db[NB NOTA_C],0))</f>
        <v/>
      </c>
      <c r="AS439" s="35" t="str">
        <f>IF(NOTA[[#This Row],[Column5]]="","",TRUE)</f>
        <v/>
      </c>
      <c r="AT439" s="35" t="str">
        <f ca="1">IF(NOTA[[#This Row],[ID_H]]="","",IF(NOTA[[#This Row],[Column3]]=TRUE,NOTA[[#This Row],[Column5]],INDEX([3]!db[QTY/ CTN],NOTA[[#This Row],[//DB]])))</f>
        <v/>
      </c>
      <c r="AU4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39" s="35" t="str">
        <f ca="1">IF(NOTA[[#This Row],[ID_H]]="","",MATCH(NOTA[[#This Row],[NB NOTA_C_QTY]],[3]!db[NB NOTA_C_QTY+F],0))</f>
        <v/>
      </c>
      <c r="AW439" s="43" t="str">
        <f ca="1">IF(NOTA[[#This Row],[NB NOTA_C_QTY]]="","",ROW()-2)</f>
        <v/>
      </c>
    </row>
    <row r="440" spans="1:49" ht="20.100000000000001" customHeight="1">
      <c r="A4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5" t="str">
        <f ca="1">IF(NOTA[[#This Row],[NAMA BARANG]]="","",INDEX(NOTA[ID],MATCH(,INDIRECT(ADDRESS(ROW(NOTA[ID]),COLUMN(NOTA[ID]))&amp;":"&amp;ADDRESS(ROW(),COLUMN(NOTA[ID]))),-1)))</f>
        <v/>
      </c>
      <c r="C440" s="45"/>
      <c r="F440" s="46"/>
      <c r="G440" s="35"/>
      <c r="H440" s="36"/>
      <c r="I440" s="35"/>
      <c r="K440" s="37"/>
      <c r="L440" s="35"/>
      <c r="N440" s="38"/>
      <c r="O440" s="39"/>
      <c r="P440" s="47"/>
      <c r="Q440" s="48"/>
      <c r="R440" s="41"/>
      <c r="T440" s="42"/>
      <c r="U440" s="44"/>
      <c r="V440" s="42" t="str">
        <f>IF(NOTA[[#This Row],[HARGA/ CTN]]="",NOTA[[#This Row],[JUMLAH_H]],NOTA[[#This Row],[HARGA/ CTN]]*IF(NOTA[[#This Row],[C]]="",0,NOTA[[#This Row],[C]]))</f>
        <v/>
      </c>
      <c r="W440" s="42" t="str">
        <f>IF(NOTA[[#This Row],[JUMLAH]]="","",NOTA[[#This Row],[JUMLAH]]*NOTA[[#This Row],[Column6]])</f>
        <v/>
      </c>
      <c r="X440" s="42" t="str">
        <f>IF(NOTA[[#This Row],[JUMLAH]]="","",(NOTA[[#This Row],[JUMLAH]]-NOTA[[#This Row],[DISC 1-]])*NOTA[[#This Row],[Column7]])</f>
        <v/>
      </c>
      <c r="Y440" s="42" t="str">
        <f>IF(NOTA[[#This Row],[JUMLAH]]="","",(NOTA[[#This Row],[JUMLAH]]-NOTA[[#This Row],[DISC 1-]]-NOTA[[#This Row],[DISC 2-]])*NOTA[[#This Row],[Column8]])</f>
        <v/>
      </c>
      <c r="Z440" s="42" t="str">
        <f>IF(NOTA[[#This Row],[JUMLAH]]="","",NOTA[[#This Row],[DISC 1-]]+NOTA[[#This Row],[DISC 2-]]+NOTA[[#This Row],[DISC 3-]])</f>
        <v/>
      </c>
      <c r="AA440" s="42" t="str">
        <f>IF(NOTA[[#This Row],[JUMLAH]]="","",NOTA[[#This Row],[JUMLAH]]-NOTA[[#This Row],[DISC]])</f>
        <v/>
      </c>
      <c r="AB440" s="42"/>
      <c r="AC4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42" t="str">
        <f>IF(OR(NOTA[[#This Row],[QTY]]="",NOTA[[#This Row],[HARGA SATUAN]]="",),"",NOTA[[#This Row],[QTY]]*NOTA[[#This Row],[HARGA SATUAN]])</f>
        <v/>
      </c>
      <c r="AG440" s="36" t="str">
        <f ca="1">IF(NOTA[[#This Row],[ID_H]]="","",INDEX(NOTA[TANGGAL],MATCH(,INDIRECT(ADDRESS(ROW(NOTA[TANGGAL]),COLUMN(NOTA[TANGGAL]))&amp;":"&amp;ADDRESS(ROW(),COLUMN(NOTA[TANGGAL]))),-1)))</f>
        <v/>
      </c>
      <c r="AH440" s="36" t="str">
        <f ca="1">IF(NOTA[[#This Row],[ID_H]]="","",INDEX(NOTA[TGL.NOTA],MATCH(,INDIRECT(ADDRESS(ROW(NOTA[TGL.NOTA]),COLUMN(NOTA[TGL.NOTA]))&amp;":"&amp;ADDRESS(ROW(),COLUMN(NOTA[TGL.NOTA]))),-1)))</f>
        <v/>
      </c>
      <c r="AI440" s="36" t="str">
        <f ca="1">IF(NOTA[[#This Row],[ID_H]]="","",INDEX(NOTA[NO.NOTA],MATCH(NOTA[[#This Row],[ID_H]],NOTA[ID_H],0)))</f>
        <v/>
      </c>
      <c r="AJ440" s="38" t="str">
        <f ca="1">IF(NOTA[[#This Row],[NAMA BARANG]]="","",INDEX(NOTA[SUPPLIER],MATCH(,INDIRECT(ADDRESS(ROW(NOTA[ID]),COLUMN(NOTA[ID]))&amp;":"&amp;ADDRESS(ROW(),COLUMN(NOTA[ID]))),-1)))</f>
        <v/>
      </c>
      <c r="AK440" s="38" t="str">
        <f ca="1">IF(NOTA[[#This Row],[ID_H]]="","",IF(NOTA[[#This Row],[FAKTUR]]="",INDIRECT(ADDRESS(ROW()-1,COLUMN())),NOTA[[#This Row],[FAKTUR]]))</f>
        <v/>
      </c>
      <c r="AL440" s="35" t="str">
        <f ca="1">IF(NOTA[[#This Row],[ID]]="","",COUNTIF(NOTA[ID_H],NOTA[[#This Row],[ID_H]]))</f>
        <v/>
      </c>
      <c r="AM440" s="35" t="str">
        <f ca="1">IF(NOTA[[#This Row],[TGL.NOTA]]="",IF(NOTA[[#This Row],[SUPPLIER_H]]="","",AM439),MONTH(NOTA[[#This Row],[TGL.NOTA]]))</f>
        <v/>
      </c>
      <c r="AN4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0" s="35" t="str">
        <f>IF(NOTA[[#This Row],[CONCAT1]]="","",MATCH(NOTA[[#This Row],[CONCAT1]],[3]!db[NB NOTA_C],0))</f>
        <v/>
      </c>
      <c r="AS440" s="35" t="str">
        <f>IF(NOTA[[#This Row],[Column5]]="","",TRUE)</f>
        <v/>
      </c>
      <c r="AT440" s="35" t="str">
        <f ca="1">IF(NOTA[[#This Row],[ID_H]]="","",IF(NOTA[[#This Row],[Column3]]=TRUE,NOTA[[#This Row],[Column5]],INDEX([3]!db[QTY/ CTN],NOTA[[#This Row],[//DB]])))</f>
        <v/>
      </c>
      <c r="AU4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0" s="35" t="str">
        <f ca="1">IF(NOTA[[#This Row],[ID_H]]="","",MATCH(NOTA[[#This Row],[NB NOTA_C_QTY]],[3]!db[NB NOTA_C_QTY+F],0))</f>
        <v/>
      </c>
      <c r="AW440" s="43" t="str">
        <f ca="1">IF(NOTA[[#This Row],[NB NOTA_C_QTY]]="","",ROW()-2)</f>
        <v/>
      </c>
    </row>
    <row r="441" spans="1:49" ht="20.100000000000001" customHeight="1">
      <c r="A4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5" t="str">
        <f ca="1">IF(NOTA[[#This Row],[NAMA BARANG]]="","",INDEX(NOTA[ID],MATCH(,INDIRECT(ADDRESS(ROW(NOTA[ID]),COLUMN(NOTA[ID]))&amp;":"&amp;ADDRESS(ROW(),COLUMN(NOTA[ID]))),-1)))</f>
        <v/>
      </c>
      <c r="C441" s="45"/>
      <c r="F441" s="46"/>
      <c r="G441" s="35"/>
      <c r="H441" s="36"/>
      <c r="I441" s="35"/>
      <c r="K441" s="37"/>
      <c r="L441" s="35"/>
      <c r="N441" s="38"/>
      <c r="O441" s="39"/>
      <c r="P441" s="47"/>
      <c r="Q441" s="48"/>
      <c r="R441" s="41"/>
      <c r="T441" s="42"/>
      <c r="U441" s="44"/>
      <c r="V441" s="42" t="str">
        <f>IF(NOTA[[#This Row],[HARGA/ CTN]]="",NOTA[[#This Row],[JUMLAH_H]],NOTA[[#This Row],[HARGA/ CTN]]*IF(NOTA[[#This Row],[C]]="",0,NOTA[[#This Row],[C]]))</f>
        <v/>
      </c>
      <c r="W441" s="42" t="str">
        <f>IF(NOTA[[#This Row],[JUMLAH]]="","",NOTA[[#This Row],[JUMLAH]]*NOTA[[#This Row],[Column6]])</f>
        <v/>
      </c>
      <c r="X441" s="42" t="str">
        <f>IF(NOTA[[#This Row],[JUMLAH]]="","",(NOTA[[#This Row],[JUMLAH]]-NOTA[[#This Row],[DISC 1-]])*NOTA[[#This Row],[Column7]])</f>
        <v/>
      </c>
      <c r="Y441" s="42" t="str">
        <f>IF(NOTA[[#This Row],[JUMLAH]]="","",(NOTA[[#This Row],[JUMLAH]]-NOTA[[#This Row],[DISC 1-]]-NOTA[[#This Row],[DISC 2-]])*NOTA[[#This Row],[Column8]])</f>
        <v/>
      </c>
      <c r="Z441" s="42" t="str">
        <f>IF(NOTA[[#This Row],[JUMLAH]]="","",NOTA[[#This Row],[DISC 1-]]+NOTA[[#This Row],[DISC 2-]]+NOTA[[#This Row],[DISC 3-]])</f>
        <v/>
      </c>
      <c r="AA441" s="42" t="str">
        <f>IF(NOTA[[#This Row],[JUMLAH]]="","",NOTA[[#This Row],[JUMLAH]]-NOTA[[#This Row],[DISC]])</f>
        <v/>
      </c>
      <c r="AB441" s="42"/>
      <c r="AC4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42" t="str">
        <f>IF(OR(NOTA[[#This Row],[QTY]]="",NOTA[[#This Row],[HARGA SATUAN]]="",),"",NOTA[[#This Row],[QTY]]*NOTA[[#This Row],[HARGA SATUAN]])</f>
        <v/>
      </c>
      <c r="AG441" s="36" t="str">
        <f ca="1">IF(NOTA[[#This Row],[ID_H]]="","",INDEX(NOTA[TANGGAL],MATCH(,INDIRECT(ADDRESS(ROW(NOTA[TANGGAL]),COLUMN(NOTA[TANGGAL]))&amp;":"&amp;ADDRESS(ROW(),COLUMN(NOTA[TANGGAL]))),-1)))</f>
        <v/>
      </c>
      <c r="AH441" s="36" t="str">
        <f ca="1">IF(NOTA[[#This Row],[ID_H]]="","",INDEX(NOTA[TGL.NOTA],MATCH(,INDIRECT(ADDRESS(ROW(NOTA[TGL.NOTA]),COLUMN(NOTA[TGL.NOTA]))&amp;":"&amp;ADDRESS(ROW(),COLUMN(NOTA[TGL.NOTA]))),-1)))</f>
        <v/>
      </c>
      <c r="AI441" s="36" t="str">
        <f ca="1">IF(NOTA[[#This Row],[ID_H]]="","",INDEX(NOTA[NO.NOTA],MATCH(NOTA[[#This Row],[ID_H]],NOTA[ID_H],0)))</f>
        <v/>
      </c>
      <c r="AJ441" s="38" t="str">
        <f ca="1">IF(NOTA[[#This Row],[NAMA BARANG]]="","",INDEX(NOTA[SUPPLIER],MATCH(,INDIRECT(ADDRESS(ROW(NOTA[ID]),COLUMN(NOTA[ID]))&amp;":"&amp;ADDRESS(ROW(),COLUMN(NOTA[ID]))),-1)))</f>
        <v/>
      </c>
      <c r="AK441" s="38" t="str">
        <f ca="1">IF(NOTA[[#This Row],[ID_H]]="","",IF(NOTA[[#This Row],[FAKTUR]]="",INDIRECT(ADDRESS(ROW()-1,COLUMN())),NOTA[[#This Row],[FAKTUR]]))</f>
        <v/>
      </c>
      <c r="AL441" s="35" t="str">
        <f ca="1">IF(NOTA[[#This Row],[ID]]="","",COUNTIF(NOTA[ID_H],NOTA[[#This Row],[ID_H]]))</f>
        <v/>
      </c>
      <c r="AM441" s="35" t="str">
        <f ca="1">IF(NOTA[[#This Row],[TGL.NOTA]]="",IF(NOTA[[#This Row],[SUPPLIER_H]]="","",AM440),MONTH(NOTA[[#This Row],[TGL.NOTA]]))</f>
        <v/>
      </c>
      <c r="AN4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1" s="35" t="str">
        <f>IF(NOTA[[#This Row],[CONCAT1]]="","",MATCH(NOTA[[#This Row],[CONCAT1]],[3]!db[NB NOTA_C],0))</f>
        <v/>
      </c>
      <c r="AS441" s="35" t="str">
        <f>IF(NOTA[[#This Row],[Column5]]="","",TRUE)</f>
        <v/>
      </c>
      <c r="AT441" s="35" t="str">
        <f ca="1">IF(NOTA[[#This Row],[ID_H]]="","",IF(NOTA[[#This Row],[Column3]]=TRUE,NOTA[[#This Row],[Column5]],INDEX([3]!db[QTY/ CTN],NOTA[[#This Row],[//DB]])))</f>
        <v/>
      </c>
      <c r="AU4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1" s="35" t="str">
        <f ca="1">IF(NOTA[[#This Row],[ID_H]]="","",MATCH(NOTA[[#This Row],[NB NOTA_C_QTY]],[3]!db[NB NOTA_C_QTY+F],0))</f>
        <v/>
      </c>
      <c r="AW441" s="43" t="str">
        <f ca="1">IF(NOTA[[#This Row],[NB NOTA_C_QTY]]="","",ROW()-2)</f>
        <v/>
      </c>
    </row>
    <row r="442" spans="1:49" ht="20.100000000000001" customHeight="1">
      <c r="A4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5" t="str">
        <f ca="1">IF(NOTA[[#This Row],[NAMA BARANG]]="","",INDEX(NOTA[ID],MATCH(,INDIRECT(ADDRESS(ROW(NOTA[ID]),COLUMN(NOTA[ID]))&amp;":"&amp;ADDRESS(ROW(),COLUMN(NOTA[ID]))),-1)))</f>
        <v/>
      </c>
      <c r="C442" s="45"/>
      <c r="F442" s="46"/>
      <c r="G442" s="35"/>
      <c r="H442" s="36"/>
      <c r="I442" s="35"/>
      <c r="K442" s="37"/>
      <c r="L442" s="35"/>
      <c r="N442" s="38"/>
      <c r="O442" s="39"/>
      <c r="P442" s="47"/>
      <c r="Q442" s="48"/>
      <c r="R442" s="41"/>
      <c r="T442" s="42"/>
      <c r="U442" s="44"/>
      <c r="V442" s="42" t="str">
        <f>IF(NOTA[[#This Row],[HARGA/ CTN]]="",NOTA[[#This Row],[JUMLAH_H]],NOTA[[#This Row],[HARGA/ CTN]]*IF(NOTA[[#This Row],[C]]="",0,NOTA[[#This Row],[C]]))</f>
        <v/>
      </c>
      <c r="W442" s="42" t="str">
        <f>IF(NOTA[[#This Row],[JUMLAH]]="","",NOTA[[#This Row],[JUMLAH]]*NOTA[[#This Row],[Column6]])</f>
        <v/>
      </c>
      <c r="X442" s="42" t="str">
        <f>IF(NOTA[[#This Row],[JUMLAH]]="","",(NOTA[[#This Row],[JUMLAH]]-NOTA[[#This Row],[DISC 1-]])*NOTA[[#This Row],[Column7]])</f>
        <v/>
      </c>
      <c r="Y442" s="42" t="str">
        <f>IF(NOTA[[#This Row],[JUMLAH]]="","",(NOTA[[#This Row],[JUMLAH]]-NOTA[[#This Row],[DISC 1-]]-NOTA[[#This Row],[DISC 2-]])*NOTA[[#This Row],[Column8]])</f>
        <v/>
      </c>
      <c r="Z442" s="42" t="str">
        <f>IF(NOTA[[#This Row],[JUMLAH]]="","",NOTA[[#This Row],[DISC 1-]]+NOTA[[#This Row],[DISC 2-]]+NOTA[[#This Row],[DISC 3-]])</f>
        <v/>
      </c>
      <c r="AA442" s="42" t="str">
        <f>IF(NOTA[[#This Row],[JUMLAH]]="","",NOTA[[#This Row],[JUMLAH]]-NOTA[[#This Row],[DISC]])</f>
        <v/>
      </c>
      <c r="AB442" s="42"/>
      <c r="AC4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42" t="str">
        <f>IF(OR(NOTA[[#This Row],[QTY]]="",NOTA[[#This Row],[HARGA SATUAN]]="",),"",NOTA[[#This Row],[QTY]]*NOTA[[#This Row],[HARGA SATUAN]])</f>
        <v/>
      </c>
      <c r="AG442" s="36" t="str">
        <f ca="1">IF(NOTA[[#This Row],[ID_H]]="","",INDEX(NOTA[TANGGAL],MATCH(,INDIRECT(ADDRESS(ROW(NOTA[TANGGAL]),COLUMN(NOTA[TANGGAL]))&amp;":"&amp;ADDRESS(ROW(),COLUMN(NOTA[TANGGAL]))),-1)))</f>
        <v/>
      </c>
      <c r="AH442" s="36" t="str">
        <f ca="1">IF(NOTA[[#This Row],[ID_H]]="","",INDEX(NOTA[TGL.NOTA],MATCH(,INDIRECT(ADDRESS(ROW(NOTA[TGL.NOTA]),COLUMN(NOTA[TGL.NOTA]))&amp;":"&amp;ADDRESS(ROW(),COLUMN(NOTA[TGL.NOTA]))),-1)))</f>
        <v/>
      </c>
      <c r="AI442" s="36" t="str">
        <f ca="1">IF(NOTA[[#This Row],[ID_H]]="","",INDEX(NOTA[NO.NOTA],MATCH(NOTA[[#This Row],[ID_H]],NOTA[ID_H],0)))</f>
        <v/>
      </c>
      <c r="AJ442" s="38" t="str">
        <f ca="1">IF(NOTA[[#This Row],[NAMA BARANG]]="","",INDEX(NOTA[SUPPLIER],MATCH(,INDIRECT(ADDRESS(ROW(NOTA[ID]),COLUMN(NOTA[ID]))&amp;":"&amp;ADDRESS(ROW(),COLUMN(NOTA[ID]))),-1)))</f>
        <v/>
      </c>
      <c r="AK442" s="38" t="str">
        <f ca="1">IF(NOTA[[#This Row],[ID_H]]="","",IF(NOTA[[#This Row],[FAKTUR]]="",INDIRECT(ADDRESS(ROW()-1,COLUMN())),NOTA[[#This Row],[FAKTUR]]))</f>
        <v/>
      </c>
      <c r="AL442" s="35" t="str">
        <f ca="1">IF(NOTA[[#This Row],[ID]]="","",COUNTIF(NOTA[ID_H],NOTA[[#This Row],[ID_H]]))</f>
        <v/>
      </c>
      <c r="AM442" s="35" t="str">
        <f ca="1">IF(NOTA[[#This Row],[TGL.NOTA]]="",IF(NOTA[[#This Row],[SUPPLIER_H]]="","",AM441),MONTH(NOTA[[#This Row],[TGL.NOTA]]))</f>
        <v/>
      </c>
      <c r="AN4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2" s="35" t="str">
        <f>IF(NOTA[[#This Row],[CONCAT1]]="","",MATCH(NOTA[[#This Row],[CONCAT1]],[3]!db[NB NOTA_C],0))</f>
        <v/>
      </c>
      <c r="AS442" s="35" t="str">
        <f>IF(NOTA[[#This Row],[Column5]]="","",TRUE)</f>
        <v/>
      </c>
      <c r="AT442" s="35" t="str">
        <f ca="1">IF(NOTA[[#This Row],[ID_H]]="","",IF(NOTA[[#This Row],[Column3]]=TRUE,NOTA[[#This Row],[Column5]],INDEX([3]!db[QTY/ CTN],NOTA[[#This Row],[//DB]])))</f>
        <v/>
      </c>
      <c r="AU4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2" s="35" t="str">
        <f ca="1">IF(NOTA[[#This Row],[ID_H]]="","",MATCH(NOTA[[#This Row],[NB NOTA_C_QTY]],[3]!db[NB NOTA_C_QTY+F],0))</f>
        <v/>
      </c>
      <c r="AW442" s="43" t="str">
        <f ca="1">IF(NOTA[[#This Row],[NB NOTA_C_QTY]]="","",ROW()-2)</f>
        <v/>
      </c>
    </row>
    <row r="443" spans="1:49" ht="20.100000000000001" customHeight="1">
      <c r="A4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5" t="str">
        <f ca="1">IF(NOTA[[#This Row],[NAMA BARANG]]="","",INDEX(NOTA[ID],MATCH(,INDIRECT(ADDRESS(ROW(NOTA[ID]),COLUMN(NOTA[ID]))&amp;":"&amp;ADDRESS(ROW(),COLUMN(NOTA[ID]))),-1)))</f>
        <v/>
      </c>
      <c r="C443" s="45"/>
      <c r="F443" s="46"/>
      <c r="G443" s="35"/>
      <c r="H443" s="36"/>
      <c r="I443" s="35"/>
      <c r="K443" s="37"/>
      <c r="L443" s="35"/>
      <c r="N443" s="38"/>
      <c r="O443" s="39"/>
      <c r="P443" s="47"/>
      <c r="Q443" s="48"/>
      <c r="R443" s="41"/>
      <c r="T443" s="42"/>
      <c r="U443" s="44"/>
      <c r="V443" s="42" t="str">
        <f>IF(NOTA[[#This Row],[HARGA/ CTN]]="",NOTA[[#This Row],[JUMLAH_H]],NOTA[[#This Row],[HARGA/ CTN]]*IF(NOTA[[#This Row],[C]]="",0,NOTA[[#This Row],[C]]))</f>
        <v/>
      </c>
      <c r="W443" s="42" t="str">
        <f>IF(NOTA[[#This Row],[JUMLAH]]="","",NOTA[[#This Row],[JUMLAH]]*NOTA[[#This Row],[Column6]])</f>
        <v/>
      </c>
      <c r="X443" s="42" t="str">
        <f>IF(NOTA[[#This Row],[JUMLAH]]="","",(NOTA[[#This Row],[JUMLAH]]-NOTA[[#This Row],[DISC 1-]])*NOTA[[#This Row],[Column7]])</f>
        <v/>
      </c>
      <c r="Y443" s="42" t="str">
        <f>IF(NOTA[[#This Row],[JUMLAH]]="","",(NOTA[[#This Row],[JUMLAH]]-NOTA[[#This Row],[DISC 1-]]-NOTA[[#This Row],[DISC 2-]])*NOTA[[#This Row],[Column8]])</f>
        <v/>
      </c>
      <c r="Z443" s="42" t="str">
        <f>IF(NOTA[[#This Row],[JUMLAH]]="","",NOTA[[#This Row],[DISC 1-]]+NOTA[[#This Row],[DISC 2-]]+NOTA[[#This Row],[DISC 3-]])</f>
        <v/>
      </c>
      <c r="AA443" s="42" t="str">
        <f>IF(NOTA[[#This Row],[JUMLAH]]="","",NOTA[[#This Row],[JUMLAH]]-NOTA[[#This Row],[DISC]])</f>
        <v/>
      </c>
      <c r="AB443" s="42"/>
      <c r="AC4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42" t="str">
        <f>IF(OR(NOTA[[#This Row],[QTY]]="",NOTA[[#This Row],[HARGA SATUAN]]="",),"",NOTA[[#This Row],[QTY]]*NOTA[[#This Row],[HARGA SATUAN]])</f>
        <v/>
      </c>
      <c r="AG443" s="36" t="str">
        <f ca="1">IF(NOTA[[#This Row],[ID_H]]="","",INDEX(NOTA[TANGGAL],MATCH(,INDIRECT(ADDRESS(ROW(NOTA[TANGGAL]),COLUMN(NOTA[TANGGAL]))&amp;":"&amp;ADDRESS(ROW(),COLUMN(NOTA[TANGGAL]))),-1)))</f>
        <v/>
      </c>
      <c r="AH443" s="36" t="str">
        <f ca="1">IF(NOTA[[#This Row],[ID_H]]="","",INDEX(NOTA[TGL.NOTA],MATCH(,INDIRECT(ADDRESS(ROW(NOTA[TGL.NOTA]),COLUMN(NOTA[TGL.NOTA]))&amp;":"&amp;ADDRESS(ROW(),COLUMN(NOTA[TGL.NOTA]))),-1)))</f>
        <v/>
      </c>
      <c r="AI443" s="36" t="str">
        <f ca="1">IF(NOTA[[#This Row],[ID_H]]="","",INDEX(NOTA[NO.NOTA],MATCH(NOTA[[#This Row],[ID_H]],NOTA[ID_H],0)))</f>
        <v/>
      </c>
      <c r="AJ443" s="38" t="str">
        <f ca="1">IF(NOTA[[#This Row],[NAMA BARANG]]="","",INDEX(NOTA[SUPPLIER],MATCH(,INDIRECT(ADDRESS(ROW(NOTA[ID]),COLUMN(NOTA[ID]))&amp;":"&amp;ADDRESS(ROW(),COLUMN(NOTA[ID]))),-1)))</f>
        <v/>
      </c>
      <c r="AK443" s="38" t="str">
        <f ca="1">IF(NOTA[[#This Row],[ID_H]]="","",IF(NOTA[[#This Row],[FAKTUR]]="",INDIRECT(ADDRESS(ROW()-1,COLUMN())),NOTA[[#This Row],[FAKTUR]]))</f>
        <v/>
      </c>
      <c r="AL443" s="35" t="str">
        <f ca="1">IF(NOTA[[#This Row],[ID]]="","",COUNTIF(NOTA[ID_H],NOTA[[#This Row],[ID_H]]))</f>
        <v/>
      </c>
      <c r="AM443" s="35" t="str">
        <f ca="1">IF(NOTA[[#This Row],[TGL.NOTA]]="",IF(NOTA[[#This Row],[SUPPLIER_H]]="","",AM442),MONTH(NOTA[[#This Row],[TGL.NOTA]]))</f>
        <v/>
      </c>
      <c r="AN4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3" s="35" t="str">
        <f>IF(NOTA[[#This Row],[CONCAT1]]="","",MATCH(NOTA[[#This Row],[CONCAT1]],[3]!db[NB NOTA_C],0))</f>
        <v/>
      </c>
      <c r="AS443" s="35" t="str">
        <f>IF(NOTA[[#This Row],[Column5]]="","",TRUE)</f>
        <v/>
      </c>
      <c r="AT443" s="35" t="str">
        <f ca="1">IF(NOTA[[#This Row],[ID_H]]="","",IF(NOTA[[#This Row],[Column3]]=TRUE,NOTA[[#This Row],[Column5]],INDEX([3]!db[QTY/ CTN],NOTA[[#This Row],[//DB]])))</f>
        <v/>
      </c>
      <c r="AU4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3" s="35" t="str">
        <f ca="1">IF(NOTA[[#This Row],[ID_H]]="","",MATCH(NOTA[[#This Row],[NB NOTA_C_QTY]],[3]!db[NB NOTA_C_QTY+F],0))</f>
        <v/>
      </c>
      <c r="AW443" s="43" t="str">
        <f ca="1">IF(NOTA[[#This Row],[NB NOTA_C_QTY]]="","",ROW()-2)</f>
        <v/>
      </c>
    </row>
    <row r="444" spans="1:49" ht="20.100000000000001" customHeight="1">
      <c r="A4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5" t="str">
        <f ca="1">IF(NOTA[[#This Row],[NAMA BARANG]]="","",INDEX(NOTA[ID],MATCH(,INDIRECT(ADDRESS(ROW(NOTA[ID]),COLUMN(NOTA[ID]))&amp;":"&amp;ADDRESS(ROW(),COLUMN(NOTA[ID]))),-1)))</f>
        <v/>
      </c>
      <c r="C444" s="45"/>
      <c r="F444" s="46"/>
      <c r="G444" s="35"/>
      <c r="H444" s="36"/>
      <c r="I444" s="35"/>
      <c r="K444" s="37"/>
      <c r="L444" s="35"/>
      <c r="N444" s="38"/>
      <c r="O444" s="39"/>
      <c r="P444" s="47"/>
      <c r="Q444" s="48"/>
      <c r="R444" s="41"/>
      <c r="T444" s="42"/>
      <c r="U444" s="44"/>
      <c r="V444" s="42" t="str">
        <f>IF(NOTA[[#This Row],[HARGA/ CTN]]="",NOTA[[#This Row],[JUMLAH_H]],NOTA[[#This Row],[HARGA/ CTN]]*IF(NOTA[[#This Row],[C]]="",0,NOTA[[#This Row],[C]]))</f>
        <v/>
      </c>
      <c r="W444" s="42" t="str">
        <f>IF(NOTA[[#This Row],[JUMLAH]]="","",NOTA[[#This Row],[JUMLAH]]*NOTA[[#This Row],[Column6]])</f>
        <v/>
      </c>
      <c r="X444" s="42" t="str">
        <f>IF(NOTA[[#This Row],[JUMLAH]]="","",(NOTA[[#This Row],[JUMLAH]]-NOTA[[#This Row],[DISC 1-]])*NOTA[[#This Row],[Column7]])</f>
        <v/>
      </c>
      <c r="Y444" s="42" t="str">
        <f>IF(NOTA[[#This Row],[JUMLAH]]="","",(NOTA[[#This Row],[JUMLAH]]-NOTA[[#This Row],[DISC 1-]]-NOTA[[#This Row],[DISC 2-]])*NOTA[[#This Row],[Column8]])</f>
        <v/>
      </c>
      <c r="Z444" s="42" t="str">
        <f>IF(NOTA[[#This Row],[JUMLAH]]="","",NOTA[[#This Row],[DISC 1-]]+NOTA[[#This Row],[DISC 2-]]+NOTA[[#This Row],[DISC 3-]])</f>
        <v/>
      </c>
      <c r="AA444" s="42" t="str">
        <f>IF(NOTA[[#This Row],[JUMLAH]]="","",NOTA[[#This Row],[JUMLAH]]-NOTA[[#This Row],[DISC]])</f>
        <v/>
      </c>
      <c r="AB444" s="42"/>
      <c r="AC4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42" t="str">
        <f>IF(OR(NOTA[[#This Row],[QTY]]="",NOTA[[#This Row],[HARGA SATUAN]]="",),"",NOTA[[#This Row],[QTY]]*NOTA[[#This Row],[HARGA SATUAN]])</f>
        <v/>
      </c>
      <c r="AG444" s="36" t="str">
        <f ca="1">IF(NOTA[[#This Row],[ID_H]]="","",INDEX(NOTA[TANGGAL],MATCH(,INDIRECT(ADDRESS(ROW(NOTA[TANGGAL]),COLUMN(NOTA[TANGGAL]))&amp;":"&amp;ADDRESS(ROW(),COLUMN(NOTA[TANGGAL]))),-1)))</f>
        <v/>
      </c>
      <c r="AH444" s="36" t="str">
        <f ca="1">IF(NOTA[[#This Row],[ID_H]]="","",INDEX(NOTA[TGL.NOTA],MATCH(,INDIRECT(ADDRESS(ROW(NOTA[TGL.NOTA]),COLUMN(NOTA[TGL.NOTA]))&amp;":"&amp;ADDRESS(ROW(),COLUMN(NOTA[TGL.NOTA]))),-1)))</f>
        <v/>
      </c>
      <c r="AI444" s="36" t="str">
        <f ca="1">IF(NOTA[[#This Row],[ID_H]]="","",INDEX(NOTA[NO.NOTA],MATCH(NOTA[[#This Row],[ID_H]],NOTA[ID_H],0)))</f>
        <v/>
      </c>
      <c r="AJ444" s="38" t="str">
        <f ca="1">IF(NOTA[[#This Row],[NAMA BARANG]]="","",INDEX(NOTA[SUPPLIER],MATCH(,INDIRECT(ADDRESS(ROW(NOTA[ID]),COLUMN(NOTA[ID]))&amp;":"&amp;ADDRESS(ROW(),COLUMN(NOTA[ID]))),-1)))</f>
        <v/>
      </c>
      <c r="AK444" s="38" t="str">
        <f ca="1">IF(NOTA[[#This Row],[ID_H]]="","",IF(NOTA[[#This Row],[FAKTUR]]="",INDIRECT(ADDRESS(ROW()-1,COLUMN())),NOTA[[#This Row],[FAKTUR]]))</f>
        <v/>
      </c>
      <c r="AL444" s="35" t="str">
        <f ca="1">IF(NOTA[[#This Row],[ID]]="","",COUNTIF(NOTA[ID_H],NOTA[[#This Row],[ID_H]]))</f>
        <v/>
      </c>
      <c r="AM444" s="35" t="str">
        <f ca="1">IF(NOTA[[#This Row],[TGL.NOTA]]="",IF(NOTA[[#This Row],[SUPPLIER_H]]="","",AM443),MONTH(NOTA[[#This Row],[TGL.NOTA]]))</f>
        <v/>
      </c>
      <c r="AN4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4" s="35" t="str">
        <f>IF(NOTA[[#This Row],[CONCAT1]]="","",MATCH(NOTA[[#This Row],[CONCAT1]],[3]!db[NB NOTA_C],0))</f>
        <v/>
      </c>
      <c r="AS444" s="35" t="str">
        <f>IF(NOTA[[#This Row],[Column5]]="","",TRUE)</f>
        <v/>
      </c>
      <c r="AT444" s="35" t="str">
        <f ca="1">IF(NOTA[[#This Row],[ID_H]]="","",IF(NOTA[[#This Row],[Column3]]=TRUE,NOTA[[#This Row],[Column5]],INDEX([3]!db[QTY/ CTN],NOTA[[#This Row],[//DB]])))</f>
        <v/>
      </c>
      <c r="AU4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4" s="35" t="str">
        <f ca="1">IF(NOTA[[#This Row],[ID_H]]="","",MATCH(NOTA[[#This Row],[NB NOTA_C_QTY]],[3]!db[NB NOTA_C_QTY+F],0))</f>
        <v/>
      </c>
      <c r="AW444" s="43" t="str">
        <f ca="1">IF(NOTA[[#This Row],[NB NOTA_C_QTY]]="","",ROW()-2)</f>
        <v/>
      </c>
    </row>
    <row r="445" spans="1:49" ht="20.100000000000001" customHeight="1">
      <c r="A4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5" t="str">
        <f ca="1">IF(NOTA[[#This Row],[NAMA BARANG]]="","",INDEX(NOTA[ID],MATCH(,INDIRECT(ADDRESS(ROW(NOTA[ID]),COLUMN(NOTA[ID]))&amp;":"&amp;ADDRESS(ROW(),COLUMN(NOTA[ID]))),-1)))</f>
        <v/>
      </c>
      <c r="C445" s="45"/>
      <c r="F445" s="46"/>
      <c r="G445" s="35"/>
      <c r="H445" s="36"/>
      <c r="I445" s="35"/>
      <c r="K445" s="37"/>
      <c r="L445" s="35"/>
      <c r="N445" s="38"/>
      <c r="O445" s="39"/>
      <c r="P445" s="47"/>
      <c r="Q445" s="48"/>
      <c r="R445" s="41"/>
      <c r="T445" s="42"/>
      <c r="U445" s="44"/>
      <c r="V445" s="42" t="str">
        <f>IF(NOTA[[#This Row],[HARGA/ CTN]]="",NOTA[[#This Row],[JUMLAH_H]],NOTA[[#This Row],[HARGA/ CTN]]*IF(NOTA[[#This Row],[C]]="",0,NOTA[[#This Row],[C]]))</f>
        <v/>
      </c>
      <c r="W445" s="42" t="str">
        <f>IF(NOTA[[#This Row],[JUMLAH]]="","",NOTA[[#This Row],[JUMLAH]]*NOTA[[#This Row],[Column6]])</f>
        <v/>
      </c>
      <c r="X445" s="42" t="str">
        <f>IF(NOTA[[#This Row],[JUMLAH]]="","",(NOTA[[#This Row],[JUMLAH]]-NOTA[[#This Row],[DISC 1-]])*NOTA[[#This Row],[Column7]])</f>
        <v/>
      </c>
      <c r="Y445" s="42" t="str">
        <f>IF(NOTA[[#This Row],[JUMLAH]]="","",(NOTA[[#This Row],[JUMLAH]]-NOTA[[#This Row],[DISC 1-]]-NOTA[[#This Row],[DISC 2-]])*NOTA[[#This Row],[Column8]])</f>
        <v/>
      </c>
      <c r="Z445" s="42" t="str">
        <f>IF(NOTA[[#This Row],[JUMLAH]]="","",NOTA[[#This Row],[DISC 1-]]+NOTA[[#This Row],[DISC 2-]]+NOTA[[#This Row],[DISC 3-]])</f>
        <v/>
      </c>
      <c r="AA445" s="42" t="str">
        <f>IF(NOTA[[#This Row],[JUMLAH]]="","",NOTA[[#This Row],[JUMLAH]]-NOTA[[#This Row],[DISC]])</f>
        <v/>
      </c>
      <c r="AB445" s="42"/>
      <c r="AC4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42" t="str">
        <f>IF(OR(NOTA[[#This Row],[QTY]]="",NOTA[[#This Row],[HARGA SATUAN]]="",),"",NOTA[[#This Row],[QTY]]*NOTA[[#This Row],[HARGA SATUAN]])</f>
        <v/>
      </c>
      <c r="AG445" s="36" t="str">
        <f ca="1">IF(NOTA[[#This Row],[ID_H]]="","",INDEX(NOTA[TANGGAL],MATCH(,INDIRECT(ADDRESS(ROW(NOTA[TANGGAL]),COLUMN(NOTA[TANGGAL]))&amp;":"&amp;ADDRESS(ROW(),COLUMN(NOTA[TANGGAL]))),-1)))</f>
        <v/>
      </c>
      <c r="AH445" s="36" t="str">
        <f ca="1">IF(NOTA[[#This Row],[ID_H]]="","",INDEX(NOTA[TGL.NOTA],MATCH(,INDIRECT(ADDRESS(ROW(NOTA[TGL.NOTA]),COLUMN(NOTA[TGL.NOTA]))&amp;":"&amp;ADDRESS(ROW(),COLUMN(NOTA[TGL.NOTA]))),-1)))</f>
        <v/>
      </c>
      <c r="AI445" s="36" t="str">
        <f ca="1">IF(NOTA[[#This Row],[ID_H]]="","",INDEX(NOTA[NO.NOTA],MATCH(NOTA[[#This Row],[ID_H]],NOTA[ID_H],0)))</f>
        <v/>
      </c>
      <c r="AJ445" s="38" t="str">
        <f ca="1">IF(NOTA[[#This Row],[NAMA BARANG]]="","",INDEX(NOTA[SUPPLIER],MATCH(,INDIRECT(ADDRESS(ROW(NOTA[ID]),COLUMN(NOTA[ID]))&amp;":"&amp;ADDRESS(ROW(),COLUMN(NOTA[ID]))),-1)))</f>
        <v/>
      </c>
      <c r="AK445" s="38" t="str">
        <f ca="1">IF(NOTA[[#This Row],[ID_H]]="","",IF(NOTA[[#This Row],[FAKTUR]]="",INDIRECT(ADDRESS(ROW()-1,COLUMN())),NOTA[[#This Row],[FAKTUR]]))</f>
        <v/>
      </c>
      <c r="AL445" s="35" t="str">
        <f ca="1">IF(NOTA[[#This Row],[ID]]="","",COUNTIF(NOTA[ID_H],NOTA[[#This Row],[ID_H]]))</f>
        <v/>
      </c>
      <c r="AM445" s="35" t="str">
        <f ca="1">IF(NOTA[[#This Row],[TGL.NOTA]]="",IF(NOTA[[#This Row],[SUPPLIER_H]]="","",AM444),MONTH(NOTA[[#This Row],[TGL.NOTA]]))</f>
        <v/>
      </c>
      <c r="AN4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5" s="35" t="str">
        <f>IF(NOTA[[#This Row],[CONCAT1]]="","",MATCH(NOTA[[#This Row],[CONCAT1]],[3]!db[NB NOTA_C],0))</f>
        <v/>
      </c>
      <c r="AS445" s="35" t="str">
        <f>IF(NOTA[[#This Row],[Column5]]="","",TRUE)</f>
        <v/>
      </c>
      <c r="AT445" s="35" t="str">
        <f ca="1">IF(NOTA[[#This Row],[ID_H]]="","",IF(NOTA[[#This Row],[Column3]]=TRUE,NOTA[[#This Row],[Column5]],INDEX([3]!db[QTY/ CTN],NOTA[[#This Row],[//DB]])))</f>
        <v/>
      </c>
      <c r="AU4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5" s="35" t="str">
        <f ca="1">IF(NOTA[[#This Row],[ID_H]]="","",MATCH(NOTA[[#This Row],[NB NOTA_C_QTY]],[3]!db[NB NOTA_C_QTY+F],0))</f>
        <v/>
      </c>
      <c r="AW445" s="43" t="str">
        <f ca="1">IF(NOTA[[#This Row],[NB NOTA_C_QTY]]="","",ROW()-2)</f>
        <v/>
      </c>
    </row>
    <row r="446" spans="1:49" ht="20.100000000000001" customHeight="1">
      <c r="A4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5" t="str">
        <f ca="1">IF(NOTA[[#This Row],[NAMA BARANG]]="","",INDEX(NOTA[ID],MATCH(,INDIRECT(ADDRESS(ROW(NOTA[ID]),COLUMN(NOTA[ID]))&amp;":"&amp;ADDRESS(ROW(),COLUMN(NOTA[ID]))),-1)))</f>
        <v/>
      </c>
      <c r="C446" s="45"/>
      <c r="F446" s="46"/>
      <c r="G446" s="35"/>
      <c r="H446" s="36"/>
      <c r="I446" s="35"/>
      <c r="K446" s="37"/>
      <c r="L446" s="35"/>
      <c r="N446" s="38"/>
      <c r="O446" s="39"/>
      <c r="P446" s="47"/>
      <c r="Q446" s="48"/>
      <c r="R446" s="41"/>
      <c r="T446" s="42"/>
      <c r="U446" s="44"/>
      <c r="V446" s="42" t="str">
        <f>IF(NOTA[[#This Row],[HARGA/ CTN]]="",NOTA[[#This Row],[JUMLAH_H]],NOTA[[#This Row],[HARGA/ CTN]]*IF(NOTA[[#This Row],[C]]="",0,NOTA[[#This Row],[C]]))</f>
        <v/>
      </c>
      <c r="W446" s="42" t="str">
        <f>IF(NOTA[[#This Row],[JUMLAH]]="","",NOTA[[#This Row],[JUMLAH]]*NOTA[[#This Row],[Column6]])</f>
        <v/>
      </c>
      <c r="X446" s="42" t="str">
        <f>IF(NOTA[[#This Row],[JUMLAH]]="","",(NOTA[[#This Row],[JUMLAH]]-NOTA[[#This Row],[DISC 1-]])*NOTA[[#This Row],[Column7]])</f>
        <v/>
      </c>
      <c r="Y446" s="42" t="str">
        <f>IF(NOTA[[#This Row],[JUMLAH]]="","",(NOTA[[#This Row],[JUMLAH]]-NOTA[[#This Row],[DISC 1-]]-NOTA[[#This Row],[DISC 2-]])*NOTA[[#This Row],[Column8]])</f>
        <v/>
      </c>
      <c r="Z446" s="42" t="str">
        <f>IF(NOTA[[#This Row],[JUMLAH]]="","",NOTA[[#This Row],[DISC 1-]]+NOTA[[#This Row],[DISC 2-]]+NOTA[[#This Row],[DISC 3-]])</f>
        <v/>
      </c>
      <c r="AA446" s="42" t="str">
        <f>IF(NOTA[[#This Row],[JUMLAH]]="","",NOTA[[#This Row],[JUMLAH]]-NOTA[[#This Row],[DISC]])</f>
        <v/>
      </c>
      <c r="AB446" s="42"/>
      <c r="AC4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42" t="str">
        <f>IF(OR(NOTA[[#This Row],[QTY]]="",NOTA[[#This Row],[HARGA SATUAN]]="",),"",NOTA[[#This Row],[QTY]]*NOTA[[#This Row],[HARGA SATUAN]])</f>
        <v/>
      </c>
      <c r="AG446" s="36" t="str">
        <f ca="1">IF(NOTA[[#This Row],[ID_H]]="","",INDEX(NOTA[TANGGAL],MATCH(,INDIRECT(ADDRESS(ROW(NOTA[TANGGAL]),COLUMN(NOTA[TANGGAL]))&amp;":"&amp;ADDRESS(ROW(),COLUMN(NOTA[TANGGAL]))),-1)))</f>
        <v/>
      </c>
      <c r="AH446" s="36" t="str">
        <f ca="1">IF(NOTA[[#This Row],[ID_H]]="","",INDEX(NOTA[TGL.NOTA],MATCH(,INDIRECT(ADDRESS(ROW(NOTA[TGL.NOTA]),COLUMN(NOTA[TGL.NOTA]))&amp;":"&amp;ADDRESS(ROW(),COLUMN(NOTA[TGL.NOTA]))),-1)))</f>
        <v/>
      </c>
      <c r="AI446" s="36" t="str">
        <f ca="1">IF(NOTA[[#This Row],[ID_H]]="","",INDEX(NOTA[NO.NOTA],MATCH(NOTA[[#This Row],[ID_H]],NOTA[ID_H],0)))</f>
        <v/>
      </c>
      <c r="AJ446" s="38" t="str">
        <f ca="1">IF(NOTA[[#This Row],[NAMA BARANG]]="","",INDEX(NOTA[SUPPLIER],MATCH(,INDIRECT(ADDRESS(ROW(NOTA[ID]),COLUMN(NOTA[ID]))&amp;":"&amp;ADDRESS(ROW(),COLUMN(NOTA[ID]))),-1)))</f>
        <v/>
      </c>
      <c r="AK446" s="38" t="str">
        <f ca="1">IF(NOTA[[#This Row],[ID_H]]="","",IF(NOTA[[#This Row],[FAKTUR]]="",INDIRECT(ADDRESS(ROW()-1,COLUMN())),NOTA[[#This Row],[FAKTUR]]))</f>
        <v/>
      </c>
      <c r="AL446" s="35" t="str">
        <f ca="1">IF(NOTA[[#This Row],[ID]]="","",COUNTIF(NOTA[ID_H],NOTA[[#This Row],[ID_H]]))</f>
        <v/>
      </c>
      <c r="AM446" s="35" t="str">
        <f ca="1">IF(NOTA[[#This Row],[TGL.NOTA]]="",IF(NOTA[[#This Row],[SUPPLIER_H]]="","",AM445),MONTH(NOTA[[#This Row],[TGL.NOTA]]))</f>
        <v/>
      </c>
      <c r="AN4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6" s="35" t="str">
        <f>IF(NOTA[[#This Row],[CONCAT1]]="","",MATCH(NOTA[[#This Row],[CONCAT1]],[3]!db[NB NOTA_C],0))</f>
        <v/>
      </c>
      <c r="AS446" s="35" t="str">
        <f>IF(NOTA[[#This Row],[Column5]]="","",TRUE)</f>
        <v/>
      </c>
      <c r="AT446" s="35" t="str">
        <f ca="1">IF(NOTA[[#This Row],[ID_H]]="","",IF(NOTA[[#This Row],[Column3]]=TRUE,NOTA[[#This Row],[Column5]],INDEX([3]!db[QTY/ CTN],NOTA[[#This Row],[//DB]])))</f>
        <v/>
      </c>
      <c r="AU4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6" s="35" t="str">
        <f ca="1">IF(NOTA[[#This Row],[ID_H]]="","",MATCH(NOTA[[#This Row],[NB NOTA_C_QTY]],[3]!db[NB NOTA_C_QTY+F],0))</f>
        <v/>
      </c>
      <c r="AW446" s="43" t="str">
        <f ca="1">IF(NOTA[[#This Row],[NB NOTA_C_QTY]]="","",ROW()-2)</f>
        <v/>
      </c>
    </row>
    <row r="447" spans="1:49" ht="20.100000000000001" customHeight="1">
      <c r="A4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5" t="str">
        <f ca="1">IF(NOTA[[#This Row],[NAMA BARANG]]="","",INDEX(NOTA[ID],MATCH(,INDIRECT(ADDRESS(ROW(NOTA[ID]),COLUMN(NOTA[ID]))&amp;":"&amp;ADDRESS(ROW(),COLUMN(NOTA[ID]))),-1)))</f>
        <v/>
      </c>
      <c r="C447" s="45"/>
      <c r="F447" s="46"/>
      <c r="G447" s="35"/>
      <c r="H447" s="36"/>
      <c r="I447" s="35"/>
      <c r="K447" s="37"/>
      <c r="L447" s="35"/>
      <c r="N447" s="38"/>
      <c r="O447" s="39"/>
      <c r="P447" s="47"/>
      <c r="Q447" s="48"/>
      <c r="R447" s="41"/>
      <c r="T447" s="42"/>
      <c r="U447" s="44"/>
      <c r="V447" s="42" t="str">
        <f>IF(NOTA[[#This Row],[HARGA/ CTN]]="",NOTA[[#This Row],[JUMLAH_H]],NOTA[[#This Row],[HARGA/ CTN]]*IF(NOTA[[#This Row],[C]]="",0,NOTA[[#This Row],[C]]))</f>
        <v/>
      </c>
      <c r="W447" s="42" t="str">
        <f>IF(NOTA[[#This Row],[JUMLAH]]="","",NOTA[[#This Row],[JUMLAH]]*NOTA[[#This Row],[Column6]])</f>
        <v/>
      </c>
      <c r="X447" s="42" t="str">
        <f>IF(NOTA[[#This Row],[JUMLAH]]="","",(NOTA[[#This Row],[JUMLAH]]-NOTA[[#This Row],[DISC 1-]])*NOTA[[#This Row],[Column7]])</f>
        <v/>
      </c>
      <c r="Y447" s="42" t="str">
        <f>IF(NOTA[[#This Row],[JUMLAH]]="","",(NOTA[[#This Row],[JUMLAH]]-NOTA[[#This Row],[DISC 1-]]-NOTA[[#This Row],[DISC 2-]])*NOTA[[#This Row],[Column8]])</f>
        <v/>
      </c>
      <c r="Z447" s="42" t="str">
        <f>IF(NOTA[[#This Row],[JUMLAH]]="","",NOTA[[#This Row],[DISC 1-]]+NOTA[[#This Row],[DISC 2-]]+NOTA[[#This Row],[DISC 3-]])</f>
        <v/>
      </c>
      <c r="AA447" s="42" t="str">
        <f>IF(NOTA[[#This Row],[JUMLAH]]="","",NOTA[[#This Row],[JUMLAH]]-NOTA[[#This Row],[DISC]])</f>
        <v/>
      </c>
      <c r="AB447" s="42"/>
      <c r="AC4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42" t="str">
        <f>IF(OR(NOTA[[#This Row],[QTY]]="",NOTA[[#This Row],[HARGA SATUAN]]="",),"",NOTA[[#This Row],[QTY]]*NOTA[[#This Row],[HARGA SATUAN]])</f>
        <v/>
      </c>
      <c r="AG447" s="36" t="str">
        <f ca="1">IF(NOTA[[#This Row],[ID_H]]="","",INDEX(NOTA[TANGGAL],MATCH(,INDIRECT(ADDRESS(ROW(NOTA[TANGGAL]),COLUMN(NOTA[TANGGAL]))&amp;":"&amp;ADDRESS(ROW(),COLUMN(NOTA[TANGGAL]))),-1)))</f>
        <v/>
      </c>
      <c r="AH447" s="36" t="str">
        <f ca="1">IF(NOTA[[#This Row],[ID_H]]="","",INDEX(NOTA[TGL.NOTA],MATCH(,INDIRECT(ADDRESS(ROW(NOTA[TGL.NOTA]),COLUMN(NOTA[TGL.NOTA]))&amp;":"&amp;ADDRESS(ROW(),COLUMN(NOTA[TGL.NOTA]))),-1)))</f>
        <v/>
      </c>
      <c r="AI447" s="36" t="str">
        <f ca="1">IF(NOTA[[#This Row],[ID_H]]="","",INDEX(NOTA[NO.NOTA],MATCH(NOTA[[#This Row],[ID_H]],NOTA[ID_H],0)))</f>
        <v/>
      </c>
      <c r="AJ447" s="38" t="str">
        <f ca="1">IF(NOTA[[#This Row],[NAMA BARANG]]="","",INDEX(NOTA[SUPPLIER],MATCH(,INDIRECT(ADDRESS(ROW(NOTA[ID]),COLUMN(NOTA[ID]))&amp;":"&amp;ADDRESS(ROW(),COLUMN(NOTA[ID]))),-1)))</f>
        <v/>
      </c>
      <c r="AK447" s="38" t="str">
        <f ca="1">IF(NOTA[[#This Row],[ID_H]]="","",IF(NOTA[[#This Row],[FAKTUR]]="",INDIRECT(ADDRESS(ROW()-1,COLUMN())),NOTA[[#This Row],[FAKTUR]]))</f>
        <v/>
      </c>
      <c r="AL447" s="35" t="str">
        <f ca="1">IF(NOTA[[#This Row],[ID]]="","",COUNTIF(NOTA[ID_H],NOTA[[#This Row],[ID_H]]))</f>
        <v/>
      </c>
      <c r="AM447" s="35" t="str">
        <f ca="1">IF(NOTA[[#This Row],[TGL.NOTA]]="",IF(NOTA[[#This Row],[SUPPLIER_H]]="","",AM446),MONTH(NOTA[[#This Row],[TGL.NOTA]]))</f>
        <v/>
      </c>
      <c r="AN4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7" s="35" t="str">
        <f>IF(NOTA[[#This Row],[CONCAT1]]="","",MATCH(NOTA[[#This Row],[CONCAT1]],[3]!db[NB NOTA_C],0))</f>
        <v/>
      </c>
      <c r="AS447" s="35" t="str">
        <f>IF(NOTA[[#This Row],[Column5]]="","",TRUE)</f>
        <v/>
      </c>
      <c r="AT447" s="35" t="str">
        <f ca="1">IF(NOTA[[#This Row],[ID_H]]="","",IF(NOTA[[#This Row],[Column3]]=TRUE,NOTA[[#This Row],[Column5]],INDEX([3]!db[QTY/ CTN],NOTA[[#This Row],[//DB]])))</f>
        <v/>
      </c>
      <c r="AU4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7" s="35" t="str">
        <f ca="1">IF(NOTA[[#This Row],[ID_H]]="","",MATCH(NOTA[[#This Row],[NB NOTA_C_QTY]],[3]!db[NB NOTA_C_QTY+F],0))</f>
        <v/>
      </c>
      <c r="AW447" s="43" t="str">
        <f ca="1">IF(NOTA[[#This Row],[NB NOTA_C_QTY]]="","",ROW()-2)</f>
        <v/>
      </c>
    </row>
    <row r="448" spans="1:49" ht="20.100000000000001" customHeight="1">
      <c r="A4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5" t="str">
        <f ca="1">IF(NOTA[[#This Row],[NAMA BARANG]]="","",INDEX(NOTA[ID],MATCH(,INDIRECT(ADDRESS(ROW(NOTA[ID]),COLUMN(NOTA[ID]))&amp;":"&amp;ADDRESS(ROW(),COLUMN(NOTA[ID]))),-1)))</f>
        <v/>
      </c>
      <c r="C448" s="45"/>
      <c r="F448" s="46"/>
      <c r="G448" s="35"/>
      <c r="H448" s="36"/>
      <c r="I448" s="35"/>
      <c r="K448" s="37"/>
      <c r="L448" s="35"/>
      <c r="N448" s="38"/>
      <c r="O448" s="39"/>
      <c r="P448" s="47"/>
      <c r="Q448" s="48"/>
      <c r="R448" s="41"/>
      <c r="T448" s="42"/>
      <c r="U448" s="44"/>
      <c r="V448" s="42" t="str">
        <f>IF(NOTA[[#This Row],[HARGA/ CTN]]="",NOTA[[#This Row],[JUMLAH_H]],NOTA[[#This Row],[HARGA/ CTN]]*IF(NOTA[[#This Row],[C]]="",0,NOTA[[#This Row],[C]]))</f>
        <v/>
      </c>
      <c r="W448" s="42" t="str">
        <f>IF(NOTA[[#This Row],[JUMLAH]]="","",NOTA[[#This Row],[JUMLAH]]*NOTA[[#This Row],[Column6]])</f>
        <v/>
      </c>
      <c r="X448" s="42" t="str">
        <f>IF(NOTA[[#This Row],[JUMLAH]]="","",(NOTA[[#This Row],[JUMLAH]]-NOTA[[#This Row],[DISC 1-]])*NOTA[[#This Row],[Column7]])</f>
        <v/>
      </c>
      <c r="Y448" s="42" t="str">
        <f>IF(NOTA[[#This Row],[JUMLAH]]="","",(NOTA[[#This Row],[JUMLAH]]-NOTA[[#This Row],[DISC 1-]]-NOTA[[#This Row],[DISC 2-]])*NOTA[[#This Row],[Column8]])</f>
        <v/>
      </c>
      <c r="Z448" s="42" t="str">
        <f>IF(NOTA[[#This Row],[JUMLAH]]="","",NOTA[[#This Row],[DISC 1-]]+NOTA[[#This Row],[DISC 2-]]+NOTA[[#This Row],[DISC 3-]])</f>
        <v/>
      </c>
      <c r="AA448" s="42" t="str">
        <f>IF(NOTA[[#This Row],[JUMLAH]]="","",NOTA[[#This Row],[JUMLAH]]-NOTA[[#This Row],[DISC]])</f>
        <v/>
      </c>
      <c r="AB448" s="42"/>
      <c r="AC4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42" t="str">
        <f>IF(OR(NOTA[[#This Row],[QTY]]="",NOTA[[#This Row],[HARGA SATUAN]]="",),"",NOTA[[#This Row],[QTY]]*NOTA[[#This Row],[HARGA SATUAN]])</f>
        <v/>
      </c>
      <c r="AG448" s="36" t="str">
        <f ca="1">IF(NOTA[[#This Row],[ID_H]]="","",INDEX(NOTA[TANGGAL],MATCH(,INDIRECT(ADDRESS(ROW(NOTA[TANGGAL]),COLUMN(NOTA[TANGGAL]))&amp;":"&amp;ADDRESS(ROW(),COLUMN(NOTA[TANGGAL]))),-1)))</f>
        <v/>
      </c>
      <c r="AH448" s="36" t="str">
        <f ca="1">IF(NOTA[[#This Row],[ID_H]]="","",INDEX(NOTA[TGL.NOTA],MATCH(,INDIRECT(ADDRESS(ROW(NOTA[TGL.NOTA]),COLUMN(NOTA[TGL.NOTA]))&amp;":"&amp;ADDRESS(ROW(),COLUMN(NOTA[TGL.NOTA]))),-1)))</f>
        <v/>
      </c>
      <c r="AI448" s="36" t="str">
        <f ca="1">IF(NOTA[[#This Row],[ID_H]]="","",INDEX(NOTA[NO.NOTA],MATCH(NOTA[[#This Row],[ID_H]],NOTA[ID_H],0)))</f>
        <v/>
      </c>
      <c r="AJ448" s="38" t="str">
        <f ca="1">IF(NOTA[[#This Row],[NAMA BARANG]]="","",INDEX(NOTA[SUPPLIER],MATCH(,INDIRECT(ADDRESS(ROW(NOTA[ID]),COLUMN(NOTA[ID]))&amp;":"&amp;ADDRESS(ROW(),COLUMN(NOTA[ID]))),-1)))</f>
        <v/>
      </c>
      <c r="AK448" s="38" t="str">
        <f ca="1">IF(NOTA[[#This Row],[ID_H]]="","",IF(NOTA[[#This Row],[FAKTUR]]="",INDIRECT(ADDRESS(ROW()-1,COLUMN())),NOTA[[#This Row],[FAKTUR]]))</f>
        <v/>
      </c>
      <c r="AL448" s="35" t="str">
        <f ca="1">IF(NOTA[[#This Row],[ID]]="","",COUNTIF(NOTA[ID_H],NOTA[[#This Row],[ID_H]]))</f>
        <v/>
      </c>
      <c r="AM448" s="35" t="str">
        <f ca="1">IF(NOTA[[#This Row],[TGL.NOTA]]="",IF(NOTA[[#This Row],[SUPPLIER_H]]="","",AM447),MONTH(NOTA[[#This Row],[TGL.NOTA]]))</f>
        <v/>
      </c>
      <c r="AN4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8" s="35" t="str">
        <f>IF(NOTA[[#This Row],[CONCAT1]]="","",MATCH(NOTA[[#This Row],[CONCAT1]],[3]!db[NB NOTA_C],0))</f>
        <v/>
      </c>
      <c r="AS448" s="35" t="str">
        <f>IF(NOTA[[#This Row],[Column5]]="","",TRUE)</f>
        <v/>
      </c>
      <c r="AT448" s="35" t="str">
        <f ca="1">IF(NOTA[[#This Row],[ID_H]]="","",IF(NOTA[[#This Row],[Column3]]=TRUE,NOTA[[#This Row],[Column5]],INDEX([3]!db[QTY/ CTN],NOTA[[#This Row],[//DB]])))</f>
        <v/>
      </c>
      <c r="AU4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8" s="35" t="str">
        <f ca="1">IF(NOTA[[#This Row],[ID_H]]="","",MATCH(NOTA[[#This Row],[NB NOTA_C_QTY]],[3]!db[NB NOTA_C_QTY+F],0))</f>
        <v/>
      </c>
      <c r="AW448" s="43" t="str">
        <f ca="1">IF(NOTA[[#This Row],[NB NOTA_C_QTY]]="","",ROW()-2)</f>
        <v/>
      </c>
    </row>
    <row r="449" spans="1:49" ht="20.100000000000001" customHeight="1">
      <c r="A4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5" t="str">
        <f ca="1">IF(NOTA[[#This Row],[NAMA BARANG]]="","",INDEX(NOTA[ID],MATCH(,INDIRECT(ADDRESS(ROW(NOTA[ID]),COLUMN(NOTA[ID]))&amp;":"&amp;ADDRESS(ROW(),COLUMN(NOTA[ID]))),-1)))</f>
        <v/>
      </c>
      <c r="C449" s="45"/>
      <c r="F449" s="46"/>
      <c r="G449" s="35"/>
      <c r="H449" s="36"/>
      <c r="I449" s="35"/>
      <c r="K449" s="37"/>
      <c r="L449" s="35"/>
      <c r="N449" s="38"/>
      <c r="O449" s="39"/>
      <c r="P449" s="47"/>
      <c r="Q449" s="48"/>
      <c r="R449" s="41"/>
      <c r="T449" s="42"/>
      <c r="U449" s="44"/>
      <c r="V449" s="42" t="str">
        <f>IF(NOTA[[#This Row],[HARGA/ CTN]]="",NOTA[[#This Row],[JUMLAH_H]],NOTA[[#This Row],[HARGA/ CTN]]*IF(NOTA[[#This Row],[C]]="",0,NOTA[[#This Row],[C]]))</f>
        <v/>
      </c>
      <c r="W449" s="42" t="str">
        <f>IF(NOTA[[#This Row],[JUMLAH]]="","",NOTA[[#This Row],[JUMLAH]]*NOTA[[#This Row],[Column6]])</f>
        <v/>
      </c>
      <c r="X449" s="42" t="str">
        <f>IF(NOTA[[#This Row],[JUMLAH]]="","",(NOTA[[#This Row],[JUMLAH]]-NOTA[[#This Row],[DISC 1-]])*NOTA[[#This Row],[Column7]])</f>
        <v/>
      </c>
      <c r="Y449" s="42" t="str">
        <f>IF(NOTA[[#This Row],[JUMLAH]]="","",(NOTA[[#This Row],[JUMLAH]]-NOTA[[#This Row],[DISC 1-]]-NOTA[[#This Row],[DISC 2-]])*NOTA[[#This Row],[Column8]])</f>
        <v/>
      </c>
      <c r="Z449" s="42" t="str">
        <f>IF(NOTA[[#This Row],[JUMLAH]]="","",NOTA[[#This Row],[DISC 1-]]+NOTA[[#This Row],[DISC 2-]]+NOTA[[#This Row],[DISC 3-]])</f>
        <v/>
      </c>
      <c r="AA449" s="42" t="str">
        <f>IF(NOTA[[#This Row],[JUMLAH]]="","",NOTA[[#This Row],[JUMLAH]]-NOTA[[#This Row],[DISC]])</f>
        <v/>
      </c>
      <c r="AB449" s="42"/>
      <c r="AC4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42" t="str">
        <f>IF(OR(NOTA[[#This Row],[QTY]]="",NOTA[[#This Row],[HARGA SATUAN]]="",),"",NOTA[[#This Row],[QTY]]*NOTA[[#This Row],[HARGA SATUAN]])</f>
        <v/>
      </c>
      <c r="AG449" s="36" t="str">
        <f ca="1">IF(NOTA[[#This Row],[ID_H]]="","",INDEX(NOTA[TANGGAL],MATCH(,INDIRECT(ADDRESS(ROW(NOTA[TANGGAL]),COLUMN(NOTA[TANGGAL]))&amp;":"&amp;ADDRESS(ROW(),COLUMN(NOTA[TANGGAL]))),-1)))</f>
        <v/>
      </c>
      <c r="AH449" s="36" t="str">
        <f ca="1">IF(NOTA[[#This Row],[ID_H]]="","",INDEX(NOTA[TGL.NOTA],MATCH(,INDIRECT(ADDRESS(ROW(NOTA[TGL.NOTA]),COLUMN(NOTA[TGL.NOTA]))&amp;":"&amp;ADDRESS(ROW(),COLUMN(NOTA[TGL.NOTA]))),-1)))</f>
        <v/>
      </c>
      <c r="AI449" s="36" t="str">
        <f ca="1">IF(NOTA[[#This Row],[ID_H]]="","",INDEX(NOTA[NO.NOTA],MATCH(NOTA[[#This Row],[ID_H]],NOTA[ID_H],0)))</f>
        <v/>
      </c>
      <c r="AJ449" s="38" t="str">
        <f ca="1">IF(NOTA[[#This Row],[NAMA BARANG]]="","",INDEX(NOTA[SUPPLIER],MATCH(,INDIRECT(ADDRESS(ROW(NOTA[ID]),COLUMN(NOTA[ID]))&amp;":"&amp;ADDRESS(ROW(),COLUMN(NOTA[ID]))),-1)))</f>
        <v/>
      </c>
      <c r="AK449" s="38" t="str">
        <f ca="1">IF(NOTA[[#This Row],[ID_H]]="","",IF(NOTA[[#This Row],[FAKTUR]]="",INDIRECT(ADDRESS(ROW()-1,COLUMN())),NOTA[[#This Row],[FAKTUR]]))</f>
        <v/>
      </c>
      <c r="AL449" s="35" t="str">
        <f ca="1">IF(NOTA[[#This Row],[ID]]="","",COUNTIF(NOTA[ID_H],NOTA[[#This Row],[ID_H]]))</f>
        <v/>
      </c>
      <c r="AM449" s="35" t="str">
        <f ca="1">IF(NOTA[[#This Row],[TGL.NOTA]]="",IF(NOTA[[#This Row],[SUPPLIER_H]]="","",AM448),MONTH(NOTA[[#This Row],[TGL.NOTA]]))</f>
        <v/>
      </c>
      <c r="AN4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9" s="35" t="str">
        <f>IF(NOTA[[#This Row],[CONCAT1]]="","",MATCH(NOTA[[#This Row],[CONCAT1]],[3]!db[NB NOTA_C],0))</f>
        <v/>
      </c>
      <c r="AS449" s="35" t="str">
        <f>IF(NOTA[[#This Row],[Column5]]="","",TRUE)</f>
        <v/>
      </c>
      <c r="AT449" s="35" t="str">
        <f ca="1">IF(NOTA[[#This Row],[ID_H]]="","",IF(NOTA[[#This Row],[Column3]]=TRUE,NOTA[[#This Row],[Column5]],INDEX([3]!db[QTY/ CTN],NOTA[[#This Row],[//DB]])))</f>
        <v/>
      </c>
      <c r="AU4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49" s="35" t="str">
        <f ca="1">IF(NOTA[[#This Row],[ID_H]]="","",MATCH(NOTA[[#This Row],[NB NOTA_C_QTY]],[3]!db[NB NOTA_C_QTY+F],0))</f>
        <v/>
      </c>
      <c r="AW449" s="43" t="str">
        <f ca="1">IF(NOTA[[#This Row],[NB NOTA_C_QTY]]="","",ROW()-2)</f>
        <v/>
      </c>
    </row>
    <row r="450" spans="1:49" ht="20.100000000000001" customHeight="1">
      <c r="A4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5" t="str">
        <f ca="1">IF(NOTA[[#This Row],[NAMA BARANG]]="","",INDEX(NOTA[ID],MATCH(,INDIRECT(ADDRESS(ROW(NOTA[ID]),COLUMN(NOTA[ID]))&amp;":"&amp;ADDRESS(ROW(),COLUMN(NOTA[ID]))),-1)))</f>
        <v/>
      </c>
      <c r="C450" s="45"/>
      <c r="F450" s="46"/>
      <c r="G450" s="35"/>
      <c r="H450" s="36"/>
      <c r="I450" s="35"/>
      <c r="K450" s="37"/>
      <c r="L450" s="35"/>
      <c r="N450" s="38"/>
      <c r="O450" s="39"/>
      <c r="P450" s="47"/>
      <c r="Q450" s="48"/>
      <c r="R450" s="41"/>
      <c r="T450" s="42"/>
      <c r="U450" s="44"/>
      <c r="V450" s="42" t="str">
        <f>IF(NOTA[[#This Row],[HARGA/ CTN]]="",NOTA[[#This Row],[JUMLAH_H]],NOTA[[#This Row],[HARGA/ CTN]]*IF(NOTA[[#This Row],[C]]="",0,NOTA[[#This Row],[C]]))</f>
        <v/>
      </c>
      <c r="W450" s="42" t="str">
        <f>IF(NOTA[[#This Row],[JUMLAH]]="","",NOTA[[#This Row],[JUMLAH]]*NOTA[[#This Row],[Column6]])</f>
        <v/>
      </c>
      <c r="X450" s="42" t="str">
        <f>IF(NOTA[[#This Row],[JUMLAH]]="","",(NOTA[[#This Row],[JUMLAH]]-NOTA[[#This Row],[DISC 1-]])*NOTA[[#This Row],[Column7]])</f>
        <v/>
      </c>
      <c r="Y450" s="42" t="str">
        <f>IF(NOTA[[#This Row],[JUMLAH]]="","",(NOTA[[#This Row],[JUMLAH]]-NOTA[[#This Row],[DISC 1-]]-NOTA[[#This Row],[DISC 2-]])*NOTA[[#This Row],[Column8]])</f>
        <v/>
      </c>
      <c r="Z450" s="42" t="str">
        <f>IF(NOTA[[#This Row],[JUMLAH]]="","",NOTA[[#This Row],[DISC 1-]]+NOTA[[#This Row],[DISC 2-]]+NOTA[[#This Row],[DISC 3-]])</f>
        <v/>
      </c>
      <c r="AA450" s="42" t="str">
        <f>IF(NOTA[[#This Row],[JUMLAH]]="","",NOTA[[#This Row],[JUMLAH]]-NOTA[[#This Row],[DISC]])</f>
        <v/>
      </c>
      <c r="AB450" s="42"/>
      <c r="AC4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42" t="str">
        <f>IF(OR(NOTA[[#This Row],[QTY]]="",NOTA[[#This Row],[HARGA SATUAN]]="",),"",NOTA[[#This Row],[QTY]]*NOTA[[#This Row],[HARGA SATUAN]])</f>
        <v/>
      </c>
      <c r="AG450" s="36" t="str">
        <f ca="1">IF(NOTA[[#This Row],[ID_H]]="","",INDEX(NOTA[TANGGAL],MATCH(,INDIRECT(ADDRESS(ROW(NOTA[TANGGAL]),COLUMN(NOTA[TANGGAL]))&amp;":"&amp;ADDRESS(ROW(),COLUMN(NOTA[TANGGAL]))),-1)))</f>
        <v/>
      </c>
      <c r="AH450" s="36" t="str">
        <f ca="1">IF(NOTA[[#This Row],[ID_H]]="","",INDEX(NOTA[TGL.NOTA],MATCH(,INDIRECT(ADDRESS(ROW(NOTA[TGL.NOTA]),COLUMN(NOTA[TGL.NOTA]))&amp;":"&amp;ADDRESS(ROW(),COLUMN(NOTA[TGL.NOTA]))),-1)))</f>
        <v/>
      </c>
      <c r="AI450" s="36" t="str">
        <f ca="1">IF(NOTA[[#This Row],[ID_H]]="","",INDEX(NOTA[NO.NOTA],MATCH(NOTA[[#This Row],[ID_H]],NOTA[ID_H],0)))</f>
        <v/>
      </c>
      <c r="AJ450" s="38" t="str">
        <f ca="1">IF(NOTA[[#This Row],[NAMA BARANG]]="","",INDEX(NOTA[SUPPLIER],MATCH(,INDIRECT(ADDRESS(ROW(NOTA[ID]),COLUMN(NOTA[ID]))&amp;":"&amp;ADDRESS(ROW(),COLUMN(NOTA[ID]))),-1)))</f>
        <v/>
      </c>
      <c r="AK450" s="38" t="str">
        <f ca="1">IF(NOTA[[#This Row],[ID_H]]="","",IF(NOTA[[#This Row],[FAKTUR]]="",INDIRECT(ADDRESS(ROW()-1,COLUMN())),NOTA[[#This Row],[FAKTUR]]))</f>
        <v/>
      </c>
      <c r="AL450" s="35" t="str">
        <f ca="1">IF(NOTA[[#This Row],[ID]]="","",COUNTIF(NOTA[ID_H],NOTA[[#This Row],[ID_H]]))</f>
        <v/>
      </c>
      <c r="AM450" s="35" t="str">
        <f ca="1">IF(NOTA[[#This Row],[TGL.NOTA]]="",IF(NOTA[[#This Row],[SUPPLIER_H]]="","",AM449),MONTH(NOTA[[#This Row],[TGL.NOTA]]))</f>
        <v/>
      </c>
      <c r="AN4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0" s="35" t="str">
        <f>IF(NOTA[[#This Row],[CONCAT1]]="","",MATCH(NOTA[[#This Row],[CONCAT1]],[3]!db[NB NOTA_C],0))</f>
        <v/>
      </c>
      <c r="AS450" s="35" t="str">
        <f>IF(NOTA[[#This Row],[Column5]]="","",TRUE)</f>
        <v/>
      </c>
      <c r="AT450" s="35" t="str">
        <f ca="1">IF(NOTA[[#This Row],[ID_H]]="","",IF(NOTA[[#This Row],[Column3]]=TRUE,NOTA[[#This Row],[Column5]],INDEX([3]!db[QTY/ CTN],NOTA[[#This Row],[//DB]])))</f>
        <v/>
      </c>
      <c r="AU4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0" s="35" t="str">
        <f ca="1">IF(NOTA[[#This Row],[ID_H]]="","",MATCH(NOTA[[#This Row],[NB NOTA_C_QTY]],[3]!db[NB NOTA_C_QTY+F],0))</f>
        <v/>
      </c>
      <c r="AW450" s="43" t="str">
        <f ca="1">IF(NOTA[[#This Row],[NB NOTA_C_QTY]]="","",ROW()-2)</f>
        <v/>
      </c>
    </row>
    <row r="451" spans="1:49" ht="20.100000000000001" customHeight="1">
      <c r="A4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5" t="str">
        <f ca="1">IF(NOTA[[#This Row],[NAMA BARANG]]="","",INDEX(NOTA[ID],MATCH(,INDIRECT(ADDRESS(ROW(NOTA[ID]),COLUMN(NOTA[ID]))&amp;":"&amp;ADDRESS(ROW(),COLUMN(NOTA[ID]))),-1)))</f>
        <v/>
      </c>
      <c r="C451" s="45"/>
      <c r="F451" s="46"/>
      <c r="G451" s="35"/>
      <c r="H451" s="36"/>
      <c r="I451" s="35"/>
      <c r="K451" s="37"/>
      <c r="L451" s="35"/>
      <c r="N451" s="38"/>
      <c r="O451" s="39"/>
      <c r="P451" s="47"/>
      <c r="Q451" s="48"/>
      <c r="R451" s="41"/>
      <c r="T451" s="42"/>
      <c r="U451" s="44"/>
      <c r="V451" s="42" t="str">
        <f>IF(NOTA[[#This Row],[HARGA/ CTN]]="",NOTA[[#This Row],[JUMLAH_H]],NOTA[[#This Row],[HARGA/ CTN]]*IF(NOTA[[#This Row],[C]]="",0,NOTA[[#This Row],[C]]))</f>
        <v/>
      </c>
      <c r="W451" s="42" t="str">
        <f>IF(NOTA[[#This Row],[JUMLAH]]="","",NOTA[[#This Row],[JUMLAH]]*NOTA[[#This Row],[Column6]])</f>
        <v/>
      </c>
      <c r="X451" s="42" t="str">
        <f>IF(NOTA[[#This Row],[JUMLAH]]="","",(NOTA[[#This Row],[JUMLAH]]-NOTA[[#This Row],[DISC 1-]])*NOTA[[#This Row],[Column7]])</f>
        <v/>
      </c>
      <c r="Y451" s="42" t="str">
        <f>IF(NOTA[[#This Row],[JUMLAH]]="","",(NOTA[[#This Row],[JUMLAH]]-NOTA[[#This Row],[DISC 1-]]-NOTA[[#This Row],[DISC 2-]])*NOTA[[#This Row],[Column8]])</f>
        <v/>
      </c>
      <c r="Z451" s="42" t="str">
        <f>IF(NOTA[[#This Row],[JUMLAH]]="","",NOTA[[#This Row],[DISC 1-]]+NOTA[[#This Row],[DISC 2-]]+NOTA[[#This Row],[DISC 3-]])</f>
        <v/>
      </c>
      <c r="AA451" s="42" t="str">
        <f>IF(NOTA[[#This Row],[JUMLAH]]="","",NOTA[[#This Row],[JUMLAH]]-NOTA[[#This Row],[DISC]])</f>
        <v/>
      </c>
      <c r="AB451" s="42"/>
      <c r="AC4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42" t="str">
        <f>IF(OR(NOTA[[#This Row],[QTY]]="",NOTA[[#This Row],[HARGA SATUAN]]="",),"",NOTA[[#This Row],[QTY]]*NOTA[[#This Row],[HARGA SATUAN]])</f>
        <v/>
      </c>
      <c r="AG451" s="36" t="str">
        <f ca="1">IF(NOTA[[#This Row],[ID_H]]="","",INDEX(NOTA[TANGGAL],MATCH(,INDIRECT(ADDRESS(ROW(NOTA[TANGGAL]),COLUMN(NOTA[TANGGAL]))&amp;":"&amp;ADDRESS(ROW(),COLUMN(NOTA[TANGGAL]))),-1)))</f>
        <v/>
      </c>
      <c r="AH451" s="36" t="str">
        <f ca="1">IF(NOTA[[#This Row],[ID_H]]="","",INDEX(NOTA[TGL.NOTA],MATCH(,INDIRECT(ADDRESS(ROW(NOTA[TGL.NOTA]),COLUMN(NOTA[TGL.NOTA]))&amp;":"&amp;ADDRESS(ROW(),COLUMN(NOTA[TGL.NOTA]))),-1)))</f>
        <v/>
      </c>
      <c r="AI451" s="36" t="str">
        <f ca="1">IF(NOTA[[#This Row],[ID_H]]="","",INDEX(NOTA[NO.NOTA],MATCH(NOTA[[#This Row],[ID_H]],NOTA[ID_H],0)))</f>
        <v/>
      </c>
      <c r="AJ451" s="38" t="str">
        <f ca="1">IF(NOTA[[#This Row],[NAMA BARANG]]="","",INDEX(NOTA[SUPPLIER],MATCH(,INDIRECT(ADDRESS(ROW(NOTA[ID]),COLUMN(NOTA[ID]))&amp;":"&amp;ADDRESS(ROW(),COLUMN(NOTA[ID]))),-1)))</f>
        <v/>
      </c>
      <c r="AK451" s="38" t="str">
        <f ca="1">IF(NOTA[[#This Row],[ID_H]]="","",IF(NOTA[[#This Row],[FAKTUR]]="",INDIRECT(ADDRESS(ROW()-1,COLUMN())),NOTA[[#This Row],[FAKTUR]]))</f>
        <v/>
      </c>
      <c r="AL451" s="35" t="str">
        <f ca="1">IF(NOTA[[#This Row],[ID]]="","",COUNTIF(NOTA[ID_H],NOTA[[#This Row],[ID_H]]))</f>
        <v/>
      </c>
      <c r="AM451" s="35" t="str">
        <f ca="1">IF(NOTA[[#This Row],[TGL.NOTA]]="",IF(NOTA[[#This Row],[SUPPLIER_H]]="","",AM450),MONTH(NOTA[[#This Row],[TGL.NOTA]]))</f>
        <v/>
      </c>
      <c r="AN4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1" s="35" t="str">
        <f>IF(NOTA[[#This Row],[CONCAT1]]="","",MATCH(NOTA[[#This Row],[CONCAT1]],[3]!db[NB NOTA_C],0))</f>
        <v/>
      </c>
      <c r="AS451" s="35" t="str">
        <f>IF(NOTA[[#This Row],[Column5]]="","",TRUE)</f>
        <v/>
      </c>
      <c r="AT451" s="35" t="str">
        <f ca="1">IF(NOTA[[#This Row],[ID_H]]="","",IF(NOTA[[#This Row],[Column3]]=TRUE,NOTA[[#This Row],[Column5]],INDEX([3]!db[QTY/ CTN],NOTA[[#This Row],[//DB]])))</f>
        <v/>
      </c>
      <c r="AU4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1" s="35" t="str">
        <f ca="1">IF(NOTA[[#This Row],[ID_H]]="","",MATCH(NOTA[[#This Row],[NB NOTA_C_QTY]],[3]!db[NB NOTA_C_QTY+F],0))</f>
        <v/>
      </c>
      <c r="AW451" s="43" t="str">
        <f ca="1">IF(NOTA[[#This Row],[NB NOTA_C_QTY]]="","",ROW()-2)</f>
        <v/>
      </c>
    </row>
    <row r="452" spans="1:49" ht="20.100000000000001" customHeight="1">
      <c r="A4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5" t="str">
        <f ca="1">IF(NOTA[[#This Row],[NAMA BARANG]]="","",INDEX(NOTA[ID],MATCH(,INDIRECT(ADDRESS(ROW(NOTA[ID]),COLUMN(NOTA[ID]))&amp;":"&amp;ADDRESS(ROW(),COLUMN(NOTA[ID]))),-1)))</f>
        <v/>
      </c>
      <c r="C452" s="45"/>
      <c r="F452" s="46"/>
      <c r="G452" s="35"/>
      <c r="H452" s="36"/>
      <c r="I452" s="35"/>
      <c r="K452" s="37"/>
      <c r="L452" s="35"/>
      <c r="N452" s="38"/>
      <c r="O452" s="39"/>
      <c r="P452" s="47"/>
      <c r="Q452" s="48"/>
      <c r="R452" s="41"/>
      <c r="T452" s="42"/>
      <c r="U452" s="44"/>
      <c r="V452" s="42" t="str">
        <f>IF(NOTA[[#This Row],[HARGA/ CTN]]="",NOTA[[#This Row],[JUMLAH_H]],NOTA[[#This Row],[HARGA/ CTN]]*IF(NOTA[[#This Row],[C]]="",0,NOTA[[#This Row],[C]]))</f>
        <v/>
      </c>
      <c r="W452" s="42" t="str">
        <f>IF(NOTA[[#This Row],[JUMLAH]]="","",NOTA[[#This Row],[JUMLAH]]*NOTA[[#This Row],[Column6]])</f>
        <v/>
      </c>
      <c r="X452" s="42" t="str">
        <f>IF(NOTA[[#This Row],[JUMLAH]]="","",(NOTA[[#This Row],[JUMLAH]]-NOTA[[#This Row],[DISC 1-]])*NOTA[[#This Row],[Column7]])</f>
        <v/>
      </c>
      <c r="Y452" s="42" t="str">
        <f>IF(NOTA[[#This Row],[JUMLAH]]="","",(NOTA[[#This Row],[JUMLAH]]-NOTA[[#This Row],[DISC 1-]]-NOTA[[#This Row],[DISC 2-]])*NOTA[[#This Row],[Column8]])</f>
        <v/>
      </c>
      <c r="Z452" s="42" t="str">
        <f>IF(NOTA[[#This Row],[JUMLAH]]="","",NOTA[[#This Row],[DISC 1-]]+NOTA[[#This Row],[DISC 2-]]+NOTA[[#This Row],[DISC 3-]])</f>
        <v/>
      </c>
      <c r="AA452" s="42" t="str">
        <f>IF(NOTA[[#This Row],[JUMLAH]]="","",NOTA[[#This Row],[JUMLAH]]-NOTA[[#This Row],[DISC]])</f>
        <v/>
      </c>
      <c r="AB452" s="42"/>
      <c r="AC4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42" t="str">
        <f>IF(OR(NOTA[[#This Row],[QTY]]="",NOTA[[#This Row],[HARGA SATUAN]]="",),"",NOTA[[#This Row],[QTY]]*NOTA[[#This Row],[HARGA SATUAN]])</f>
        <v/>
      </c>
      <c r="AG452" s="36" t="str">
        <f ca="1">IF(NOTA[[#This Row],[ID_H]]="","",INDEX(NOTA[TANGGAL],MATCH(,INDIRECT(ADDRESS(ROW(NOTA[TANGGAL]),COLUMN(NOTA[TANGGAL]))&amp;":"&amp;ADDRESS(ROW(),COLUMN(NOTA[TANGGAL]))),-1)))</f>
        <v/>
      </c>
      <c r="AH452" s="36" t="str">
        <f ca="1">IF(NOTA[[#This Row],[ID_H]]="","",INDEX(NOTA[TGL.NOTA],MATCH(,INDIRECT(ADDRESS(ROW(NOTA[TGL.NOTA]),COLUMN(NOTA[TGL.NOTA]))&amp;":"&amp;ADDRESS(ROW(),COLUMN(NOTA[TGL.NOTA]))),-1)))</f>
        <v/>
      </c>
      <c r="AI452" s="36" t="str">
        <f ca="1">IF(NOTA[[#This Row],[ID_H]]="","",INDEX(NOTA[NO.NOTA],MATCH(NOTA[[#This Row],[ID_H]],NOTA[ID_H],0)))</f>
        <v/>
      </c>
      <c r="AJ452" s="38" t="str">
        <f ca="1">IF(NOTA[[#This Row],[NAMA BARANG]]="","",INDEX(NOTA[SUPPLIER],MATCH(,INDIRECT(ADDRESS(ROW(NOTA[ID]),COLUMN(NOTA[ID]))&amp;":"&amp;ADDRESS(ROW(),COLUMN(NOTA[ID]))),-1)))</f>
        <v/>
      </c>
      <c r="AK452" s="38" t="str">
        <f ca="1">IF(NOTA[[#This Row],[ID_H]]="","",IF(NOTA[[#This Row],[FAKTUR]]="",INDIRECT(ADDRESS(ROW()-1,COLUMN())),NOTA[[#This Row],[FAKTUR]]))</f>
        <v/>
      </c>
      <c r="AL452" s="35" t="str">
        <f ca="1">IF(NOTA[[#This Row],[ID]]="","",COUNTIF(NOTA[ID_H],NOTA[[#This Row],[ID_H]]))</f>
        <v/>
      </c>
      <c r="AM452" s="35" t="str">
        <f ca="1">IF(NOTA[[#This Row],[TGL.NOTA]]="",IF(NOTA[[#This Row],[SUPPLIER_H]]="","",AM451),MONTH(NOTA[[#This Row],[TGL.NOTA]]))</f>
        <v/>
      </c>
      <c r="AN4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2" s="35" t="str">
        <f>IF(NOTA[[#This Row],[CONCAT1]]="","",MATCH(NOTA[[#This Row],[CONCAT1]],[3]!db[NB NOTA_C],0))</f>
        <v/>
      </c>
      <c r="AS452" s="35" t="str">
        <f>IF(NOTA[[#This Row],[Column5]]="","",TRUE)</f>
        <v/>
      </c>
      <c r="AT452" s="35" t="str">
        <f ca="1">IF(NOTA[[#This Row],[ID_H]]="","",IF(NOTA[[#This Row],[Column3]]=TRUE,NOTA[[#This Row],[Column5]],INDEX([3]!db[QTY/ CTN],NOTA[[#This Row],[//DB]])))</f>
        <v/>
      </c>
      <c r="AU4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2" s="35" t="str">
        <f ca="1">IF(NOTA[[#This Row],[ID_H]]="","",MATCH(NOTA[[#This Row],[NB NOTA_C_QTY]],[3]!db[NB NOTA_C_QTY+F],0))</f>
        <v/>
      </c>
      <c r="AW452" s="43" t="str">
        <f ca="1">IF(NOTA[[#This Row],[NB NOTA_C_QTY]]="","",ROW()-2)</f>
        <v/>
      </c>
    </row>
    <row r="453" spans="1:49" ht="20.100000000000001" customHeight="1">
      <c r="A4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5" t="str">
        <f ca="1">IF(NOTA[[#This Row],[NAMA BARANG]]="","",INDEX(NOTA[ID],MATCH(,INDIRECT(ADDRESS(ROW(NOTA[ID]),COLUMN(NOTA[ID]))&amp;":"&amp;ADDRESS(ROW(),COLUMN(NOTA[ID]))),-1)))</f>
        <v/>
      </c>
      <c r="C453" s="45"/>
      <c r="F453" s="46"/>
      <c r="G453" s="35"/>
      <c r="H453" s="36"/>
      <c r="I453" s="35"/>
      <c r="K453" s="37"/>
      <c r="L453" s="35"/>
      <c r="N453" s="38"/>
      <c r="O453" s="39"/>
      <c r="P453" s="47"/>
      <c r="Q453" s="48"/>
      <c r="R453" s="41"/>
      <c r="T453" s="42"/>
      <c r="U453" s="44"/>
      <c r="V453" s="42" t="str">
        <f>IF(NOTA[[#This Row],[HARGA/ CTN]]="",NOTA[[#This Row],[JUMLAH_H]],NOTA[[#This Row],[HARGA/ CTN]]*IF(NOTA[[#This Row],[C]]="",0,NOTA[[#This Row],[C]]))</f>
        <v/>
      </c>
      <c r="W453" s="42" t="str">
        <f>IF(NOTA[[#This Row],[JUMLAH]]="","",NOTA[[#This Row],[JUMLAH]]*NOTA[[#This Row],[Column6]])</f>
        <v/>
      </c>
      <c r="X453" s="42" t="str">
        <f>IF(NOTA[[#This Row],[JUMLAH]]="","",(NOTA[[#This Row],[JUMLAH]]-NOTA[[#This Row],[DISC 1-]])*NOTA[[#This Row],[Column7]])</f>
        <v/>
      </c>
      <c r="Y453" s="42" t="str">
        <f>IF(NOTA[[#This Row],[JUMLAH]]="","",(NOTA[[#This Row],[JUMLAH]]-NOTA[[#This Row],[DISC 1-]]-NOTA[[#This Row],[DISC 2-]])*NOTA[[#This Row],[Column8]])</f>
        <v/>
      </c>
      <c r="Z453" s="42" t="str">
        <f>IF(NOTA[[#This Row],[JUMLAH]]="","",NOTA[[#This Row],[DISC 1-]]+NOTA[[#This Row],[DISC 2-]]+NOTA[[#This Row],[DISC 3-]])</f>
        <v/>
      </c>
      <c r="AA453" s="42" t="str">
        <f>IF(NOTA[[#This Row],[JUMLAH]]="","",NOTA[[#This Row],[JUMLAH]]-NOTA[[#This Row],[DISC]])</f>
        <v/>
      </c>
      <c r="AB453" s="42"/>
      <c r="AC4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42" t="str">
        <f>IF(OR(NOTA[[#This Row],[QTY]]="",NOTA[[#This Row],[HARGA SATUAN]]="",),"",NOTA[[#This Row],[QTY]]*NOTA[[#This Row],[HARGA SATUAN]])</f>
        <v/>
      </c>
      <c r="AG453" s="36" t="str">
        <f ca="1">IF(NOTA[[#This Row],[ID_H]]="","",INDEX(NOTA[TANGGAL],MATCH(,INDIRECT(ADDRESS(ROW(NOTA[TANGGAL]),COLUMN(NOTA[TANGGAL]))&amp;":"&amp;ADDRESS(ROW(),COLUMN(NOTA[TANGGAL]))),-1)))</f>
        <v/>
      </c>
      <c r="AH453" s="36" t="str">
        <f ca="1">IF(NOTA[[#This Row],[ID_H]]="","",INDEX(NOTA[TGL.NOTA],MATCH(,INDIRECT(ADDRESS(ROW(NOTA[TGL.NOTA]),COLUMN(NOTA[TGL.NOTA]))&amp;":"&amp;ADDRESS(ROW(),COLUMN(NOTA[TGL.NOTA]))),-1)))</f>
        <v/>
      </c>
      <c r="AI453" s="36" t="str">
        <f ca="1">IF(NOTA[[#This Row],[ID_H]]="","",INDEX(NOTA[NO.NOTA],MATCH(NOTA[[#This Row],[ID_H]],NOTA[ID_H],0)))</f>
        <v/>
      </c>
      <c r="AJ453" s="38" t="str">
        <f ca="1">IF(NOTA[[#This Row],[NAMA BARANG]]="","",INDEX(NOTA[SUPPLIER],MATCH(,INDIRECT(ADDRESS(ROW(NOTA[ID]),COLUMN(NOTA[ID]))&amp;":"&amp;ADDRESS(ROW(),COLUMN(NOTA[ID]))),-1)))</f>
        <v/>
      </c>
      <c r="AK453" s="38" t="str">
        <f ca="1">IF(NOTA[[#This Row],[ID_H]]="","",IF(NOTA[[#This Row],[FAKTUR]]="",INDIRECT(ADDRESS(ROW()-1,COLUMN())),NOTA[[#This Row],[FAKTUR]]))</f>
        <v/>
      </c>
      <c r="AL453" s="35" t="str">
        <f ca="1">IF(NOTA[[#This Row],[ID]]="","",COUNTIF(NOTA[ID_H],NOTA[[#This Row],[ID_H]]))</f>
        <v/>
      </c>
      <c r="AM453" s="35" t="str">
        <f ca="1">IF(NOTA[[#This Row],[TGL.NOTA]]="",IF(NOTA[[#This Row],[SUPPLIER_H]]="","",AM452),MONTH(NOTA[[#This Row],[TGL.NOTA]]))</f>
        <v/>
      </c>
      <c r="AN4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3" s="35" t="str">
        <f>IF(NOTA[[#This Row],[CONCAT1]]="","",MATCH(NOTA[[#This Row],[CONCAT1]],[3]!db[NB NOTA_C],0))</f>
        <v/>
      </c>
      <c r="AS453" s="35" t="str">
        <f>IF(NOTA[[#This Row],[Column5]]="","",TRUE)</f>
        <v/>
      </c>
      <c r="AT453" s="35" t="str">
        <f ca="1">IF(NOTA[[#This Row],[ID_H]]="","",IF(NOTA[[#This Row],[Column3]]=TRUE,NOTA[[#This Row],[Column5]],INDEX([3]!db[QTY/ CTN],NOTA[[#This Row],[//DB]])))</f>
        <v/>
      </c>
      <c r="AU4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3" s="35" t="str">
        <f ca="1">IF(NOTA[[#This Row],[ID_H]]="","",MATCH(NOTA[[#This Row],[NB NOTA_C_QTY]],[3]!db[NB NOTA_C_QTY+F],0))</f>
        <v/>
      </c>
      <c r="AW453" s="43" t="str">
        <f ca="1">IF(NOTA[[#This Row],[NB NOTA_C_QTY]]="","",ROW()-2)</f>
        <v/>
      </c>
    </row>
    <row r="454" spans="1:49" ht="20.100000000000001" customHeight="1">
      <c r="A4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5" t="str">
        <f ca="1">IF(NOTA[[#This Row],[NAMA BARANG]]="","",INDEX(NOTA[ID],MATCH(,INDIRECT(ADDRESS(ROW(NOTA[ID]),COLUMN(NOTA[ID]))&amp;":"&amp;ADDRESS(ROW(),COLUMN(NOTA[ID]))),-1)))</f>
        <v/>
      </c>
      <c r="C454" s="45"/>
      <c r="F454" s="46"/>
      <c r="G454" s="35"/>
      <c r="H454" s="36"/>
      <c r="I454" s="35"/>
      <c r="K454" s="37"/>
      <c r="L454" s="35"/>
      <c r="N454" s="38"/>
      <c r="O454" s="39"/>
      <c r="P454" s="47"/>
      <c r="Q454" s="48"/>
      <c r="R454" s="41"/>
      <c r="T454" s="42"/>
      <c r="U454" s="44"/>
      <c r="V454" s="42" t="str">
        <f>IF(NOTA[[#This Row],[HARGA/ CTN]]="",NOTA[[#This Row],[JUMLAH_H]],NOTA[[#This Row],[HARGA/ CTN]]*IF(NOTA[[#This Row],[C]]="",0,NOTA[[#This Row],[C]]))</f>
        <v/>
      </c>
      <c r="W454" s="42" t="str">
        <f>IF(NOTA[[#This Row],[JUMLAH]]="","",NOTA[[#This Row],[JUMLAH]]*NOTA[[#This Row],[Column6]])</f>
        <v/>
      </c>
      <c r="X454" s="42" t="str">
        <f>IF(NOTA[[#This Row],[JUMLAH]]="","",(NOTA[[#This Row],[JUMLAH]]-NOTA[[#This Row],[DISC 1-]])*NOTA[[#This Row],[Column7]])</f>
        <v/>
      </c>
      <c r="Y454" s="42" t="str">
        <f>IF(NOTA[[#This Row],[JUMLAH]]="","",(NOTA[[#This Row],[JUMLAH]]-NOTA[[#This Row],[DISC 1-]]-NOTA[[#This Row],[DISC 2-]])*NOTA[[#This Row],[Column8]])</f>
        <v/>
      </c>
      <c r="Z454" s="42" t="str">
        <f>IF(NOTA[[#This Row],[JUMLAH]]="","",NOTA[[#This Row],[DISC 1-]]+NOTA[[#This Row],[DISC 2-]]+NOTA[[#This Row],[DISC 3-]])</f>
        <v/>
      </c>
      <c r="AA454" s="42" t="str">
        <f>IF(NOTA[[#This Row],[JUMLAH]]="","",NOTA[[#This Row],[JUMLAH]]-NOTA[[#This Row],[DISC]])</f>
        <v/>
      </c>
      <c r="AB454" s="42"/>
      <c r="AC4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42" t="str">
        <f>IF(OR(NOTA[[#This Row],[QTY]]="",NOTA[[#This Row],[HARGA SATUAN]]="",),"",NOTA[[#This Row],[QTY]]*NOTA[[#This Row],[HARGA SATUAN]])</f>
        <v/>
      </c>
      <c r="AG454" s="36" t="str">
        <f ca="1">IF(NOTA[[#This Row],[ID_H]]="","",INDEX(NOTA[TANGGAL],MATCH(,INDIRECT(ADDRESS(ROW(NOTA[TANGGAL]),COLUMN(NOTA[TANGGAL]))&amp;":"&amp;ADDRESS(ROW(),COLUMN(NOTA[TANGGAL]))),-1)))</f>
        <v/>
      </c>
      <c r="AH454" s="36" t="str">
        <f ca="1">IF(NOTA[[#This Row],[ID_H]]="","",INDEX(NOTA[TGL.NOTA],MATCH(,INDIRECT(ADDRESS(ROW(NOTA[TGL.NOTA]),COLUMN(NOTA[TGL.NOTA]))&amp;":"&amp;ADDRESS(ROW(),COLUMN(NOTA[TGL.NOTA]))),-1)))</f>
        <v/>
      </c>
      <c r="AI454" s="36" t="str">
        <f ca="1">IF(NOTA[[#This Row],[ID_H]]="","",INDEX(NOTA[NO.NOTA],MATCH(NOTA[[#This Row],[ID_H]],NOTA[ID_H],0)))</f>
        <v/>
      </c>
      <c r="AJ454" s="38" t="str">
        <f ca="1">IF(NOTA[[#This Row],[NAMA BARANG]]="","",INDEX(NOTA[SUPPLIER],MATCH(,INDIRECT(ADDRESS(ROW(NOTA[ID]),COLUMN(NOTA[ID]))&amp;":"&amp;ADDRESS(ROW(),COLUMN(NOTA[ID]))),-1)))</f>
        <v/>
      </c>
      <c r="AK454" s="38" t="str">
        <f ca="1">IF(NOTA[[#This Row],[ID_H]]="","",IF(NOTA[[#This Row],[FAKTUR]]="",INDIRECT(ADDRESS(ROW()-1,COLUMN())),NOTA[[#This Row],[FAKTUR]]))</f>
        <v/>
      </c>
      <c r="AL454" s="35" t="str">
        <f ca="1">IF(NOTA[[#This Row],[ID]]="","",COUNTIF(NOTA[ID_H],NOTA[[#This Row],[ID_H]]))</f>
        <v/>
      </c>
      <c r="AM454" s="35" t="str">
        <f ca="1">IF(NOTA[[#This Row],[TGL.NOTA]]="",IF(NOTA[[#This Row],[SUPPLIER_H]]="","",AM453),MONTH(NOTA[[#This Row],[TGL.NOTA]]))</f>
        <v/>
      </c>
      <c r="AN4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4" s="35" t="str">
        <f>IF(NOTA[[#This Row],[CONCAT1]]="","",MATCH(NOTA[[#This Row],[CONCAT1]],[3]!db[NB NOTA_C],0))</f>
        <v/>
      </c>
      <c r="AS454" s="35" t="str">
        <f>IF(NOTA[[#This Row],[Column5]]="","",TRUE)</f>
        <v/>
      </c>
      <c r="AT454" s="35" t="str">
        <f ca="1">IF(NOTA[[#This Row],[ID_H]]="","",IF(NOTA[[#This Row],[Column3]]=TRUE,NOTA[[#This Row],[Column5]],INDEX([3]!db[QTY/ CTN],NOTA[[#This Row],[//DB]])))</f>
        <v/>
      </c>
      <c r="AU4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4" s="35" t="str">
        <f ca="1">IF(NOTA[[#This Row],[ID_H]]="","",MATCH(NOTA[[#This Row],[NB NOTA_C_QTY]],[3]!db[NB NOTA_C_QTY+F],0))</f>
        <v/>
      </c>
      <c r="AW454" s="43" t="str">
        <f ca="1">IF(NOTA[[#This Row],[NB NOTA_C_QTY]]="","",ROW()-2)</f>
        <v/>
      </c>
    </row>
    <row r="455" spans="1:49" ht="20.100000000000001" customHeight="1">
      <c r="A4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5" t="str">
        <f ca="1">IF(NOTA[[#This Row],[NAMA BARANG]]="","",INDEX(NOTA[ID],MATCH(,INDIRECT(ADDRESS(ROW(NOTA[ID]),COLUMN(NOTA[ID]))&amp;":"&amp;ADDRESS(ROW(),COLUMN(NOTA[ID]))),-1)))</f>
        <v/>
      </c>
      <c r="C455" s="45"/>
      <c r="F455" s="46"/>
      <c r="G455" s="35"/>
      <c r="H455" s="36"/>
      <c r="I455" s="35"/>
      <c r="K455" s="37"/>
      <c r="L455" s="35"/>
      <c r="N455" s="38"/>
      <c r="O455" s="39"/>
      <c r="P455" s="47"/>
      <c r="Q455" s="48"/>
      <c r="R455" s="41"/>
      <c r="T455" s="42"/>
      <c r="U455" s="44"/>
      <c r="V455" s="42" t="str">
        <f>IF(NOTA[[#This Row],[HARGA/ CTN]]="",NOTA[[#This Row],[JUMLAH_H]],NOTA[[#This Row],[HARGA/ CTN]]*IF(NOTA[[#This Row],[C]]="",0,NOTA[[#This Row],[C]]))</f>
        <v/>
      </c>
      <c r="W455" s="42" t="str">
        <f>IF(NOTA[[#This Row],[JUMLAH]]="","",NOTA[[#This Row],[JUMLAH]]*NOTA[[#This Row],[Column6]])</f>
        <v/>
      </c>
      <c r="X455" s="42" t="str">
        <f>IF(NOTA[[#This Row],[JUMLAH]]="","",(NOTA[[#This Row],[JUMLAH]]-NOTA[[#This Row],[DISC 1-]])*NOTA[[#This Row],[Column7]])</f>
        <v/>
      </c>
      <c r="Y455" s="42" t="str">
        <f>IF(NOTA[[#This Row],[JUMLAH]]="","",(NOTA[[#This Row],[JUMLAH]]-NOTA[[#This Row],[DISC 1-]]-NOTA[[#This Row],[DISC 2-]])*NOTA[[#This Row],[Column8]])</f>
        <v/>
      </c>
      <c r="Z455" s="42" t="str">
        <f>IF(NOTA[[#This Row],[JUMLAH]]="","",NOTA[[#This Row],[DISC 1-]]+NOTA[[#This Row],[DISC 2-]]+NOTA[[#This Row],[DISC 3-]])</f>
        <v/>
      </c>
      <c r="AA455" s="42" t="str">
        <f>IF(NOTA[[#This Row],[JUMLAH]]="","",NOTA[[#This Row],[JUMLAH]]-NOTA[[#This Row],[DISC]])</f>
        <v/>
      </c>
      <c r="AB455" s="42"/>
      <c r="AC4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42" t="str">
        <f>IF(OR(NOTA[[#This Row],[QTY]]="",NOTA[[#This Row],[HARGA SATUAN]]="",),"",NOTA[[#This Row],[QTY]]*NOTA[[#This Row],[HARGA SATUAN]])</f>
        <v/>
      </c>
      <c r="AG455" s="36" t="str">
        <f ca="1">IF(NOTA[[#This Row],[ID_H]]="","",INDEX(NOTA[TANGGAL],MATCH(,INDIRECT(ADDRESS(ROW(NOTA[TANGGAL]),COLUMN(NOTA[TANGGAL]))&amp;":"&amp;ADDRESS(ROW(),COLUMN(NOTA[TANGGAL]))),-1)))</f>
        <v/>
      </c>
      <c r="AH455" s="36" t="str">
        <f ca="1">IF(NOTA[[#This Row],[ID_H]]="","",INDEX(NOTA[TGL.NOTA],MATCH(,INDIRECT(ADDRESS(ROW(NOTA[TGL.NOTA]),COLUMN(NOTA[TGL.NOTA]))&amp;":"&amp;ADDRESS(ROW(),COLUMN(NOTA[TGL.NOTA]))),-1)))</f>
        <v/>
      </c>
      <c r="AI455" s="36" t="str">
        <f ca="1">IF(NOTA[[#This Row],[ID_H]]="","",INDEX(NOTA[NO.NOTA],MATCH(NOTA[[#This Row],[ID_H]],NOTA[ID_H],0)))</f>
        <v/>
      </c>
      <c r="AJ455" s="38" t="str">
        <f ca="1">IF(NOTA[[#This Row],[NAMA BARANG]]="","",INDEX(NOTA[SUPPLIER],MATCH(,INDIRECT(ADDRESS(ROW(NOTA[ID]),COLUMN(NOTA[ID]))&amp;":"&amp;ADDRESS(ROW(),COLUMN(NOTA[ID]))),-1)))</f>
        <v/>
      </c>
      <c r="AK455" s="38" t="str">
        <f ca="1">IF(NOTA[[#This Row],[ID_H]]="","",IF(NOTA[[#This Row],[FAKTUR]]="",INDIRECT(ADDRESS(ROW()-1,COLUMN())),NOTA[[#This Row],[FAKTUR]]))</f>
        <v/>
      </c>
      <c r="AL455" s="35" t="str">
        <f ca="1">IF(NOTA[[#This Row],[ID]]="","",COUNTIF(NOTA[ID_H],NOTA[[#This Row],[ID_H]]))</f>
        <v/>
      </c>
      <c r="AM455" s="35" t="str">
        <f ca="1">IF(NOTA[[#This Row],[TGL.NOTA]]="",IF(NOTA[[#This Row],[SUPPLIER_H]]="","",AM454),MONTH(NOTA[[#This Row],[TGL.NOTA]]))</f>
        <v/>
      </c>
      <c r="AN4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5" s="35" t="str">
        <f>IF(NOTA[[#This Row],[CONCAT1]]="","",MATCH(NOTA[[#This Row],[CONCAT1]],[3]!db[NB NOTA_C],0))</f>
        <v/>
      </c>
      <c r="AS455" s="35" t="str">
        <f>IF(NOTA[[#This Row],[Column5]]="","",TRUE)</f>
        <v/>
      </c>
      <c r="AT455" s="35" t="str">
        <f ca="1">IF(NOTA[[#This Row],[ID_H]]="","",IF(NOTA[[#This Row],[Column3]]=TRUE,NOTA[[#This Row],[Column5]],INDEX([3]!db[QTY/ CTN],NOTA[[#This Row],[//DB]])))</f>
        <v/>
      </c>
      <c r="AU4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5" s="35" t="str">
        <f ca="1">IF(NOTA[[#This Row],[ID_H]]="","",MATCH(NOTA[[#This Row],[NB NOTA_C_QTY]],[3]!db[NB NOTA_C_QTY+F],0))</f>
        <v/>
      </c>
      <c r="AW455" s="43" t="str">
        <f ca="1">IF(NOTA[[#This Row],[NB NOTA_C_QTY]]="","",ROW()-2)</f>
        <v/>
      </c>
    </row>
    <row r="456" spans="1:49" ht="20.100000000000001" customHeight="1">
      <c r="A4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5" t="str">
        <f ca="1">IF(NOTA[[#This Row],[NAMA BARANG]]="","",INDEX(NOTA[ID],MATCH(,INDIRECT(ADDRESS(ROW(NOTA[ID]),COLUMN(NOTA[ID]))&amp;":"&amp;ADDRESS(ROW(),COLUMN(NOTA[ID]))),-1)))</f>
        <v/>
      </c>
      <c r="C456" s="45"/>
      <c r="F456" s="46"/>
      <c r="G456" s="35"/>
      <c r="H456" s="36"/>
      <c r="I456" s="35"/>
      <c r="K456" s="37"/>
      <c r="L456" s="35"/>
      <c r="N456" s="38"/>
      <c r="O456" s="39"/>
      <c r="P456" s="47"/>
      <c r="Q456" s="48"/>
      <c r="R456" s="41"/>
      <c r="T456" s="42"/>
      <c r="U456" s="44"/>
      <c r="V456" s="42" t="str">
        <f>IF(NOTA[[#This Row],[HARGA/ CTN]]="",NOTA[[#This Row],[JUMLAH_H]],NOTA[[#This Row],[HARGA/ CTN]]*IF(NOTA[[#This Row],[C]]="",0,NOTA[[#This Row],[C]]))</f>
        <v/>
      </c>
      <c r="W456" s="42" t="str">
        <f>IF(NOTA[[#This Row],[JUMLAH]]="","",NOTA[[#This Row],[JUMLAH]]*NOTA[[#This Row],[Column6]])</f>
        <v/>
      </c>
      <c r="X456" s="42" t="str">
        <f>IF(NOTA[[#This Row],[JUMLAH]]="","",(NOTA[[#This Row],[JUMLAH]]-NOTA[[#This Row],[DISC 1-]])*NOTA[[#This Row],[Column7]])</f>
        <v/>
      </c>
      <c r="Y456" s="42" t="str">
        <f>IF(NOTA[[#This Row],[JUMLAH]]="","",(NOTA[[#This Row],[JUMLAH]]-NOTA[[#This Row],[DISC 1-]]-NOTA[[#This Row],[DISC 2-]])*NOTA[[#This Row],[Column8]])</f>
        <v/>
      </c>
      <c r="Z456" s="42" t="str">
        <f>IF(NOTA[[#This Row],[JUMLAH]]="","",NOTA[[#This Row],[DISC 1-]]+NOTA[[#This Row],[DISC 2-]]+NOTA[[#This Row],[DISC 3-]])</f>
        <v/>
      </c>
      <c r="AA456" s="42" t="str">
        <f>IF(NOTA[[#This Row],[JUMLAH]]="","",NOTA[[#This Row],[JUMLAH]]-NOTA[[#This Row],[DISC]])</f>
        <v/>
      </c>
      <c r="AB456" s="42"/>
      <c r="AC4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42" t="str">
        <f>IF(OR(NOTA[[#This Row],[QTY]]="",NOTA[[#This Row],[HARGA SATUAN]]="",),"",NOTA[[#This Row],[QTY]]*NOTA[[#This Row],[HARGA SATUAN]])</f>
        <v/>
      </c>
      <c r="AG456" s="36" t="str">
        <f ca="1">IF(NOTA[[#This Row],[ID_H]]="","",INDEX(NOTA[TANGGAL],MATCH(,INDIRECT(ADDRESS(ROW(NOTA[TANGGAL]),COLUMN(NOTA[TANGGAL]))&amp;":"&amp;ADDRESS(ROW(),COLUMN(NOTA[TANGGAL]))),-1)))</f>
        <v/>
      </c>
      <c r="AH456" s="36" t="str">
        <f ca="1">IF(NOTA[[#This Row],[ID_H]]="","",INDEX(NOTA[TGL.NOTA],MATCH(,INDIRECT(ADDRESS(ROW(NOTA[TGL.NOTA]),COLUMN(NOTA[TGL.NOTA]))&amp;":"&amp;ADDRESS(ROW(),COLUMN(NOTA[TGL.NOTA]))),-1)))</f>
        <v/>
      </c>
      <c r="AI456" s="36" t="str">
        <f ca="1">IF(NOTA[[#This Row],[ID_H]]="","",INDEX(NOTA[NO.NOTA],MATCH(NOTA[[#This Row],[ID_H]],NOTA[ID_H],0)))</f>
        <v/>
      </c>
      <c r="AJ456" s="38" t="str">
        <f ca="1">IF(NOTA[[#This Row],[NAMA BARANG]]="","",INDEX(NOTA[SUPPLIER],MATCH(,INDIRECT(ADDRESS(ROW(NOTA[ID]),COLUMN(NOTA[ID]))&amp;":"&amp;ADDRESS(ROW(),COLUMN(NOTA[ID]))),-1)))</f>
        <v/>
      </c>
      <c r="AK456" s="38" t="str">
        <f ca="1">IF(NOTA[[#This Row],[ID_H]]="","",IF(NOTA[[#This Row],[FAKTUR]]="",INDIRECT(ADDRESS(ROW()-1,COLUMN())),NOTA[[#This Row],[FAKTUR]]))</f>
        <v/>
      </c>
      <c r="AL456" s="35" t="str">
        <f ca="1">IF(NOTA[[#This Row],[ID]]="","",COUNTIF(NOTA[ID_H],NOTA[[#This Row],[ID_H]]))</f>
        <v/>
      </c>
      <c r="AM456" s="35" t="str">
        <f ca="1">IF(NOTA[[#This Row],[TGL.NOTA]]="",IF(NOTA[[#This Row],[SUPPLIER_H]]="","",AM455),MONTH(NOTA[[#This Row],[TGL.NOTA]]))</f>
        <v/>
      </c>
      <c r="AN4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6" s="35" t="str">
        <f>IF(NOTA[[#This Row],[CONCAT1]]="","",MATCH(NOTA[[#This Row],[CONCAT1]],[3]!db[NB NOTA_C],0))</f>
        <v/>
      </c>
      <c r="AS456" s="35" t="str">
        <f>IF(NOTA[[#This Row],[Column5]]="","",TRUE)</f>
        <v/>
      </c>
      <c r="AT456" s="35" t="str">
        <f ca="1">IF(NOTA[[#This Row],[ID_H]]="","",IF(NOTA[[#This Row],[Column3]]=TRUE,NOTA[[#This Row],[Column5]],INDEX([3]!db[QTY/ CTN],NOTA[[#This Row],[//DB]])))</f>
        <v/>
      </c>
      <c r="AU4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6" s="35" t="str">
        <f ca="1">IF(NOTA[[#This Row],[ID_H]]="","",MATCH(NOTA[[#This Row],[NB NOTA_C_QTY]],[3]!db[NB NOTA_C_QTY+F],0))</f>
        <v/>
      </c>
      <c r="AW456" s="43" t="str">
        <f ca="1">IF(NOTA[[#This Row],[NB NOTA_C_QTY]]="","",ROW()-2)</f>
        <v/>
      </c>
    </row>
    <row r="457" spans="1:49" ht="20.100000000000001" customHeight="1">
      <c r="A4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5" t="str">
        <f ca="1">IF(NOTA[[#This Row],[NAMA BARANG]]="","",INDEX(NOTA[ID],MATCH(,INDIRECT(ADDRESS(ROW(NOTA[ID]),COLUMN(NOTA[ID]))&amp;":"&amp;ADDRESS(ROW(),COLUMN(NOTA[ID]))),-1)))</f>
        <v/>
      </c>
      <c r="C457" s="45"/>
      <c r="F457" s="46"/>
      <c r="G457" s="35"/>
      <c r="H457" s="36"/>
      <c r="I457" s="35"/>
      <c r="K457" s="37"/>
      <c r="L457" s="35"/>
      <c r="N457" s="38"/>
      <c r="O457" s="39"/>
      <c r="P457" s="47"/>
      <c r="Q457" s="48"/>
      <c r="R457" s="41"/>
      <c r="T457" s="42"/>
      <c r="U457" s="44"/>
      <c r="V457" s="42" t="str">
        <f>IF(NOTA[[#This Row],[HARGA/ CTN]]="",NOTA[[#This Row],[JUMLAH_H]],NOTA[[#This Row],[HARGA/ CTN]]*IF(NOTA[[#This Row],[C]]="",0,NOTA[[#This Row],[C]]))</f>
        <v/>
      </c>
      <c r="W457" s="42" t="str">
        <f>IF(NOTA[[#This Row],[JUMLAH]]="","",NOTA[[#This Row],[JUMLAH]]*NOTA[[#This Row],[Column6]])</f>
        <v/>
      </c>
      <c r="X457" s="42" t="str">
        <f>IF(NOTA[[#This Row],[JUMLAH]]="","",(NOTA[[#This Row],[JUMLAH]]-NOTA[[#This Row],[DISC 1-]])*NOTA[[#This Row],[Column7]])</f>
        <v/>
      </c>
      <c r="Y457" s="42" t="str">
        <f>IF(NOTA[[#This Row],[JUMLAH]]="","",(NOTA[[#This Row],[JUMLAH]]-NOTA[[#This Row],[DISC 1-]]-NOTA[[#This Row],[DISC 2-]])*NOTA[[#This Row],[Column8]])</f>
        <v/>
      </c>
      <c r="Z457" s="42" t="str">
        <f>IF(NOTA[[#This Row],[JUMLAH]]="","",NOTA[[#This Row],[DISC 1-]]+NOTA[[#This Row],[DISC 2-]]+NOTA[[#This Row],[DISC 3-]])</f>
        <v/>
      </c>
      <c r="AA457" s="42" t="str">
        <f>IF(NOTA[[#This Row],[JUMLAH]]="","",NOTA[[#This Row],[JUMLAH]]-NOTA[[#This Row],[DISC]])</f>
        <v/>
      </c>
      <c r="AB457" s="42"/>
      <c r="AC4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42" t="str">
        <f>IF(OR(NOTA[[#This Row],[QTY]]="",NOTA[[#This Row],[HARGA SATUAN]]="",),"",NOTA[[#This Row],[QTY]]*NOTA[[#This Row],[HARGA SATUAN]])</f>
        <v/>
      </c>
      <c r="AG457" s="36" t="str">
        <f ca="1">IF(NOTA[[#This Row],[ID_H]]="","",INDEX(NOTA[TANGGAL],MATCH(,INDIRECT(ADDRESS(ROW(NOTA[TANGGAL]),COLUMN(NOTA[TANGGAL]))&amp;":"&amp;ADDRESS(ROW(),COLUMN(NOTA[TANGGAL]))),-1)))</f>
        <v/>
      </c>
      <c r="AH457" s="36" t="str">
        <f ca="1">IF(NOTA[[#This Row],[ID_H]]="","",INDEX(NOTA[TGL.NOTA],MATCH(,INDIRECT(ADDRESS(ROW(NOTA[TGL.NOTA]),COLUMN(NOTA[TGL.NOTA]))&amp;":"&amp;ADDRESS(ROW(),COLUMN(NOTA[TGL.NOTA]))),-1)))</f>
        <v/>
      </c>
      <c r="AI457" s="36" t="str">
        <f ca="1">IF(NOTA[[#This Row],[ID_H]]="","",INDEX(NOTA[NO.NOTA],MATCH(NOTA[[#This Row],[ID_H]],NOTA[ID_H],0)))</f>
        <v/>
      </c>
      <c r="AJ457" s="38" t="str">
        <f ca="1">IF(NOTA[[#This Row],[NAMA BARANG]]="","",INDEX(NOTA[SUPPLIER],MATCH(,INDIRECT(ADDRESS(ROW(NOTA[ID]),COLUMN(NOTA[ID]))&amp;":"&amp;ADDRESS(ROW(),COLUMN(NOTA[ID]))),-1)))</f>
        <v/>
      </c>
      <c r="AK457" s="38" t="str">
        <f ca="1">IF(NOTA[[#This Row],[ID_H]]="","",IF(NOTA[[#This Row],[FAKTUR]]="",INDIRECT(ADDRESS(ROW()-1,COLUMN())),NOTA[[#This Row],[FAKTUR]]))</f>
        <v/>
      </c>
      <c r="AL457" s="35" t="str">
        <f ca="1">IF(NOTA[[#This Row],[ID]]="","",COUNTIF(NOTA[ID_H],NOTA[[#This Row],[ID_H]]))</f>
        <v/>
      </c>
      <c r="AM457" s="35" t="str">
        <f ca="1">IF(NOTA[[#This Row],[TGL.NOTA]]="",IF(NOTA[[#This Row],[SUPPLIER_H]]="","",AM456),MONTH(NOTA[[#This Row],[TGL.NOTA]]))</f>
        <v/>
      </c>
      <c r="AN4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7" s="35" t="str">
        <f>IF(NOTA[[#This Row],[CONCAT1]]="","",MATCH(NOTA[[#This Row],[CONCAT1]],[3]!db[NB NOTA_C],0))</f>
        <v/>
      </c>
      <c r="AS457" s="35" t="str">
        <f>IF(NOTA[[#This Row],[Column5]]="","",TRUE)</f>
        <v/>
      </c>
      <c r="AT457" s="35" t="str">
        <f ca="1">IF(NOTA[[#This Row],[ID_H]]="","",IF(NOTA[[#This Row],[Column3]]=TRUE,NOTA[[#This Row],[Column5]],INDEX([3]!db[QTY/ CTN],NOTA[[#This Row],[//DB]])))</f>
        <v/>
      </c>
      <c r="AU4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7" s="35" t="str">
        <f ca="1">IF(NOTA[[#This Row],[ID_H]]="","",MATCH(NOTA[[#This Row],[NB NOTA_C_QTY]],[3]!db[NB NOTA_C_QTY+F],0))</f>
        <v/>
      </c>
      <c r="AW457" s="43" t="str">
        <f ca="1">IF(NOTA[[#This Row],[NB NOTA_C_QTY]]="","",ROW()-2)</f>
        <v/>
      </c>
    </row>
    <row r="458" spans="1:49" ht="20.100000000000001" customHeight="1">
      <c r="A4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5" t="str">
        <f ca="1">IF(NOTA[[#This Row],[NAMA BARANG]]="","",INDEX(NOTA[ID],MATCH(,INDIRECT(ADDRESS(ROW(NOTA[ID]),COLUMN(NOTA[ID]))&amp;":"&amp;ADDRESS(ROW(),COLUMN(NOTA[ID]))),-1)))</f>
        <v/>
      </c>
      <c r="C458" s="45"/>
      <c r="F458" s="46"/>
      <c r="G458" s="35"/>
      <c r="H458" s="36"/>
      <c r="I458" s="35"/>
      <c r="K458" s="37"/>
      <c r="L458" s="35"/>
      <c r="N458" s="38"/>
      <c r="O458" s="39"/>
      <c r="P458" s="47"/>
      <c r="Q458" s="48"/>
      <c r="R458" s="41"/>
      <c r="T458" s="42"/>
      <c r="U458" s="44"/>
      <c r="V458" s="42" t="str">
        <f>IF(NOTA[[#This Row],[HARGA/ CTN]]="",NOTA[[#This Row],[JUMLAH_H]],NOTA[[#This Row],[HARGA/ CTN]]*IF(NOTA[[#This Row],[C]]="",0,NOTA[[#This Row],[C]]))</f>
        <v/>
      </c>
      <c r="W458" s="42" t="str">
        <f>IF(NOTA[[#This Row],[JUMLAH]]="","",NOTA[[#This Row],[JUMLAH]]*NOTA[[#This Row],[Column6]])</f>
        <v/>
      </c>
      <c r="X458" s="42" t="str">
        <f>IF(NOTA[[#This Row],[JUMLAH]]="","",(NOTA[[#This Row],[JUMLAH]]-NOTA[[#This Row],[DISC 1-]])*NOTA[[#This Row],[Column7]])</f>
        <v/>
      </c>
      <c r="Y458" s="42" t="str">
        <f>IF(NOTA[[#This Row],[JUMLAH]]="","",(NOTA[[#This Row],[JUMLAH]]-NOTA[[#This Row],[DISC 1-]]-NOTA[[#This Row],[DISC 2-]])*NOTA[[#This Row],[Column8]])</f>
        <v/>
      </c>
      <c r="Z458" s="42" t="str">
        <f>IF(NOTA[[#This Row],[JUMLAH]]="","",NOTA[[#This Row],[DISC 1-]]+NOTA[[#This Row],[DISC 2-]]+NOTA[[#This Row],[DISC 3-]])</f>
        <v/>
      </c>
      <c r="AA458" s="42" t="str">
        <f>IF(NOTA[[#This Row],[JUMLAH]]="","",NOTA[[#This Row],[JUMLAH]]-NOTA[[#This Row],[DISC]])</f>
        <v/>
      </c>
      <c r="AB458" s="42"/>
      <c r="AC4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42" t="str">
        <f>IF(OR(NOTA[[#This Row],[QTY]]="",NOTA[[#This Row],[HARGA SATUAN]]="",),"",NOTA[[#This Row],[QTY]]*NOTA[[#This Row],[HARGA SATUAN]])</f>
        <v/>
      </c>
      <c r="AG458" s="36" t="str">
        <f ca="1">IF(NOTA[[#This Row],[ID_H]]="","",INDEX(NOTA[TANGGAL],MATCH(,INDIRECT(ADDRESS(ROW(NOTA[TANGGAL]),COLUMN(NOTA[TANGGAL]))&amp;":"&amp;ADDRESS(ROW(),COLUMN(NOTA[TANGGAL]))),-1)))</f>
        <v/>
      </c>
      <c r="AH458" s="36" t="str">
        <f ca="1">IF(NOTA[[#This Row],[ID_H]]="","",INDEX(NOTA[TGL.NOTA],MATCH(,INDIRECT(ADDRESS(ROW(NOTA[TGL.NOTA]),COLUMN(NOTA[TGL.NOTA]))&amp;":"&amp;ADDRESS(ROW(),COLUMN(NOTA[TGL.NOTA]))),-1)))</f>
        <v/>
      </c>
      <c r="AI458" s="36" t="str">
        <f ca="1">IF(NOTA[[#This Row],[ID_H]]="","",INDEX(NOTA[NO.NOTA],MATCH(NOTA[[#This Row],[ID_H]],NOTA[ID_H],0)))</f>
        <v/>
      </c>
      <c r="AJ458" s="38" t="str">
        <f ca="1">IF(NOTA[[#This Row],[NAMA BARANG]]="","",INDEX(NOTA[SUPPLIER],MATCH(,INDIRECT(ADDRESS(ROW(NOTA[ID]),COLUMN(NOTA[ID]))&amp;":"&amp;ADDRESS(ROW(),COLUMN(NOTA[ID]))),-1)))</f>
        <v/>
      </c>
      <c r="AK458" s="38" t="str">
        <f ca="1">IF(NOTA[[#This Row],[ID_H]]="","",IF(NOTA[[#This Row],[FAKTUR]]="",INDIRECT(ADDRESS(ROW()-1,COLUMN())),NOTA[[#This Row],[FAKTUR]]))</f>
        <v/>
      </c>
      <c r="AL458" s="35" t="str">
        <f ca="1">IF(NOTA[[#This Row],[ID]]="","",COUNTIF(NOTA[ID_H],NOTA[[#This Row],[ID_H]]))</f>
        <v/>
      </c>
      <c r="AM458" s="35" t="str">
        <f ca="1">IF(NOTA[[#This Row],[TGL.NOTA]]="",IF(NOTA[[#This Row],[SUPPLIER_H]]="","",AM457),MONTH(NOTA[[#This Row],[TGL.NOTA]]))</f>
        <v/>
      </c>
      <c r="AN4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8" s="35" t="str">
        <f>IF(NOTA[[#This Row],[CONCAT1]]="","",MATCH(NOTA[[#This Row],[CONCAT1]],[3]!db[NB NOTA_C],0))</f>
        <v/>
      </c>
      <c r="AS458" s="35" t="str">
        <f>IF(NOTA[[#This Row],[Column5]]="","",TRUE)</f>
        <v/>
      </c>
      <c r="AT458" s="35" t="str">
        <f ca="1">IF(NOTA[[#This Row],[ID_H]]="","",IF(NOTA[[#This Row],[Column3]]=TRUE,NOTA[[#This Row],[Column5]],INDEX([3]!db[QTY/ CTN],NOTA[[#This Row],[//DB]])))</f>
        <v/>
      </c>
      <c r="AU4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8" s="35" t="str">
        <f ca="1">IF(NOTA[[#This Row],[ID_H]]="","",MATCH(NOTA[[#This Row],[NB NOTA_C_QTY]],[3]!db[NB NOTA_C_QTY+F],0))</f>
        <v/>
      </c>
      <c r="AW458" s="43" t="str">
        <f ca="1">IF(NOTA[[#This Row],[NB NOTA_C_QTY]]="","",ROW()-2)</f>
        <v/>
      </c>
    </row>
    <row r="459" spans="1:49" ht="20.100000000000001" customHeight="1">
      <c r="A4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5" t="str">
        <f ca="1">IF(NOTA[[#This Row],[NAMA BARANG]]="","",INDEX(NOTA[ID],MATCH(,INDIRECT(ADDRESS(ROW(NOTA[ID]),COLUMN(NOTA[ID]))&amp;":"&amp;ADDRESS(ROW(),COLUMN(NOTA[ID]))),-1)))</f>
        <v/>
      </c>
      <c r="C459" s="45"/>
      <c r="F459" s="46"/>
      <c r="G459" s="35"/>
      <c r="H459" s="36"/>
      <c r="I459" s="35"/>
      <c r="K459" s="37"/>
      <c r="L459" s="35"/>
      <c r="N459" s="38"/>
      <c r="O459" s="39"/>
      <c r="P459" s="47"/>
      <c r="Q459" s="48"/>
      <c r="R459" s="41"/>
      <c r="T459" s="42"/>
      <c r="U459" s="44"/>
      <c r="V459" s="42" t="str">
        <f>IF(NOTA[[#This Row],[HARGA/ CTN]]="",NOTA[[#This Row],[JUMLAH_H]],NOTA[[#This Row],[HARGA/ CTN]]*IF(NOTA[[#This Row],[C]]="",0,NOTA[[#This Row],[C]]))</f>
        <v/>
      </c>
      <c r="W459" s="42" t="str">
        <f>IF(NOTA[[#This Row],[JUMLAH]]="","",NOTA[[#This Row],[JUMLAH]]*NOTA[[#This Row],[Column6]])</f>
        <v/>
      </c>
      <c r="X459" s="42" t="str">
        <f>IF(NOTA[[#This Row],[JUMLAH]]="","",(NOTA[[#This Row],[JUMLAH]]-NOTA[[#This Row],[DISC 1-]])*NOTA[[#This Row],[Column7]])</f>
        <v/>
      </c>
      <c r="Y459" s="42" t="str">
        <f>IF(NOTA[[#This Row],[JUMLAH]]="","",(NOTA[[#This Row],[JUMLAH]]-NOTA[[#This Row],[DISC 1-]]-NOTA[[#This Row],[DISC 2-]])*NOTA[[#This Row],[Column8]])</f>
        <v/>
      </c>
      <c r="Z459" s="42" t="str">
        <f>IF(NOTA[[#This Row],[JUMLAH]]="","",NOTA[[#This Row],[DISC 1-]]+NOTA[[#This Row],[DISC 2-]]+NOTA[[#This Row],[DISC 3-]])</f>
        <v/>
      </c>
      <c r="AA459" s="42" t="str">
        <f>IF(NOTA[[#This Row],[JUMLAH]]="","",NOTA[[#This Row],[JUMLAH]]-NOTA[[#This Row],[DISC]])</f>
        <v/>
      </c>
      <c r="AB459" s="42"/>
      <c r="AC4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42" t="str">
        <f>IF(OR(NOTA[[#This Row],[QTY]]="",NOTA[[#This Row],[HARGA SATUAN]]="",),"",NOTA[[#This Row],[QTY]]*NOTA[[#This Row],[HARGA SATUAN]])</f>
        <v/>
      </c>
      <c r="AG459" s="36" t="str">
        <f ca="1">IF(NOTA[[#This Row],[ID_H]]="","",INDEX(NOTA[TANGGAL],MATCH(,INDIRECT(ADDRESS(ROW(NOTA[TANGGAL]),COLUMN(NOTA[TANGGAL]))&amp;":"&amp;ADDRESS(ROW(),COLUMN(NOTA[TANGGAL]))),-1)))</f>
        <v/>
      </c>
      <c r="AH459" s="36" t="str">
        <f ca="1">IF(NOTA[[#This Row],[ID_H]]="","",INDEX(NOTA[TGL.NOTA],MATCH(,INDIRECT(ADDRESS(ROW(NOTA[TGL.NOTA]),COLUMN(NOTA[TGL.NOTA]))&amp;":"&amp;ADDRESS(ROW(),COLUMN(NOTA[TGL.NOTA]))),-1)))</f>
        <v/>
      </c>
      <c r="AI459" s="36" t="str">
        <f ca="1">IF(NOTA[[#This Row],[ID_H]]="","",INDEX(NOTA[NO.NOTA],MATCH(NOTA[[#This Row],[ID_H]],NOTA[ID_H],0)))</f>
        <v/>
      </c>
      <c r="AJ459" s="38" t="str">
        <f ca="1">IF(NOTA[[#This Row],[NAMA BARANG]]="","",INDEX(NOTA[SUPPLIER],MATCH(,INDIRECT(ADDRESS(ROW(NOTA[ID]),COLUMN(NOTA[ID]))&amp;":"&amp;ADDRESS(ROW(),COLUMN(NOTA[ID]))),-1)))</f>
        <v/>
      </c>
      <c r="AK459" s="38" t="str">
        <f ca="1">IF(NOTA[[#This Row],[ID_H]]="","",IF(NOTA[[#This Row],[FAKTUR]]="",INDIRECT(ADDRESS(ROW()-1,COLUMN())),NOTA[[#This Row],[FAKTUR]]))</f>
        <v/>
      </c>
      <c r="AL459" s="35" t="str">
        <f ca="1">IF(NOTA[[#This Row],[ID]]="","",COUNTIF(NOTA[ID_H],NOTA[[#This Row],[ID_H]]))</f>
        <v/>
      </c>
      <c r="AM459" s="35" t="str">
        <f ca="1">IF(NOTA[[#This Row],[TGL.NOTA]]="",IF(NOTA[[#This Row],[SUPPLIER_H]]="","",AM458),MONTH(NOTA[[#This Row],[TGL.NOTA]]))</f>
        <v/>
      </c>
      <c r="AN4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9" s="35" t="str">
        <f>IF(NOTA[[#This Row],[CONCAT1]]="","",MATCH(NOTA[[#This Row],[CONCAT1]],[3]!db[NB NOTA_C],0))</f>
        <v/>
      </c>
      <c r="AS459" s="35" t="str">
        <f>IF(NOTA[[#This Row],[Column5]]="","",TRUE)</f>
        <v/>
      </c>
      <c r="AT459" s="35" t="str">
        <f ca="1">IF(NOTA[[#This Row],[ID_H]]="","",IF(NOTA[[#This Row],[Column3]]=TRUE,NOTA[[#This Row],[Column5]],INDEX([3]!db[QTY/ CTN],NOTA[[#This Row],[//DB]])))</f>
        <v/>
      </c>
      <c r="AU4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59" s="35" t="str">
        <f ca="1">IF(NOTA[[#This Row],[ID_H]]="","",MATCH(NOTA[[#This Row],[NB NOTA_C_QTY]],[3]!db[NB NOTA_C_QTY+F],0))</f>
        <v/>
      </c>
      <c r="AW459" s="43" t="str">
        <f ca="1">IF(NOTA[[#This Row],[NB NOTA_C_QTY]]="","",ROW()-2)</f>
        <v/>
      </c>
    </row>
    <row r="460" spans="1:49" ht="20.100000000000001" customHeight="1">
      <c r="A4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5" t="str">
        <f ca="1">IF(NOTA[[#This Row],[NAMA BARANG]]="","",INDEX(NOTA[ID],MATCH(,INDIRECT(ADDRESS(ROW(NOTA[ID]),COLUMN(NOTA[ID]))&amp;":"&amp;ADDRESS(ROW(),COLUMN(NOTA[ID]))),-1)))</f>
        <v/>
      </c>
      <c r="C460" s="45"/>
      <c r="F460" s="46"/>
      <c r="G460" s="35"/>
      <c r="H460" s="36"/>
      <c r="I460" s="35"/>
      <c r="K460" s="37"/>
      <c r="L460" s="35"/>
      <c r="N460" s="38"/>
      <c r="O460" s="39"/>
      <c r="P460" s="47"/>
      <c r="Q460" s="48"/>
      <c r="R460" s="41"/>
      <c r="T460" s="42"/>
      <c r="U460" s="44"/>
      <c r="V460" s="42" t="str">
        <f>IF(NOTA[[#This Row],[HARGA/ CTN]]="",NOTA[[#This Row],[JUMLAH_H]],NOTA[[#This Row],[HARGA/ CTN]]*IF(NOTA[[#This Row],[C]]="",0,NOTA[[#This Row],[C]]))</f>
        <v/>
      </c>
      <c r="W460" s="42" t="str">
        <f>IF(NOTA[[#This Row],[JUMLAH]]="","",NOTA[[#This Row],[JUMLAH]]*NOTA[[#This Row],[Column6]])</f>
        <v/>
      </c>
      <c r="X460" s="42" t="str">
        <f>IF(NOTA[[#This Row],[JUMLAH]]="","",(NOTA[[#This Row],[JUMLAH]]-NOTA[[#This Row],[DISC 1-]])*NOTA[[#This Row],[Column7]])</f>
        <v/>
      </c>
      <c r="Y460" s="42" t="str">
        <f>IF(NOTA[[#This Row],[JUMLAH]]="","",(NOTA[[#This Row],[JUMLAH]]-NOTA[[#This Row],[DISC 1-]]-NOTA[[#This Row],[DISC 2-]])*NOTA[[#This Row],[Column8]])</f>
        <v/>
      </c>
      <c r="Z460" s="42" t="str">
        <f>IF(NOTA[[#This Row],[JUMLAH]]="","",NOTA[[#This Row],[DISC 1-]]+NOTA[[#This Row],[DISC 2-]]+NOTA[[#This Row],[DISC 3-]])</f>
        <v/>
      </c>
      <c r="AA460" s="42" t="str">
        <f>IF(NOTA[[#This Row],[JUMLAH]]="","",NOTA[[#This Row],[JUMLAH]]-NOTA[[#This Row],[DISC]])</f>
        <v/>
      </c>
      <c r="AB460" s="42"/>
      <c r="AC4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42" t="str">
        <f>IF(OR(NOTA[[#This Row],[QTY]]="",NOTA[[#This Row],[HARGA SATUAN]]="",),"",NOTA[[#This Row],[QTY]]*NOTA[[#This Row],[HARGA SATUAN]])</f>
        <v/>
      </c>
      <c r="AG460" s="36" t="str">
        <f ca="1">IF(NOTA[[#This Row],[ID_H]]="","",INDEX(NOTA[TANGGAL],MATCH(,INDIRECT(ADDRESS(ROW(NOTA[TANGGAL]),COLUMN(NOTA[TANGGAL]))&amp;":"&amp;ADDRESS(ROW(),COLUMN(NOTA[TANGGAL]))),-1)))</f>
        <v/>
      </c>
      <c r="AH460" s="36" t="str">
        <f ca="1">IF(NOTA[[#This Row],[ID_H]]="","",INDEX(NOTA[TGL.NOTA],MATCH(,INDIRECT(ADDRESS(ROW(NOTA[TGL.NOTA]),COLUMN(NOTA[TGL.NOTA]))&amp;":"&amp;ADDRESS(ROW(),COLUMN(NOTA[TGL.NOTA]))),-1)))</f>
        <v/>
      </c>
      <c r="AI460" s="36" t="str">
        <f ca="1">IF(NOTA[[#This Row],[ID_H]]="","",INDEX(NOTA[NO.NOTA],MATCH(NOTA[[#This Row],[ID_H]],NOTA[ID_H],0)))</f>
        <v/>
      </c>
      <c r="AJ460" s="38" t="str">
        <f ca="1">IF(NOTA[[#This Row],[NAMA BARANG]]="","",INDEX(NOTA[SUPPLIER],MATCH(,INDIRECT(ADDRESS(ROW(NOTA[ID]),COLUMN(NOTA[ID]))&amp;":"&amp;ADDRESS(ROW(),COLUMN(NOTA[ID]))),-1)))</f>
        <v/>
      </c>
      <c r="AK460" s="38" t="str">
        <f ca="1">IF(NOTA[[#This Row],[ID_H]]="","",IF(NOTA[[#This Row],[FAKTUR]]="",INDIRECT(ADDRESS(ROW()-1,COLUMN())),NOTA[[#This Row],[FAKTUR]]))</f>
        <v/>
      </c>
      <c r="AL460" s="35" t="str">
        <f ca="1">IF(NOTA[[#This Row],[ID]]="","",COUNTIF(NOTA[ID_H],NOTA[[#This Row],[ID_H]]))</f>
        <v/>
      </c>
      <c r="AM460" s="35" t="str">
        <f ca="1">IF(NOTA[[#This Row],[TGL.NOTA]]="",IF(NOTA[[#This Row],[SUPPLIER_H]]="","",AM459),MONTH(NOTA[[#This Row],[TGL.NOTA]]))</f>
        <v/>
      </c>
      <c r="AN4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0" s="35" t="str">
        <f>IF(NOTA[[#This Row],[CONCAT1]]="","",MATCH(NOTA[[#This Row],[CONCAT1]],[3]!db[NB NOTA_C],0))</f>
        <v/>
      </c>
      <c r="AS460" s="35" t="str">
        <f>IF(NOTA[[#This Row],[Column5]]="","",TRUE)</f>
        <v/>
      </c>
      <c r="AT460" s="35" t="str">
        <f ca="1">IF(NOTA[[#This Row],[ID_H]]="","",IF(NOTA[[#This Row],[Column3]]=TRUE,NOTA[[#This Row],[Column5]],INDEX([3]!db[QTY/ CTN],NOTA[[#This Row],[//DB]])))</f>
        <v/>
      </c>
      <c r="AU4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0" s="35" t="str">
        <f ca="1">IF(NOTA[[#This Row],[ID_H]]="","",MATCH(NOTA[[#This Row],[NB NOTA_C_QTY]],[3]!db[NB NOTA_C_QTY+F],0))</f>
        <v/>
      </c>
      <c r="AW460" s="43" t="str">
        <f ca="1">IF(NOTA[[#This Row],[NB NOTA_C_QTY]]="","",ROW()-2)</f>
        <v/>
      </c>
    </row>
    <row r="461" spans="1:49" ht="20.100000000000001" customHeight="1">
      <c r="A4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5" t="str">
        <f ca="1">IF(NOTA[[#This Row],[NAMA BARANG]]="","",INDEX(NOTA[ID],MATCH(,INDIRECT(ADDRESS(ROW(NOTA[ID]),COLUMN(NOTA[ID]))&amp;":"&amp;ADDRESS(ROW(),COLUMN(NOTA[ID]))),-1)))</f>
        <v/>
      </c>
      <c r="C461" s="45"/>
      <c r="F461" s="46"/>
      <c r="G461" s="35"/>
      <c r="H461" s="36"/>
      <c r="I461" s="35"/>
      <c r="K461" s="37"/>
      <c r="L461" s="35"/>
      <c r="N461" s="38"/>
      <c r="O461" s="39"/>
      <c r="P461" s="47"/>
      <c r="Q461" s="48"/>
      <c r="R461" s="41"/>
      <c r="T461" s="42"/>
      <c r="U461" s="44"/>
      <c r="V461" s="42" t="str">
        <f>IF(NOTA[[#This Row],[HARGA/ CTN]]="",NOTA[[#This Row],[JUMLAH_H]],NOTA[[#This Row],[HARGA/ CTN]]*IF(NOTA[[#This Row],[C]]="",0,NOTA[[#This Row],[C]]))</f>
        <v/>
      </c>
      <c r="W461" s="42" t="str">
        <f>IF(NOTA[[#This Row],[JUMLAH]]="","",NOTA[[#This Row],[JUMLAH]]*NOTA[[#This Row],[Column6]])</f>
        <v/>
      </c>
      <c r="X461" s="42" t="str">
        <f>IF(NOTA[[#This Row],[JUMLAH]]="","",(NOTA[[#This Row],[JUMLAH]]-NOTA[[#This Row],[DISC 1-]])*NOTA[[#This Row],[Column7]])</f>
        <v/>
      </c>
      <c r="Y461" s="42" t="str">
        <f>IF(NOTA[[#This Row],[JUMLAH]]="","",(NOTA[[#This Row],[JUMLAH]]-NOTA[[#This Row],[DISC 1-]]-NOTA[[#This Row],[DISC 2-]])*NOTA[[#This Row],[Column8]])</f>
        <v/>
      </c>
      <c r="Z461" s="42" t="str">
        <f>IF(NOTA[[#This Row],[JUMLAH]]="","",NOTA[[#This Row],[DISC 1-]]+NOTA[[#This Row],[DISC 2-]]+NOTA[[#This Row],[DISC 3-]])</f>
        <v/>
      </c>
      <c r="AA461" s="42" t="str">
        <f>IF(NOTA[[#This Row],[JUMLAH]]="","",NOTA[[#This Row],[JUMLAH]]-NOTA[[#This Row],[DISC]])</f>
        <v/>
      </c>
      <c r="AB461" s="42"/>
      <c r="AC4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42" t="str">
        <f>IF(OR(NOTA[[#This Row],[QTY]]="",NOTA[[#This Row],[HARGA SATUAN]]="",),"",NOTA[[#This Row],[QTY]]*NOTA[[#This Row],[HARGA SATUAN]])</f>
        <v/>
      </c>
      <c r="AG461" s="36" t="str">
        <f ca="1">IF(NOTA[[#This Row],[ID_H]]="","",INDEX(NOTA[TANGGAL],MATCH(,INDIRECT(ADDRESS(ROW(NOTA[TANGGAL]),COLUMN(NOTA[TANGGAL]))&amp;":"&amp;ADDRESS(ROW(),COLUMN(NOTA[TANGGAL]))),-1)))</f>
        <v/>
      </c>
      <c r="AH461" s="36" t="str">
        <f ca="1">IF(NOTA[[#This Row],[ID_H]]="","",INDEX(NOTA[TGL.NOTA],MATCH(,INDIRECT(ADDRESS(ROW(NOTA[TGL.NOTA]),COLUMN(NOTA[TGL.NOTA]))&amp;":"&amp;ADDRESS(ROW(),COLUMN(NOTA[TGL.NOTA]))),-1)))</f>
        <v/>
      </c>
      <c r="AI461" s="36" t="str">
        <f ca="1">IF(NOTA[[#This Row],[ID_H]]="","",INDEX(NOTA[NO.NOTA],MATCH(NOTA[[#This Row],[ID_H]],NOTA[ID_H],0)))</f>
        <v/>
      </c>
      <c r="AJ461" s="38" t="str">
        <f ca="1">IF(NOTA[[#This Row],[NAMA BARANG]]="","",INDEX(NOTA[SUPPLIER],MATCH(,INDIRECT(ADDRESS(ROW(NOTA[ID]),COLUMN(NOTA[ID]))&amp;":"&amp;ADDRESS(ROW(),COLUMN(NOTA[ID]))),-1)))</f>
        <v/>
      </c>
      <c r="AK461" s="38" t="str">
        <f ca="1">IF(NOTA[[#This Row],[ID_H]]="","",IF(NOTA[[#This Row],[FAKTUR]]="",INDIRECT(ADDRESS(ROW()-1,COLUMN())),NOTA[[#This Row],[FAKTUR]]))</f>
        <v/>
      </c>
      <c r="AL461" s="35" t="str">
        <f ca="1">IF(NOTA[[#This Row],[ID]]="","",COUNTIF(NOTA[ID_H],NOTA[[#This Row],[ID_H]]))</f>
        <v/>
      </c>
      <c r="AM461" s="35" t="str">
        <f ca="1">IF(NOTA[[#This Row],[TGL.NOTA]]="",IF(NOTA[[#This Row],[SUPPLIER_H]]="","",AM460),MONTH(NOTA[[#This Row],[TGL.NOTA]]))</f>
        <v/>
      </c>
      <c r="AN4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1" s="35" t="str">
        <f>IF(NOTA[[#This Row],[CONCAT1]]="","",MATCH(NOTA[[#This Row],[CONCAT1]],[3]!db[NB NOTA_C],0))</f>
        <v/>
      </c>
      <c r="AS461" s="35" t="str">
        <f>IF(NOTA[[#This Row],[Column5]]="","",TRUE)</f>
        <v/>
      </c>
      <c r="AT461" s="35" t="str">
        <f ca="1">IF(NOTA[[#This Row],[ID_H]]="","",IF(NOTA[[#This Row],[Column3]]=TRUE,NOTA[[#This Row],[Column5]],INDEX([3]!db[QTY/ CTN],NOTA[[#This Row],[//DB]])))</f>
        <v/>
      </c>
      <c r="AU4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1" s="35" t="str">
        <f ca="1">IF(NOTA[[#This Row],[ID_H]]="","",MATCH(NOTA[[#This Row],[NB NOTA_C_QTY]],[3]!db[NB NOTA_C_QTY+F],0))</f>
        <v/>
      </c>
      <c r="AW461" s="43" t="str">
        <f ca="1">IF(NOTA[[#This Row],[NB NOTA_C_QTY]]="","",ROW()-2)</f>
        <v/>
      </c>
    </row>
    <row r="462" spans="1:49" ht="20.100000000000001" customHeight="1">
      <c r="A4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5" t="str">
        <f ca="1">IF(NOTA[[#This Row],[NAMA BARANG]]="","",INDEX(NOTA[ID],MATCH(,INDIRECT(ADDRESS(ROW(NOTA[ID]),COLUMN(NOTA[ID]))&amp;":"&amp;ADDRESS(ROW(),COLUMN(NOTA[ID]))),-1)))</f>
        <v/>
      </c>
      <c r="C462" s="45"/>
      <c r="F462" s="46"/>
      <c r="G462" s="35"/>
      <c r="H462" s="36"/>
      <c r="I462" s="35"/>
      <c r="K462" s="37"/>
      <c r="L462" s="35"/>
      <c r="N462" s="38"/>
      <c r="O462" s="39"/>
      <c r="P462" s="47"/>
      <c r="Q462" s="48"/>
      <c r="R462" s="41"/>
      <c r="T462" s="42"/>
      <c r="U462" s="44"/>
      <c r="V462" s="42" t="str">
        <f>IF(NOTA[[#This Row],[HARGA/ CTN]]="",NOTA[[#This Row],[JUMLAH_H]],NOTA[[#This Row],[HARGA/ CTN]]*IF(NOTA[[#This Row],[C]]="",0,NOTA[[#This Row],[C]]))</f>
        <v/>
      </c>
      <c r="W462" s="42" t="str">
        <f>IF(NOTA[[#This Row],[JUMLAH]]="","",NOTA[[#This Row],[JUMLAH]]*NOTA[[#This Row],[Column6]])</f>
        <v/>
      </c>
      <c r="X462" s="42" t="str">
        <f>IF(NOTA[[#This Row],[JUMLAH]]="","",(NOTA[[#This Row],[JUMLAH]]-NOTA[[#This Row],[DISC 1-]])*NOTA[[#This Row],[Column7]])</f>
        <v/>
      </c>
      <c r="Y462" s="42" t="str">
        <f>IF(NOTA[[#This Row],[JUMLAH]]="","",(NOTA[[#This Row],[JUMLAH]]-NOTA[[#This Row],[DISC 1-]]-NOTA[[#This Row],[DISC 2-]])*NOTA[[#This Row],[Column8]])</f>
        <v/>
      </c>
      <c r="Z462" s="42" t="str">
        <f>IF(NOTA[[#This Row],[JUMLAH]]="","",NOTA[[#This Row],[DISC 1-]]+NOTA[[#This Row],[DISC 2-]]+NOTA[[#This Row],[DISC 3-]])</f>
        <v/>
      </c>
      <c r="AA462" s="42" t="str">
        <f>IF(NOTA[[#This Row],[JUMLAH]]="","",NOTA[[#This Row],[JUMLAH]]-NOTA[[#This Row],[DISC]])</f>
        <v/>
      </c>
      <c r="AB462" s="42"/>
      <c r="AC4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42" t="str">
        <f>IF(OR(NOTA[[#This Row],[QTY]]="",NOTA[[#This Row],[HARGA SATUAN]]="",),"",NOTA[[#This Row],[QTY]]*NOTA[[#This Row],[HARGA SATUAN]])</f>
        <v/>
      </c>
      <c r="AG462" s="36" t="str">
        <f ca="1">IF(NOTA[[#This Row],[ID_H]]="","",INDEX(NOTA[TANGGAL],MATCH(,INDIRECT(ADDRESS(ROW(NOTA[TANGGAL]),COLUMN(NOTA[TANGGAL]))&amp;":"&amp;ADDRESS(ROW(),COLUMN(NOTA[TANGGAL]))),-1)))</f>
        <v/>
      </c>
      <c r="AH462" s="36" t="str">
        <f ca="1">IF(NOTA[[#This Row],[ID_H]]="","",INDEX(NOTA[TGL.NOTA],MATCH(,INDIRECT(ADDRESS(ROW(NOTA[TGL.NOTA]),COLUMN(NOTA[TGL.NOTA]))&amp;":"&amp;ADDRESS(ROW(),COLUMN(NOTA[TGL.NOTA]))),-1)))</f>
        <v/>
      </c>
      <c r="AI462" s="36" t="str">
        <f ca="1">IF(NOTA[[#This Row],[ID_H]]="","",INDEX(NOTA[NO.NOTA],MATCH(NOTA[[#This Row],[ID_H]],NOTA[ID_H],0)))</f>
        <v/>
      </c>
      <c r="AJ462" s="38" t="str">
        <f ca="1">IF(NOTA[[#This Row],[NAMA BARANG]]="","",INDEX(NOTA[SUPPLIER],MATCH(,INDIRECT(ADDRESS(ROW(NOTA[ID]),COLUMN(NOTA[ID]))&amp;":"&amp;ADDRESS(ROW(),COLUMN(NOTA[ID]))),-1)))</f>
        <v/>
      </c>
      <c r="AK462" s="38" t="str">
        <f ca="1">IF(NOTA[[#This Row],[ID_H]]="","",IF(NOTA[[#This Row],[FAKTUR]]="",INDIRECT(ADDRESS(ROW()-1,COLUMN())),NOTA[[#This Row],[FAKTUR]]))</f>
        <v/>
      </c>
      <c r="AL462" s="35" t="str">
        <f ca="1">IF(NOTA[[#This Row],[ID]]="","",COUNTIF(NOTA[ID_H],NOTA[[#This Row],[ID_H]]))</f>
        <v/>
      </c>
      <c r="AM462" s="35" t="str">
        <f ca="1">IF(NOTA[[#This Row],[TGL.NOTA]]="",IF(NOTA[[#This Row],[SUPPLIER_H]]="","",AM461),MONTH(NOTA[[#This Row],[TGL.NOTA]]))</f>
        <v/>
      </c>
      <c r="AN4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2" s="35" t="str">
        <f>IF(NOTA[[#This Row],[CONCAT1]]="","",MATCH(NOTA[[#This Row],[CONCAT1]],[3]!db[NB NOTA_C],0))</f>
        <v/>
      </c>
      <c r="AS462" s="35" t="str">
        <f>IF(NOTA[[#This Row],[Column5]]="","",TRUE)</f>
        <v/>
      </c>
      <c r="AT462" s="35" t="str">
        <f ca="1">IF(NOTA[[#This Row],[ID_H]]="","",IF(NOTA[[#This Row],[Column3]]=TRUE,NOTA[[#This Row],[Column5]],INDEX([3]!db[QTY/ CTN],NOTA[[#This Row],[//DB]])))</f>
        <v/>
      </c>
      <c r="AU4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2" s="35" t="str">
        <f ca="1">IF(NOTA[[#This Row],[ID_H]]="","",MATCH(NOTA[[#This Row],[NB NOTA_C_QTY]],[3]!db[NB NOTA_C_QTY+F],0))</f>
        <v/>
      </c>
      <c r="AW462" s="43" t="str">
        <f ca="1">IF(NOTA[[#This Row],[NB NOTA_C_QTY]]="","",ROW()-2)</f>
        <v/>
      </c>
    </row>
    <row r="463" spans="1:49" ht="20.100000000000001" customHeight="1">
      <c r="A4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5" t="str">
        <f ca="1">IF(NOTA[[#This Row],[NAMA BARANG]]="","",INDEX(NOTA[ID],MATCH(,INDIRECT(ADDRESS(ROW(NOTA[ID]),COLUMN(NOTA[ID]))&amp;":"&amp;ADDRESS(ROW(),COLUMN(NOTA[ID]))),-1)))</f>
        <v/>
      </c>
      <c r="C463" s="45"/>
      <c r="F463" s="46"/>
      <c r="G463" s="35"/>
      <c r="H463" s="36"/>
      <c r="I463" s="35"/>
      <c r="K463" s="37"/>
      <c r="L463" s="35"/>
      <c r="N463" s="38"/>
      <c r="O463" s="39"/>
      <c r="P463" s="47"/>
      <c r="Q463" s="48"/>
      <c r="R463" s="41"/>
      <c r="T463" s="42"/>
      <c r="U463" s="44"/>
      <c r="V463" s="42" t="str">
        <f>IF(NOTA[[#This Row],[HARGA/ CTN]]="",NOTA[[#This Row],[JUMLAH_H]],NOTA[[#This Row],[HARGA/ CTN]]*IF(NOTA[[#This Row],[C]]="",0,NOTA[[#This Row],[C]]))</f>
        <v/>
      </c>
      <c r="W463" s="42" t="str">
        <f>IF(NOTA[[#This Row],[JUMLAH]]="","",NOTA[[#This Row],[JUMLAH]]*NOTA[[#This Row],[Column6]])</f>
        <v/>
      </c>
      <c r="X463" s="42" t="str">
        <f>IF(NOTA[[#This Row],[JUMLAH]]="","",(NOTA[[#This Row],[JUMLAH]]-NOTA[[#This Row],[DISC 1-]])*NOTA[[#This Row],[Column7]])</f>
        <v/>
      </c>
      <c r="Y463" s="42" t="str">
        <f>IF(NOTA[[#This Row],[JUMLAH]]="","",(NOTA[[#This Row],[JUMLAH]]-NOTA[[#This Row],[DISC 1-]]-NOTA[[#This Row],[DISC 2-]])*NOTA[[#This Row],[Column8]])</f>
        <v/>
      </c>
      <c r="Z463" s="42" t="str">
        <f>IF(NOTA[[#This Row],[JUMLAH]]="","",NOTA[[#This Row],[DISC 1-]]+NOTA[[#This Row],[DISC 2-]]+NOTA[[#This Row],[DISC 3-]])</f>
        <v/>
      </c>
      <c r="AA463" s="42" t="str">
        <f>IF(NOTA[[#This Row],[JUMLAH]]="","",NOTA[[#This Row],[JUMLAH]]-NOTA[[#This Row],[DISC]])</f>
        <v/>
      </c>
      <c r="AB463" s="42"/>
      <c r="AC4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42" t="str">
        <f>IF(OR(NOTA[[#This Row],[QTY]]="",NOTA[[#This Row],[HARGA SATUAN]]="",),"",NOTA[[#This Row],[QTY]]*NOTA[[#This Row],[HARGA SATUAN]])</f>
        <v/>
      </c>
      <c r="AG463" s="36" t="str">
        <f ca="1">IF(NOTA[[#This Row],[ID_H]]="","",INDEX(NOTA[TANGGAL],MATCH(,INDIRECT(ADDRESS(ROW(NOTA[TANGGAL]),COLUMN(NOTA[TANGGAL]))&amp;":"&amp;ADDRESS(ROW(),COLUMN(NOTA[TANGGAL]))),-1)))</f>
        <v/>
      </c>
      <c r="AH463" s="36" t="str">
        <f ca="1">IF(NOTA[[#This Row],[ID_H]]="","",INDEX(NOTA[TGL.NOTA],MATCH(,INDIRECT(ADDRESS(ROW(NOTA[TGL.NOTA]),COLUMN(NOTA[TGL.NOTA]))&amp;":"&amp;ADDRESS(ROW(),COLUMN(NOTA[TGL.NOTA]))),-1)))</f>
        <v/>
      </c>
      <c r="AI463" s="36" t="str">
        <f ca="1">IF(NOTA[[#This Row],[ID_H]]="","",INDEX(NOTA[NO.NOTA],MATCH(NOTA[[#This Row],[ID_H]],NOTA[ID_H],0)))</f>
        <v/>
      </c>
      <c r="AJ463" s="38" t="str">
        <f ca="1">IF(NOTA[[#This Row],[NAMA BARANG]]="","",INDEX(NOTA[SUPPLIER],MATCH(,INDIRECT(ADDRESS(ROW(NOTA[ID]),COLUMN(NOTA[ID]))&amp;":"&amp;ADDRESS(ROW(),COLUMN(NOTA[ID]))),-1)))</f>
        <v/>
      </c>
      <c r="AK463" s="38" t="str">
        <f ca="1">IF(NOTA[[#This Row],[ID_H]]="","",IF(NOTA[[#This Row],[FAKTUR]]="",INDIRECT(ADDRESS(ROW()-1,COLUMN())),NOTA[[#This Row],[FAKTUR]]))</f>
        <v/>
      </c>
      <c r="AL463" s="35" t="str">
        <f ca="1">IF(NOTA[[#This Row],[ID]]="","",COUNTIF(NOTA[ID_H],NOTA[[#This Row],[ID_H]]))</f>
        <v/>
      </c>
      <c r="AM463" s="35" t="str">
        <f ca="1">IF(NOTA[[#This Row],[TGL.NOTA]]="",IF(NOTA[[#This Row],[SUPPLIER_H]]="","",AM462),MONTH(NOTA[[#This Row],[TGL.NOTA]]))</f>
        <v/>
      </c>
      <c r="AN4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3" s="35" t="str">
        <f>IF(NOTA[[#This Row],[CONCAT1]]="","",MATCH(NOTA[[#This Row],[CONCAT1]],[3]!db[NB NOTA_C],0))</f>
        <v/>
      </c>
      <c r="AS463" s="35" t="str">
        <f>IF(NOTA[[#This Row],[Column5]]="","",TRUE)</f>
        <v/>
      </c>
      <c r="AT463" s="35" t="str">
        <f ca="1">IF(NOTA[[#This Row],[ID_H]]="","",IF(NOTA[[#This Row],[Column3]]=TRUE,NOTA[[#This Row],[Column5]],INDEX([3]!db[QTY/ CTN],NOTA[[#This Row],[//DB]])))</f>
        <v/>
      </c>
      <c r="AU4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3" s="35" t="str">
        <f ca="1">IF(NOTA[[#This Row],[ID_H]]="","",MATCH(NOTA[[#This Row],[NB NOTA_C_QTY]],[3]!db[NB NOTA_C_QTY+F],0))</f>
        <v/>
      </c>
      <c r="AW463" s="43" t="str">
        <f ca="1">IF(NOTA[[#This Row],[NB NOTA_C_QTY]]="","",ROW()-2)</f>
        <v/>
      </c>
    </row>
    <row r="464" spans="1:49" ht="20.100000000000001" customHeight="1">
      <c r="A4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5" t="str">
        <f ca="1">IF(NOTA[[#This Row],[NAMA BARANG]]="","",INDEX(NOTA[ID],MATCH(,INDIRECT(ADDRESS(ROW(NOTA[ID]),COLUMN(NOTA[ID]))&amp;":"&amp;ADDRESS(ROW(),COLUMN(NOTA[ID]))),-1)))</f>
        <v/>
      </c>
      <c r="C464" s="45"/>
      <c r="F464" s="46"/>
      <c r="G464" s="35"/>
      <c r="H464" s="36"/>
      <c r="I464" s="35"/>
      <c r="K464" s="37"/>
      <c r="L464" s="35"/>
      <c r="N464" s="38"/>
      <c r="O464" s="39"/>
      <c r="P464" s="47"/>
      <c r="Q464" s="48"/>
      <c r="R464" s="41"/>
      <c r="T464" s="42"/>
      <c r="U464" s="44"/>
      <c r="V464" s="42" t="str">
        <f>IF(NOTA[[#This Row],[HARGA/ CTN]]="",NOTA[[#This Row],[JUMLAH_H]],NOTA[[#This Row],[HARGA/ CTN]]*IF(NOTA[[#This Row],[C]]="",0,NOTA[[#This Row],[C]]))</f>
        <v/>
      </c>
      <c r="W464" s="42" t="str">
        <f>IF(NOTA[[#This Row],[JUMLAH]]="","",NOTA[[#This Row],[JUMLAH]]*NOTA[[#This Row],[Column6]])</f>
        <v/>
      </c>
      <c r="X464" s="42" t="str">
        <f>IF(NOTA[[#This Row],[JUMLAH]]="","",(NOTA[[#This Row],[JUMLAH]]-NOTA[[#This Row],[DISC 1-]])*NOTA[[#This Row],[Column7]])</f>
        <v/>
      </c>
      <c r="Y464" s="42" t="str">
        <f>IF(NOTA[[#This Row],[JUMLAH]]="","",(NOTA[[#This Row],[JUMLAH]]-NOTA[[#This Row],[DISC 1-]]-NOTA[[#This Row],[DISC 2-]])*NOTA[[#This Row],[Column8]])</f>
        <v/>
      </c>
      <c r="Z464" s="42" t="str">
        <f>IF(NOTA[[#This Row],[JUMLAH]]="","",NOTA[[#This Row],[DISC 1-]]+NOTA[[#This Row],[DISC 2-]]+NOTA[[#This Row],[DISC 3-]])</f>
        <v/>
      </c>
      <c r="AA464" s="42" t="str">
        <f>IF(NOTA[[#This Row],[JUMLAH]]="","",NOTA[[#This Row],[JUMLAH]]-NOTA[[#This Row],[DISC]])</f>
        <v/>
      </c>
      <c r="AB464" s="42"/>
      <c r="AC4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42" t="str">
        <f>IF(OR(NOTA[[#This Row],[QTY]]="",NOTA[[#This Row],[HARGA SATUAN]]="",),"",NOTA[[#This Row],[QTY]]*NOTA[[#This Row],[HARGA SATUAN]])</f>
        <v/>
      </c>
      <c r="AG464" s="36" t="str">
        <f ca="1">IF(NOTA[[#This Row],[ID_H]]="","",INDEX(NOTA[TANGGAL],MATCH(,INDIRECT(ADDRESS(ROW(NOTA[TANGGAL]),COLUMN(NOTA[TANGGAL]))&amp;":"&amp;ADDRESS(ROW(),COLUMN(NOTA[TANGGAL]))),-1)))</f>
        <v/>
      </c>
      <c r="AH464" s="36" t="str">
        <f ca="1">IF(NOTA[[#This Row],[ID_H]]="","",INDEX(NOTA[TGL.NOTA],MATCH(,INDIRECT(ADDRESS(ROW(NOTA[TGL.NOTA]),COLUMN(NOTA[TGL.NOTA]))&amp;":"&amp;ADDRESS(ROW(),COLUMN(NOTA[TGL.NOTA]))),-1)))</f>
        <v/>
      </c>
      <c r="AI464" s="36" t="str">
        <f ca="1">IF(NOTA[[#This Row],[ID_H]]="","",INDEX(NOTA[NO.NOTA],MATCH(NOTA[[#This Row],[ID_H]],NOTA[ID_H],0)))</f>
        <v/>
      </c>
      <c r="AJ464" s="38" t="str">
        <f ca="1">IF(NOTA[[#This Row],[NAMA BARANG]]="","",INDEX(NOTA[SUPPLIER],MATCH(,INDIRECT(ADDRESS(ROW(NOTA[ID]),COLUMN(NOTA[ID]))&amp;":"&amp;ADDRESS(ROW(),COLUMN(NOTA[ID]))),-1)))</f>
        <v/>
      </c>
      <c r="AK464" s="38" t="str">
        <f ca="1">IF(NOTA[[#This Row],[ID_H]]="","",IF(NOTA[[#This Row],[FAKTUR]]="",INDIRECT(ADDRESS(ROW()-1,COLUMN())),NOTA[[#This Row],[FAKTUR]]))</f>
        <v/>
      </c>
      <c r="AL464" s="35" t="str">
        <f ca="1">IF(NOTA[[#This Row],[ID]]="","",COUNTIF(NOTA[ID_H],NOTA[[#This Row],[ID_H]]))</f>
        <v/>
      </c>
      <c r="AM464" s="35" t="str">
        <f ca="1">IF(NOTA[[#This Row],[TGL.NOTA]]="",IF(NOTA[[#This Row],[SUPPLIER_H]]="","",AM463),MONTH(NOTA[[#This Row],[TGL.NOTA]]))</f>
        <v/>
      </c>
      <c r="AN4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4" s="35" t="str">
        <f>IF(NOTA[[#This Row],[CONCAT1]]="","",MATCH(NOTA[[#This Row],[CONCAT1]],[3]!db[NB NOTA_C],0))</f>
        <v/>
      </c>
      <c r="AS464" s="35" t="str">
        <f>IF(NOTA[[#This Row],[Column5]]="","",TRUE)</f>
        <v/>
      </c>
      <c r="AT464" s="35" t="str">
        <f ca="1">IF(NOTA[[#This Row],[ID_H]]="","",IF(NOTA[[#This Row],[Column3]]=TRUE,NOTA[[#This Row],[Column5]],INDEX([3]!db[QTY/ CTN],NOTA[[#This Row],[//DB]])))</f>
        <v/>
      </c>
      <c r="AU4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4" s="35" t="str">
        <f ca="1">IF(NOTA[[#This Row],[ID_H]]="","",MATCH(NOTA[[#This Row],[NB NOTA_C_QTY]],[3]!db[NB NOTA_C_QTY+F],0))</f>
        <v/>
      </c>
      <c r="AW464" s="43" t="str">
        <f ca="1">IF(NOTA[[#This Row],[NB NOTA_C_QTY]]="","",ROW()-2)</f>
        <v/>
      </c>
    </row>
    <row r="465" spans="1:49" ht="20.100000000000001" customHeight="1">
      <c r="A4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5" t="str">
        <f ca="1">IF(NOTA[[#This Row],[NAMA BARANG]]="","",INDEX(NOTA[ID],MATCH(,INDIRECT(ADDRESS(ROW(NOTA[ID]),COLUMN(NOTA[ID]))&amp;":"&amp;ADDRESS(ROW(),COLUMN(NOTA[ID]))),-1)))</f>
        <v/>
      </c>
      <c r="C465" s="45"/>
      <c r="F465" s="46"/>
      <c r="G465" s="35"/>
      <c r="H465" s="36"/>
      <c r="I465" s="35"/>
      <c r="K465" s="37"/>
      <c r="L465" s="35"/>
      <c r="N465" s="38"/>
      <c r="O465" s="39"/>
      <c r="P465" s="47"/>
      <c r="Q465" s="48"/>
      <c r="R465" s="41"/>
      <c r="T465" s="42"/>
      <c r="U465" s="44"/>
      <c r="V465" s="42" t="str">
        <f>IF(NOTA[[#This Row],[HARGA/ CTN]]="",NOTA[[#This Row],[JUMLAH_H]],NOTA[[#This Row],[HARGA/ CTN]]*IF(NOTA[[#This Row],[C]]="",0,NOTA[[#This Row],[C]]))</f>
        <v/>
      </c>
      <c r="W465" s="42" t="str">
        <f>IF(NOTA[[#This Row],[JUMLAH]]="","",NOTA[[#This Row],[JUMLAH]]*NOTA[[#This Row],[Column6]])</f>
        <v/>
      </c>
      <c r="X465" s="42" t="str">
        <f>IF(NOTA[[#This Row],[JUMLAH]]="","",(NOTA[[#This Row],[JUMLAH]]-NOTA[[#This Row],[DISC 1-]])*NOTA[[#This Row],[Column7]])</f>
        <v/>
      </c>
      <c r="Y465" s="42" t="str">
        <f>IF(NOTA[[#This Row],[JUMLAH]]="","",(NOTA[[#This Row],[JUMLAH]]-NOTA[[#This Row],[DISC 1-]]-NOTA[[#This Row],[DISC 2-]])*NOTA[[#This Row],[Column8]])</f>
        <v/>
      </c>
      <c r="Z465" s="42" t="str">
        <f>IF(NOTA[[#This Row],[JUMLAH]]="","",NOTA[[#This Row],[DISC 1-]]+NOTA[[#This Row],[DISC 2-]]+NOTA[[#This Row],[DISC 3-]])</f>
        <v/>
      </c>
      <c r="AA465" s="42" t="str">
        <f>IF(NOTA[[#This Row],[JUMLAH]]="","",NOTA[[#This Row],[JUMLAH]]-NOTA[[#This Row],[DISC]])</f>
        <v/>
      </c>
      <c r="AB465" s="42"/>
      <c r="AC4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42" t="str">
        <f>IF(OR(NOTA[[#This Row],[QTY]]="",NOTA[[#This Row],[HARGA SATUAN]]="",),"",NOTA[[#This Row],[QTY]]*NOTA[[#This Row],[HARGA SATUAN]])</f>
        <v/>
      </c>
      <c r="AG465" s="36" t="str">
        <f ca="1">IF(NOTA[[#This Row],[ID_H]]="","",INDEX(NOTA[TANGGAL],MATCH(,INDIRECT(ADDRESS(ROW(NOTA[TANGGAL]),COLUMN(NOTA[TANGGAL]))&amp;":"&amp;ADDRESS(ROW(),COLUMN(NOTA[TANGGAL]))),-1)))</f>
        <v/>
      </c>
      <c r="AH465" s="36" t="str">
        <f ca="1">IF(NOTA[[#This Row],[ID_H]]="","",INDEX(NOTA[TGL.NOTA],MATCH(,INDIRECT(ADDRESS(ROW(NOTA[TGL.NOTA]),COLUMN(NOTA[TGL.NOTA]))&amp;":"&amp;ADDRESS(ROW(),COLUMN(NOTA[TGL.NOTA]))),-1)))</f>
        <v/>
      </c>
      <c r="AI465" s="36" t="str">
        <f ca="1">IF(NOTA[[#This Row],[ID_H]]="","",INDEX(NOTA[NO.NOTA],MATCH(NOTA[[#This Row],[ID_H]],NOTA[ID_H],0)))</f>
        <v/>
      </c>
      <c r="AJ465" s="38" t="str">
        <f ca="1">IF(NOTA[[#This Row],[NAMA BARANG]]="","",INDEX(NOTA[SUPPLIER],MATCH(,INDIRECT(ADDRESS(ROW(NOTA[ID]),COLUMN(NOTA[ID]))&amp;":"&amp;ADDRESS(ROW(),COLUMN(NOTA[ID]))),-1)))</f>
        <v/>
      </c>
      <c r="AK465" s="38" t="str">
        <f ca="1">IF(NOTA[[#This Row],[ID_H]]="","",IF(NOTA[[#This Row],[FAKTUR]]="",INDIRECT(ADDRESS(ROW()-1,COLUMN())),NOTA[[#This Row],[FAKTUR]]))</f>
        <v/>
      </c>
      <c r="AL465" s="35" t="str">
        <f ca="1">IF(NOTA[[#This Row],[ID]]="","",COUNTIF(NOTA[ID_H],NOTA[[#This Row],[ID_H]]))</f>
        <v/>
      </c>
      <c r="AM465" s="35" t="str">
        <f ca="1">IF(NOTA[[#This Row],[TGL.NOTA]]="",IF(NOTA[[#This Row],[SUPPLIER_H]]="","",AM464),MONTH(NOTA[[#This Row],[TGL.NOTA]]))</f>
        <v/>
      </c>
      <c r="AN4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5" s="35" t="str">
        <f>IF(NOTA[[#This Row],[CONCAT1]]="","",MATCH(NOTA[[#This Row],[CONCAT1]],[3]!db[NB NOTA_C],0))</f>
        <v/>
      </c>
      <c r="AS465" s="35" t="str">
        <f>IF(NOTA[[#This Row],[Column5]]="","",TRUE)</f>
        <v/>
      </c>
      <c r="AT465" s="35" t="str">
        <f ca="1">IF(NOTA[[#This Row],[ID_H]]="","",IF(NOTA[[#This Row],[Column3]]=TRUE,NOTA[[#This Row],[Column5]],INDEX([3]!db[QTY/ CTN],NOTA[[#This Row],[//DB]])))</f>
        <v/>
      </c>
      <c r="AU4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5" s="35" t="str">
        <f ca="1">IF(NOTA[[#This Row],[ID_H]]="","",MATCH(NOTA[[#This Row],[NB NOTA_C_QTY]],[3]!db[NB NOTA_C_QTY+F],0))</f>
        <v/>
      </c>
      <c r="AW465" s="43" t="str">
        <f ca="1">IF(NOTA[[#This Row],[NB NOTA_C_QTY]]="","",ROW()-2)</f>
        <v/>
      </c>
    </row>
    <row r="466" spans="1:49" ht="20.100000000000001" customHeight="1">
      <c r="A4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5" t="str">
        <f ca="1">IF(NOTA[[#This Row],[NAMA BARANG]]="","",INDEX(NOTA[ID],MATCH(,INDIRECT(ADDRESS(ROW(NOTA[ID]),COLUMN(NOTA[ID]))&amp;":"&amp;ADDRESS(ROW(),COLUMN(NOTA[ID]))),-1)))</f>
        <v/>
      </c>
      <c r="C466" s="45"/>
      <c r="F466" s="46"/>
      <c r="G466" s="35"/>
      <c r="H466" s="36"/>
      <c r="I466" s="35"/>
      <c r="K466" s="37"/>
      <c r="L466" s="35"/>
      <c r="N466" s="38"/>
      <c r="O466" s="39"/>
      <c r="P466" s="47"/>
      <c r="Q466" s="48"/>
      <c r="R466" s="41"/>
      <c r="T466" s="42"/>
      <c r="U466" s="44"/>
      <c r="V466" s="42" t="str">
        <f>IF(NOTA[[#This Row],[HARGA/ CTN]]="",NOTA[[#This Row],[JUMLAH_H]],NOTA[[#This Row],[HARGA/ CTN]]*IF(NOTA[[#This Row],[C]]="",0,NOTA[[#This Row],[C]]))</f>
        <v/>
      </c>
      <c r="W466" s="42" t="str">
        <f>IF(NOTA[[#This Row],[JUMLAH]]="","",NOTA[[#This Row],[JUMLAH]]*NOTA[[#This Row],[Column6]])</f>
        <v/>
      </c>
      <c r="X466" s="42" t="str">
        <f>IF(NOTA[[#This Row],[JUMLAH]]="","",(NOTA[[#This Row],[JUMLAH]]-NOTA[[#This Row],[DISC 1-]])*NOTA[[#This Row],[Column7]])</f>
        <v/>
      </c>
      <c r="Y466" s="42" t="str">
        <f>IF(NOTA[[#This Row],[JUMLAH]]="","",(NOTA[[#This Row],[JUMLAH]]-NOTA[[#This Row],[DISC 1-]]-NOTA[[#This Row],[DISC 2-]])*NOTA[[#This Row],[Column8]])</f>
        <v/>
      </c>
      <c r="Z466" s="42" t="str">
        <f>IF(NOTA[[#This Row],[JUMLAH]]="","",NOTA[[#This Row],[DISC 1-]]+NOTA[[#This Row],[DISC 2-]]+NOTA[[#This Row],[DISC 3-]])</f>
        <v/>
      </c>
      <c r="AA466" s="42" t="str">
        <f>IF(NOTA[[#This Row],[JUMLAH]]="","",NOTA[[#This Row],[JUMLAH]]-NOTA[[#This Row],[DISC]])</f>
        <v/>
      </c>
      <c r="AB466" s="42"/>
      <c r="AC4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42" t="str">
        <f>IF(OR(NOTA[[#This Row],[QTY]]="",NOTA[[#This Row],[HARGA SATUAN]]="",),"",NOTA[[#This Row],[QTY]]*NOTA[[#This Row],[HARGA SATUAN]])</f>
        <v/>
      </c>
      <c r="AG466" s="36" t="str">
        <f ca="1">IF(NOTA[[#This Row],[ID_H]]="","",INDEX(NOTA[TANGGAL],MATCH(,INDIRECT(ADDRESS(ROW(NOTA[TANGGAL]),COLUMN(NOTA[TANGGAL]))&amp;":"&amp;ADDRESS(ROW(),COLUMN(NOTA[TANGGAL]))),-1)))</f>
        <v/>
      </c>
      <c r="AH466" s="36" t="str">
        <f ca="1">IF(NOTA[[#This Row],[ID_H]]="","",INDEX(NOTA[TGL.NOTA],MATCH(,INDIRECT(ADDRESS(ROW(NOTA[TGL.NOTA]),COLUMN(NOTA[TGL.NOTA]))&amp;":"&amp;ADDRESS(ROW(),COLUMN(NOTA[TGL.NOTA]))),-1)))</f>
        <v/>
      </c>
      <c r="AI466" s="36" t="str">
        <f ca="1">IF(NOTA[[#This Row],[ID_H]]="","",INDEX(NOTA[NO.NOTA],MATCH(NOTA[[#This Row],[ID_H]],NOTA[ID_H],0)))</f>
        <v/>
      </c>
      <c r="AJ466" s="38" t="str">
        <f ca="1">IF(NOTA[[#This Row],[NAMA BARANG]]="","",INDEX(NOTA[SUPPLIER],MATCH(,INDIRECT(ADDRESS(ROW(NOTA[ID]),COLUMN(NOTA[ID]))&amp;":"&amp;ADDRESS(ROW(),COLUMN(NOTA[ID]))),-1)))</f>
        <v/>
      </c>
      <c r="AK466" s="38" t="str">
        <f ca="1">IF(NOTA[[#This Row],[ID_H]]="","",IF(NOTA[[#This Row],[FAKTUR]]="",INDIRECT(ADDRESS(ROW()-1,COLUMN())),NOTA[[#This Row],[FAKTUR]]))</f>
        <v/>
      </c>
      <c r="AL466" s="35" t="str">
        <f ca="1">IF(NOTA[[#This Row],[ID]]="","",COUNTIF(NOTA[ID_H],NOTA[[#This Row],[ID_H]]))</f>
        <v/>
      </c>
      <c r="AM466" s="35" t="str">
        <f ca="1">IF(NOTA[[#This Row],[TGL.NOTA]]="",IF(NOTA[[#This Row],[SUPPLIER_H]]="","",AM465),MONTH(NOTA[[#This Row],[TGL.NOTA]]))</f>
        <v/>
      </c>
      <c r="AN4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6" s="35" t="str">
        <f>IF(NOTA[[#This Row],[CONCAT1]]="","",MATCH(NOTA[[#This Row],[CONCAT1]],[3]!db[NB NOTA_C],0))</f>
        <v/>
      </c>
      <c r="AS466" s="35" t="str">
        <f>IF(NOTA[[#This Row],[Column5]]="","",TRUE)</f>
        <v/>
      </c>
      <c r="AT466" s="35" t="str">
        <f ca="1">IF(NOTA[[#This Row],[ID_H]]="","",IF(NOTA[[#This Row],[Column3]]=TRUE,NOTA[[#This Row],[Column5]],INDEX([3]!db[QTY/ CTN],NOTA[[#This Row],[//DB]])))</f>
        <v/>
      </c>
      <c r="AU4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6" s="35" t="str">
        <f ca="1">IF(NOTA[[#This Row],[ID_H]]="","",MATCH(NOTA[[#This Row],[NB NOTA_C_QTY]],[3]!db[NB NOTA_C_QTY+F],0))</f>
        <v/>
      </c>
      <c r="AW466" s="43" t="str">
        <f ca="1">IF(NOTA[[#This Row],[NB NOTA_C_QTY]]="","",ROW()-2)</f>
        <v/>
      </c>
    </row>
    <row r="467" spans="1:49" ht="20.100000000000001" customHeight="1">
      <c r="A4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5" t="str">
        <f ca="1">IF(NOTA[[#This Row],[NAMA BARANG]]="","",INDEX(NOTA[ID],MATCH(,INDIRECT(ADDRESS(ROW(NOTA[ID]),COLUMN(NOTA[ID]))&amp;":"&amp;ADDRESS(ROW(),COLUMN(NOTA[ID]))),-1)))</f>
        <v/>
      </c>
      <c r="C467" s="45"/>
      <c r="F467" s="46"/>
      <c r="G467" s="35"/>
      <c r="H467" s="36"/>
      <c r="I467" s="35"/>
      <c r="K467" s="37"/>
      <c r="L467" s="35"/>
      <c r="N467" s="38"/>
      <c r="O467" s="39"/>
      <c r="P467" s="47"/>
      <c r="Q467" s="48"/>
      <c r="R467" s="41"/>
      <c r="T467" s="42"/>
      <c r="U467" s="44"/>
      <c r="V467" s="42" t="str">
        <f>IF(NOTA[[#This Row],[HARGA/ CTN]]="",NOTA[[#This Row],[JUMLAH_H]],NOTA[[#This Row],[HARGA/ CTN]]*IF(NOTA[[#This Row],[C]]="",0,NOTA[[#This Row],[C]]))</f>
        <v/>
      </c>
      <c r="W467" s="42" t="str">
        <f>IF(NOTA[[#This Row],[JUMLAH]]="","",NOTA[[#This Row],[JUMLAH]]*NOTA[[#This Row],[Column6]])</f>
        <v/>
      </c>
      <c r="X467" s="42" t="str">
        <f>IF(NOTA[[#This Row],[JUMLAH]]="","",(NOTA[[#This Row],[JUMLAH]]-NOTA[[#This Row],[DISC 1-]])*NOTA[[#This Row],[Column7]])</f>
        <v/>
      </c>
      <c r="Y467" s="42" t="str">
        <f>IF(NOTA[[#This Row],[JUMLAH]]="","",(NOTA[[#This Row],[JUMLAH]]-NOTA[[#This Row],[DISC 1-]]-NOTA[[#This Row],[DISC 2-]])*NOTA[[#This Row],[Column8]])</f>
        <v/>
      </c>
      <c r="Z467" s="42" t="str">
        <f>IF(NOTA[[#This Row],[JUMLAH]]="","",NOTA[[#This Row],[DISC 1-]]+NOTA[[#This Row],[DISC 2-]]+NOTA[[#This Row],[DISC 3-]])</f>
        <v/>
      </c>
      <c r="AA467" s="42" t="str">
        <f>IF(NOTA[[#This Row],[JUMLAH]]="","",NOTA[[#This Row],[JUMLAH]]-NOTA[[#This Row],[DISC]])</f>
        <v/>
      </c>
      <c r="AB467" s="42"/>
      <c r="AC4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42" t="str">
        <f>IF(OR(NOTA[[#This Row],[QTY]]="",NOTA[[#This Row],[HARGA SATUAN]]="",),"",NOTA[[#This Row],[QTY]]*NOTA[[#This Row],[HARGA SATUAN]])</f>
        <v/>
      </c>
      <c r="AG467" s="36" t="str">
        <f ca="1">IF(NOTA[[#This Row],[ID_H]]="","",INDEX(NOTA[TANGGAL],MATCH(,INDIRECT(ADDRESS(ROW(NOTA[TANGGAL]),COLUMN(NOTA[TANGGAL]))&amp;":"&amp;ADDRESS(ROW(),COLUMN(NOTA[TANGGAL]))),-1)))</f>
        <v/>
      </c>
      <c r="AH467" s="36" t="str">
        <f ca="1">IF(NOTA[[#This Row],[ID_H]]="","",INDEX(NOTA[TGL.NOTA],MATCH(,INDIRECT(ADDRESS(ROW(NOTA[TGL.NOTA]),COLUMN(NOTA[TGL.NOTA]))&amp;":"&amp;ADDRESS(ROW(),COLUMN(NOTA[TGL.NOTA]))),-1)))</f>
        <v/>
      </c>
      <c r="AI467" s="36" t="str">
        <f ca="1">IF(NOTA[[#This Row],[ID_H]]="","",INDEX(NOTA[NO.NOTA],MATCH(NOTA[[#This Row],[ID_H]],NOTA[ID_H],0)))</f>
        <v/>
      </c>
      <c r="AJ467" s="38" t="str">
        <f ca="1">IF(NOTA[[#This Row],[NAMA BARANG]]="","",INDEX(NOTA[SUPPLIER],MATCH(,INDIRECT(ADDRESS(ROW(NOTA[ID]),COLUMN(NOTA[ID]))&amp;":"&amp;ADDRESS(ROW(),COLUMN(NOTA[ID]))),-1)))</f>
        <v/>
      </c>
      <c r="AK467" s="38" t="str">
        <f ca="1">IF(NOTA[[#This Row],[ID_H]]="","",IF(NOTA[[#This Row],[FAKTUR]]="",INDIRECT(ADDRESS(ROW()-1,COLUMN())),NOTA[[#This Row],[FAKTUR]]))</f>
        <v/>
      </c>
      <c r="AL467" s="35" t="str">
        <f ca="1">IF(NOTA[[#This Row],[ID]]="","",COUNTIF(NOTA[ID_H],NOTA[[#This Row],[ID_H]]))</f>
        <v/>
      </c>
      <c r="AM467" s="35" t="str">
        <f ca="1">IF(NOTA[[#This Row],[TGL.NOTA]]="",IF(NOTA[[#This Row],[SUPPLIER_H]]="","",AM466),MONTH(NOTA[[#This Row],[TGL.NOTA]]))</f>
        <v/>
      </c>
      <c r="AN4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7" s="35" t="str">
        <f>IF(NOTA[[#This Row],[CONCAT1]]="","",MATCH(NOTA[[#This Row],[CONCAT1]],[3]!db[NB NOTA_C],0))</f>
        <v/>
      </c>
      <c r="AS467" s="35" t="str">
        <f>IF(NOTA[[#This Row],[Column5]]="","",TRUE)</f>
        <v/>
      </c>
      <c r="AT467" s="35" t="str">
        <f ca="1">IF(NOTA[[#This Row],[ID_H]]="","",IF(NOTA[[#This Row],[Column3]]=TRUE,NOTA[[#This Row],[Column5]],INDEX([3]!db[QTY/ CTN],NOTA[[#This Row],[//DB]])))</f>
        <v/>
      </c>
      <c r="AU4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7" s="35" t="str">
        <f ca="1">IF(NOTA[[#This Row],[ID_H]]="","",MATCH(NOTA[[#This Row],[NB NOTA_C_QTY]],[3]!db[NB NOTA_C_QTY+F],0))</f>
        <v/>
      </c>
      <c r="AW467" s="43" t="str">
        <f ca="1">IF(NOTA[[#This Row],[NB NOTA_C_QTY]]="","",ROW()-2)</f>
        <v/>
      </c>
    </row>
    <row r="468" spans="1:49" ht="20.100000000000001" customHeight="1">
      <c r="A4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5" t="str">
        <f ca="1">IF(NOTA[[#This Row],[NAMA BARANG]]="","",INDEX(NOTA[ID],MATCH(,INDIRECT(ADDRESS(ROW(NOTA[ID]),COLUMN(NOTA[ID]))&amp;":"&amp;ADDRESS(ROW(),COLUMN(NOTA[ID]))),-1)))</f>
        <v/>
      </c>
      <c r="C468" s="45"/>
      <c r="F468" s="46"/>
      <c r="G468" s="35"/>
      <c r="H468" s="36"/>
      <c r="I468" s="35"/>
      <c r="K468" s="37"/>
      <c r="L468" s="35"/>
      <c r="N468" s="38"/>
      <c r="O468" s="39"/>
      <c r="P468" s="47"/>
      <c r="Q468" s="48"/>
      <c r="R468" s="41"/>
      <c r="T468" s="42"/>
      <c r="U468" s="44"/>
      <c r="V468" s="42" t="str">
        <f>IF(NOTA[[#This Row],[HARGA/ CTN]]="",NOTA[[#This Row],[JUMLAH_H]],NOTA[[#This Row],[HARGA/ CTN]]*IF(NOTA[[#This Row],[C]]="",0,NOTA[[#This Row],[C]]))</f>
        <v/>
      </c>
      <c r="W468" s="42" t="str">
        <f>IF(NOTA[[#This Row],[JUMLAH]]="","",NOTA[[#This Row],[JUMLAH]]*NOTA[[#This Row],[Column6]])</f>
        <v/>
      </c>
      <c r="X468" s="42" t="str">
        <f>IF(NOTA[[#This Row],[JUMLAH]]="","",(NOTA[[#This Row],[JUMLAH]]-NOTA[[#This Row],[DISC 1-]])*NOTA[[#This Row],[Column7]])</f>
        <v/>
      </c>
      <c r="Y468" s="42" t="str">
        <f>IF(NOTA[[#This Row],[JUMLAH]]="","",(NOTA[[#This Row],[JUMLAH]]-NOTA[[#This Row],[DISC 1-]]-NOTA[[#This Row],[DISC 2-]])*NOTA[[#This Row],[Column8]])</f>
        <v/>
      </c>
      <c r="Z468" s="42" t="str">
        <f>IF(NOTA[[#This Row],[JUMLAH]]="","",NOTA[[#This Row],[DISC 1-]]+NOTA[[#This Row],[DISC 2-]]+NOTA[[#This Row],[DISC 3-]])</f>
        <v/>
      </c>
      <c r="AA468" s="42" t="str">
        <f>IF(NOTA[[#This Row],[JUMLAH]]="","",NOTA[[#This Row],[JUMLAH]]-NOTA[[#This Row],[DISC]])</f>
        <v/>
      </c>
      <c r="AB468" s="42"/>
      <c r="AC4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42" t="str">
        <f>IF(OR(NOTA[[#This Row],[QTY]]="",NOTA[[#This Row],[HARGA SATUAN]]="",),"",NOTA[[#This Row],[QTY]]*NOTA[[#This Row],[HARGA SATUAN]])</f>
        <v/>
      </c>
      <c r="AG468" s="36" t="str">
        <f ca="1">IF(NOTA[[#This Row],[ID_H]]="","",INDEX(NOTA[TANGGAL],MATCH(,INDIRECT(ADDRESS(ROW(NOTA[TANGGAL]),COLUMN(NOTA[TANGGAL]))&amp;":"&amp;ADDRESS(ROW(),COLUMN(NOTA[TANGGAL]))),-1)))</f>
        <v/>
      </c>
      <c r="AH468" s="36" t="str">
        <f ca="1">IF(NOTA[[#This Row],[ID_H]]="","",INDEX(NOTA[TGL.NOTA],MATCH(,INDIRECT(ADDRESS(ROW(NOTA[TGL.NOTA]),COLUMN(NOTA[TGL.NOTA]))&amp;":"&amp;ADDRESS(ROW(),COLUMN(NOTA[TGL.NOTA]))),-1)))</f>
        <v/>
      </c>
      <c r="AI468" s="36" t="str">
        <f ca="1">IF(NOTA[[#This Row],[ID_H]]="","",INDEX(NOTA[NO.NOTA],MATCH(NOTA[[#This Row],[ID_H]],NOTA[ID_H],0)))</f>
        <v/>
      </c>
      <c r="AJ468" s="38" t="str">
        <f ca="1">IF(NOTA[[#This Row],[NAMA BARANG]]="","",INDEX(NOTA[SUPPLIER],MATCH(,INDIRECT(ADDRESS(ROW(NOTA[ID]),COLUMN(NOTA[ID]))&amp;":"&amp;ADDRESS(ROW(),COLUMN(NOTA[ID]))),-1)))</f>
        <v/>
      </c>
      <c r="AK468" s="38" t="str">
        <f ca="1">IF(NOTA[[#This Row],[ID_H]]="","",IF(NOTA[[#This Row],[FAKTUR]]="",INDIRECT(ADDRESS(ROW()-1,COLUMN())),NOTA[[#This Row],[FAKTUR]]))</f>
        <v/>
      </c>
      <c r="AL468" s="35" t="str">
        <f ca="1">IF(NOTA[[#This Row],[ID]]="","",COUNTIF(NOTA[ID_H],NOTA[[#This Row],[ID_H]]))</f>
        <v/>
      </c>
      <c r="AM468" s="35" t="str">
        <f ca="1">IF(NOTA[[#This Row],[TGL.NOTA]]="",IF(NOTA[[#This Row],[SUPPLIER_H]]="","",AM467),MONTH(NOTA[[#This Row],[TGL.NOTA]]))</f>
        <v/>
      </c>
      <c r="AN4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8" s="35" t="str">
        <f>IF(NOTA[[#This Row],[CONCAT1]]="","",MATCH(NOTA[[#This Row],[CONCAT1]],[3]!db[NB NOTA_C],0))</f>
        <v/>
      </c>
      <c r="AS468" s="35" t="str">
        <f>IF(NOTA[[#This Row],[Column5]]="","",TRUE)</f>
        <v/>
      </c>
      <c r="AT468" s="35" t="str">
        <f ca="1">IF(NOTA[[#This Row],[ID_H]]="","",IF(NOTA[[#This Row],[Column3]]=TRUE,NOTA[[#This Row],[Column5]],INDEX([3]!db[QTY/ CTN],NOTA[[#This Row],[//DB]])))</f>
        <v/>
      </c>
      <c r="AU4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8" s="35" t="str">
        <f ca="1">IF(NOTA[[#This Row],[ID_H]]="","",MATCH(NOTA[[#This Row],[NB NOTA_C_QTY]],[3]!db[NB NOTA_C_QTY+F],0))</f>
        <v/>
      </c>
      <c r="AW468" s="43" t="str">
        <f ca="1">IF(NOTA[[#This Row],[NB NOTA_C_QTY]]="","",ROW()-2)</f>
        <v/>
      </c>
    </row>
    <row r="469" spans="1:49" ht="20.100000000000001" customHeight="1">
      <c r="A4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5" t="str">
        <f ca="1">IF(NOTA[[#This Row],[NAMA BARANG]]="","",INDEX(NOTA[ID],MATCH(,INDIRECT(ADDRESS(ROW(NOTA[ID]),COLUMN(NOTA[ID]))&amp;":"&amp;ADDRESS(ROW(),COLUMN(NOTA[ID]))),-1)))</f>
        <v/>
      </c>
      <c r="C469" s="45"/>
      <c r="F469" s="46"/>
      <c r="G469" s="35"/>
      <c r="H469" s="36"/>
      <c r="I469" s="35"/>
      <c r="K469" s="37"/>
      <c r="L469" s="35"/>
      <c r="N469" s="38"/>
      <c r="O469" s="39"/>
      <c r="P469" s="47"/>
      <c r="Q469" s="48"/>
      <c r="R469" s="41"/>
      <c r="T469" s="42"/>
      <c r="U469" s="44"/>
      <c r="V469" s="42" t="str">
        <f>IF(NOTA[[#This Row],[HARGA/ CTN]]="",NOTA[[#This Row],[JUMLAH_H]],NOTA[[#This Row],[HARGA/ CTN]]*IF(NOTA[[#This Row],[C]]="",0,NOTA[[#This Row],[C]]))</f>
        <v/>
      </c>
      <c r="W469" s="42" t="str">
        <f>IF(NOTA[[#This Row],[JUMLAH]]="","",NOTA[[#This Row],[JUMLAH]]*NOTA[[#This Row],[Column6]])</f>
        <v/>
      </c>
      <c r="X469" s="42" t="str">
        <f>IF(NOTA[[#This Row],[JUMLAH]]="","",(NOTA[[#This Row],[JUMLAH]]-NOTA[[#This Row],[DISC 1-]])*NOTA[[#This Row],[Column7]])</f>
        <v/>
      </c>
      <c r="Y469" s="42" t="str">
        <f>IF(NOTA[[#This Row],[JUMLAH]]="","",(NOTA[[#This Row],[JUMLAH]]-NOTA[[#This Row],[DISC 1-]]-NOTA[[#This Row],[DISC 2-]])*NOTA[[#This Row],[Column8]])</f>
        <v/>
      </c>
      <c r="Z469" s="42" t="str">
        <f>IF(NOTA[[#This Row],[JUMLAH]]="","",NOTA[[#This Row],[DISC 1-]]+NOTA[[#This Row],[DISC 2-]]+NOTA[[#This Row],[DISC 3-]])</f>
        <v/>
      </c>
      <c r="AA469" s="42" t="str">
        <f>IF(NOTA[[#This Row],[JUMLAH]]="","",NOTA[[#This Row],[JUMLAH]]-NOTA[[#This Row],[DISC]])</f>
        <v/>
      </c>
      <c r="AB469" s="42"/>
      <c r="AC4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42" t="str">
        <f>IF(OR(NOTA[[#This Row],[QTY]]="",NOTA[[#This Row],[HARGA SATUAN]]="",),"",NOTA[[#This Row],[QTY]]*NOTA[[#This Row],[HARGA SATUAN]])</f>
        <v/>
      </c>
      <c r="AG469" s="36" t="str">
        <f ca="1">IF(NOTA[[#This Row],[ID_H]]="","",INDEX(NOTA[TANGGAL],MATCH(,INDIRECT(ADDRESS(ROW(NOTA[TANGGAL]),COLUMN(NOTA[TANGGAL]))&amp;":"&amp;ADDRESS(ROW(),COLUMN(NOTA[TANGGAL]))),-1)))</f>
        <v/>
      </c>
      <c r="AH469" s="36" t="str">
        <f ca="1">IF(NOTA[[#This Row],[ID_H]]="","",INDEX(NOTA[TGL.NOTA],MATCH(,INDIRECT(ADDRESS(ROW(NOTA[TGL.NOTA]),COLUMN(NOTA[TGL.NOTA]))&amp;":"&amp;ADDRESS(ROW(),COLUMN(NOTA[TGL.NOTA]))),-1)))</f>
        <v/>
      </c>
      <c r="AI469" s="36" t="str">
        <f ca="1">IF(NOTA[[#This Row],[ID_H]]="","",INDEX(NOTA[NO.NOTA],MATCH(NOTA[[#This Row],[ID_H]],NOTA[ID_H],0)))</f>
        <v/>
      </c>
      <c r="AJ469" s="38" t="str">
        <f ca="1">IF(NOTA[[#This Row],[NAMA BARANG]]="","",INDEX(NOTA[SUPPLIER],MATCH(,INDIRECT(ADDRESS(ROW(NOTA[ID]),COLUMN(NOTA[ID]))&amp;":"&amp;ADDRESS(ROW(),COLUMN(NOTA[ID]))),-1)))</f>
        <v/>
      </c>
      <c r="AK469" s="38" t="str">
        <f ca="1">IF(NOTA[[#This Row],[ID_H]]="","",IF(NOTA[[#This Row],[FAKTUR]]="",INDIRECT(ADDRESS(ROW()-1,COLUMN())),NOTA[[#This Row],[FAKTUR]]))</f>
        <v/>
      </c>
      <c r="AL469" s="35" t="str">
        <f ca="1">IF(NOTA[[#This Row],[ID]]="","",COUNTIF(NOTA[ID_H],NOTA[[#This Row],[ID_H]]))</f>
        <v/>
      </c>
      <c r="AM469" s="35" t="str">
        <f ca="1">IF(NOTA[[#This Row],[TGL.NOTA]]="",IF(NOTA[[#This Row],[SUPPLIER_H]]="","",AM468),MONTH(NOTA[[#This Row],[TGL.NOTA]]))</f>
        <v/>
      </c>
      <c r="AN4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9" s="35" t="str">
        <f>IF(NOTA[[#This Row],[CONCAT1]]="","",MATCH(NOTA[[#This Row],[CONCAT1]],[3]!db[NB NOTA_C],0))</f>
        <v/>
      </c>
      <c r="AS469" s="35" t="str">
        <f>IF(NOTA[[#This Row],[Column5]]="","",TRUE)</f>
        <v/>
      </c>
      <c r="AT469" s="35" t="str">
        <f ca="1">IF(NOTA[[#This Row],[ID_H]]="","",IF(NOTA[[#This Row],[Column3]]=TRUE,NOTA[[#This Row],[Column5]],INDEX([3]!db[QTY/ CTN],NOTA[[#This Row],[//DB]])))</f>
        <v/>
      </c>
      <c r="AU4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69" s="35" t="str">
        <f ca="1">IF(NOTA[[#This Row],[ID_H]]="","",MATCH(NOTA[[#This Row],[NB NOTA_C_QTY]],[3]!db[NB NOTA_C_QTY+F],0))</f>
        <v/>
      </c>
      <c r="AW469" s="43" t="str">
        <f ca="1">IF(NOTA[[#This Row],[NB NOTA_C_QTY]]="","",ROW()-2)</f>
        <v/>
      </c>
    </row>
    <row r="470" spans="1:49" ht="20.100000000000001" customHeight="1">
      <c r="A4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5" t="str">
        <f ca="1">IF(NOTA[[#This Row],[NAMA BARANG]]="","",INDEX(NOTA[ID],MATCH(,INDIRECT(ADDRESS(ROW(NOTA[ID]),COLUMN(NOTA[ID]))&amp;":"&amp;ADDRESS(ROW(),COLUMN(NOTA[ID]))),-1)))</f>
        <v/>
      </c>
      <c r="C470" s="45"/>
      <c r="F470" s="46"/>
      <c r="G470" s="35"/>
      <c r="H470" s="36"/>
      <c r="I470" s="35"/>
      <c r="K470" s="37"/>
      <c r="L470" s="35"/>
      <c r="N470" s="38"/>
      <c r="O470" s="39"/>
      <c r="P470" s="47"/>
      <c r="Q470" s="48"/>
      <c r="R470" s="41"/>
      <c r="T470" s="42"/>
      <c r="U470" s="44"/>
      <c r="V470" s="42" t="str">
        <f>IF(NOTA[[#This Row],[HARGA/ CTN]]="",NOTA[[#This Row],[JUMLAH_H]],NOTA[[#This Row],[HARGA/ CTN]]*IF(NOTA[[#This Row],[C]]="",0,NOTA[[#This Row],[C]]))</f>
        <v/>
      </c>
      <c r="W470" s="42" t="str">
        <f>IF(NOTA[[#This Row],[JUMLAH]]="","",NOTA[[#This Row],[JUMLAH]]*NOTA[[#This Row],[Column6]])</f>
        <v/>
      </c>
      <c r="X470" s="42" t="str">
        <f>IF(NOTA[[#This Row],[JUMLAH]]="","",(NOTA[[#This Row],[JUMLAH]]-NOTA[[#This Row],[DISC 1-]])*NOTA[[#This Row],[Column7]])</f>
        <v/>
      </c>
      <c r="Y470" s="42" t="str">
        <f>IF(NOTA[[#This Row],[JUMLAH]]="","",(NOTA[[#This Row],[JUMLAH]]-NOTA[[#This Row],[DISC 1-]]-NOTA[[#This Row],[DISC 2-]])*NOTA[[#This Row],[Column8]])</f>
        <v/>
      </c>
      <c r="Z470" s="42" t="str">
        <f>IF(NOTA[[#This Row],[JUMLAH]]="","",NOTA[[#This Row],[DISC 1-]]+NOTA[[#This Row],[DISC 2-]]+NOTA[[#This Row],[DISC 3-]])</f>
        <v/>
      </c>
      <c r="AA470" s="42" t="str">
        <f>IF(NOTA[[#This Row],[JUMLAH]]="","",NOTA[[#This Row],[JUMLAH]]-NOTA[[#This Row],[DISC]])</f>
        <v/>
      </c>
      <c r="AB470" s="42"/>
      <c r="AC4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42" t="str">
        <f>IF(OR(NOTA[[#This Row],[QTY]]="",NOTA[[#This Row],[HARGA SATUAN]]="",),"",NOTA[[#This Row],[QTY]]*NOTA[[#This Row],[HARGA SATUAN]])</f>
        <v/>
      </c>
      <c r="AG470" s="36" t="str">
        <f ca="1">IF(NOTA[[#This Row],[ID_H]]="","",INDEX(NOTA[TANGGAL],MATCH(,INDIRECT(ADDRESS(ROW(NOTA[TANGGAL]),COLUMN(NOTA[TANGGAL]))&amp;":"&amp;ADDRESS(ROW(),COLUMN(NOTA[TANGGAL]))),-1)))</f>
        <v/>
      </c>
      <c r="AH470" s="36" t="str">
        <f ca="1">IF(NOTA[[#This Row],[ID_H]]="","",INDEX(NOTA[TGL.NOTA],MATCH(,INDIRECT(ADDRESS(ROW(NOTA[TGL.NOTA]),COLUMN(NOTA[TGL.NOTA]))&amp;":"&amp;ADDRESS(ROW(),COLUMN(NOTA[TGL.NOTA]))),-1)))</f>
        <v/>
      </c>
      <c r="AI470" s="36" t="str">
        <f ca="1">IF(NOTA[[#This Row],[ID_H]]="","",INDEX(NOTA[NO.NOTA],MATCH(NOTA[[#This Row],[ID_H]],NOTA[ID_H],0)))</f>
        <v/>
      </c>
      <c r="AJ470" s="38" t="str">
        <f ca="1">IF(NOTA[[#This Row],[NAMA BARANG]]="","",INDEX(NOTA[SUPPLIER],MATCH(,INDIRECT(ADDRESS(ROW(NOTA[ID]),COLUMN(NOTA[ID]))&amp;":"&amp;ADDRESS(ROW(),COLUMN(NOTA[ID]))),-1)))</f>
        <v/>
      </c>
      <c r="AK470" s="38" t="str">
        <f ca="1">IF(NOTA[[#This Row],[ID_H]]="","",IF(NOTA[[#This Row],[FAKTUR]]="",INDIRECT(ADDRESS(ROW()-1,COLUMN())),NOTA[[#This Row],[FAKTUR]]))</f>
        <v/>
      </c>
      <c r="AL470" s="35" t="str">
        <f ca="1">IF(NOTA[[#This Row],[ID]]="","",COUNTIF(NOTA[ID_H],NOTA[[#This Row],[ID_H]]))</f>
        <v/>
      </c>
      <c r="AM470" s="35" t="str">
        <f ca="1">IF(NOTA[[#This Row],[TGL.NOTA]]="",IF(NOTA[[#This Row],[SUPPLIER_H]]="","",AM469),MONTH(NOTA[[#This Row],[TGL.NOTA]]))</f>
        <v/>
      </c>
      <c r="AN4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0" s="35" t="str">
        <f>IF(NOTA[[#This Row],[CONCAT1]]="","",MATCH(NOTA[[#This Row],[CONCAT1]],[3]!db[NB NOTA_C],0))</f>
        <v/>
      </c>
      <c r="AS470" s="35" t="str">
        <f>IF(NOTA[[#This Row],[Column5]]="","",TRUE)</f>
        <v/>
      </c>
      <c r="AT470" s="35" t="str">
        <f ca="1">IF(NOTA[[#This Row],[ID_H]]="","",IF(NOTA[[#This Row],[Column3]]=TRUE,NOTA[[#This Row],[Column5]],INDEX([3]!db[QTY/ CTN],NOTA[[#This Row],[//DB]])))</f>
        <v/>
      </c>
      <c r="AU4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0" s="35" t="str">
        <f ca="1">IF(NOTA[[#This Row],[ID_H]]="","",MATCH(NOTA[[#This Row],[NB NOTA_C_QTY]],[3]!db[NB NOTA_C_QTY+F],0))</f>
        <v/>
      </c>
      <c r="AW470" s="43" t="str">
        <f ca="1">IF(NOTA[[#This Row],[NB NOTA_C_QTY]]="","",ROW()-2)</f>
        <v/>
      </c>
    </row>
    <row r="471" spans="1:49" ht="20.100000000000001" customHeight="1">
      <c r="A4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5" t="str">
        <f ca="1">IF(NOTA[[#This Row],[NAMA BARANG]]="","",INDEX(NOTA[ID],MATCH(,INDIRECT(ADDRESS(ROW(NOTA[ID]),COLUMN(NOTA[ID]))&amp;":"&amp;ADDRESS(ROW(),COLUMN(NOTA[ID]))),-1)))</f>
        <v/>
      </c>
      <c r="C471" s="45"/>
      <c r="F471" s="46"/>
      <c r="G471" s="35"/>
      <c r="H471" s="36"/>
      <c r="I471" s="35"/>
      <c r="K471" s="37"/>
      <c r="L471" s="35"/>
      <c r="N471" s="38"/>
      <c r="O471" s="39"/>
      <c r="P471" s="47"/>
      <c r="Q471" s="48"/>
      <c r="R471" s="41"/>
      <c r="T471" s="42"/>
      <c r="U471" s="44"/>
      <c r="V471" s="42" t="str">
        <f>IF(NOTA[[#This Row],[HARGA/ CTN]]="",NOTA[[#This Row],[JUMLAH_H]],NOTA[[#This Row],[HARGA/ CTN]]*IF(NOTA[[#This Row],[C]]="",0,NOTA[[#This Row],[C]]))</f>
        <v/>
      </c>
      <c r="W471" s="42" t="str">
        <f>IF(NOTA[[#This Row],[JUMLAH]]="","",NOTA[[#This Row],[JUMLAH]]*NOTA[[#This Row],[Column6]])</f>
        <v/>
      </c>
      <c r="X471" s="42" t="str">
        <f>IF(NOTA[[#This Row],[JUMLAH]]="","",(NOTA[[#This Row],[JUMLAH]]-NOTA[[#This Row],[DISC 1-]])*NOTA[[#This Row],[Column7]])</f>
        <v/>
      </c>
      <c r="Y471" s="42" t="str">
        <f>IF(NOTA[[#This Row],[JUMLAH]]="","",(NOTA[[#This Row],[JUMLAH]]-NOTA[[#This Row],[DISC 1-]]-NOTA[[#This Row],[DISC 2-]])*NOTA[[#This Row],[Column8]])</f>
        <v/>
      </c>
      <c r="Z471" s="42" t="str">
        <f>IF(NOTA[[#This Row],[JUMLAH]]="","",NOTA[[#This Row],[DISC 1-]]+NOTA[[#This Row],[DISC 2-]]+NOTA[[#This Row],[DISC 3-]])</f>
        <v/>
      </c>
      <c r="AA471" s="42" t="str">
        <f>IF(NOTA[[#This Row],[JUMLAH]]="","",NOTA[[#This Row],[JUMLAH]]-NOTA[[#This Row],[DISC]])</f>
        <v/>
      </c>
      <c r="AB471" s="42"/>
      <c r="AC4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42" t="str">
        <f>IF(OR(NOTA[[#This Row],[QTY]]="",NOTA[[#This Row],[HARGA SATUAN]]="",),"",NOTA[[#This Row],[QTY]]*NOTA[[#This Row],[HARGA SATUAN]])</f>
        <v/>
      </c>
      <c r="AG471" s="36" t="str">
        <f ca="1">IF(NOTA[[#This Row],[ID_H]]="","",INDEX(NOTA[TANGGAL],MATCH(,INDIRECT(ADDRESS(ROW(NOTA[TANGGAL]),COLUMN(NOTA[TANGGAL]))&amp;":"&amp;ADDRESS(ROW(),COLUMN(NOTA[TANGGAL]))),-1)))</f>
        <v/>
      </c>
      <c r="AH471" s="36" t="str">
        <f ca="1">IF(NOTA[[#This Row],[ID_H]]="","",INDEX(NOTA[TGL.NOTA],MATCH(,INDIRECT(ADDRESS(ROW(NOTA[TGL.NOTA]),COLUMN(NOTA[TGL.NOTA]))&amp;":"&amp;ADDRESS(ROW(),COLUMN(NOTA[TGL.NOTA]))),-1)))</f>
        <v/>
      </c>
      <c r="AI471" s="36" t="str">
        <f ca="1">IF(NOTA[[#This Row],[ID_H]]="","",INDEX(NOTA[NO.NOTA],MATCH(NOTA[[#This Row],[ID_H]],NOTA[ID_H],0)))</f>
        <v/>
      </c>
      <c r="AJ471" s="38" t="str">
        <f ca="1">IF(NOTA[[#This Row],[NAMA BARANG]]="","",INDEX(NOTA[SUPPLIER],MATCH(,INDIRECT(ADDRESS(ROW(NOTA[ID]),COLUMN(NOTA[ID]))&amp;":"&amp;ADDRESS(ROW(),COLUMN(NOTA[ID]))),-1)))</f>
        <v/>
      </c>
      <c r="AK471" s="38" t="str">
        <f ca="1">IF(NOTA[[#This Row],[ID_H]]="","",IF(NOTA[[#This Row],[FAKTUR]]="",INDIRECT(ADDRESS(ROW()-1,COLUMN())),NOTA[[#This Row],[FAKTUR]]))</f>
        <v/>
      </c>
      <c r="AL471" s="35" t="str">
        <f ca="1">IF(NOTA[[#This Row],[ID]]="","",COUNTIF(NOTA[ID_H],NOTA[[#This Row],[ID_H]]))</f>
        <v/>
      </c>
      <c r="AM471" s="35" t="str">
        <f ca="1">IF(NOTA[[#This Row],[TGL.NOTA]]="",IF(NOTA[[#This Row],[SUPPLIER_H]]="","",AM470),MONTH(NOTA[[#This Row],[TGL.NOTA]]))</f>
        <v/>
      </c>
      <c r="AN4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1" s="35" t="str">
        <f>IF(NOTA[[#This Row],[CONCAT1]]="","",MATCH(NOTA[[#This Row],[CONCAT1]],[3]!db[NB NOTA_C],0))</f>
        <v/>
      </c>
      <c r="AS471" s="35" t="str">
        <f>IF(NOTA[[#This Row],[Column5]]="","",TRUE)</f>
        <v/>
      </c>
      <c r="AT471" s="35" t="str">
        <f ca="1">IF(NOTA[[#This Row],[ID_H]]="","",IF(NOTA[[#This Row],[Column3]]=TRUE,NOTA[[#This Row],[Column5]],INDEX([3]!db[QTY/ CTN],NOTA[[#This Row],[//DB]])))</f>
        <v/>
      </c>
      <c r="AU4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1" s="35" t="str">
        <f ca="1">IF(NOTA[[#This Row],[ID_H]]="","",MATCH(NOTA[[#This Row],[NB NOTA_C_QTY]],[3]!db[NB NOTA_C_QTY+F],0))</f>
        <v/>
      </c>
      <c r="AW471" s="43" t="str">
        <f ca="1">IF(NOTA[[#This Row],[NB NOTA_C_QTY]]="","",ROW()-2)</f>
        <v/>
      </c>
    </row>
    <row r="472" spans="1:49" ht="20.100000000000001" customHeight="1">
      <c r="A4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5" t="str">
        <f ca="1">IF(NOTA[[#This Row],[NAMA BARANG]]="","",INDEX(NOTA[ID],MATCH(,INDIRECT(ADDRESS(ROW(NOTA[ID]),COLUMN(NOTA[ID]))&amp;":"&amp;ADDRESS(ROW(),COLUMN(NOTA[ID]))),-1)))</f>
        <v/>
      </c>
      <c r="C472" s="45"/>
      <c r="F472" s="46"/>
      <c r="G472" s="35"/>
      <c r="H472" s="36"/>
      <c r="I472" s="35"/>
      <c r="K472" s="37"/>
      <c r="L472" s="35"/>
      <c r="N472" s="38"/>
      <c r="O472" s="39"/>
      <c r="P472" s="47"/>
      <c r="Q472" s="48"/>
      <c r="R472" s="41"/>
      <c r="T472" s="42"/>
      <c r="U472" s="44"/>
      <c r="V472" s="42" t="str">
        <f>IF(NOTA[[#This Row],[HARGA/ CTN]]="",NOTA[[#This Row],[JUMLAH_H]],NOTA[[#This Row],[HARGA/ CTN]]*IF(NOTA[[#This Row],[C]]="",0,NOTA[[#This Row],[C]]))</f>
        <v/>
      </c>
      <c r="W472" s="42" t="str">
        <f>IF(NOTA[[#This Row],[JUMLAH]]="","",NOTA[[#This Row],[JUMLAH]]*NOTA[[#This Row],[Column6]])</f>
        <v/>
      </c>
      <c r="X472" s="42" t="str">
        <f>IF(NOTA[[#This Row],[JUMLAH]]="","",(NOTA[[#This Row],[JUMLAH]]-NOTA[[#This Row],[DISC 1-]])*NOTA[[#This Row],[Column7]])</f>
        <v/>
      </c>
      <c r="Y472" s="42" t="str">
        <f>IF(NOTA[[#This Row],[JUMLAH]]="","",(NOTA[[#This Row],[JUMLAH]]-NOTA[[#This Row],[DISC 1-]]-NOTA[[#This Row],[DISC 2-]])*NOTA[[#This Row],[Column8]])</f>
        <v/>
      </c>
      <c r="Z472" s="42" t="str">
        <f>IF(NOTA[[#This Row],[JUMLAH]]="","",NOTA[[#This Row],[DISC 1-]]+NOTA[[#This Row],[DISC 2-]]+NOTA[[#This Row],[DISC 3-]])</f>
        <v/>
      </c>
      <c r="AA472" s="42" t="str">
        <f>IF(NOTA[[#This Row],[JUMLAH]]="","",NOTA[[#This Row],[JUMLAH]]-NOTA[[#This Row],[DISC]])</f>
        <v/>
      </c>
      <c r="AB472" s="42"/>
      <c r="AC4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42" t="str">
        <f>IF(OR(NOTA[[#This Row],[QTY]]="",NOTA[[#This Row],[HARGA SATUAN]]="",),"",NOTA[[#This Row],[QTY]]*NOTA[[#This Row],[HARGA SATUAN]])</f>
        <v/>
      </c>
      <c r="AG472" s="36" t="str">
        <f ca="1">IF(NOTA[[#This Row],[ID_H]]="","",INDEX(NOTA[TANGGAL],MATCH(,INDIRECT(ADDRESS(ROW(NOTA[TANGGAL]),COLUMN(NOTA[TANGGAL]))&amp;":"&amp;ADDRESS(ROW(),COLUMN(NOTA[TANGGAL]))),-1)))</f>
        <v/>
      </c>
      <c r="AH472" s="36" t="str">
        <f ca="1">IF(NOTA[[#This Row],[ID_H]]="","",INDEX(NOTA[TGL.NOTA],MATCH(,INDIRECT(ADDRESS(ROW(NOTA[TGL.NOTA]),COLUMN(NOTA[TGL.NOTA]))&amp;":"&amp;ADDRESS(ROW(),COLUMN(NOTA[TGL.NOTA]))),-1)))</f>
        <v/>
      </c>
      <c r="AI472" s="36" t="str">
        <f ca="1">IF(NOTA[[#This Row],[ID_H]]="","",INDEX(NOTA[NO.NOTA],MATCH(NOTA[[#This Row],[ID_H]],NOTA[ID_H],0)))</f>
        <v/>
      </c>
      <c r="AJ472" s="38" t="str">
        <f ca="1">IF(NOTA[[#This Row],[NAMA BARANG]]="","",INDEX(NOTA[SUPPLIER],MATCH(,INDIRECT(ADDRESS(ROW(NOTA[ID]),COLUMN(NOTA[ID]))&amp;":"&amp;ADDRESS(ROW(),COLUMN(NOTA[ID]))),-1)))</f>
        <v/>
      </c>
      <c r="AK472" s="38" t="str">
        <f ca="1">IF(NOTA[[#This Row],[ID_H]]="","",IF(NOTA[[#This Row],[FAKTUR]]="",INDIRECT(ADDRESS(ROW()-1,COLUMN())),NOTA[[#This Row],[FAKTUR]]))</f>
        <v/>
      </c>
      <c r="AL472" s="35" t="str">
        <f ca="1">IF(NOTA[[#This Row],[ID]]="","",COUNTIF(NOTA[ID_H],NOTA[[#This Row],[ID_H]]))</f>
        <v/>
      </c>
      <c r="AM472" s="35" t="str">
        <f ca="1">IF(NOTA[[#This Row],[TGL.NOTA]]="",IF(NOTA[[#This Row],[SUPPLIER_H]]="","",AM471),MONTH(NOTA[[#This Row],[TGL.NOTA]]))</f>
        <v/>
      </c>
      <c r="AN4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2" s="35" t="str">
        <f>IF(NOTA[[#This Row],[CONCAT1]]="","",MATCH(NOTA[[#This Row],[CONCAT1]],[3]!db[NB NOTA_C],0))</f>
        <v/>
      </c>
      <c r="AS472" s="35" t="str">
        <f>IF(NOTA[[#This Row],[Column5]]="","",TRUE)</f>
        <v/>
      </c>
      <c r="AT472" s="35" t="str">
        <f ca="1">IF(NOTA[[#This Row],[ID_H]]="","",IF(NOTA[[#This Row],[Column3]]=TRUE,NOTA[[#This Row],[Column5]],INDEX([3]!db[QTY/ CTN],NOTA[[#This Row],[//DB]])))</f>
        <v/>
      </c>
      <c r="AU4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2" s="35" t="str">
        <f ca="1">IF(NOTA[[#This Row],[ID_H]]="","",MATCH(NOTA[[#This Row],[NB NOTA_C_QTY]],[3]!db[NB NOTA_C_QTY+F],0))</f>
        <v/>
      </c>
      <c r="AW472" s="43" t="str">
        <f ca="1">IF(NOTA[[#This Row],[NB NOTA_C_QTY]]="","",ROW()-2)</f>
        <v/>
      </c>
    </row>
    <row r="473" spans="1:49" ht="20.100000000000001" customHeight="1">
      <c r="A4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5" t="str">
        <f ca="1">IF(NOTA[[#This Row],[NAMA BARANG]]="","",INDEX(NOTA[ID],MATCH(,INDIRECT(ADDRESS(ROW(NOTA[ID]),COLUMN(NOTA[ID]))&amp;":"&amp;ADDRESS(ROW(),COLUMN(NOTA[ID]))),-1)))</f>
        <v/>
      </c>
      <c r="C473" s="45"/>
      <c r="F473" s="46"/>
      <c r="G473" s="35"/>
      <c r="H473" s="36"/>
      <c r="I473" s="35"/>
      <c r="K473" s="37"/>
      <c r="L473" s="35"/>
      <c r="N473" s="38"/>
      <c r="O473" s="39"/>
      <c r="P473" s="47"/>
      <c r="Q473" s="48"/>
      <c r="R473" s="41"/>
      <c r="T473" s="42"/>
      <c r="U473" s="44"/>
      <c r="V473" s="42" t="str">
        <f>IF(NOTA[[#This Row],[HARGA/ CTN]]="",NOTA[[#This Row],[JUMLAH_H]],NOTA[[#This Row],[HARGA/ CTN]]*IF(NOTA[[#This Row],[C]]="",0,NOTA[[#This Row],[C]]))</f>
        <v/>
      </c>
      <c r="W473" s="42" t="str">
        <f>IF(NOTA[[#This Row],[JUMLAH]]="","",NOTA[[#This Row],[JUMLAH]]*NOTA[[#This Row],[Column6]])</f>
        <v/>
      </c>
      <c r="X473" s="42" t="str">
        <f>IF(NOTA[[#This Row],[JUMLAH]]="","",(NOTA[[#This Row],[JUMLAH]]-NOTA[[#This Row],[DISC 1-]])*NOTA[[#This Row],[Column7]])</f>
        <v/>
      </c>
      <c r="Y473" s="42" t="str">
        <f>IF(NOTA[[#This Row],[JUMLAH]]="","",(NOTA[[#This Row],[JUMLAH]]-NOTA[[#This Row],[DISC 1-]]-NOTA[[#This Row],[DISC 2-]])*NOTA[[#This Row],[Column8]])</f>
        <v/>
      </c>
      <c r="Z473" s="42" t="str">
        <f>IF(NOTA[[#This Row],[JUMLAH]]="","",NOTA[[#This Row],[DISC 1-]]+NOTA[[#This Row],[DISC 2-]]+NOTA[[#This Row],[DISC 3-]])</f>
        <v/>
      </c>
      <c r="AA473" s="42" t="str">
        <f>IF(NOTA[[#This Row],[JUMLAH]]="","",NOTA[[#This Row],[JUMLAH]]-NOTA[[#This Row],[DISC]])</f>
        <v/>
      </c>
      <c r="AB473" s="42"/>
      <c r="AC4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42" t="str">
        <f>IF(OR(NOTA[[#This Row],[QTY]]="",NOTA[[#This Row],[HARGA SATUAN]]="",),"",NOTA[[#This Row],[QTY]]*NOTA[[#This Row],[HARGA SATUAN]])</f>
        <v/>
      </c>
      <c r="AG473" s="36" t="str">
        <f ca="1">IF(NOTA[[#This Row],[ID_H]]="","",INDEX(NOTA[TANGGAL],MATCH(,INDIRECT(ADDRESS(ROW(NOTA[TANGGAL]),COLUMN(NOTA[TANGGAL]))&amp;":"&amp;ADDRESS(ROW(),COLUMN(NOTA[TANGGAL]))),-1)))</f>
        <v/>
      </c>
      <c r="AH473" s="36" t="str">
        <f ca="1">IF(NOTA[[#This Row],[ID_H]]="","",INDEX(NOTA[TGL.NOTA],MATCH(,INDIRECT(ADDRESS(ROW(NOTA[TGL.NOTA]),COLUMN(NOTA[TGL.NOTA]))&amp;":"&amp;ADDRESS(ROW(),COLUMN(NOTA[TGL.NOTA]))),-1)))</f>
        <v/>
      </c>
      <c r="AI473" s="36" t="str">
        <f ca="1">IF(NOTA[[#This Row],[ID_H]]="","",INDEX(NOTA[NO.NOTA],MATCH(NOTA[[#This Row],[ID_H]],NOTA[ID_H],0)))</f>
        <v/>
      </c>
      <c r="AJ473" s="38" t="str">
        <f ca="1">IF(NOTA[[#This Row],[NAMA BARANG]]="","",INDEX(NOTA[SUPPLIER],MATCH(,INDIRECT(ADDRESS(ROW(NOTA[ID]),COLUMN(NOTA[ID]))&amp;":"&amp;ADDRESS(ROW(),COLUMN(NOTA[ID]))),-1)))</f>
        <v/>
      </c>
      <c r="AK473" s="38" t="str">
        <f ca="1">IF(NOTA[[#This Row],[ID_H]]="","",IF(NOTA[[#This Row],[FAKTUR]]="",INDIRECT(ADDRESS(ROW()-1,COLUMN())),NOTA[[#This Row],[FAKTUR]]))</f>
        <v/>
      </c>
      <c r="AL473" s="35" t="str">
        <f ca="1">IF(NOTA[[#This Row],[ID]]="","",COUNTIF(NOTA[ID_H],NOTA[[#This Row],[ID_H]]))</f>
        <v/>
      </c>
      <c r="AM473" s="35" t="str">
        <f ca="1">IF(NOTA[[#This Row],[TGL.NOTA]]="",IF(NOTA[[#This Row],[SUPPLIER_H]]="","",AM472),MONTH(NOTA[[#This Row],[TGL.NOTA]]))</f>
        <v/>
      </c>
      <c r="AN4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3" s="35" t="str">
        <f>IF(NOTA[[#This Row],[CONCAT1]]="","",MATCH(NOTA[[#This Row],[CONCAT1]],[3]!db[NB NOTA_C],0))</f>
        <v/>
      </c>
      <c r="AS473" s="35" t="str">
        <f>IF(NOTA[[#This Row],[Column5]]="","",TRUE)</f>
        <v/>
      </c>
      <c r="AT473" s="35" t="str">
        <f ca="1">IF(NOTA[[#This Row],[ID_H]]="","",IF(NOTA[[#This Row],[Column3]]=TRUE,NOTA[[#This Row],[Column5]],INDEX([3]!db[QTY/ CTN],NOTA[[#This Row],[//DB]])))</f>
        <v/>
      </c>
      <c r="AU4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3" s="35" t="str">
        <f ca="1">IF(NOTA[[#This Row],[ID_H]]="","",MATCH(NOTA[[#This Row],[NB NOTA_C_QTY]],[3]!db[NB NOTA_C_QTY+F],0))</f>
        <v/>
      </c>
      <c r="AW473" s="43" t="str">
        <f ca="1">IF(NOTA[[#This Row],[NB NOTA_C_QTY]]="","",ROW()-2)</f>
        <v/>
      </c>
    </row>
    <row r="474" spans="1:49" ht="20.100000000000001" customHeight="1">
      <c r="A4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5" t="str">
        <f ca="1">IF(NOTA[[#This Row],[NAMA BARANG]]="","",INDEX(NOTA[ID],MATCH(,INDIRECT(ADDRESS(ROW(NOTA[ID]),COLUMN(NOTA[ID]))&amp;":"&amp;ADDRESS(ROW(),COLUMN(NOTA[ID]))),-1)))</f>
        <v/>
      </c>
      <c r="C474" s="45"/>
      <c r="F474" s="46"/>
      <c r="G474" s="35"/>
      <c r="H474" s="36"/>
      <c r="I474" s="35"/>
      <c r="K474" s="37"/>
      <c r="L474" s="35"/>
      <c r="N474" s="38"/>
      <c r="O474" s="39"/>
      <c r="P474" s="47"/>
      <c r="Q474" s="48"/>
      <c r="R474" s="41"/>
      <c r="T474" s="42"/>
      <c r="U474" s="44"/>
      <c r="V474" s="42" t="str">
        <f>IF(NOTA[[#This Row],[HARGA/ CTN]]="",NOTA[[#This Row],[JUMLAH_H]],NOTA[[#This Row],[HARGA/ CTN]]*IF(NOTA[[#This Row],[C]]="",0,NOTA[[#This Row],[C]]))</f>
        <v/>
      </c>
      <c r="W474" s="42" t="str">
        <f>IF(NOTA[[#This Row],[JUMLAH]]="","",NOTA[[#This Row],[JUMLAH]]*NOTA[[#This Row],[Column6]])</f>
        <v/>
      </c>
      <c r="X474" s="42" t="str">
        <f>IF(NOTA[[#This Row],[JUMLAH]]="","",(NOTA[[#This Row],[JUMLAH]]-NOTA[[#This Row],[DISC 1-]])*NOTA[[#This Row],[Column7]])</f>
        <v/>
      </c>
      <c r="Y474" s="42" t="str">
        <f>IF(NOTA[[#This Row],[JUMLAH]]="","",(NOTA[[#This Row],[JUMLAH]]-NOTA[[#This Row],[DISC 1-]]-NOTA[[#This Row],[DISC 2-]])*NOTA[[#This Row],[Column8]])</f>
        <v/>
      </c>
      <c r="Z474" s="42" t="str">
        <f>IF(NOTA[[#This Row],[JUMLAH]]="","",NOTA[[#This Row],[DISC 1-]]+NOTA[[#This Row],[DISC 2-]]+NOTA[[#This Row],[DISC 3-]])</f>
        <v/>
      </c>
      <c r="AA474" s="42" t="str">
        <f>IF(NOTA[[#This Row],[JUMLAH]]="","",NOTA[[#This Row],[JUMLAH]]-NOTA[[#This Row],[DISC]])</f>
        <v/>
      </c>
      <c r="AB474" s="42"/>
      <c r="AC4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42" t="str">
        <f>IF(OR(NOTA[[#This Row],[QTY]]="",NOTA[[#This Row],[HARGA SATUAN]]="",),"",NOTA[[#This Row],[QTY]]*NOTA[[#This Row],[HARGA SATUAN]])</f>
        <v/>
      </c>
      <c r="AG474" s="36" t="str">
        <f ca="1">IF(NOTA[[#This Row],[ID_H]]="","",INDEX(NOTA[TANGGAL],MATCH(,INDIRECT(ADDRESS(ROW(NOTA[TANGGAL]),COLUMN(NOTA[TANGGAL]))&amp;":"&amp;ADDRESS(ROW(),COLUMN(NOTA[TANGGAL]))),-1)))</f>
        <v/>
      </c>
      <c r="AH474" s="36" t="str">
        <f ca="1">IF(NOTA[[#This Row],[ID_H]]="","",INDEX(NOTA[TGL.NOTA],MATCH(,INDIRECT(ADDRESS(ROW(NOTA[TGL.NOTA]),COLUMN(NOTA[TGL.NOTA]))&amp;":"&amp;ADDRESS(ROW(),COLUMN(NOTA[TGL.NOTA]))),-1)))</f>
        <v/>
      </c>
      <c r="AI474" s="36" t="str">
        <f ca="1">IF(NOTA[[#This Row],[ID_H]]="","",INDEX(NOTA[NO.NOTA],MATCH(NOTA[[#This Row],[ID_H]],NOTA[ID_H],0)))</f>
        <v/>
      </c>
      <c r="AJ474" s="38" t="str">
        <f ca="1">IF(NOTA[[#This Row],[NAMA BARANG]]="","",INDEX(NOTA[SUPPLIER],MATCH(,INDIRECT(ADDRESS(ROW(NOTA[ID]),COLUMN(NOTA[ID]))&amp;":"&amp;ADDRESS(ROW(),COLUMN(NOTA[ID]))),-1)))</f>
        <v/>
      </c>
      <c r="AK474" s="38" t="str">
        <f ca="1">IF(NOTA[[#This Row],[ID_H]]="","",IF(NOTA[[#This Row],[FAKTUR]]="",INDIRECT(ADDRESS(ROW()-1,COLUMN())),NOTA[[#This Row],[FAKTUR]]))</f>
        <v/>
      </c>
      <c r="AL474" s="35" t="str">
        <f ca="1">IF(NOTA[[#This Row],[ID]]="","",COUNTIF(NOTA[ID_H],NOTA[[#This Row],[ID_H]]))</f>
        <v/>
      </c>
      <c r="AM474" s="35" t="str">
        <f ca="1">IF(NOTA[[#This Row],[TGL.NOTA]]="",IF(NOTA[[#This Row],[SUPPLIER_H]]="","",AM473),MONTH(NOTA[[#This Row],[TGL.NOTA]]))</f>
        <v/>
      </c>
      <c r="AN4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4" s="35" t="str">
        <f>IF(NOTA[[#This Row],[CONCAT1]]="","",MATCH(NOTA[[#This Row],[CONCAT1]],[3]!db[NB NOTA_C],0))</f>
        <v/>
      </c>
      <c r="AS474" s="35" t="str">
        <f>IF(NOTA[[#This Row],[Column5]]="","",TRUE)</f>
        <v/>
      </c>
      <c r="AT474" s="35" t="str">
        <f ca="1">IF(NOTA[[#This Row],[ID_H]]="","",IF(NOTA[[#This Row],[Column3]]=TRUE,NOTA[[#This Row],[Column5]],INDEX([3]!db[QTY/ CTN],NOTA[[#This Row],[//DB]])))</f>
        <v/>
      </c>
      <c r="AU4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4" s="35" t="str">
        <f ca="1">IF(NOTA[[#This Row],[ID_H]]="","",MATCH(NOTA[[#This Row],[NB NOTA_C_QTY]],[3]!db[NB NOTA_C_QTY+F],0))</f>
        <v/>
      </c>
      <c r="AW474" s="43" t="str">
        <f ca="1">IF(NOTA[[#This Row],[NB NOTA_C_QTY]]="","",ROW()-2)</f>
        <v/>
      </c>
    </row>
    <row r="475" spans="1:49" ht="20.100000000000001" customHeight="1">
      <c r="A4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5" t="str">
        <f ca="1">IF(NOTA[[#This Row],[NAMA BARANG]]="","",INDEX(NOTA[ID],MATCH(,INDIRECT(ADDRESS(ROW(NOTA[ID]),COLUMN(NOTA[ID]))&amp;":"&amp;ADDRESS(ROW(),COLUMN(NOTA[ID]))),-1)))</f>
        <v/>
      </c>
      <c r="C475" s="45"/>
      <c r="F475" s="46"/>
      <c r="G475" s="35"/>
      <c r="H475" s="36"/>
      <c r="I475" s="35"/>
      <c r="K475" s="37"/>
      <c r="L475" s="35"/>
      <c r="N475" s="38"/>
      <c r="O475" s="39"/>
      <c r="P475" s="47"/>
      <c r="Q475" s="48"/>
      <c r="R475" s="41"/>
      <c r="T475" s="42"/>
      <c r="U475" s="44"/>
      <c r="V475" s="42" t="str">
        <f>IF(NOTA[[#This Row],[HARGA/ CTN]]="",NOTA[[#This Row],[JUMLAH_H]],NOTA[[#This Row],[HARGA/ CTN]]*IF(NOTA[[#This Row],[C]]="",0,NOTA[[#This Row],[C]]))</f>
        <v/>
      </c>
      <c r="W475" s="42" t="str">
        <f>IF(NOTA[[#This Row],[JUMLAH]]="","",NOTA[[#This Row],[JUMLAH]]*NOTA[[#This Row],[Column6]])</f>
        <v/>
      </c>
      <c r="X475" s="42" t="str">
        <f>IF(NOTA[[#This Row],[JUMLAH]]="","",(NOTA[[#This Row],[JUMLAH]]-NOTA[[#This Row],[DISC 1-]])*NOTA[[#This Row],[Column7]])</f>
        <v/>
      </c>
      <c r="Y475" s="42" t="str">
        <f>IF(NOTA[[#This Row],[JUMLAH]]="","",(NOTA[[#This Row],[JUMLAH]]-NOTA[[#This Row],[DISC 1-]]-NOTA[[#This Row],[DISC 2-]])*NOTA[[#This Row],[Column8]])</f>
        <v/>
      </c>
      <c r="Z475" s="42" t="str">
        <f>IF(NOTA[[#This Row],[JUMLAH]]="","",NOTA[[#This Row],[DISC 1-]]+NOTA[[#This Row],[DISC 2-]]+NOTA[[#This Row],[DISC 3-]])</f>
        <v/>
      </c>
      <c r="AA475" s="42" t="str">
        <f>IF(NOTA[[#This Row],[JUMLAH]]="","",NOTA[[#This Row],[JUMLAH]]-NOTA[[#This Row],[DISC]])</f>
        <v/>
      </c>
      <c r="AB475" s="42"/>
      <c r="AC4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42" t="str">
        <f>IF(OR(NOTA[[#This Row],[QTY]]="",NOTA[[#This Row],[HARGA SATUAN]]="",),"",NOTA[[#This Row],[QTY]]*NOTA[[#This Row],[HARGA SATUAN]])</f>
        <v/>
      </c>
      <c r="AG475" s="36" t="str">
        <f ca="1">IF(NOTA[[#This Row],[ID_H]]="","",INDEX(NOTA[TANGGAL],MATCH(,INDIRECT(ADDRESS(ROW(NOTA[TANGGAL]),COLUMN(NOTA[TANGGAL]))&amp;":"&amp;ADDRESS(ROW(),COLUMN(NOTA[TANGGAL]))),-1)))</f>
        <v/>
      </c>
      <c r="AH475" s="36" t="str">
        <f ca="1">IF(NOTA[[#This Row],[ID_H]]="","",INDEX(NOTA[TGL.NOTA],MATCH(,INDIRECT(ADDRESS(ROW(NOTA[TGL.NOTA]),COLUMN(NOTA[TGL.NOTA]))&amp;":"&amp;ADDRESS(ROW(),COLUMN(NOTA[TGL.NOTA]))),-1)))</f>
        <v/>
      </c>
      <c r="AI475" s="36" t="str">
        <f ca="1">IF(NOTA[[#This Row],[ID_H]]="","",INDEX(NOTA[NO.NOTA],MATCH(NOTA[[#This Row],[ID_H]],NOTA[ID_H],0)))</f>
        <v/>
      </c>
      <c r="AJ475" s="38" t="str">
        <f ca="1">IF(NOTA[[#This Row],[NAMA BARANG]]="","",INDEX(NOTA[SUPPLIER],MATCH(,INDIRECT(ADDRESS(ROW(NOTA[ID]),COLUMN(NOTA[ID]))&amp;":"&amp;ADDRESS(ROW(),COLUMN(NOTA[ID]))),-1)))</f>
        <v/>
      </c>
      <c r="AK475" s="38" t="str">
        <f ca="1">IF(NOTA[[#This Row],[ID_H]]="","",IF(NOTA[[#This Row],[FAKTUR]]="",INDIRECT(ADDRESS(ROW()-1,COLUMN())),NOTA[[#This Row],[FAKTUR]]))</f>
        <v/>
      </c>
      <c r="AL475" s="35" t="str">
        <f ca="1">IF(NOTA[[#This Row],[ID]]="","",COUNTIF(NOTA[ID_H],NOTA[[#This Row],[ID_H]]))</f>
        <v/>
      </c>
      <c r="AM475" s="35" t="str">
        <f ca="1">IF(NOTA[[#This Row],[TGL.NOTA]]="",IF(NOTA[[#This Row],[SUPPLIER_H]]="","",AM474),MONTH(NOTA[[#This Row],[TGL.NOTA]]))</f>
        <v/>
      </c>
      <c r="AN4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5" s="35" t="str">
        <f>IF(NOTA[[#This Row],[CONCAT1]]="","",MATCH(NOTA[[#This Row],[CONCAT1]],[3]!db[NB NOTA_C],0))</f>
        <v/>
      </c>
      <c r="AS475" s="35" t="str">
        <f>IF(NOTA[[#This Row],[Column5]]="","",TRUE)</f>
        <v/>
      </c>
      <c r="AT475" s="35" t="str">
        <f ca="1">IF(NOTA[[#This Row],[ID_H]]="","",IF(NOTA[[#This Row],[Column3]]=TRUE,NOTA[[#This Row],[Column5]],INDEX([3]!db[QTY/ CTN],NOTA[[#This Row],[//DB]])))</f>
        <v/>
      </c>
      <c r="AU4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5" s="35" t="str">
        <f ca="1">IF(NOTA[[#This Row],[ID_H]]="","",MATCH(NOTA[[#This Row],[NB NOTA_C_QTY]],[3]!db[NB NOTA_C_QTY+F],0))</f>
        <v/>
      </c>
      <c r="AW475" s="43" t="str">
        <f ca="1">IF(NOTA[[#This Row],[NB NOTA_C_QTY]]="","",ROW()-2)</f>
        <v/>
      </c>
    </row>
    <row r="476" spans="1:49" ht="20.100000000000001" customHeight="1">
      <c r="A4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5" t="str">
        <f ca="1">IF(NOTA[[#This Row],[NAMA BARANG]]="","",INDEX(NOTA[ID],MATCH(,INDIRECT(ADDRESS(ROW(NOTA[ID]),COLUMN(NOTA[ID]))&amp;":"&amp;ADDRESS(ROW(),COLUMN(NOTA[ID]))),-1)))</f>
        <v/>
      </c>
      <c r="C476" s="45"/>
      <c r="F476" s="46"/>
      <c r="G476" s="35"/>
      <c r="H476" s="36"/>
      <c r="I476" s="35"/>
      <c r="K476" s="37"/>
      <c r="L476" s="35"/>
      <c r="N476" s="38"/>
      <c r="O476" s="39"/>
      <c r="P476" s="47"/>
      <c r="Q476" s="48"/>
      <c r="R476" s="41"/>
      <c r="T476" s="42"/>
      <c r="U476" s="44"/>
      <c r="V476" s="42" t="str">
        <f>IF(NOTA[[#This Row],[HARGA/ CTN]]="",NOTA[[#This Row],[JUMLAH_H]],NOTA[[#This Row],[HARGA/ CTN]]*IF(NOTA[[#This Row],[C]]="",0,NOTA[[#This Row],[C]]))</f>
        <v/>
      </c>
      <c r="W476" s="42" t="str">
        <f>IF(NOTA[[#This Row],[JUMLAH]]="","",NOTA[[#This Row],[JUMLAH]]*NOTA[[#This Row],[Column6]])</f>
        <v/>
      </c>
      <c r="X476" s="42" t="str">
        <f>IF(NOTA[[#This Row],[JUMLAH]]="","",(NOTA[[#This Row],[JUMLAH]]-NOTA[[#This Row],[DISC 1-]])*NOTA[[#This Row],[Column7]])</f>
        <v/>
      </c>
      <c r="Y476" s="42" t="str">
        <f>IF(NOTA[[#This Row],[JUMLAH]]="","",(NOTA[[#This Row],[JUMLAH]]-NOTA[[#This Row],[DISC 1-]]-NOTA[[#This Row],[DISC 2-]])*NOTA[[#This Row],[Column8]])</f>
        <v/>
      </c>
      <c r="Z476" s="42" t="str">
        <f>IF(NOTA[[#This Row],[JUMLAH]]="","",NOTA[[#This Row],[DISC 1-]]+NOTA[[#This Row],[DISC 2-]]+NOTA[[#This Row],[DISC 3-]])</f>
        <v/>
      </c>
      <c r="AA476" s="42" t="str">
        <f>IF(NOTA[[#This Row],[JUMLAH]]="","",NOTA[[#This Row],[JUMLAH]]-NOTA[[#This Row],[DISC]])</f>
        <v/>
      </c>
      <c r="AB476" s="42"/>
      <c r="AC4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42" t="str">
        <f>IF(OR(NOTA[[#This Row],[QTY]]="",NOTA[[#This Row],[HARGA SATUAN]]="",),"",NOTA[[#This Row],[QTY]]*NOTA[[#This Row],[HARGA SATUAN]])</f>
        <v/>
      </c>
      <c r="AG476" s="36" t="str">
        <f ca="1">IF(NOTA[[#This Row],[ID_H]]="","",INDEX(NOTA[TANGGAL],MATCH(,INDIRECT(ADDRESS(ROW(NOTA[TANGGAL]),COLUMN(NOTA[TANGGAL]))&amp;":"&amp;ADDRESS(ROW(),COLUMN(NOTA[TANGGAL]))),-1)))</f>
        <v/>
      </c>
      <c r="AH476" s="36" t="str">
        <f ca="1">IF(NOTA[[#This Row],[ID_H]]="","",INDEX(NOTA[TGL.NOTA],MATCH(,INDIRECT(ADDRESS(ROW(NOTA[TGL.NOTA]),COLUMN(NOTA[TGL.NOTA]))&amp;":"&amp;ADDRESS(ROW(),COLUMN(NOTA[TGL.NOTA]))),-1)))</f>
        <v/>
      </c>
      <c r="AI476" s="36" t="str">
        <f ca="1">IF(NOTA[[#This Row],[ID_H]]="","",INDEX(NOTA[NO.NOTA],MATCH(NOTA[[#This Row],[ID_H]],NOTA[ID_H],0)))</f>
        <v/>
      </c>
      <c r="AJ476" s="38" t="str">
        <f ca="1">IF(NOTA[[#This Row],[NAMA BARANG]]="","",INDEX(NOTA[SUPPLIER],MATCH(,INDIRECT(ADDRESS(ROW(NOTA[ID]),COLUMN(NOTA[ID]))&amp;":"&amp;ADDRESS(ROW(),COLUMN(NOTA[ID]))),-1)))</f>
        <v/>
      </c>
      <c r="AK476" s="38" t="str">
        <f ca="1">IF(NOTA[[#This Row],[ID_H]]="","",IF(NOTA[[#This Row],[FAKTUR]]="",INDIRECT(ADDRESS(ROW()-1,COLUMN())),NOTA[[#This Row],[FAKTUR]]))</f>
        <v/>
      </c>
      <c r="AL476" s="35" t="str">
        <f ca="1">IF(NOTA[[#This Row],[ID]]="","",COUNTIF(NOTA[ID_H],NOTA[[#This Row],[ID_H]]))</f>
        <v/>
      </c>
      <c r="AM476" s="35" t="str">
        <f ca="1">IF(NOTA[[#This Row],[TGL.NOTA]]="",IF(NOTA[[#This Row],[SUPPLIER_H]]="","",AM475),MONTH(NOTA[[#This Row],[TGL.NOTA]]))</f>
        <v/>
      </c>
      <c r="AN4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6" s="35" t="str">
        <f>IF(NOTA[[#This Row],[CONCAT1]]="","",MATCH(NOTA[[#This Row],[CONCAT1]],[3]!db[NB NOTA_C],0))</f>
        <v/>
      </c>
      <c r="AS476" s="35" t="str">
        <f>IF(NOTA[[#This Row],[Column5]]="","",TRUE)</f>
        <v/>
      </c>
      <c r="AT476" s="35" t="str">
        <f ca="1">IF(NOTA[[#This Row],[ID_H]]="","",IF(NOTA[[#This Row],[Column3]]=TRUE,NOTA[[#This Row],[Column5]],INDEX([3]!db[QTY/ CTN],NOTA[[#This Row],[//DB]])))</f>
        <v/>
      </c>
      <c r="AU4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6" s="35" t="str">
        <f ca="1">IF(NOTA[[#This Row],[ID_H]]="","",MATCH(NOTA[[#This Row],[NB NOTA_C_QTY]],[3]!db[NB NOTA_C_QTY+F],0))</f>
        <v/>
      </c>
      <c r="AW476" s="43" t="str">
        <f ca="1">IF(NOTA[[#This Row],[NB NOTA_C_QTY]]="","",ROW()-2)</f>
        <v/>
      </c>
    </row>
    <row r="477" spans="1:49" ht="20.100000000000001" customHeight="1">
      <c r="A4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5" t="str">
        <f ca="1">IF(NOTA[[#This Row],[NAMA BARANG]]="","",INDEX(NOTA[ID],MATCH(,INDIRECT(ADDRESS(ROW(NOTA[ID]),COLUMN(NOTA[ID]))&amp;":"&amp;ADDRESS(ROW(),COLUMN(NOTA[ID]))),-1)))</f>
        <v/>
      </c>
      <c r="C477" s="45"/>
      <c r="F477" s="46"/>
      <c r="G477" s="35"/>
      <c r="H477" s="36"/>
      <c r="I477" s="35"/>
      <c r="K477" s="37"/>
      <c r="L477" s="35"/>
      <c r="N477" s="38"/>
      <c r="O477" s="39"/>
      <c r="P477" s="47"/>
      <c r="Q477" s="48"/>
      <c r="R477" s="41"/>
      <c r="T477" s="42"/>
      <c r="U477" s="44"/>
      <c r="V477" s="42" t="str">
        <f>IF(NOTA[[#This Row],[HARGA/ CTN]]="",NOTA[[#This Row],[JUMLAH_H]],NOTA[[#This Row],[HARGA/ CTN]]*IF(NOTA[[#This Row],[C]]="",0,NOTA[[#This Row],[C]]))</f>
        <v/>
      </c>
      <c r="W477" s="42" t="str">
        <f>IF(NOTA[[#This Row],[JUMLAH]]="","",NOTA[[#This Row],[JUMLAH]]*NOTA[[#This Row],[Column6]])</f>
        <v/>
      </c>
      <c r="X477" s="42" t="str">
        <f>IF(NOTA[[#This Row],[JUMLAH]]="","",(NOTA[[#This Row],[JUMLAH]]-NOTA[[#This Row],[DISC 1-]])*NOTA[[#This Row],[Column7]])</f>
        <v/>
      </c>
      <c r="Y477" s="42" t="str">
        <f>IF(NOTA[[#This Row],[JUMLAH]]="","",(NOTA[[#This Row],[JUMLAH]]-NOTA[[#This Row],[DISC 1-]]-NOTA[[#This Row],[DISC 2-]])*NOTA[[#This Row],[Column8]])</f>
        <v/>
      </c>
      <c r="Z477" s="42" t="str">
        <f>IF(NOTA[[#This Row],[JUMLAH]]="","",NOTA[[#This Row],[DISC 1-]]+NOTA[[#This Row],[DISC 2-]]+NOTA[[#This Row],[DISC 3-]])</f>
        <v/>
      </c>
      <c r="AA477" s="42" t="str">
        <f>IF(NOTA[[#This Row],[JUMLAH]]="","",NOTA[[#This Row],[JUMLAH]]-NOTA[[#This Row],[DISC]])</f>
        <v/>
      </c>
      <c r="AB477" s="42"/>
      <c r="AC4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42" t="str">
        <f>IF(OR(NOTA[[#This Row],[QTY]]="",NOTA[[#This Row],[HARGA SATUAN]]="",),"",NOTA[[#This Row],[QTY]]*NOTA[[#This Row],[HARGA SATUAN]])</f>
        <v/>
      </c>
      <c r="AG477" s="36" t="str">
        <f ca="1">IF(NOTA[[#This Row],[ID_H]]="","",INDEX(NOTA[TANGGAL],MATCH(,INDIRECT(ADDRESS(ROW(NOTA[TANGGAL]),COLUMN(NOTA[TANGGAL]))&amp;":"&amp;ADDRESS(ROW(),COLUMN(NOTA[TANGGAL]))),-1)))</f>
        <v/>
      </c>
      <c r="AH477" s="36" t="str">
        <f ca="1">IF(NOTA[[#This Row],[ID_H]]="","",INDEX(NOTA[TGL.NOTA],MATCH(,INDIRECT(ADDRESS(ROW(NOTA[TGL.NOTA]),COLUMN(NOTA[TGL.NOTA]))&amp;":"&amp;ADDRESS(ROW(),COLUMN(NOTA[TGL.NOTA]))),-1)))</f>
        <v/>
      </c>
      <c r="AI477" s="36" t="str">
        <f ca="1">IF(NOTA[[#This Row],[ID_H]]="","",INDEX(NOTA[NO.NOTA],MATCH(NOTA[[#This Row],[ID_H]],NOTA[ID_H],0)))</f>
        <v/>
      </c>
      <c r="AJ477" s="38" t="str">
        <f ca="1">IF(NOTA[[#This Row],[NAMA BARANG]]="","",INDEX(NOTA[SUPPLIER],MATCH(,INDIRECT(ADDRESS(ROW(NOTA[ID]),COLUMN(NOTA[ID]))&amp;":"&amp;ADDRESS(ROW(),COLUMN(NOTA[ID]))),-1)))</f>
        <v/>
      </c>
      <c r="AK477" s="38" t="str">
        <f ca="1">IF(NOTA[[#This Row],[ID_H]]="","",IF(NOTA[[#This Row],[FAKTUR]]="",INDIRECT(ADDRESS(ROW()-1,COLUMN())),NOTA[[#This Row],[FAKTUR]]))</f>
        <v/>
      </c>
      <c r="AL477" s="35" t="str">
        <f ca="1">IF(NOTA[[#This Row],[ID]]="","",COUNTIF(NOTA[ID_H],NOTA[[#This Row],[ID_H]]))</f>
        <v/>
      </c>
      <c r="AM477" s="35" t="str">
        <f ca="1">IF(NOTA[[#This Row],[TGL.NOTA]]="",IF(NOTA[[#This Row],[SUPPLIER_H]]="","",AM476),MONTH(NOTA[[#This Row],[TGL.NOTA]]))</f>
        <v/>
      </c>
      <c r="AN4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7" s="35" t="str">
        <f>IF(NOTA[[#This Row],[CONCAT1]]="","",MATCH(NOTA[[#This Row],[CONCAT1]],[3]!db[NB NOTA_C],0))</f>
        <v/>
      </c>
      <c r="AS477" s="35" t="str">
        <f>IF(NOTA[[#This Row],[Column5]]="","",TRUE)</f>
        <v/>
      </c>
      <c r="AT477" s="35" t="str">
        <f ca="1">IF(NOTA[[#This Row],[ID_H]]="","",IF(NOTA[[#This Row],[Column3]]=TRUE,NOTA[[#This Row],[Column5]],INDEX([3]!db[QTY/ CTN],NOTA[[#This Row],[//DB]])))</f>
        <v/>
      </c>
      <c r="AU4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7" s="35" t="str">
        <f ca="1">IF(NOTA[[#This Row],[ID_H]]="","",MATCH(NOTA[[#This Row],[NB NOTA_C_QTY]],[3]!db[NB NOTA_C_QTY+F],0))</f>
        <v/>
      </c>
      <c r="AW477" s="43" t="str">
        <f ca="1">IF(NOTA[[#This Row],[NB NOTA_C_QTY]]="","",ROW()-2)</f>
        <v/>
      </c>
    </row>
    <row r="478" spans="1:49" ht="20.100000000000001" customHeight="1">
      <c r="A4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5" t="str">
        <f ca="1">IF(NOTA[[#This Row],[NAMA BARANG]]="","",INDEX(NOTA[ID],MATCH(,INDIRECT(ADDRESS(ROW(NOTA[ID]),COLUMN(NOTA[ID]))&amp;":"&amp;ADDRESS(ROW(),COLUMN(NOTA[ID]))),-1)))</f>
        <v/>
      </c>
      <c r="C478" s="45"/>
      <c r="F478" s="46"/>
      <c r="G478" s="35"/>
      <c r="H478" s="36"/>
      <c r="I478" s="35"/>
      <c r="K478" s="37"/>
      <c r="L478" s="35"/>
      <c r="N478" s="38"/>
      <c r="O478" s="39"/>
      <c r="P478" s="47"/>
      <c r="Q478" s="48"/>
      <c r="R478" s="41"/>
      <c r="T478" s="42"/>
      <c r="U478" s="44"/>
      <c r="V478" s="42" t="str">
        <f>IF(NOTA[[#This Row],[HARGA/ CTN]]="",NOTA[[#This Row],[JUMLAH_H]],NOTA[[#This Row],[HARGA/ CTN]]*IF(NOTA[[#This Row],[C]]="",0,NOTA[[#This Row],[C]]))</f>
        <v/>
      </c>
      <c r="W478" s="42" t="str">
        <f>IF(NOTA[[#This Row],[JUMLAH]]="","",NOTA[[#This Row],[JUMLAH]]*NOTA[[#This Row],[Column6]])</f>
        <v/>
      </c>
      <c r="X478" s="42" t="str">
        <f>IF(NOTA[[#This Row],[JUMLAH]]="","",(NOTA[[#This Row],[JUMLAH]]-NOTA[[#This Row],[DISC 1-]])*NOTA[[#This Row],[Column7]])</f>
        <v/>
      </c>
      <c r="Y478" s="42" t="str">
        <f>IF(NOTA[[#This Row],[JUMLAH]]="","",(NOTA[[#This Row],[JUMLAH]]-NOTA[[#This Row],[DISC 1-]]-NOTA[[#This Row],[DISC 2-]])*NOTA[[#This Row],[Column8]])</f>
        <v/>
      </c>
      <c r="Z478" s="42" t="str">
        <f>IF(NOTA[[#This Row],[JUMLAH]]="","",NOTA[[#This Row],[DISC 1-]]+NOTA[[#This Row],[DISC 2-]]+NOTA[[#This Row],[DISC 3-]])</f>
        <v/>
      </c>
      <c r="AA478" s="42" t="str">
        <f>IF(NOTA[[#This Row],[JUMLAH]]="","",NOTA[[#This Row],[JUMLAH]]-NOTA[[#This Row],[DISC]])</f>
        <v/>
      </c>
      <c r="AB478" s="42"/>
      <c r="AC4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42" t="str">
        <f>IF(OR(NOTA[[#This Row],[QTY]]="",NOTA[[#This Row],[HARGA SATUAN]]="",),"",NOTA[[#This Row],[QTY]]*NOTA[[#This Row],[HARGA SATUAN]])</f>
        <v/>
      </c>
      <c r="AG478" s="36" t="str">
        <f ca="1">IF(NOTA[[#This Row],[ID_H]]="","",INDEX(NOTA[TANGGAL],MATCH(,INDIRECT(ADDRESS(ROW(NOTA[TANGGAL]),COLUMN(NOTA[TANGGAL]))&amp;":"&amp;ADDRESS(ROW(),COLUMN(NOTA[TANGGAL]))),-1)))</f>
        <v/>
      </c>
      <c r="AH478" s="36" t="str">
        <f ca="1">IF(NOTA[[#This Row],[ID_H]]="","",INDEX(NOTA[TGL.NOTA],MATCH(,INDIRECT(ADDRESS(ROW(NOTA[TGL.NOTA]),COLUMN(NOTA[TGL.NOTA]))&amp;":"&amp;ADDRESS(ROW(),COLUMN(NOTA[TGL.NOTA]))),-1)))</f>
        <v/>
      </c>
      <c r="AI478" s="36" t="str">
        <f ca="1">IF(NOTA[[#This Row],[ID_H]]="","",INDEX(NOTA[NO.NOTA],MATCH(NOTA[[#This Row],[ID_H]],NOTA[ID_H],0)))</f>
        <v/>
      </c>
      <c r="AJ478" s="38" t="str">
        <f ca="1">IF(NOTA[[#This Row],[NAMA BARANG]]="","",INDEX(NOTA[SUPPLIER],MATCH(,INDIRECT(ADDRESS(ROW(NOTA[ID]),COLUMN(NOTA[ID]))&amp;":"&amp;ADDRESS(ROW(),COLUMN(NOTA[ID]))),-1)))</f>
        <v/>
      </c>
      <c r="AK478" s="38" t="str">
        <f ca="1">IF(NOTA[[#This Row],[ID_H]]="","",IF(NOTA[[#This Row],[FAKTUR]]="",INDIRECT(ADDRESS(ROW()-1,COLUMN())),NOTA[[#This Row],[FAKTUR]]))</f>
        <v/>
      </c>
      <c r="AL478" s="35" t="str">
        <f ca="1">IF(NOTA[[#This Row],[ID]]="","",COUNTIF(NOTA[ID_H],NOTA[[#This Row],[ID_H]]))</f>
        <v/>
      </c>
      <c r="AM478" s="35" t="str">
        <f ca="1">IF(NOTA[[#This Row],[TGL.NOTA]]="",IF(NOTA[[#This Row],[SUPPLIER_H]]="","",AM477),MONTH(NOTA[[#This Row],[TGL.NOTA]]))</f>
        <v/>
      </c>
      <c r="AN4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8" s="35" t="str">
        <f>IF(NOTA[[#This Row],[CONCAT1]]="","",MATCH(NOTA[[#This Row],[CONCAT1]],[3]!db[NB NOTA_C],0))</f>
        <v/>
      </c>
      <c r="AS478" s="35" t="str">
        <f>IF(NOTA[[#This Row],[Column5]]="","",TRUE)</f>
        <v/>
      </c>
      <c r="AT478" s="35" t="str">
        <f ca="1">IF(NOTA[[#This Row],[ID_H]]="","",IF(NOTA[[#This Row],[Column3]]=TRUE,NOTA[[#This Row],[Column5]],INDEX([3]!db[QTY/ CTN],NOTA[[#This Row],[//DB]])))</f>
        <v/>
      </c>
      <c r="AU4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8" s="35" t="str">
        <f ca="1">IF(NOTA[[#This Row],[ID_H]]="","",MATCH(NOTA[[#This Row],[NB NOTA_C_QTY]],[3]!db[NB NOTA_C_QTY+F],0))</f>
        <v/>
      </c>
      <c r="AW478" s="43" t="str">
        <f ca="1">IF(NOTA[[#This Row],[NB NOTA_C_QTY]]="","",ROW()-2)</f>
        <v/>
      </c>
    </row>
    <row r="479" spans="1:49" ht="20.100000000000001" customHeight="1">
      <c r="A4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5" t="str">
        <f ca="1">IF(NOTA[[#This Row],[NAMA BARANG]]="","",INDEX(NOTA[ID],MATCH(,INDIRECT(ADDRESS(ROW(NOTA[ID]),COLUMN(NOTA[ID]))&amp;":"&amp;ADDRESS(ROW(),COLUMN(NOTA[ID]))),-1)))</f>
        <v/>
      </c>
      <c r="C479" s="45"/>
      <c r="F479" s="46"/>
      <c r="G479" s="35"/>
      <c r="H479" s="36"/>
      <c r="I479" s="35"/>
      <c r="K479" s="37"/>
      <c r="L479" s="35"/>
      <c r="N479" s="38"/>
      <c r="O479" s="39"/>
      <c r="P479" s="47"/>
      <c r="Q479" s="48"/>
      <c r="R479" s="41"/>
      <c r="T479" s="42"/>
      <c r="U479" s="44"/>
      <c r="V479" s="42" t="str">
        <f>IF(NOTA[[#This Row],[HARGA/ CTN]]="",NOTA[[#This Row],[JUMLAH_H]],NOTA[[#This Row],[HARGA/ CTN]]*IF(NOTA[[#This Row],[C]]="",0,NOTA[[#This Row],[C]]))</f>
        <v/>
      </c>
      <c r="W479" s="42" t="str">
        <f>IF(NOTA[[#This Row],[JUMLAH]]="","",NOTA[[#This Row],[JUMLAH]]*NOTA[[#This Row],[Column6]])</f>
        <v/>
      </c>
      <c r="X479" s="42" t="str">
        <f>IF(NOTA[[#This Row],[JUMLAH]]="","",(NOTA[[#This Row],[JUMLAH]]-NOTA[[#This Row],[DISC 1-]])*NOTA[[#This Row],[Column7]])</f>
        <v/>
      </c>
      <c r="Y479" s="42" t="str">
        <f>IF(NOTA[[#This Row],[JUMLAH]]="","",(NOTA[[#This Row],[JUMLAH]]-NOTA[[#This Row],[DISC 1-]]-NOTA[[#This Row],[DISC 2-]])*NOTA[[#This Row],[Column8]])</f>
        <v/>
      </c>
      <c r="Z479" s="42" t="str">
        <f>IF(NOTA[[#This Row],[JUMLAH]]="","",NOTA[[#This Row],[DISC 1-]]+NOTA[[#This Row],[DISC 2-]]+NOTA[[#This Row],[DISC 3-]])</f>
        <v/>
      </c>
      <c r="AA479" s="42" t="str">
        <f>IF(NOTA[[#This Row],[JUMLAH]]="","",NOTA[[#This Row],[JUMLAH]]-NOTA[[#This Row],[DISC]])</f>
        <v/>
      </c>
      <c r="AB479" s="42"/>
      <c r="AC4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42" t="str">
        <f>IF(OR(NOTA[[#This Row],[QTY]]="",NOTA[[#This Row],[HARGA SATUAN]]="",),"",NOTA[[#This Row],[QTY]]*NOTA[[#This Row],[HARGA SATUAN]])</f>
        <v/>
      </c>
      <c r="AG479" s="36" t="str">
        <f ca="1">IF(NOTA[[#This Row],[ID_H]]="","",INDEX(NOTA[TANGGAL],MATCH(,INDIRECT(ADDRESS(ROW(NOTA[TANGGAL]),COLUMN(NOTA[TANGGAL]))&amp;":"&amp;ADDRESS(ROW(),COLUMN(NOTA[TANGGAL]))),-1)))</f>
        <v/>
      </c>
      <c r="AH479" s="36" t="str">
        <f ca="1">IF(NOTA[[#This Row],[ID_H]]="","",INDEX(NOTA[TGL.NOTA],MATCH(,INDIRECT(ADDRESS(ROW(NOTA[TGL.NOTA]),COLUMN(NOTA[TGL.NOTA]))&amp;":"&amp;ADDRESS(ROW(),COLUMN(NOTA[TGL.NOTA]))),-1)))</f>
        <v/>
      </c>
      <c r="AI479" s="36" t="str">
        <f ca="1">IF(NOTA[[#This Row],[ID_H]]="","",INDEX(NOTA[NO.NOTA],MATCH(NOTA[[#This Row],[ID_H]],NOTA[ID_H],0)))</f>
        <v/>
      </c>
      <c r="AJ479" s="38" t="str">
        <f ca="1">IF(NOTA[[#This Row],[NAMA BARANG]]="","",INDEX(NOTA[SUPPLIER],MATCH(,INDIRECT(ADDRESS(ROW(NOTA[ID]),COLUMN(NOTA[ID]))&amp;":"&amp;ADDRESS(ROW(),COLUMN(NOTA[ID]))),-1)))</f>
        <v/>
      </c>
      <c r="AK479" s="38" t="str">
        <f ca="1">IF(NOTA[[#This Row],[ID_H]]="","",IF(NOTA[[#This Row],[FAKTUR]]="",INDIRECT(ADDRESS(ROW()-1,COLUMN())),NOTA[[#This Row],[FAKTUR]]))</f>
        <v/>
      </c>
      <c r="AL479" s="35" t="str">
        <f ca="1">IF(NOTA[[#This Row],[ID]]="","",COUNTIF(NOTA[ID_H],NOTA[[#This Row],[ID_H]]))</f>
        <v/>
      </c>
      <c r="AM479" s="35" t="str">
        <f ca="1">IF(NOTA[[#This Row],[TGL.NOTA]]="",IF(NOTA[[#This Row],[SUPPLIER_H]]="","",AM478),MONTH(NOTA[[#This Row],[TGL.NOTA]]))</f>
        <v/>
      </c>
      <c r="AN4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9" s="35" t="str">
        <f>IF(NOTA[[#This Row],[CONCAT1]]="","",MATCH(NOTA[[#This Row],[CONCAT1]],[3]!db[NB NOTA_C],0))</f>
        <v/>
      </c>
      <c r="AS479" s="35" t="str">
        <f>IF(NOTA[[#This Row],[Column5]]="","",TRUE)</f>
        <v/>
      </c>
      <c r="AT479" s="35" t="str">
        <f ca="1">IF(NOTA[[#This Row],[ID_H]]="","",IF(NOTA[[#This Row],[Column3]]=TRUE,NOTA[[#This Row],[Column5]],INDEX([3]!db[QTY/ CTN],NOTA[[#This Row],[//DB]])))</f>
        <v/>
      </c>
      <c r="AU4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79" s="35" t="str">
        <f ca="1">IF(NOTA[[#This Row],[ID_H]]="","",MATCH(NOTA[[#This Row],[NB NOTA_C_QTY]],[3]!db[NB NOTA_C_QTY+F],0))</f>
        <v/>
      </c>
      <c r="AW479" s="43" t="str">
        <f ca="1">IF(NOTA[[#This Row],[NB NOTA_C_QTY]]="","",ROW()-2)</f>
        <v/>
      </c>
    </row>
    <row r="480" spans="1:49" ht="20.100000000000001" customHeight="1">
      <c r="A4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5" t="str">
        <f ca="1">IF(NOTA[[#This Row],[NAMA BARANG]]="","",INDEX(NOTA[ID],MATCH(,INDIRECT(ADDRESS(ROW(NOTA[ID]),COLUMN(NOTA[ID]))&amp;":"&amp;ADDRESS(ROW(),COLUMN(NOTA[ID]))),-1)))</f>
        <v/>
      </c>
      <c r="C480" s="45"/>
      <c r="F480" s="46"/>
      <c r="G480" s="35"/>
      <c r="H480" s="36"/>
      <c r="I480" s="35"/>
      <c r="K480" s="37"/>
      <c r="L480" s="35"/>
      <c r="N480" s="38"/>
      <c r="O480" s="39"/>
      <c r="P480" s="47"/>
      <c r="Q480" s="48"/>
      <c r="R480" s="41"/>
      <c r="T480" s="42"/>
      <c r="U480" s="44"/>
      <c r="V480" s="42" t="str">
        <f>IF(NOTA[[#This Row],[HARGA/ CTN]]="",NOTA[[#This Row],[JUMLAH_H]],NOTA[[#This Row],[HARGA/ CTN]]*IF(NOTA[[#This Row],[C]]="",0,NOTA[[#This Row],[C]]))</f>
        <v/>
      </c>
      <c r="W480" s="42" t="str">
        <f>IF(NOTA[[#This Row],[JUMLAH]]="","",NOTA[[#This Row],[JUMLAH]]*NOTA[[#This Row],[Column6]])</f>
        <v/>
      </c>
      <c r="X480" s="42" t="str">
        <f>IF(NOTA[[#This Row],[JUMLAH]]="","",(NOTA[[#This Row],[JUMLAH]]-NOTA[[#This Row],[DISC 1-]])*NOTA[[#This Row],[Column7]])</f>
        <v/>
      </c>
      <c r="Y480" s="42" t="str">
        <f>IF(NOTA[[#This Row],[JUMLAH]]="","",(NOTA[[#This Row],[JUMLAH]]-NOTA[[#This Row],[DISC 1-]]-NOTA[[#This Row],[DISC 2-]])*NOTA[[#This Row],[Column8]])</f>
        <v/>
      </c>
      <c r="Z480" s="42" t="str">
        <f>IF(NOTA[[#This Row],[JUMLAH]]="","",NOTA[[#This Row],[DISC 1-]]+NOTA[[#This Row],[DISC 2-]]+NOTA[[#This Row],[DISC 3-]])</f>
        <v/>
      </c>
      <c r="AA480" s="42" t="str">
        <f>IF(NOTA[[#This Row],[JUMLAH]]="","",NOTA[[#This Row],[JUMLAH]]-NOTA[[#This Row],[DISC]])</f>
        <v/>
      </c>
      <c r="AB480" s="42"/>
      <c r="AC4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42" t="str">
        <f>IF(OR(NOTA[[#This Row],[QTY]]="",NOTA[[#This Row],[HARGA SATUAN]]="",),"",NOTA[[#This Row],[QTY]]*NOTA[[#This Row],[HARGA SATUAN]])</f>
        <v/>
      </c>
      <c r="AG480" s="36" t="str">
        <f ca="1">IF(NOTA[[#This Row],[ID_H]]="","",INDEX(NOTA[TANGGAL],MATCH(,INDIRECT(ADDRESS(ROW(NOTA[TANGGAL]),COLUMN(NOTA[TANGGAL]))&amp;":"&amp;ADDRESS(ROW(),COLUMN(NOTA[TANGGAL]))),-1)))</f>
        <v/>
      </c>
      <c r="AH480" s="36" t="str">
        <f ca="1">IF(NOTA[[#This Row],[ID_H]]="","",INDEX(NOTA[TGL.NOTA],MATCH(,INDIRECT(ADDRESS(ROW(NOTA[TGL.NOTA]),COLUMN(NOTA[TGL.NOTA]))&amp;":"&amp;ADDRESS(ROW(),COLUMN(NOTA[TGL.NOTA]))),-1)))</f>
        <v/>
      </c>
      <c r="AI480" s="36" t="str">
        <f ca="1">IF(NOTA[[#This Row],[ID_H]]="","",INDEX(NOTA[NO.NOTA],MATCH(NOTA[[#This Row],[ID_H]],NOTA[ID_H],0)))</f>
        <v/>
      </c>
      <c r="AJ480" s="38" t="str">
        <f ca="1">IF(NOTA[[#This Row],[NAMA BARANG]]="","",INDEX(NOTA[SUPPLIER],MATCH(,INDIRECT(ADDRESS(ROW(NOTA[ID]),COLUMN(NOTA[ID]))&amp;":"&amp;ADDRESS(ROW(),COLUMN(NOTA[ID]))),-1)))</f>
        <v/>
      </c>
      <c r="AK480" s="38" t="str">
        <f ca="1">IF(NOTA[[#This Row],[ID_H]]="","",IF(NOTA[[#This Row],[FAKTUR]]="",INDIRECT(ADDRESS(ROW()-1,COLUMN())),NOTA[[#This Row],[FAKTUR]]))</f>
        <v/>
      </c>
      <c r="AL480" s="35" t="str">
        <f ca="1">IF(NOTA[[#This Row],[ID]]="","",COUNTIF(NOTA[ID_H],NOTA[[#This Row],[ID_H]]))</f>
        <v/>
      </c>
      <c r="AM480" s="35" t="str">
        <f ca="1">IF(NOTA[[#This Row],[TGL.NOTA]]="",IF(NOTA[[#This Row],[SUPPLIER_H]]="","",AM479),MONTH(NOTA[[#This Row],[TGL.NOTA]]))</f>
        <v/>
      </c>
      <c r="AN4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0" s="35" t="str">
        <f>IF(NOTA[[#This Row],[CONCAT1]]="","",MATCH(NOTA[[#This Row],[CONCAT1]],[3]!db[NB NOTA_C],0))</f>
        <v/>
      </c>
      <c r="AS480" s="35" t="str">
        <f>IF(NOTA[[#This Row],[Column5]]="","",TRUE)</f>
        <v/>
      </c>
      <c r="AT480" s="35" t="str">
        <f ca="1">IF(NOTA[[#This Row],[ID_H]]="","",IF(NOTA[[#This Row],[Column3]]=TRUE,NOTA[[#This Row],[Column5]],INDEX([3]!db[QTY/ CTN],NOTA[[#This Row],[//DB]])))</f>
        <v/>
      </c>
      <c r="AU4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0" s="35" t="str">
        <f ca="1">IF(NOTA[[#This Row],[ID_H]]="","",MATCH(NOTA[[#This Row],[NB NOTA_C_QTY]],[3]!db[NB NOTA_C_QTY+F],0))</f>
        <v/>
      </c>
      <c r="AW480" s="43" t="str">
        <f ca="1">IF(NOTA[[#This Row],[NB NOTA_C_QTY]]="","",ROW()-2)</f>
        <v/>
      </c>
    </row>
    <row r="481" spans="1:49" ht="20.100000000000001" customHeight="1">
      <c r="A4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5" t="str">
        <f ca="1">IF(NOTA[[#This Row],[NAMA BARANG]]="","",INDEX(NOTA[ID],MATCH(,INDIRECT(ADDRESS(ROW(NOTA[ID]),COLUMN(NOTA[ID]))&amp;":"&amp;ADDRESS(ROW(),COLUMN(NOTA[ID]))),-1)))</f>
        <v/>
      </c>
      <c r="C481" s="45"/>
      <c r="F481" s="46"/>
      <c r="G481" s="35"/>
      <c r="H481" s="36"/>
      <c r="I481" s="35"/>
      <c r="K481" s="37"/>
      <c r="L481" s="35"/>
      <c r="N481" s="38"/>
      <c r="O481" s="39"/>
      <c r="P481" s="47"/>
      <c r="Q481" s="48"/>
      <c r="R481" s="41"/>
      <c r="T481" s="42"/>
      <c r="U481" s="44"/>
      <c r="V481" s="42" t="str">
        <f>IF(NOTA[[#This Row],[HARGA/ CTN]]="",NOTA[[#This Row],[JUMLAH_H]],NOTA[[#This Row],[HARGA/ CTN]]*IF(NOTA[[#This Row],[C]]="",0,NOTA[[#This Row],[C]]))</f>
        <v/>
      </c>
      <c r="W481" s="42" t="str">
        <f>IF(NOTA[[#This Row],[JUMLAH]]="","",NOTA[[#This Row],[JUMLAH]]*NOTA[[#This Row],[Column6]])</f>
        <v/>
      </c>
      <c r="X481" s="42" t="str">
        <f>IF(NOTA[[#This Row],[JUMLAH]]="","",(NOTA[[#This Row],[JUMLAH]]-NOTA[[#This Row],[DISC 1-]])*NOTA[[#This Row],[Column7]])</f>
        <v/>
      </c>
      <c r="Y481" s="42" t="str">
        <f>IF(NOTA[[#This Row],[JUMLAH]]="","",(NOTA[[#This Row],[JUMLAH]]-NOTA[[#This Row],[DISC 1-]]-NOTA[[#This Row],[DISC 2-]])*NOTA[[#This Row],[Column8]])</f>
        <v/>
      </c>
      <c r="Z481" s="42" t="str">
        <f>IF(NOTA[[#This Row],[JUMLAH]]="","",NOTA[[#This Row],[DISC 1-]]+NOTA[[#This Row],[DISC 2-]]+NOTA[[#This Row],[DISC 3-]])</f>
        <v/>
      </c>
      <c r="AA481" s="42" t="str">
        <f>IF(NOTA[[#This Row],[JUMLAH]]="","",NOTA[[#This Row],[JUMLAH]]-NOTA[[#This Row],[DISC]])</f>
        <v/>
      </c>
      <c r="AB481" s="42"/>
      <c r="AC4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42" t="str">
        <f>IF(OR(NOTA[[#This Row],[QTY]]="",NOTA[[#This Row],[HARGA SATUAN]]="",),"",NOTA[[#This Row],[QTY]]*NOTA[[#This Row],[HARGA SATUAN]])</f>
        <v/>
      </c>
      <c r="AG481" s="36" t="str">
        <f ca="1">IF(NOTA[[#This Row],[ID_H]]="","",INDEX(NOTA[TANGGAL],MATCH(,INDIRECT(ADDRESS(ROW(NOTA[TANGGAL]),COLUMN(NOTA[TANGGAL]))&amp;":"&amp;ADDRESS(ROW(),COLUMN(NOTA[TANGGAL]))),-1)))</f>
        <v/>
      </c>
      <c r="AH481" s="36" t="str">
        <f ca="1">IF(NOTA[[#This Row],[ID_H]]="","",INDEX(NOTA[TGL.NOTA],MATCH(,INDIRECT(ADDRESS(ROW(NOTA[TGL.NOTA]),COLUMN(NOTA[TGL.NOTA]))&amp;":"&amp;ADDRESS(ROW(),COLUMN(NOTA[TGL.NOTA]))),-1)))</f>
        <v/>
      </c>
      <c r="AI481" s="36" t="str">
        <f ca="1">IF(NOTA[[#This Row],[ID_H]]="","",INDEX(NOTA[NO.NOTA],MATCH(NOTA[[#This Row],[ID_H]],NOTA[ID_H],0)))</f>
        <v/>
      </c>
      <c r="AJ481" s="38" t="str">
        <f ca="1">IF(NOTA[[#This Row],[NAMA BARANG]]="","",INDEX(NOTA[SUPPLIER],MATCH(,INDIRECT(ADDRESS(ROW(NOTA[ID]),COLUMN(NOTA[ID]))&amp;":"&amp;ADDRESS(ROW(),COLUMN(NOTA[ID]))),-1)))</f>
        <v/>
      </c>
      <c r="AK481" s="38" t="str">
        <f ca="1">IF(NOTA[[#This Row],[ID_H]]="","",IF(NOTA[[#This Row],[FAKTUR]]="",INDIRECT(ADDRESS(ROW()-1,COLUMN())),NOTA[[#This Row],[FAKTUR]]))</f>
        <v/>
      </c>
      <c r="AL481" s="35" t="str">
        <f ca="1">IF(NOTA[[#This Row],[ID]]="","",COUNTIF(NOTA[ID_H],NOTA[[#This Row],[ID_H]]))</f>
        <v/>
      </c>
      <c r="AM481" s="35" t="str">
        <f ca="1">IF(NOTA[[#This Row],[TGL.NOTA]]="",IF(NOTA[[#This Row],[SUPPLIER_H]]="","",AM480),MONTH(NOTA[[#This Row],[TGL.NOTA]]))</f>
        <v/>
      </c>
      <c r="AN4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1" s="35" t="str">
        <f>IF(NOTA[[#This Row],[CONCAT1]]="","",MATCH(NOTA[[#This Row],[CONCAT1]],[3]!db[NB NOTA_C],0))</f>
        <v/>
      </c>
      <c r="AS481" s="35" t="str">
        <f>IF(NOTA[[#This Row],[Column5]]="","",TRUE)</f>
        <v/>
      </c>
      <c r="AT481" s="35" t="str">
        <f ca="1">IF(NOTA[[#This Row],[ID_H]]="","",IF(NOTA[[#This Row],[Column3]]=TRUE,NOTA[[#This Row],[Column5]],INDEX([3]!db[QTY/ CTN],NOTA[[#This Row],[//DB]])))</f>
        <v/>
      </c>
      <c r="AU4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1" s="35" t="str">
        <f ca="1">IF(NOTA[[#This Row],[ID_H]]="","",MATCH(NOTA[[#This Row],[NB NOTA_C_QTY]],[3]!db[NB NOTA_C_QTY+F],0))</f>
        <v/>
      </c>
      <c r="AW481" s="43" t="str">
        <f ca="1">IF(NOTA[[#This Row],[NB NOTA_C_QTY]]="","",ROW()-2)</f>
        <v/>
      </c>
    </row>
    <row r="482" spans="1:49" ht="20.100000000000001" customHeight="1">
      <c r="A4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5" t="str">
        <f ca="1">IF(NOTA[[#This Row],[NAMA BARANG]]="","",INDEX(NOTA[ID],MATCH(,INDIRECT(ADDRESS(ROW(NOTA[ID]),COLUMN(NOTA[ID]))&amp;":"&amp;ADDRESS(ROW(),COLUMN(NOTA[ID]))),-1)))</f>
        <v/>
      </c>
      <c r="C482" s="45"/>
      <c r="F482" s="46"/>
      <c r="G482" s="35"/>
      <c r="H482" s="36"/>
      <c r="I482" s="35"/>
      <c r="K482" s="37"/>
      <c r="L482" s="35"/>
      <c r="N482" s="38"/>
      <c r="O482" s="39"/>
      <c r="P482" s="47"/>
      <c r="Q482" s="48"/>
      <c r="R482" s="41"/>
      <c r="T482" s="42"/>
      <c r="U482" s="44"/>
      <c r="V482" s="42" t="str">
        <f>IF(NOTA[[#This Row],[HARGA/ CTN]]="",NOTA[[#This Row],[JUMLAH_H]],NOTA[[#This Row],[HARGA/ CTN]]*IF(NOTA[[#This Row],[C]]="",0,NOTA[[#This Row],[C]]))</f>
        <v/>
      </c>
      <c r="W482" s="42" t="str">
        <f>IF(NOTA[[#This Row],[JUMLAH]]="","",NOTA[[#This Row],[JUMLAH]]*NOTA[[#This Row],[Column6]])</f>
        <v/>
      </c>
      <c r="X482" s="42" t="str">
        <f>IF(NOTA[[#This Row],[JUMLAH]]="","",(NOTA[[#This Row],[JUMLAH]]-NOTA[[#This Row],[DISC 1-]])*NOTA[[#This Row],[Column7]])</f>
        <v/>
      </c>
      <c r="Y482" s="42" t="str">
        <f>IF(NOTA[[#This Row],[JUMLAH]]="","",(NOTA[[#This Row],[JUMLAH]]-NOTA[[#This Row],[DISC 1-]]-NOTA[[#This Row],[DISC 2-]])*NOTA[[#This Row],[Column8]])</f>
        <v/>
      </c>
      <c r="Z482" s="42" t="str">
        <f>IF(NOTA[[#This Row],[JUMLAH]]="","",NOTA[[#This Row],[DISC 1-]]+NOTA[[#This Row],[DISC 2-]]+NOTA[[#This Row],[DISC 3-]])</f>
        <v/>
      </c>
      <c r="AA482" s="42" t="str">
        <f>IF(NOTA[[#This Row],[JUMLAH]]="","",NOTA[[#This Row],[JUMLAH]]-NOTA[[#This Row],[DISC]])</f>
        <v/>
      </c>
      <c r="AB482" s="42"/>
      <c r="AC4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42" t="str">
        <f>IF(OR(NOTA[[#This Row],[QTY]]="",NOTA[[#This Row],[HARGA SATUAN]]="",),"",NOTA[[#This Row],[QTY]]*NOTA[[#This Row],[HARGA SATUAN]])</f>
        <v/>
      </c>
      <c r="AG482" s="36" t="str">
        <f ca="1">IF(NOTA[[#This Row],[ID_H]]="","",INDEX(NOTA[TANGGAL],MATCH(,INDIRECT(ADDRESS(ROW(NOTA[TANGGAL]),COLUMN(NOTA[TANGGAL]))&amp;":"&amp;ADDRESS(ROW(),COLUMN(NOTA[TANGGAL]))),-1)))</f>
        <v/>
      </c>
      <c r="AH482" s="36" t="str">
        <f ca="1">IF(NOTA[[#This Row],[ID_H]]="","",INDEX(NOTA[TGL.NOTA],MATCH(,INDIRECT(ADDRESS(ROW(NOTA[TGL.NOTA]),COLUMN(NOTA[TGL.NOTA]))&amp;":"&amp;ADDRESS(ROW(),COLUMN(NOTA[TGL.NOTA]))),-1)))</f>
        <v/>
      </c>
      <c r="AI482" s="36" t="str">
        <f ca="1">IF(NOTA[[#This Row],[ID_H]]="","",INDEX(NOTA[NO.NOTA],MATCH(NOTA[[#This Row],[ID_H]],NOTA[ID_H],0)))</f>
        <v/>
      </c>
      <c r="AJ482" s="38" t="str">
        <f ca="1">IF(NOTA[[#This Row],[NAMA BARANG]]="","",INDEX(NOTA[SUPPLIER],MATCH(,INDIRECT(ADDRESS(ROW(NOTA[ID]),COLUMN(NOTA[ID]))&amp;":"&amp;ADDRESS(ROW(),COLUMN(NOTA[ID]))),-1)))</f>
        <v/>
      </c>
      <c r="AK482" s="38" t="str">
        <f ca="1">IF(NOTA[[#This Row],[ID_H]]="","",IF(NOTA[[#This Row],[FAKTUR]]="",INDIRECT(ADDRESS(ROW()-1,COLUMN())),NOTA[[#This Row],[FAKTUR]]))</f>
        <v/>
      </c>
      <c r="AL482" s="35" t="str">
        <f ca="1">IF(NOTA[[#This Row],[ID]]="","",COUNTIF(NOTA[ID_H],NOTA[[#This Row],[ID_H]]))</f>
        <v/>
      </c>
      <c r="AM482" s="35" t="str">
        <f ca="1">IF(NOTA[[#This Row],[TGL.NOTA]]="",IF(NOTA[[#This Row],[SUPPLIER_H]]="","",AM481),MONTH(NOTA[[#This Row],[TGL.NOTA]]))</f>
        <v/>
      </c>
      <c r="AN4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2" s="35" t="str">
        <f>IF(NOTA[[#This Row],[CONCAT1]]="","",MATCH(NOTA[[#This Row],[CONCAT1]],[3]!db[NB NOTA_C],0))</f>
        <v/>
      </c>
      <c r="AS482" s="35" t="str">
        <f>IF(NOTA[[#This Row],[Column5]]="","",TRUE)</f>
        <v/>
      </c>
      <c r="AT482" s="35" t="str">
        <f ca="1">IF(NOTA[[#This Row],[ID_H]]="","",IF(NOTA[[#This Row],[Column3]]=TRUE,NOTA[[#This Row],[Column5]],INDEX([3]!db[QTY/ CTN],NOTA[[#This Row],[//DB]])))</f>
        <v/>
      </c>
      <c r="AU4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2" s="35" t="str">
        <f ca="1">IF(NOTA[[#This Row],[ID_H]]="","",MATCH(NOTA[[#This Row],[NB NOTA_C_QTY]],[3]!db[NB NOTA_C_QTY+F],0))</f>
        <v/>
      </c>
      <c r="AW482" s="43" t="str">
        <f ca="1">IF(NOTA[[#This Row],[NB NOTA_C_QTY]]="","",ROW()-2)</f>
        <v/>
      </c>
    </row>
    <row r="483" spans="1:49" ht="20.100000000000001" customHeight="1">
      <c r="A4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5" t="str">
        <f ca="1">IF(NOTA[[#This Row],[NAMA BARANG]]="","",INDEX(NOTA[ID],MATCH(,INDIRECT(ADDRESS(ROW(NOTA[ID]),COLUMN(NOTA[ID]))&amp;":"&amp;ADDRESS(ROW(),COLUMN(NOTA[ID]))),-1)))</f>
        <v/>
      </c>
      <c r="C483" s="45"/>
      <c r="F483" s="46"/>
      <c r="G483" s="35"/>
      <c r="H483" s="36"/>
      <c r="I483" s="35"/>
      <c r="K483" s="37"/>
      <c r="L483" s="35"/>
      <c r="N483" s="38"/>
      <c r="O483" s="39"/>
      <c r="P483" s="47"/>
      <c r="Q483" s="48"/>
      <c r="R483" s="41"/>
      <c r="T483" s="42"/>
      <c r="U483" s="44"/>
      <c r="V483" s="42" t="str">
        <f>IF(NOTA[[#This Row],[HARGA/ CTN]]="",NOTA[[#This Row],[JUMLAH_H]],NOTA[[#This Row],[HARGA/ CTN]]*IF(NOTA[[#This Row],[C]]="",0,NOTA[[#This Row],[C]]))</f>
        <v/>
      </c>
      <c r="W483" s="42" t="str">
        <f>IF(NOTA[[#This Row],[JUMLAH]]="","",NOTA[[#This Row],[JUMLAH]]*NOTA[[#This Row],[Column6]])</f>
        <v/>
      </c>
      <c r="X483" s="42" t="str">
        <f>IF(NOTA[[#This Row],[JUMLAH]]="","",(NOTA[[#This Row],[JUMLAH]]-NOTA[[#This Row],[DISC 1-]])*NOTA[[#This Row],[Column7]])</f>
        <v/>
      </c>
      <c r="Y483" s="42" t="str">
        <f>IF(NOTA[[#This Row],[JUMLAH]]="","",(NOTA[[#This Row],[JUMLAH]]-NOTA[[#This Row],[DISC 1-]]-NOTA[[#This Row],[DISC 2-]])*NOTA[[#This Row],[Column8]])</f>
        <v/>
      </c>
      <c r="Z483" s="42" t="str">
        <f>IF(NOTA[[#This Row],[JUMLAH]]="","",NOTA[[#This Row],[DISC 1-]]+NOTA[[#This Row],[DISC 2-]]+NOTA[[#This Row],[DISC 3-]])</f>
        <v/>
      </c>
      <c r="AA483" s="42" t="str">
        <f>IF(NOTA[[#This Row],[JUMLAH]]="","",NOTA[[#This Row],[JUMLAH]]-NOTA[[#This Row],[DISC]])</f>
        <v/>
      </c>
      <c r="AB483" s="42"/>
      <c r="AC4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42" t="str">
        <f>IF(OR(NOTA[[#This Row],[QTY]]="",NOTA[[#This Row],[HARGA SATUAN]]="",),"",NOTA[[#This Row],[QTY]]*NOTA[[#This Row],[HARGA SATUAN]])</f>
        <v/>
      </c>
      <c r="AG483" s="36" t="str">
        <f ca="1">IF(NOTA[[#This Row],[ID_H]]="","",INDEX(NOTA[TANGGAL],MATCH(,INDIRECT(ADDRESS(ROW(NOTA[TANGGAL]),COLUMN(NOTA[TANGGAL]))&amp;":"&amp;ADDRESS(ROW(),COLUMN(NOTA[TANGGAL]))),-1)))</f>
        <v/>
      </c>
      <c r="AH483" s="36" t="str">
        <f ca="1">IF(NOTA[[#This Row],[ID_H]]="","",INDEX(NOTA[TGL.NOTA],MATCH(,INDIRECT(ADDRESS(ROW(NOTA[TGL.NOTA]),COLUMN(NOTA[TGL.NOTA]))&amp;":"&amp;ADDRESS(ROW(),COLUMN(NOTA[TGL.NOTA]))),-1)))</f>
        <v/>
      </c>
      <c r="AI483" s="36" t="str">
        <f ca="1">IF(NOTA[[#This Row],[ID_H]]="","",INDEX(NOTA[NO.NOTA],MATCH(NOTA[[#This Row],[ID_H]],NOTA[ID_H],0)))</f>
        <v/>
      </c>
      <c r="AJ483" s="38" t="str">
        <f ca="1">IF(NOTA[[#This Row],[NAMA BARANG]]="","",INDEX(NOTA[SUPPLIER],MATCH(,INDIRECT(ADDRESS(ROW(NOTA[ID]),COLUMN(NOTA[ID]))&amp;":"&amp;ADDRESS(ROW(),COLUMN(NOTA[ID]))),-1)))</f>
        <v/>
      </c>
      <c r="AK483" s="38" t="str">
        <f ca="1">IF(NOTA[[#This Row],[ID_H]]="","",IF(NOTA[[#This Row],[FAKTUR]]="",INDIRECT(ADDRESS(ROW()-1,COLUMN())),NOTA[[#This Row],[FAKTUR]]))</f>
        <v/>
      </c>
      <c r="AL483" s="35" t="str">
        <f ca="1">IF(NOTA[[#This Row],[ID]]="","",COUNTIF(NOTA[ID_H],NOTA[[#This Row],[ID_H]]))</f>
        <v/>
      </c>
      <c r="AM483" s="35" t="str">
        <f ca="1">IF(NOTA[[#This Row],[TGL.NOTA]]="",IF(NOTA[[#This Row],[SUPPLIER_H]]="","",AM482),MONTH(NOTA[[#This Row],[TGL.NOTA]]))</f>
        <v/>
      </c>
      <c r="AN4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3" s="35" t="str">
        <f>IF(NOTA[[#This Row],[CONCAT1]]="","",MATCH(NOTA[[#This Row],[CONCAT1]],[3]!db[NB NOTA_C],0))</f>
        <v/>
      </c>
      <c r="AS483" s="35" t="str">
        <f>IF(NOTA[[#This Row],[Column5]]="","",TRUE)</f>
        <v/>
      </c>
      <c r="AT483" s="35" t="str">
        <f ca="1">IF(NOTA[[#This Row],[ID_H]]="","",IF(NOTA[[#This Row],[Column3]]=TRUE,NOTA[[#This Row],[Column5]],INDEX([3]!db[QTY/ CTN],NOTA[[#This Row],[//DB]])))</f>
        <v/>
      </c>
      <c r="AU4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3" s="35" t="str">
        <f ca="1">IF(NOTA[[#This Row],[ID_H]]="","",MATCH(NOTA[[#This Row],[NB NOTA_C_QTY]],[3]!db[NB NOTA_C_QTY+F],0))</f>
        <v/>
      </c>
      <c r="AW483" s="43" t="str">
        <f ca="1">IF(NOTA[[#This Row],[NB NOTA_C_QTY]]="","",ROW()-2)</f>
        <v/>
      </c>
    </row>
    <row r="484" spans="1:49" ht="20.100000000000001" customHeight="1">
      <c r="A4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5" t="str">
        <f ca="1">IF(NOTA[[#This Row],[NAMA BARANG]]="","",INDEX(NOTA[ID],MATCH(,INDIRECT(ADDRESS(ROW(NOTA[ID]),COLUMN(NOTA[ID]))&amp;":"&amp;ADDRESS(ROW(),COLUMN(NOTA[ID]))),-1)))</f>
        <v/>
      </c>
      <c r="C484" s="45"/>
      <c r="F484" s="46"/>
      <c r="G484" s="35"/>
      <c r="H484" s="36"/>
      <c r="I484" s="35"/>
      <c r="K484" s="37"/>
      <c r="L484" s="35"/>
      <c r="N484" s="38"/>
      <c r="O484" s="39"/>
      <c r="P484" s="47"/>
      <c r="Q484" s="48"/>
      <c r="R484" s="41"/>
      <c r="T484" s="42"/>
      <c r="U484" s="44"/>
      <c r="V484" s="42" t="str">
        <f>IF(NOTA[[#This Row],[HARGA/ CTN]]="",NOTA[[#This Row],[JUMLAH_H]],NOTA[[#This Row],[HARGA/ CTN]]*IF(NOTA[[#This Row],[C]]="",0,NOTA[[#This Row],[C]]))</f>
        <v/>
      </c>
      <c r="W484" s="42" t="str">
        <f>IF(NOTA[[#This Row],[JUMLAH]]="","",NOTA[[#This Row],[JUMLAH]]*NOTA[[#This Row],[Column6]])</f>
        <v/>
      </c>
      <c r="X484" s="42" t="str">
        <f>IF(NOTA[[#This Row],[JUMLAH]]="","",(NOTA[[#This Row],[JUMLAH]]-NOTA[[#This Row],[DISC 1-]])*NOTA[[#This Row],[Column7]])</f>
        <v/>
      </c>
      <c r="Y484" s="42" t="str">
        <f>IF(NOTA[[#This Row],[JUMLAH]]="","",(NOTA[[#This Row],[JUMLAH]]-NOTA[[#This Row],[DISC 1-]]-NOTA[[#This Row],[DISC 2-]])*NOTA[[#This Row],[Column8]])</f>
        <v/>
      </c>
      <c r="Z484" s="42" t="str">
        <f>IF(NOTA[[#This Row],[JUMLAH]]="","",NOTA[[#This Row],[DISC 1-]]+NOTA[[#This Row],[DISC 2-]]+NOTA[[#This Row],[DISC 3-]])</f>
        <v/>
      </c>
      <c r="AA484" s="42" t="str">
        <f>IF(NOTA[[#This Row],[JUMLAH]]="","",NOTA[[#This Row],[JUMLAH]]-NOTA[[#This Row],[DISC]])</f>
        <v/>
      </c>
      <c r="AB484" s="42"/>
      <c r="AC4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42" t="str">
        <f>IF(OR(NOTA[[#This Row],[QTY]]="",NOTA[[#This Row],[HARGA SATUAN]]="",),"",NOTA[[#This Row],[QTY]]*NOTA[[#This Row],[HARGA SATUAN]])</f>
        <v/>
      </c>
      <c r="AG484" s="36" t="str">
        <f ca="1">IF(NOTA[[#This Row],[ID_H]]="","",INDEX(NOTA[TANGGAL],MATCH(,INDIRECT(ADDRESS(ROW(NOTA[TANGGAL]),COLUMN(NOTA[TANGGAL]))&amp;":"&amp;ADDRESS(ROW(),COLUMN(NOTA[TANGGAL]))),-1)))</f>
        <v/>
      </c>
      <c r="AH484" s="36" t="str">
        <f ca="1">IF(NOTA[[#This Row],[ID_H]]="","",INDEX(NOTA[TGL.NOTA],MATCH(,INDIRECT(ADDRESS(ROW(NOTA[TGL.NOTA]),COLUMN(NOTA[TGL.NOTA]))&amp;":"&amp;ADDRESS(ROW(),COLUMN(NOTA[TGL.NOTA]))),-1)))</f>
        <v/>
      </c>
      <c r="AI484" s="36" t="str">
        <f ca="1">IF(NOTA[[#This Row],[ID_H]]="","",INDEX(NOTA[NO.NOTA],MATCH(NOTA[[#This Row],[ID_H]],NOTA[ID_H],0)))</f>
        <v/>
      </c>
      <c r="AJ484" s="38" t="str">
        <f ca="1">IF(NOTA[[#This Row],[NAMA BARANG]]="","",INDEX(NOTA[SUPPLIER],MATCH(,INDIRECT(ADDRESS(ROW(NOTA[ID]),COLUMN(NOTA[ID]))&amp;":"&amp;ADDRESS(ROW(),COLUMN(NOTA[ID]))),-1)))</f>
        <v/>
      </c>
      <c r="AK484" s="38" t="str">
        <f ca="1">IF(NOTA[[#This Row],[ID_H]]="","",IF(NOTA[[#This Row],[FAKTUR]]="",INDIRECT(ADDRESS(ROW()-1,COLUMN())),NOTA[[#This Row],[FAKTUR]]))</f>
        <v/>
      </c>
      <c r="AL484" s="35" t="str">
        <f ca="1">IF(NOTA[[#This Row],[ID]]="","",COUNTIF(NOTA[ID_H],NOTA[[#This Row],[ID_H]]))</f>
        <v/>
      </c>
      <c r="AM484" s="35" t="str">
        <f ca="1">IF(NOTA[[#This Row],[TGL.NOTA]]="",IF(NOTA[[#This Row],[SUPPLIER_H]]="","",AM483),MONTH(NOTA[[#This Row],[TGL.NOTA]]))</f>
        <v/>
      </c>
      <c r="AN4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4" s="35" t="str">
        <f>IF(NOTA[[#This Row],[CONCAT1]]="","",MATCH(NOTA[[#This Row],[CONCAT1]],[3]!db[NB NOTA_C],0))</f>
        <v/>
      </c>
      <c r="AS484" s="35" t="str">
        <f>IF(NOTA[[#This Row],[Column5]]="","",TRUE)</f>
        <v/>
      </c>
      <c r="AT484" s="35" t="str">
        <f ca="1">IF(NOTA[[#This Row],[ID_H]]="","",IF(NOTA[[#This Row],[Column3]]=TRUE,NOTA[[#This Row],[Column5]],INDEX([3]!db[QTY/ CTN],NOTA[[#This Row],[//DB]])))</f>
        <v/>
      </c>
      <c r="AU4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4" s="35" t="str">
        <f ca="1">IF(NOTA[[#This Row],[ID_H]]="","",MATCH(NOTA[[#This Row],[NB NOTA_C_QTY]],[3]!db[NB NOTA_C_QTY+F],0))</f>
        <v/>
      </c>
      <c r="AW484" s="43" t="str">
        <f ca="1">IF(NOTA[[#This Row],[NB NOTA_C_QTY]]="","",ROW()-2)</f>
        <v/>
      </c>
    </row>
    <row r="485" spans="1:49" ht="20.100000000000001" customHeight="1">
      <c r="A4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5" t="str">
        <f ca="1">IF(NOTA[[#This Row],[NAMA BARANG]]="","",INDEX(NOTA[ID],MATCH(,INDIRECT(ADDRESS(ROW(NOTA[ID]),COLUMN(NOTA[ID]))&amp;":"&amp;ADDRESS(ROW(),COLUMN(NOTA[ID]))),-1)))</f>
        <v/>
      </c>
      <c r="C485" s="45"/>
      <c r="F485" s="46"/>
      <c r="G485" s="35"/>
      <c r="H485" s="36"/>
      <c r="I485" s="35"/>
      <c r="K485" s="37"/>
      <c r="L485" s="35"/>
      <c r="N485" s="38"/>
      <c r="O485" s="39"/>
      <c r="P485" s="47"/>
      <c r="Q485" s="48"/>
      <c r="R485" s="41"/>
      <c r="T485" s="42"/>
      <c r="U485" s="44"/>
      <c r="V485" s="42" t="str">
        <f>IF(NOTA[[#This Row],[HARGA/ CTN]]="",NOTA[[#This Row],[JUMLAH_H]],NOTA[[#This Row],[HARGA/ CTN]]*IF(NOTA[[#This Row],[C]]="",0,NOTA[[#This Row],[C]]))</f>
        <v/>
      </c>
      <c r="W485" s="42" t="str">
        <f>IF(NOTA[[#This Row],[JUMLAH]]="","",NOTA[[#This Row],[JUMLAH]]*NOTA[[#This Row],[Column6]])</f>
        <v/>
      </c>
      <c r="X485" s="42" t="str">
        <f>IF(NOTA[[#This Row],[JUMLAH]]="","",(NOTA[[#This Row],[JUMLAH]]-NOTA[[#This Row],[DISC 1-]])*NOTA[[#This Row],[Column7]])</f>
        <v/>
      </c>
      <c r="Y485" s="42" t="str">
        <f>IF(NOTA[[#This Row],[JUMLAH]]="","",(NOTA[[#This Row],[JUMLAH]]-NOTA[[#This Row],[DISC 1-]]-NOTA[[#This Row],[DISC 2-]])*NOTA[[#This Row],[Column8]])</f>
        <v/>
      </c>
      <c r="Z485" s="42" t="str">
        <f>IF(NOTA[[#This Row],[JUMLAH]]="","",NOTA[[#This Row],[DISC 1-]]+NOTA[[#This Row],[DISC 2-]]+NOTA[[#This Row],[DISC 3-]])</f>
        <v/>
      </c>
      <c r="AA485" s="42" t="str">
        <f>IF(NOTA[[#This Row],[JUMLAH]]="","",NOTA[[#This Row],[JUMLAH]]-NOTA[[#This Row],[DISC]])</f>
        <v/>
      </c>
      <c r="AB485" s="42"/>
      <c r="AC4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42" t="str">
        <f>IF(OR(NOTA[[#This Row],[QTY]]="",NOTA[[#This Row],[HARGA SATUAN]]="",),"",NOTA[[#This Row],[QTY]]*NOTA[[#This Row],[HARGA SATUAN]])</f>
        <v/>
      </c>
      <c r="AG485" s="36" t="str">
        <f ca="1">IF(NOTA[[#This Row],[ID_H]]="","",INDEX(NOTA[TANGGAL],MATCH(,INDIRECT(ADDRESS(ROW(NOTA[TANGGAL]),COLUMN(NOTA[TANGGAL]))&amp;":"&amp;ADDRESS(ROW(),COLUMN(NOTA[TANGGAL]))),-1)))</f>
        <v/>
      </c>
      <c r="AH485" s="36" t="str">
        <f ca="1">IF(NOTA[[#This Row],[ID_H]]="","",INDEX(NOTA[TGL.NOTA],MATCH(,INDIRECT(ADDRESS(ROW(NOTA[TGL.NOTA]),COLUMN(NOTA[TGL.NOTA]))&amp;":"&amp;ADDRESS(ROW(),COLUMN(NOTA[TGL.NOTA]))),-1)))</f>
        <v/>
      </c>
      <c r="AI485" s="36" t="str">
        <f ca="1">IF(NOTA[[#This Row],[ID_H]]="","",INDEX(NOTA[NO.NOTA],MATCH(NOTA[[#This Row],[ID_H]],NOTA[ID_H],0)))</f>
        <v/>
      </c>
      <c r="AJ485" s="38" t="str">
        <f ca="1">IF(NOTA[[#This Row],[NAMA BARANG]]="","",INDEX(NOTA[SUPPLIER],MATCH(,INDIRECT(ADDRESS(ROW(NOTA[ID]),COLUMN(NOTA[ID]))&amp;":"&amp;ADDRESS(ROW(),COLUMN(NOTA[ID]))),-1)))</f>
        <v/>
      </c>
      <c r="AK485" s="38" t="str">
        <f ca="1">IF(NOTA[[#This Row],[ID_H]]="","",IF(NOTA[[#This Row],[FAKTUR]]="",INDIRECT(ADDRESS(ROW()-1,COLUMN())),NOTA[[#This Row],[FAKTUR]]))</f>
        <v/>
      </c>
      <c r="AL485" s="35" t="str">
        <f ca="1">IF(NOTA[[#This Row],[ID]]="","",COUNTIF(NOTA[ID_H],NOTA[[#This Row],[ID_H]]))</f>
        <v/>
      </c>
      <c r="AM485" s="35" t="str">
        <f ca="1">IF(NOTA[[#This Row],[TGL.NOTA]]="",IF(NOTA[[#This Row],[SUPPLIER_H]]="","",AM484),MONTH(NOTA[[#This Row],[TGL.NOTA]]))</f>
        <v/>
      </c>
      <c r="AN4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5" s="35" t="str">
        <f>IF(NOTA[[#This Row],[CONCAT1]]="","",MATCH(NOTA[[#This Row],[CONCAT1]],[3]!db[NB NOTA_C],0))</f>
        <v/>
      </c>
      <c r="AS485" s="35" t="str">
        <f>IF(NOTA[[#This Row],[Column5]]="","",TRUE)</f>
        <v/>
      </c>
      <c r="AT485" s="35" t="str">
        <f ca="1">IF(NOTA[[#This Row],[ID_H]]="","",IF(NOTA[[#This Row],[Column3]]=TRUE,NOTA[[#This Row],[Column5]],INDEX([3]!db[QTY/ CTN],NOTA[[#This Row],[//DB]])))</f>
        <v/>
      </c>
      <c r="AU4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5" s="35" t="str">
        <f ca="1">IF(NOTA[[#This Row],[ID_H]]="","",MATCH(NOTA[[#This Row],[NB NOTA_C_QTY]],[3]!db[NB NOTA_C_QTY+F],0))</f>
        <v/>
      </c>
      <c r="AW485" s="43" t="str">
        <f ca="1">IF(NOTA[[#This Row],[NB NOTA_C_QTY]]="","",ROW()-2)</f>
        <v/>
      </c>
    </row>
    <row r="486" spans="1:49" ht="20.100000000000001" customHeight="1">
      <c r="A4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5" t="str">
        <f ca="1">IF(NOTA[[#This Row],[NAMA BARANG]]="","",INDEX(NOTA[ID],MATCH(,INDIRECT(ADDRESS(ROW(NOTA[ID]),COLUMN(NOTA[ID]))&amp;":"&amp;ADDRESS(ROW(),COLUMN(NOTA[ID]))),-1)))</f>
        <v/>
      </c>
      <c r="C486" s="45"/>
      <c r="F486" s="46"/>
      <c r="G486" s="35"/>
      <c r="H486" s="36"/>
      <c r="I486" s="35"/>
      <c r="K486" s="37"/>
      <c r="L486" s="35"/>
      <c r="N486" s="38"/>
      <c r="O486" s="39"/>
      <c r="P486" s="47"/>
      <c r="Q486" s="48"/>
      <c r="R486" s="41"/>
      <c r="T486" s="42"/>
      <c r="U486" s="44"/>
      <c r="V486" s="42" t="str">
        <f>IF(NOTA[[#This Row],[HARGA/ CTN]]="",NOTA[[#This Row],[JUMLAH_H]],NOTA[[#This Row],[HARGA/ CTN]]*IF(NOTA[[#This Row],[C]]="",0,NOTA[[#This Row],[C]]))</f>
        <v/>
      </c>
      <c r="W486" s="42" t="str">
        <f>IF(NOTA[[#This Row],[JUMLAH]]="","",NOTA[[#This Row],[JUMLAH]]*NOTA[[#This Row],[Column6]])</f>
        <v/>
      </c>
      <c r="X486" s="42" t="str">
        <f>IF(NOTA[[#This Row],[JUMLAH]]="","",(NOTA[[#This Row],[JUMLAH]]-NOTA[[#This Row],[DISC 1-]])*NOTA[[#This Row],[Column7]])</f>
        <v/>
      </c>
      <c r="Y486" s="42" t="str">
        <f>IF(NOTA[[#This Row],[JUMLAH]]="","",(NOTA[[#This Row],[JUMLAH]]-NOTA[[#This Row],[DISC 1-]]-NOTA[[#This Row],[DISC 2-]])*NOTA[[#This Row],[Column8]])</f>
        <v/>
      </c>
      <c r="Z486" s="42" t="str">
        <f>IF(NOTA[[#This Row],[JUMLAH]]="","",NOTA[[#This Row],[DISC 1-]]+NOTA[[#This Row],[DISC 2-]]+NOTA[[#This Row],[DISC 3-]])</f>
        <v/>
      </c>
      <c r="AA486" s="42" t="str">
        <f>IF(NOTA[[#This Row],[JUMLAH]]="","",NOTA[[#This Row],[JUMLAH]]-NOTA[[#This Row],[DISC]])</f>
        <v/>
      </c>
      <c r="AB486" s="42"/>
      <c r="AC4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42" t="str">
        <f>IF(OR(NOTA[[#This Row],[QTY]]="",NOTA[[#This Row],[HARGA SATUAN]]="",),"",NOTA[[#This Row],[QTY]]*NOTA[[#This Row],[HARGA SATUAN]])</f>
        <v/>
      </c>
      <c r="AG486" s="36" t="str">
        <f ca="1">IF(NOTA[[#This Row],[ID_H]]="","",INDEX(NOTA[TANGGAL],MATCH(,INDIRECT(ADDRESS(ROW(NOTA[TANGGAL]),COLUMN(NOTA[TANGGAL]))&amp;":"&amp;ADDRESS(ROW(),COLUMN(NOTA[TANGGAL]))),-1)))</f>
        <v/>
      </c>
      <c r="AH486" s="36" t="str">
        <f ca="1">IF(NOTA[[#This Row],[ID_H]]="","",INDEX(NOTA[TGL.NOTA],MATCH(,INDIRECT(ADDRESS(ROW(NOTA[TGL.NOTA]),COLUMN(NOTA[TGL.NOTA]))&amp;":"&amp;ADDRESS(ROW(),COLUMN(NOTA[TGL.NOTA]))),-1)))</f>
        <v/>
      </c>
      <c r="AI486" s="36" t="str">
        <f ca="1">IF(NOTA[[#This Row],[ID_H]]="","",INDEX(NOTA[NO.NOTA],MATCH(NOTA[[#This Row],[ID_H]],NOTA[ID_H],0)))</f>
        <v/>
      </c>
      <c r="AJ486" s="38" t="str">
        <f ca="1">IF(NOTA[[#This Row],[NAMA BARANG]]="","",INDEX(NOTA[SUPPLIER],MATCH(,INDIRECT(ADDRESS(ROW(NOTA[ID]),COLUMN(NOTA[ID]))&amp;":"&amp;ADDRESS(ROW(),COLUMN(NOTA[ID]))),-1)))</f>
        <v/>
      </c>
      <c r="AK486" s="38" t="str">
        <f ca="1">IF(NOTA[[#This Row],[ID_H]]="","",IF(NOTA[[#This Row],[FAKTUR]]="",INDIRECT(ADDRESS(ROW()-1,COLUMN())),NOTA[[#This Row],[FAKTUR]]))</f>
        <v/>
      </c>
      <c r="AL486" s="35" t="str">
        <f ca="1">IF(NOTA[[#This Row],[ID]]="","",COUNTIF(NOTA[ID_H],NOTA[[#This Row],[ID_H]]))</f>
        <v/>
      </c>
      <c r="AM486" s="35" t="str">
        <f ca="1">IF(NOTA[[#This Row],[TGL.NOTA]]="",IF(NOTA[[#This Row],[SUPPLIER_H]]="","",AM485),MONTH(NOTA[[#This Row],[TGL.NOTA]]))</f>
        <v/>
      </c>
      <c r="AN4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6" s="35" t="str">
        <f>IF(NOTA[[#This Row],[CONCAT1]]="","",MATCH(NOTA[[#This Row],[CONCAT1]],[3]!db[NB NOTA_C],0))</f>
        <v/>
      </c>
      <c r="AS486" s="35" t="str">
        <f>IF(NOTA[[#This Row],[Column5]]="","",TRUE)</f>
        <v/>
      </c>
      <c r="AT486" s="35" t="str">
        <f ca="1">IF(NOTA[[#This Row],[ID_H]]="","",IF(NOTA[[#This Row],[Column3]]=TRUE,NOTA[[#This Row],[Column5]],INDEX([3]!db[QTY/ CTN],NOTA[[#This Row],[//DB]])))</f>
        <v/>
      </c>
      <c r="AU4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6" s="35" t="str">
        <f ca="1">IF(NOTA[[#This Row],[ID_H]]="","",MATCH(NOTA[[#This Row],[NB NOTA_C_QTY]],[3]!db[NB NOTA_C_QTY+F],0))</f>
        <v/>
      </c>
      <c r="AW486" s="43" t="str">
        <f ca="1">IF(NOTA[[#This Row],[NB NOTA_C_QTY]]="","",ROW()-2)</f>
        <v/>
      </c>
    </row>
    <row r="487" spans="1:49" ht="20.100000000000001" customHeight="1">
      <c r="A4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5" t="str">
        <f ca="1">IF(NOTA[[#This Row],[NAMA BARANG]]="","",INDEX(NOTA[ID],MATCH(,INDIRECT(ADDRESS(ROW(NOTA[ID]),COLUMN(NOTA[ID]))&amp;":"&amp;ADDRESS(ROW(),COLUMN(NOTA[ID]))),-1)))</f>
        <v/>
      </c>
      <c r="C487" s="45"/>
      <c r="F487" s="46"/>
      <c r="G487" s="35"/>
      <c r="H487" s="36"/>
      <c r="I487" s="35"/>
      <c r="K487" s="37"/>
      <c r="L487" s="35"/>
      <c r="N487" s="38"/>
      <c r="O487" s="39"/>
      <c r="P487" s="47"/>
      <c r="Q487" s="48"/>
      <c r="R487" s="41"/>
      <c r="T487" s="42"/>
      <c r="U487" s="44"/>
      <c r="V487" s="42" t="str">
        <f>IF(NOTA[[#This Row],[HARGA/ CTN]]="",NOTA[[#This Row],[JUMLAH_H]],NOTA[[#This Row],[HARGA/ CTN]]*IF(NOTA[[#This Row],[C]]="",0,NOTA[[#This Row],[C]]))</f>
        <v/>
      </c>
      <c r="W487" s="42" t="str">
        <f>IF(NOTA[[#This Row],[JUMLAH]]="","",NOTA[[#This Row],[JUMLAH]]*NOTA[[#This Row],[Column6]])</f>
        <v/>
      </c>
      <c r="X487" s="42" t="str">
        <f>IF(NOTA[[#This Row],[JUMLAH]]="","",(NOTA[[#This Row],[JUMLAH]]-NOTA[[#This Row],[DISC 1-]])*NOTA[[#This Row],[Column7]])</f>
        <v/>
      </c>
      <c r="Y487" s="42" t="str">
        <f>IF(NOTA[[#This Row],[JUMLAH]]="","",(NOTA[[#This Row],[JUMLAH]]-NOTA[[#This Row],[DISC 1-]]-NOTA[[#This Row],[DISC 2-]])*NOTA[[#This Row],[Column8]])</f>
        <v/>
      </c>
      <c r="Z487" s="42" t="str">
        <f>IF(NOTA[[#This Row],[JUMLAH]]="","",NOTA[[#This Row],[DISC 1-]]+NOTA[[#This Row],[DISC 2-]]+NOTA[[#This Row],[DISC 3-]])</f>
        <v/>
      </c>
      <c r="AA487" s="42" t="str">
        <f>IF(NOTA[[#This Row],[JUMLAH]]="","",NOTA[[#This Row],[JUMLAH]]-NOTA[[#This Row],[DISC]])</f>
        <v/>
      </c>
      <c r="AB487" s="42"/>
      <c r="AC4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42" t="str">
        <f>IF(OR(NOTA[[#This Row],[QTY]]="",NOTA[[#This Row],[HARGA SATUAN]]="",),"",NOTA[[#This Row],[QTY]]*NOTA[[#This Row],[HARGA SATUAN]])</f>
        <v/>
      </c>
      <c r="AG487" s="36" t="str">
        <f ca="1">IF(NOTA[[#This Row],[ID_H]]="","",INDEX(NOTA[TANGGAL],MATCH(,INDIRECT(ADDRESS(ROW(NOTA[TANGGAL]),COLUMN(NOTA[TANGGAL]))&amp;":"&amp;ADDRESS(ROW(),COLUMN(NOTA[TANGGAL]))),-1)))</f>
        <v/>
      </c>
      <c r="AH487" s="36" t="str">
        <f ca="1">IF(NOTA[[#This Row],[ID_H]]="","",INDEX(NOTA[TGL.NOTA],MATCH(,INDIRECT(ADDRESS(ROW(NOTA[TGL.NOTA]),COLUMN(NOTA[TGL.NOTA]))&amp;":"&amp;ADDRESS(ROW(),COLUMN(NOTA[TGL.NOTA]))),-1)))</f>
        <v/>
      </c>
      <c r="AI487" s="36" t="str">
        <f ca="1">IF(NOTA[[#This Row],[ID_H]]="","",INDEX(NOTA[NO.NOTA],MATCH(NOTA[[#This Row],[ID_H]],NOTA[ID_H],0)))</f>
        <v/>
      </c>
      <c r="AJ487" s="38" t="str">
        <f ca="1">IF(NOTA[[#This Row],[NAMA BARANG]]="","",INDEX(NOTA[SUPPLIER],MATCH(,INDIRECT(ADDRESS(ROW(NOTA[ID]),COLUMN(NOTA[ID]))&amp;":"&amp;ADDRESS(ROW(),COLUMN(NOTA[ID]))),-1)))</f>
        <v/>
      </c>
      <c r="AK487" s="38" t="str">
        <f ca="1">IF(NOTA[[#This Row],[ID_H]]="","",IF(NOTA[[#This Row],[FAKTUR]]="",INDIRECT(ADDRESS(ROW()-1,COLUMN())),NOTA[[#This Row],[FAKTUR]]))</f>
        <v/>
      </c>
      <c r="AL487" s="35" t="str">
        <f ca="1">IF(NOTA[[#This Row],[ID]]="","",COUNTIF(NOTA[ID_H],NOTA[[#This Row],[ID_H]]))</f>
        <v/>
      </c>
      <c r="AM487" s="35" t="str">
        <f ca="1">IF(NOTA[[#This Row],[TGL.NOTA]]="",IF(NOTA[[#This Row],[SUPPLIER_H]]="","",AM486),MONTH(NOTA[[#This Row],[TGL.NOTA]]))</f>
        <v/>
      </c>
      <c r="AN4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7" s="35" t="str">
        <f>IF(NOTA[[#This Row],[CONCAT1]]="","",MATCH(NOTA[[#This Row],[CONCAT1]],[3]!db[NB NOTA_C],0))</f>
        <v/>
      </c>
      <c r="AS487" s="35" t="str">
        <f>IF(NOTA[[#This Row],[Column5]]="","",TRUE)</f>
        <v/>
      </c>
      <c r="AT487" s="35" t="str">
        <f ca="1">IF(NOTA[[#This Row],[ID_H]]="","",IF(NOTA[[#This Row],[Column3]]=TRUE,NOTA[[#This Row],[Column5]],INDEX([3]!db[QTY/ CTN],NOTA[[#This Row],[//DB]])))</f>
        <v/>
      </c>
      <c r="AU4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7" s="35" t="str">
        <f ca="1">IF(NOTA[[#This Row],[ID_H]]="","",MATCH(NOTA[[#This Row],[NB NOTA_C_QTY]],[3]!db[NB NOTA_C_QTY+F],0))</f>
        <v/>
      </c>
      <c r="AW487" s="43" t="str">
        <f ca="1">IF(NOTA[[#This Row],[NB NOTA_C_QTY]]="","",ROW()-2)</f>
        <v/>
      </c>
    </row>
    <row r="488" spans="1:49" ht="20.100000000000001" customHeight="1">
      <c r="A4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5" t="str">
        <f ca="1">IF(NOTA[[#This Row],[NAMA BARANG]]="","",INDEX(NOTA[ID],MATCH(,INDIRECT(ADDRESS(ROW(NOTA[ID]),COLUMN(NOTA[ID]))&amp;":"&amp;ADDRESS(ROW(),COLUMN(NOTA[ID]))),-1)))</f>
        <v/>
      </c>
      <c r="C488" s="45"/>
      <c r="F488" s="46"/>
      <c r="G488" s="35"/>
      <c r="H488" s="36"/>
      <c r="I488" s="35"/>
      <c r="K488" s="37"/>
      <c r="L488" s="35"/>
      <c r="N488" s="38"/>
      <c r="O488" s="39"/>
      <c r="P488" s="47"/>
      <c r="Q488" s="48"/>
      <c r="R488" s="41"/>
      <c r="T488" s="42"/>
      <c r="U488" s="44"/>
      <c r="V488" s="42" t="str">
        <f>IF(NOTA[[#This Row],[HARGA/ CTN]]="",NOTA[[#This Row],[JUMLAH_H]],NOTA[[#This Row],[HARGA/ CTN]]*IF(NOTA[[#This Row],[C]]="",0,NOTA[[#This Row],[C]]))</f>
        <v/>
      </c>
      <c r="W488" s="42" t="str">
        <f>IF(NOTA[[#This Row],[JUMLAH]]="","",NOTA[[#This Row],[JUMLAH]]*NOTA[[#This Row],[Column6]])</f>
        <v/>
      </c>
      <c r="X488" s="42" t="str">
        <f>IF(NOTA[[#This Row],[JUMLAH]]="","",(NOTA[[#This Row],[JUMLAH]]-NOTA[[#This Row],[DISC 1-]])*NOTA[[#This Row],[Column7]])</f>
        <v/>
      </c>
      <c r="Y488" s="42" t="str">
        <f>IF(NOTA[[#This Row],[JUMLAH]]="","",(NOTA[[#This Row],[JUMLAH]]-NOTA[[#This Row],[DISC 1-]]-NOTA[[#This Row],[DISC 2-]])*NOTA[[#This Row],[Column8]])</f>
        <v/>
      </c>
      <c r="Z488" s="42" t="str">
        <f>IF(NOTA[[#This Row],[JUMLAH]]="","",NOTA[[#This Row],[DISC 1-]]+NOTA[[#This Row],[DISC 2-]]+NOTA[[#This Row],[DISC 3-]])</f>
        <v/>
      </c>
      <c r="AA488" s="42" t="str">
        <f>IF(NOTA[[#This Row],[JUMLAH]]="","",NOTA[[#This Row],[JUMLAH]]-NOTA[[#This Row],[DISC]])</f>
        <v/>
      </c>
      <c r="AB488" s="42"/>
      <c r="AC4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42" t="str">
        <f>IF(OR(NOTA[[#This Row],[QTY]]="",NOTA[[#This Row],[HARGA SATUAN]]="",),"",NOTA[[#This Row],[QTY]]*NOTA[[#This Row],[HARGA SATUAN]])</f>
        <v/>
      </c>
      <c r="AG488" s="36" t="str">
        <f ca="1">IF(NOTA[[#This Row],[ID_H]]="","",INDEX(NOTA[TANGGAL],MATCH(,INDIRECT(ADDRESS(ROW(NOTA[TANGGAL]),COLUMN(NOTA[TANGGAL]))&amp;":"&amp;ADDRESS(ROW(),COLUMN(NOTA[TANGGAL]))),-1)))</f>
        <v/>
      </c>
      <c r="AH488" s="36" t="str">
        <f ca="1">IF(NOTA[[#This Row],[ID_H]]="","",INDEX(NOTA[TGL.NOTA],MATCH(,INDIRECT(ADDRESS(ROW(NOTA[TGL.NOTA]),COLUMN(NOTA[TGL.NOTA]))&amp;":"&amp;ADDRESS(ROW(),COLUMN(NOTA[TGL.NOTA]))),-1)))</f>
        <v/>
      </c>
      <c r="AI488" s="36" t="str">
        <f ca="1">IF(NOTA[[#This Row],[ID_H]]="","",INDEX(NOTA[NO.NOTA],MATCH(NOTA[[#This Row],[ID_H]],NOTA[ID_H],0)))</f>
        <v/>
      </c>
      <c r="AJ488" s="38" t="str">
        <f ca="1">IF(NOTA[[#This Row],[NAMA BARANG]]="","",INDEX(NOTA[SUPPLIER],MATCH(,INDIRECT(ADDRESS(ROW(NOTA[ID]),COLUMN(NOTA[ID]))&amp;":"&amp;ADDRESS(ROW(),COLUMN(NOTA[ID]))),-1)))</f>
        <v/>
      </c>
      <c r="AK488" s="38" t="str">
        <f ca="1">IF(NOTA[[#This Row],[ID_H]]="","",IF(NOTA[[#This Row],[FAKTUR]]="",INDIRECT(ADDRESS(ROW()-1,COLUMN())),NOTA[[#This Row],[FAKTUR]]))</f>
        <v/>
      </c>
      <c r="AL488" s="35" t="str">
        <f ca="1">IF(NOTA[[#This Row],[ID]]="","",COUNTIF(NOTA[ID_H],NOTA[[#This Row],[ID_H]]))</f>
        <v/>
      </c>
      <c r="AM488" s="35" t="str">
        <f ca="1">IF(NOTA[[#This Row],[TGL.NOTA]]="",IF(NOTA[[#This Row],[SUPPLIER_H]]="","",AM487),MONTH(NOTA[[#This Row],[TGL.NOTA]]))</f>
        <v/>
      </c>
      <c r="AN4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8" s="35" t="str">
        <f>IF(NOTA[[#This Row],[CONCAT1]]="","",MATCH(NOTA[[#This Row],[CONCAT1]],[3]!db[NB NOTA_C],0))</f>
        <v/>
      </c>
      <c r="AS488" s="35" t="str">
        <f>IF(NOTA[[#This Row],[Column5]]="","",TRUE)</f>
        <v/>
      </c>
      <c r="AT488" s="35" t="str">
        <f ca="1">IF(NOTA[[#This Row],[ID_H]]="","",IF(NOTA[[#This Row],[Column3]]=TRUE,NOTA[[#This Row],[Column5]],INDEX([3]!db[QTY/ CTN],NOTA[[#This Row],[//DB]])))</f>
        <v/>
      </c>
      <c r="AU4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8" s="35" t="str">
        <f ca="1">IF(NOTA[[#This Row],[ID_H]]="","",MATCH(NOTA[[#This Row],[NB NOTA_C_QTY]],[3]!db[NB NOTA_C_QTY+F],0))</f>
        <v/>
      </c>
      <c r="AW488" s="43" t="str">
        <f ca="1">IF(NOTA[[#This Row],[NB NOTA_C_QTY]]="","",ROW()-2)</f>
        <v/>
      </c>
    </row>
    <row r="489" spans="1:49" ht="20.100000000000001" customHeight="1">
      <c r="A4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5" t="str">
        <f ca="1">IF(NOTA[[#This Row],[NAMA BARANG]]="","",INDEX(NOTA[ID],MATCH(,INDIRECT(ADDRESS(ROW(NOTA[ID]),COLUMN(NOTA[ID]))&amp;":"&amp;ADDRESS(ROW(),COLUMN(NOTA[ID]))),-1)))</f>
        <v/>
      </c>
      <c r="C489" s="45"/>
      <c r="F489" s="46"/>
      <c r="G489" s="35"/>
      <c r="H489" s="36"/>
      <c r="I489" s="35"/>
      <c r="K489" s="37"/>
      <c r="L489" s="35"/>
      <c r="N489" s="38"/>
      <c r="O489" s="39"/>
      <c r="P489" s="47"/>
      <c r="Q489" s="48"/>
      <c r="R489" s="41"/>
      <c r="T489" s="42"/>
      <c r="U489" s="44"/>
      <c r="V489" s="42" t="str">
        <f>IF(NOTA[[#This Row],[HARGA/ CTN]]="",NOTA[[#This Row],[JUMLAH_H]],NOTA[[#This Row],[HARGA/ CTN]]*IF(NOTA[[#This Row],[C]]="",0,NOTA[[#This Row],[C]]))</f>
        <v/>
      </c>
      <c r="W489" s="42" t="str">
        <f>IF(NOTA[[#This Row],[JUMLAH]]="","",NOTA[[#This Row],[JUMLAH]]*NOTA[[#This Row],[Column6]])</f>
        <v/>
      </c>
      <c r="X489" s="42" t="str">
        <f>IF(NOTA[[#This Row],[JUMLAH]]="","",(NOTA[[#This Row],[JUMLAH]]-NOTA[[#This Row],[DISC 1-]])*NOTA[[#This Row],[Column7]])</f>
        <v/>
      </c>
      <c r="Y489" s="42" t="str">
        <f>IF(NOTA[[#This Row],[JUMLAH]]="","",(NOTA[[#This Row],[JUMLAH]]-NOTA[[#This Row],[DISC 1-]]-NOTA[[#This Row],[DISC 2-]])*NOTA[[#This Row],[Column8]])</f>
        <v/>
      </c>
      <c r="Z489" s="42" t="str">
        <f>IF(NOTA[[#This Row],[JUMLAH]]="","",NOTA[[#This Row],[DISC 1-]]+NOTA[[#This Row],[DISC 2-]]+NOTA[[#This Row],[DISC 3-]])</f>
        <v/>
      </c>
      <c r="AA489" s="42" t="str">
        <f>IF(NOTA[[#This Row],[JUMLAH]]="","",NOTA[[#This Row],[JUMLAH]]-NOTA[[#This Row],[DISC]])</f>
        <v/>
      </c>
      <c r="AB489" s="42"/>
      <c r="AC4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42" t="str">
        <f>IF(OR(NOTA[[#This Row],[QTY]]="",NOTA[[#This Row],[HARGA SATUAN]]="",),"",NOTA[[#This Row],[QTY]]*NOTA[[#This Row],[HARGA SATUAN]])</f>
        <v/>
      </c>
      <c r="AG489" s="36" t="str">
        <f ca="1">IF(NOTA[[#This Row],[ID_H]]="","",INDEX(NOTA[TANGGAL],MATCH(,INDIRECT(ADDRESS(ROW(NOTA[TANGGAL]),COLUMN(NOTA[TANGGAL]))&amp;":"&amp;ADDRESS(ROW(),COLUMN(NOTA[TANGGAL]))),-1)))</f>
        <v/>
      </c>
      <c r="AH489" s="36" t="str">
        <f ca="1">IF(NOTA[[#This Row],[ID_H]]="","",INDEX(NOTA[TGL.NOTA],MATCH(,INDIRECT(ADDRESS(ROW(NOTA[TGL.NOTA]),COLUMN(NOTA[TGL.NOTA]))&amp;":"&amp;ADDRESS(ROW(),COLUMN(NOTA[TGL.NOTA]))),-1)))</f>
        <v/>
      </c>
      <c r="AI489" s="36" t="str">
        <f ca="1">IF(NOTA[[#This Row],[ID_H]]="","",INDEX(NOTA[NO.NOTA],MATCH(NOTA[[#This Row],[ID_H]],NOTA[ID_H],0)))</f>
        <v/>
      </c>
      <c r="AJ489" s="38" t="str">
        <f ca="1">IF(NOTA[[#This Row],[NAMA BARANG]]="","",INDEX(NOTA[SUPPLIER],MATCH(,INDIRECT(ADDRESS(ROW(NOTA[ID]),COLUMN(NOTA[ID]))&amp;":"&amp;ADDRESS(ROW(),COLUMN(NOTA[ID]))),-1)))</f>
        <v/>
      </c>
      <c r="AK489" s="38" t="str">
        <f ca="1">IF(NOTA[[#This Row],[ID_H]]="","",IF(NOTA[[#This Row],[FAKTUR]]="",INDIRECT(ADDRESS(ROW()-1,COLUMN())),NOTA[[#This Row],[FAKTUR]]))</f>
        <v/>
      </c>
      <c r="AL489" s="35" t="str">
        <f ca="1">IF(NOTA[[#This Row],[ID]]="","",COUNTIF(NOTA[ID_H],NOTA[[#This Row],[ID_H]]))</f>
        <v/>
      </c>
      <c r="AM489" s="35" t="str">
        <f ca="1">IF(NOTA[[#This Row],[TGL.NOTA]]="",IF(NOTA[[#This Row],[SUPPLIER_H]]="","",AM488),MONTH(NOTA[[#This Row],[TGL.NOTA]]))</f>
        <v/>
      </c>
      <c r="AN4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9" s="35" t="str">
        <f>IF(NOTA[[#This Row],[CONCAT1]]="","",MATCH(NOTA[[#This Row],[CONCAT1]],[3]!db[NB NOTA_C],0))</f>
        <v/>
      </c>
      <c r="AS489" s="35" t="str">
        <f>IF(NOTA[[#This Row],[Column5]]="","",TRUE)</f>
        <v/>
      </c>
      <c r="AT489" s="35" t="str">
        <f ca="1">IF(NOTA[[#This Row],[ID_H]]="","",IF(NOTA[[#This Row],[Column3]]=TRUE,NOTA[[#This Row],[Column5]],INDEX([3]!db[QTY/ CTN],NOTA[[#This Row],[//DB]])))</f>
        <v/>
      </c>
      <c r="AU4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89" s="35" t="str">
        <f ca="1">IF(NOTA[[#This Row],[ID_H]]="","",MATCH(NOTA[[#This Row],[NB NOTA_C_QTY]],[3]!db[NB NOTA_C_QTY+F],0))</f>
        <v/>
      </c>
      <c r="AW489" s="43" t="str">
        <f ca="1">IF(NOTA[[#This Row],[NB NOTA_C_QTY]]="","",ROW()-2)</f>
        <v/>
      </c>
    </row>
    <row r="490" spans="1:49" ht="20.100000000000001" customHeight="1">
      <c r="A4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5" t="str">
        <f ca="1">IF(NOTA[[#This Row],[NAMA BARANG]]="","",INDEX(NOTA[ID],MATCH(,INDIRECT(ADDRESS(ROW(NOTA[ID]),COLUMN(NOTA[ID]))&amp;":"&amp;ADDRESS(ROW(),COLUMN(NOTA[ID]))),-1)))</f>
        <v/>
      </c>
      <c r="C490" s="45"/>
      <c r="F490" s="46"/>
      <c r="G490" s="35"/>
      <c r="H490" s="36"/>
      <c r="I490" s="35"/>
      <c r="K490" s="37"/>
      <c r="L490" s="35"/>
      <c r="N490" s="38"/>
      <c r="O490" s="39"/>
      <c r="P490" s="47"/>
      <c r="Q490" s="48"/>
      <c r="R490" s="41"/>
      <c r="T490" s="42"/>
      <c r="U490" s="44"/>
      <c r="V490" s="42" t="str">
        <f>IF(NOTA[[#This Row],[HARGA/ CTN]]="",NOTA[[#This Row],[JUMLAH_H]],NOTA[[#This Row],[HARGA/ CTN]]*IF(NOTA[[#This Row],[C]]="",0,NOTA[[#This Row],[C]]))</f>
        <v/>
      </c>
      <c r="W490" s="42" t="str">
        <f>IF(NOTA[[#This Row],[JUMLAH]]="","",NOTA[[#This Row],[JUMLAH]]*NOTA[[#This Row],[Column6]])</f>
        <v/>
      </c>
      <c r="X490" s="42" t="str">
        <f>IF(NOTA[[#This Row],[JUMLAH]]="","",(NOTA[[#This Row],[JUMLAH]]-NOTA[[#This Row],[DISC 1-]])*NOTA[[#This Row],[Column7]])</f>
        <v/>
      </c>
      <c r="Y490" s="42" t="str">
        <f>IF(NOTA[[#This Row],[JUMLAH]]="","",(NOTA[[#This Row],[JUMLAH]]-NOTA[[#This Row],[DISC 1-]]-NOTA[[#This Row],[DISC 2-]])*NOTA[[#This Row],[Column8]])</f>
        <v/>
      </c>
      <c r="Z490" s="42" t="str">
        <f>IF(NOTA[[#This Row],[JUMLAH]]="","",NOTA[[#This Row],[DISC 1-]]+NOTA[[#This Row],[DISC 2-]]+NOTA[[#This Row],[DISC 3-]])</f>
        <v/>
      </c>
      <c r="AA490" s="42" t="str">
        <f>IF(NOTA[[#This Row],[JUMLAH]]="","",NOTA[[#This Row],[JUMLAH]]-NOTA[[#This Row],[DISC]])</f>
        <v/>
      </c>
      <c r="AB490" s="42"/>
      <c r="AC4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42" t="str">
        <f>IF(OR(NOTA[[#This Row],[QTY]]="",NOTA[[#This Row],[HARGA SATUAN]]="",),"",NOTA[[#This Row],[QTY]]*NOTA[[#This Row],[HARGA SATUAN]])</f>
        <v/>
      </c>
      <c r="AG490" s="36" t="str">
        <f ca="1">IF(NOTA[[#This Row],[ID_H]]="","",INDEX(NOTA[TANGGAL],MATCH(,INDIRECT(ADDRESS(ROW(NOTA[TANGGAL]),COLUMN(NOTA[TANGGAL]))&amp;":"&amp;ADDRESS(ROW(),COLUMN(NOTA[TANGGAL]))),-1)))</f>
        <v/>
      </c>
      <c r="AH490" s="36" t="str">
        <f ca="1">IF(NOTA[[#This Row],[ID_H]]="","",INDEX(NOTA[TGL.NOTA],MATCH(,INDIRECT(ADDRESS(ROW(NOTA[TGL.NOTA]),COLUMN(NOTA[TGL.NOTA]))&amp;":"&amp;ADDRESS(ROW(),COLUMN(NOTA[TGL.NOTA]))),-1)))</f>
        <v/>
      </c>
      <c r="AI490" s="36" t="str">
        <f ca="1">IF(NOTA[[#This Row],[ID_H]]="","",INDEX(NOTA[NO.NOTA],MATCH(NOTA[[#This Row],[ID_H]],NOTA[ID_H],0)))</f>
        <v/>
      </c>
      <c r="AJ490" s="38" t="str">
        <f ca="1">IF(NOTA[[#This Row],[NAMA BARANG]]="","",INDEX(NOTA[SUPPLIER],MATCH(,INDIRECT(ADDRESS(ROW(NOTA[ID]),COLUMN(NOTA[ID]))&amp;":"&amp;ADDRESS(ROW(),COLUMN(NOTA[ID]))),-1)))</f>
        <v/>
      </c>
      <c r="AK490" s="38" t="str">
        <f ca="1">IF(NOTA[[#This Row],[ID_H]]="","",IF(NOTA[[#This Row],[FAKTUR]]="",INDIRECT(ADDRESS(ROW()-1,COLUMN())),NOTA[[#This Row],[FAKTUR]]))</f>
        <v/>
      </c>
      <c r="AL490" s="35" t="str">
        <f ca="1">IF(NOTA[[#This Row],[ID]]="","",COUNTIF(NOTA[ID_H],NOTA[[#This Row],[ID_H]]))</f>
        <v/>
      </c>
      <c r="AM490" s="35" t="str">
        <f ca="1">IF(NOTA[[#This Row],[TGL.NOTA]]="",IF(NOTA[[#This Row],[SUPPLIER_H]]="","",AM489),MONTH(NOTA[[#This Row],[TGL.NOTA]]))</f>
        <v/>
      </c>
      <c r="AN4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0" s="35" t="str">
        <f>IF(NOTA[[#This Row],[CONCAT1]]="","",MATCH(NOTA[[#This Row],[CONCAT1]],[3]!db[NB NOTA_C],0))</f>
        <v/>
      </c>
      <c r="AS490" s="35" t="str">
        <f>IF(NOTA[[#This Row],[Column5]]="","",TRUE)</f>
        <v/>
      </c>
      <c r="AT490" s="35" t="str">
        <f ca="1">IF(NOTA[[#This Row],[ID_H]]="","",IF(NOTA[[#This Row],[Column3]]=TRUE,NOTA[[#This Row],[Column5]],INDEX([3]!db[QTY/ CTN],NOTA[[#This Row],[//DB]])))</f>
        <v/>
      </c>
      <c r="AU4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0" s="35" t="str">
        <f ca="1">IF(NOTA[[#This Row],[ID_H]]="","",MATCH(NOTA[[#This Row],[NB NOTA_C_QTY]],[3]!db[NB NOTA_C_QTY+F],0))</f>
        <v/>
      </c>
      <c r="AW490" s="43" t="str">
        <f ca="1">IF(NOTA[[#This Row],[NB NOTA_C_QTY]]="","",ROW()-2)</f>
        <v/>
      </c>
    </row>
    <row r="491" spans="1:49" ht="20.100000000000001" customHeight="1">
      <c r="A4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5" t="str">
        <f ca="1">IF(NOTA[[#This Row],[NAMA BARANG]]="","",INDEX(NOTA[ID],MATCH(,INDIRECT(ADDRESS(ROW(NOTA[ID]),COLUMN(NOTA[ID]))&amp;":"&amp;ADDRESS(ROW(),COLUMN(NOTA[ID]))),-1)))</f>
        <v/>
      </c>
      <c r="C491" s="45"/>
      <c r="F491" s="46"/>
      <c r="G491" s="35"/>
      <c r="H491" s="36"/>
      <c r="I491" s="35"/>
      <c r="K491" s="37"/>
      <c r="L491" s="35"/>
      <c r="N491" s="38"/>
      <c r="O491" s="39"/>
      <c r="P491" s="47"/>
      <c r="Q491" s="48"/>
      <c r="R491" s="41"/>
      <c r="T491" s="42"/>
      <c r="U491" s="44"/>
      <c r="V491" s="42" t="str">
        <f>IF(NOTA[[#This Row],[HARGA/ CTN]]="",NOTA[[#This Row],[JUMLAH_H]],NOTA[[#This Row],[HARGA/ CTN]]*IF(NOTA[[#This Row],[C]]="",0,NOTA[[#This Row],[C]]))</f>
        <v/>
      </c>
      <c r="W491" s="42" t="str">
        <f>IF(NOTA[[#This Row],[JUMLAH]]="","",NOTA[[#This Row],[JUMLAH]]*NOTA[[#This Row],[Column6]])</f>
        <v/>
      </c>
      <c r="X491" s="42" t="str">
        <f>IF(NOTA[[#This Row],[JUMLAH]]="","",(NOTA[[#This Row],[JUMLAH]]-NOTA[[#This Row],[DISC 1-]])*NOTA[[#This Row],[Column7]])</f>
        <v/>
      </c>
      <c r="Y491" s="42" t="str">
        <f>IF(NOTA[[#This Row],[JUMLAH]]="","",(NOTA[[#This Row],[JUMLAH]]-NOTA[[#This Row],[DISC 1-]]-NOTA[[#This Row],[DISC 2-]])*NOTA[[#This Row],[Column8]])</f>
        <v/>
      </c>
      <c r="Z491" s="42" t="str">
        <f>IF(NOTA[[#This Row],[JUMLAH]]="","",NOTA[[#This Row],[DISC 1-]]+NOTA[[#This Row],[DISC 2-]]+NOTA[[#This Row],[DISC 3-]])</f>
        <v/>
      </c>
      <c r="AA491" s="42" t="str">
        <f>IF(NOTA[[#This Row],[JUMLAH]]="","",NOTA[[#This Row],[JUMLAH]]-NOTA[[#This Row],[DISC]])</f>
        <v/>
      </c>
      <c r="AB491" s="42"/>
      <c r="AC4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42" t="str">
        <f>IF(OR(NOTA[[#This Row],[QTY]]="",NOTA[[#This Row],[HARGA SATUAN]]="",),"",NOTA[[#This Row],[QTY]]*NOTA[[#This Row],[HARGA SATUAN]])</f>
        <v/>
      </c>
      <c r="AG491" s="36" t="str">
        <f ca="1">IF(NOTA[[#This Row],[ID_H]]="","",INDEX(NOTA[TANGGAL],MATCH(,INDIRECT(ADDRESS(ROW(NOTA[TANGGAL]),COLUMN(NOTA[TANGGAL]))&amp;":"&amp;ADDRESS(ROW(),COLUMN(NOTA[TANGGAL]))),-1)))</f>
        <v/>
      </c>
      <c r="AH491" s="36" t="str">
        <f ca="1">IF(NOTA[[#This Row],[ID_H]]="","",INDEX(NOTA[TGL.NOTA],MATCH(,INDIRECT(ADDRESS(ROW(NOTA[TGL.NOTA]),COLUMN(NOTA[TGL.NOTA]))&amp;":"&amp;ADDRESS(ROW(),COLUMN(NOTA[TGL.NOTA]))),-1)))</f>
        <v/>
      </c>
      <c r="AI491" s="36" t="str">
        <f ca="1">IF(NOTA[[#This Row],[ID_H]]="","",INDEX(NOTA[NO.NOTA],MATCH(NOTA[[#This Row],[ID_H]],NOTA[ID_H],0)))</f>
        <v/>
      </c>
      <c r="AJ491" s="38" t="str">
        <f ca="1">IF(NOTA[[#This Row],[NAMA BARANG]]="","",INDEX(NOTA[SUPPLIER],MATCH(,INDIRECT(ADDRESS(ROW(NOTA[ID]),COLUMN(NOTA[ID]))&amp;":"&amp;ADDRESS(ROW(),COLUMN(NOTA[ID]))),-1)))</f>
        <v/>
      </c>
      <c r="AK491" s="38" t="str">
        <f ca="1">IF(NOTA[[#This Row],[ID_H]]="","",IF(NOTA[[#This Row],[FAKTUR]]="",INDIRECT(ADDRESS(ROW()-1,COLUMN())),NOTA[[#This Row],[FAKTUR]]))</f>
        <v/>
      </c>
      <c r="AL491" s="35" t="str">
        <f ca="1">IF(NOTA[[#This Row],[ID]]="","",COUNTIF(NOTA[ID_H],NOTA[[#This Row],[ID_H]]))</f>
        <v/>
      </c>
      <c r="AM491" s="35" t="str">
        <f ca="1">IF(NOTA[[#This Row],[TGL.NOTA]]="",IF(NOTA[[#This Row],[SUPPLIER_H]]="","",AM490),MONTH(NOTA[[#This Row],[TGL.NOTA]]))</f>
        <v/>
      </c>
      <c r="AN4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1" s="35" t="str">
        <f>IF(NOTA[[#This Row],[CONCAT1]]="","",MATCH(NOTA[[#This Row],[CONCAT1]],[3]!db[NB NOTA_C],0))</f>
        <v/>
      </c>
      <c r="AS491" s="35" t="str">
        <f>IF(NOTA[[#This Row],[Column5]]="","",TRUE)</f>
        <v/>
      </c>
      <c r="AT491" s="35" t="str">
        <f ca="1">IF(NOTA[[#This Row],[ID_H]]="","",IF(NOTA[[#This Row],[Column3]]=TRUE,NOTA[[#This Row],[Column5]],INDEX([3]!db[QTY/ CTN],NOTA[[#This Row],[//DB]])))</f>
        <v/>
      </c>
      <c r="AU4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1" s="35" t="str">
        <f ca="1">IF(NOTA[[#This Row],[ID_H]]="","",MATCH(NOTA[[#This Row],[NB NOTA_C_QTY]],[3]!db[NB NOTA_C_QTY+F],0))</f>
        <v/>
      </c>
      <c r="AW491" s="43" t="str">
        <f ca="1">IF(NOTA[[#This Row],[NB NOTA_C_QTY]]="","",ROW()-2)</f>
        <v/>
      </c>
    </row>
    <row r="492" spans="1:49" ht="20.100000000000001" customHeight="1">
      <c r="A4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5" t="str">
        <f ca="1">IF(NOTA[[#This Row],[NAMA BARANG]]="","",INDEX(NOTA[ID],MATCH(,INDIRECT(ADDRESS(ROW(NOTA[ID]),COLUMN(NOTA[ID]))&amp;":"&amp;ADDRESS(ROW(),COLUMN(NOTA[ID]))),-1)))</f>
        <v/>
      </c>
      <c r="C492" s="45"/>
      <c r="F492" s="46"/>
      <c r="G492" s="35"/>
      <c r="H492" s="36"/>
      <c r="I492" s="35"/>
      <c r="K492" s="37"/>
      <c r="L492" s="35"/>
      <c r="N492" s="38"/>
      <c r="O492" s="39"/>
      <c r="P492" s="47"/>
      <c r="Q492" s="48"/>
      <c r="R492" s="41"/>
      <c r="T492" s="42"/>
      <c r="U492" s="44"/>
      <c r="V492" s="42" t="str">
        <f>IF(NOTA[[#This Row],[HARGA/ CTN]]="",NOTA[[#This Row],[JUMLAH_H]],NOTA[[#This Row],[HARGA/ CTN]]*IF(NOTA[[#This Row],[C]]="",0,NOTA[[#This Row],[C]]))</f>
        <v/>
      </c>
      <c r="W492" s="42" t="str">
        <f>IF(NOTA[[#This Row],[JUMLAH]]="","",NOTA[[#This Row],[JUMLAH]]*NOTA[[#This Row],[Column6]])</f>
        <v/>
      </c>
      <c r="X492" s="42" t="str">
        <f>IF(NOTA[[#This Row],[JUMLAH]]="","",(NOTA[[#This Row],[JUMLAH]]-NOTA[[#This Row],[DISC 1-]])*NOTA[[#This Row],[Column7]])</f>
        <v/>
      </c>
      <c r="Y492" s="42" t="str">
        <f>IF(NOTA[[#This Row],[JUMLAH]]="","",(NOTA[[#This Row],[JUMLAH]]-NOTA[[#This Row],[DISC 1-]]-NOTA[[#This Row],[DISC 2-]])*NOTA[[#This Row],[Column8]])</f>
        <v/>
      </c>
      <c r="Z492" s="42" t="str">
        <f>IF(NOTA[[#This Row],[JUMLAH]]="","",NOTA[[#This Row],[DISC 1-]]+NOTA[[#This Row],[DISC 2-]]+NOTA[[#This Row],[DISC 3-]])</f>
        <v/>
      </c>
      <c r="AA492" s="42" t="str">
        <f>IF(NOTA[[#This Row],[JUMLAH]]="","",NOTA[[#This Row],[JUMLAH]]-NOTA[[#This Row],[DISC]])</f>
        <v/>
      </c>
      <c r="AB492" s="42"/>
      <c r="AC4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42" t="str">
        <f>IF(OR(NOTA[[#This Row],[QTY]]="",NOTA[[#This Row],[HARGA SATUAN]]="",),"",NOTA[[#This Row],[QTY]]*NOTA[[#This Row],[HARGA SATUAN]])</f>
        <v/>
      </c>
      <c r="AG492" s="36" t="str">
        <f ca="1">IF(NOTA[[#This Row],[ID_H]]="","",INDEX(NOTA[TANGGAL],MATCH(,INDIRECT(ADDRESS(ROW(NOTA[TANGGAL]),COLUMN(NOTA[TANGGAL]))&amp;":"&amp;ADDRESS(ROW(),COLUMN(NOTA[TANGGAL]))),-1)))</f>
        <v/>
      </c>
      <c r="AH492" s="36" t="str">
        <f ca="1">IF(NOTA[[#This Row],[ID_H]]="","",INDEX(NOTA[TGL.NOTA],MATCH(,INDIRECT(ADDRESS(ROW(NOTA[TGL.NOTA]),COLUMN(NOTA[TGL.NOTA]))&amp;":"&amp;ADDRESS(ROW(),COLUMN(NOTA[TGL.NOTA]))),-1)))</f>
        <v/>
      </c>
      <c r="AI492" s="36" t="str">
        <f ca="1">IF(NOTA[[#This Row],[ID_H]]="","",INDEX(NOTA[NO.NOTA],MATCH(NOTA[[#This Row],[ID_H]],NOTA[ID_H],0)))</f>
        <v/>
      </c>
      <c r="AJ492" s="38" t="str">
        <f ca="1">IF(NOTA[[#This Row],[NAMA BARANG]]="","",INDEX(NOTA[SUPPLIER],MATCH(,INDIRECT(ADDRESS(ROW(NOTA[ID]),COLUMN(NOTA[ID]))&amp;":"&amp;ADDRESS(ROW(),COLUMN(NOTA[ID]))),-1)))</f>
        <v/>
      </c>
      <c r="AK492" s="38" t="str">
        <f ca="1">IF(NOTA[[#This Row],[ID_H]]="","",IF(NOTA[[#This Row],[FAKTUR]]="",INDIRECT(ADDRESS(ROW()-1,COLUMN())),NOTA[[#This Row],[FAKTUR]]))</f>
        <v/>
      </c>
      <c r="AL492" s="35" t="str">
        <f ca="1">IF(NOTA[[#This Row],[ID]]="","",COUNTIF(NOTA[ID_H],NOTA[[#This Row],[ID_H]]))</f>
        <v/>
      </c>
      <c r="AM492" s="35" t="str">
        <f ca="1">IF(NOTA[[#This Row],[TGL.NOTA]]="",IF(NOTA[[#This Row],[SUPPLIER_H]]="","",AM491),MONTH(NOTA[[#This Row],[TGL.NOTA]]))</f>
        <v/>
      </c>
      <c r="AN4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2" s="35" t="str">
        <f>IF(NOTA[[#This Row],[CONCAT1]]="","",MATCH(NOTA[[#This Row],[CONCAT1]],[3]!db[NB NOTA_C],0))</f>
        <v/>
      </c>
      <c r="AS492" s="35" t="str">
        <f>IF(NOTA[[#This Row],[Column5]]="","",TRUE)</f>
        <v/>
      </c>
      <c r="AT492" s="35" t="str">
        <f ca="1">IF(NOTA[[#This Row],[ID_H]]="","",IF(NOTA[[#This Row],[Column3]]=TRUE,NOTA[[#This Row],[Column5]],INDEX([3]!db[QTY/ CTN],NOTA[[#This Row],[//DB]])))</f>
        <v/>
      </c>
      <c r="AU4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2" s="35" t="str">
        <f ca="1">IF(NOTA[[#This Row],[ID_H]]="","",MATCH(NOTA[[#This Row],[NB NOTA_C_QTY]],[3]!db[NB NOTA_C_QTY+F],0))</f>
        <v/>
      </c>
      <c r="AW492" s="43" t="str">
        <f ca="1">IF(NOTA[[#This Row],[NB NOTA_C_QTY]]="","",ROW()-2)</f>
        <v/>
      </c>
    </row>
    <row r="493" spans="1:49" ht="20.100000000000001" customHeight="1">
      <c r="A4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5" t="str">
        <f ca="1">IF(NOTA[[#This Row],[NAMA BARANG]]="","",INDEX(NOTA[ID],MATCH(,INDIRECT(ADDRESS(ROW(NOTA[ID]),COLUMN(NOTA[ID]))&amp;":"&amp;ADDRESS(ROW(),COLUMN(NOTA[ID]))),-1)))</f>
        <v/>
      </c>
      <c r="C493" s="45"/>
      <c r="F493" s="46"/>
      <c r="G493" s="35"/>
      <c r="H493" s="36"/>
      <c r="I493" s="35"/>
      <c r="K493" s="37"/>
      <c r="L493" s="35"/>
      <c r="N493" s="38"/>
      <c r="O493" s="39"/>
      <c r="P493" s="47"/>
      <c r="Q493" s="48"/>
      <c r="R493" s="41"/>
      <c r="T493" s="42"/>
      <c r="U493" s="44"/>
      <c r="V493" s="42" t="str">
        <f>IF(NOTA[[#This Row],[HARGA/ CTN]]="",NOTA[[#This Row],[JUMLAH_H]],NOTA[[#This Row],[HARGA/ CTN]]*IF(NOTA[[#This Row],[C]]="",0,NOTA[[#This Row],[C]]))</f>
        <v/>
      </c>
      <c r="W493" s="42" t="str">
        <f>IF(NOTA[[#This Row],[JUMLAH]]="","",NOTA[[#This Row],[JUMLAH]]*NOTA[[#This Row],[Column6]])</f>
        <v/>
      </c>
      <c r="X493" s="42" t="str">
        <f>IF(NOTA[[#This Row],[JUMLAH]]="","",(NOTA[[#This Row],[JUMLAH]]-NOTA[[#This Row],[DISC 1-]])*NOTA[[#This Row],[Column7]])</f>
        <v/>
      </c>
      <c r="Y493" s="42" t="str">
        <f>IF(NOTA[[#This Row],[JUMLAH]]="","",(NOTA[[#This Row],[JUMLAH]]-NOTA[[#This Row],[DISC 1-]]-NOTA[[#This Row],[DISC 2-]])*NOTA[[#This Row],[Column8]])</f>
        <v/>
      </c>
      <c r="Z493" s="42" t="str">
        <f>IF(NOTA[[#This Row],[JUMLAH]]="","",NOTA[[#This Row],[DISC 1-]]+NOTA[[#This Row],[DISC 2-]]+NOTA[[#This Row],[DISC 3-]])</f>
        <v/>
      </c>
      <c r="AA493" s="42" t="str">
        <f>IF(NOTA[[#This Row],[JUMLAH]]="","",NOTA[[#This Row],[JUMLAH]]-NOTA[[#This Row],[DISC]])</f>
        <v/>
      </c>
      <c r="AB493" s="42"/>
      <c r="AC4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42" t="str">
        <f>IF(OR(NOTA[[#This Row],[QTY]]="",NOTA[[#This Row],[HARGA SATUAN]]="",),"",NOTA[[#This Row],[QTY]]*NOTA[[#This Row],[HARGA SATUAN]])</f>
        <v/>
      </c>
      <c r="AG493" s="36" t="str">
        <f ca="1">IF(NOTA[[#This Row],[ID_H]]="","",INDEX(NOTA[TANGGAL],MATCH(,INDIRECT(ADDRESS(ROW(NOTA[TANGGAL]),COLUMN(NOTA[TANGGAL]))&amp;":"&amp;ADDRESS(ROW(),COLUMN(NOTA[TANGGAL]))),-1)))</f>
        <v/>
      </c>
      <c r="AH493" s="36" t="str">
        <f ca="1">IF(NOTA[[#This Row],[ID_H]]="","",INDEX(NOTA[TGL.NOTA],MATCH(,INDIRECT(ADDRESS(ROW(NOTA[TGL.NOTA]),COLUMN(NOTA[TGL.NOTA]))&amp;":"&amp;ADDRESS(ROW(),COLUMN(NOTA[TGL.NOTA]))),-1)))</f>
        <v/>
      </c>
      <c r="AI493" s="36" t="str">
        <f ca="1">IF(NOTA[[#This Row],[ID_H]]="","",INDEX(NOTA[NO.NOTA],MATCH(NOTA[[#This Row],[ID_H]],NOTA[ID_H],0)))</f>
        <v/>
      </c>
      <c r="AJ493" s="38" t="str">
        <f ca="1">IF(NOTA[[#This Row],[NAMA BARANG]]="","",INDEX(NOTA[SUPPLIER],MATCH(,INDIRECT(ADDRESS(ROW(NOTA[ID]),COLUMN(NOTA[ID]))&amp;":"&amp;ADDRESS(ROW(),COLUMN(NOTA[ID]))),-1)))</f>
        <v/>
      </c>
      <c r="AK493" s="38" t="str">
        <f ca="1">IF(NOTA[[#This Row],[ID_H]]="","",IF(NOTA[[#This Row],[FAKTUR]]="",INDIRECT(ADDRESS(ROW()-1,COLUMN())),NOTA[[#This Row],[FAKTUR]]))</f>
        <v/>
      </c>
      <c r="AL493" s="35" t="str">
        <f ca="1">IF(NOTA[[#This Row],[ID]]="","",COUNTIF(NOTA[ID_H],NOTA[[#This Row],[ID_H]]))</f>
        <v/>
      </c>
      <c r="AM493" s="35" t="str">
        <f ca="1">IF(NOTA[[#This Row],[TGL.NOTA]]="",IF(NOTA[[#This Row],[SUPPLIER_H]]="","",AM492),MONTH(NOTA[[#This Row],[TGL.NOTA]]))</f>
        <v/>
      </c>
      <c r="AN4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3" s="35" t="str">
        <f>IF(NOTA[[#This Row],[CONCAT1]]="","",MATCH(NOTA[[#This Row],[CONCAT1]],[3]!db[NB NOTA_C],0))</f>
        <v/>
      </c>
      <c r="AS493" s="35" t="str">
        <f>IF(NOTA[[#This Row],[Column5]]="","",TRUE)</f>
        <v/>
      </c>
      <c r="AT493" s="35" t="str">
        <f ca="1">IF(NOTA[[#This Row],[ID_H]]="","",IF(NOTA[[#This Row],[Column3]]=TRUE,NOTA[[#This Row],[Column5]],INDEX([3]!db[QTY/ CTN],NOTA[[#This Row],[//DB]])))</f>
        <v/>
      </c>
      <c r="AU4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3" s="35" t="str">
        <f ca="1">IF(NOTA[[#This Row],[ID_H]]="","",MATCH(NOTA[[#This Row],[NB NOTA_C_QTY]],[3]!db[NB NOTA_C_QTY+F],0))</f>
        <v/>
      </c>
      <c r="AW493" s="43" t="str">
        <f ca="1">IF(NOTA[[#This Row],[NB NOTA_C_QTY]]="","",ROW()-2)</f>
        <v/>
      </c>
    </row>
    <row r="494" spans="1:49" ht="20.100000000000001" customHeight="1">
      <c r="A4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5" t="str">
        <f ca="1">IF(NOTA[[#This Row],[NAMA BARANG]]="","",INDEX(NOTA[ID],MATCH(,INDIRECT(ADDRESS(ROW(NOTA[ID]),COLUMN(NOTA[ID]))&amp;":"&amp;ADDRESS(ROW(),COLUMN(NOTA[ID]))),-1)))</f>
        <v/>
      </c>
      <c r="C494" s="45"/>
      <c r="F494" s="46"/>
      <c r="G494" s="35"/>
      <c r="H494" s="36"/>
      <c r="I494" s="35"/>
      <c r="K494" s="37"/>
      <c r="L494" s="35"/>
      <c r="N494" s="38"/>
      <c r="O494" s="39"/>
      <c r="P494" s="47"/>
      <c r="Q494" s="48"/>
      <c r="R494" s="41"/>
      <c r="T494" s="42"/>
      <c r="U494" s="44"/>
      <c r="V494" s="42" t="str">
        <f>IF(NOTA[[#This Row],[HARGA/ CTN]]="",NOTA[[#This Row],[JUMLAH_H]],NOTA[[#This Row],[HARGA/ CTN]]*IF(NOTA[[#This Row],[C]]="",0,NOTA[[#This Row],[C]]))</f>
        <v/>
      </c>
      <c r="W494" s="42" t="str">
        <f>IF(NOTA[[#This Row],[JUMLAH]]="","",NOTA[[#This Row],[JUMLAH]]*NOTA[[#This Row],[Column6]])</f>
        <v/>
      </c>
      <c r="X494" s="42" t="str">
        <f>IF(NOTA[[#This Row],[JUMLAH]]="","",(NOTA[[#This Row],[JUMLAH]]-NOTA[[#This Row],[DISC 1-]])*NOTA[[#This Row],[Column7]])</f>
        <v/>
      </c>
      <c r="Y494" s="42" t="str">
        <f>IF(NOTA[[#This Row],[JUMLAH]]="","",(NOTA[[#This Row],[JUMLAH]]-NOTA[[#This Row],[DISC 1-]]-NOTA[[#This Row],[DISC 2-]])*NOTA[[#This Row],[Column8]])</f>
        <v/>
      </c>
      <c r="Z494" s="42" t="str">
        <f>IF(NOTA[[#This Row],[JUMLAH]]="","",NOTA[[#This Row],[DISC 1-]]+NOTA[[#This Row],[DISC 2-]]+NOTA[[#This Row],[DISC 3-]])</f>
        <v/>
      </c>
      <c r="AA494" s="42" t="str">
        <f>IF(NOTA[[#This Row],[JUMLAH]]="","",NOTA[[#This Row],[JUMLAH]]-NOTA[[#This Row],[DISC]])</f>
        <v/>
      </c>
      <c r="AB494" s="42"/>
      <c r="AC4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42" t="str">
        <f>IF(OR(NOTA[[#This Row],[QTY]]="",NOTA[[#This Row],[HARGA SATUAN]]="",),"",NOTA[[#This Row],[QTY]]*NOTA[[#This Row],[HARGA SATUAN]])</f>
        <v/>
      </c>
      <c r="AG494" s="36" t="str">
        <f ca="1">IF(NOTA[[#This Row],[ID_H]]="","",INDEX(NOTA[TANGGAL],MATCH(,INDIRECT(ADDRESS(ROW(NOTA[TANGGAL]),COLUMN(NOTA[TANGGAL]))&amp;":"&amp;ADDRESS(ROW(),COLUMN(NOTA[TANGGAL]))),-1)))</f>
        <v/>
      </c>
      <c r="AH494" s="36" t="str">
        <f ca="1">IF(NOTA[[#This Row],[ID_H]]="","",INDEX(NOTA[TGL.NOTA],MATCH(,INDIRECT(ADDRESS(ROW(NOTA[TGL.NOTA]),COLUMN(NOTA[TGL.NOTA]))&amp;":"&amp;ADDRESS(ROW(),COLUMN(NOTA[TGL.NOTA]))),-1)))</f>
        <v/>
      </c>
      <c r="AI494" s="36" t="str">
        <f ca="1">IF(NOTA[[#This Row],[ID_H]]="","",INDEX(NOTA[NO.NOTA],MATCH(NOTA[[#This Row],[ID_H]],NOTA[ID_H],0)))</f>
        <v/>
      </c>
      <c r="AJ494" s="38" t="str">
        <f ca="1">IF(NOTA[[#This Row],[NAMA BARANG]]="","",INDEX(NOTA[SUPPLIER],MATCH(,INDIRECT(ADDRESS(ROW(NOTA[ID]),COLUMN(NOTA[ID]))&amp;":"&amp;ADDRESS(ROW(),COLUMN(NOTA[ID]))),-1)))</f>
        <v/>
      </c>
      <c r="AK494" s="38" t="str">
        <f ca="1">IF(NOTA[[#This Row],[ID_H]]="","",IF(NOTA[[#This Row],[FAKTUR]]="",INDIRECT(ADDRESS(ROW()-1,COLUMN())),NOTA[[#This Row],[FAKTUR]]))</f>
        <v/>
      </c>
      <c r="AL494" s="35" t="str">
        <f ca="1">IF(NOTA[[#This Row],[ID]]="","",COUNTIF(NOTA[ID_H],NOTA[[#This Row],[ID_H]]))</f>
        <v/>
      </c>
      <c r="AM494" s="35" t="str">
        <f ca="1">IF(NOTA[[#This Row],[TGL.NOTA]]="",IF(NOTA[[#This Row],[SUPPLIER_H]]="","",AM493),MONTH(NOTA[[#This Row],[TGL.NOTA]]))</f>
        <v/>
      </c>
      <c r="AN4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4" s="35" t="str">
        <f>IF(NOTA[[#This Row],[CONCAT1]]="","",MATCH(NOTA[[#This Row],[CONCAT1]],[3]!db[NB NOTA_C],0))</f>
        <v/>
      </c>
      <c r="AS494" s="35" t="str">
        <f>IF(NOTA[[#This Row],[Column5]]="","",TRUE)</f>
        <v/>
      </c>
      <c r="AT494" s="35" t="str">
        <f ca="1">IF(NOTA[[#This Row],[ID_H]]="","",IF(NOTA[[#This Row],[Column3]]=TRUE,NOTA[[#This Row],[Column5]],INDEX([3]!db[QTY/ CTN],NOTA[[#This Row],[//DB]])))</f>
        <v/>
      </c>
      <c r="AU4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4" s="35" t="str">
        <f ca="1">IF(NOTA[[#This Row],[ID_H]]="","",MATCH(NOTA[[#This Row],[NB NOTA_C_QTY]],[3]!db[NB NOTA_C_QTY+F],0))</f>
        <v/>
      </c>
      <c r="AW494" s="43" t="str">
        <f ca="1">IF(NOTA[[#This Row],[NB NOTA_C_QTY]]="","",ROW()-2)</f>
        <v/>
      </c>
    </row>
    <row r="495" spans="1:49" ht="20.100000000000001" customHeight="1">
      <c r="A4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5" t="str">
        <f ca="1">IF(NOTA[[#This Row],[NAMA BARANG]]="","",INDEX(NOTA[ID],MATCH(,INDIRECT(ADDRESS(ROW(NOTA[ID]),COLUMN(NOTA[ID]))&amp;":"&amp;ADDRESS(ROW(),COLUMN(NOTA[ID]))),-1)))</f>
        <v/>
      </c>
      <c r="C495" s="45"/>
      <c r="F495" s="46"/>
      <c r="G495" s="35"/>
      <c r="H495" s="36"/>
      <c r="I495" s="35"/>
      <c r="K495" s="37"/>
      <c r="L495" s="35"/>
      <c r="N495" s="38"/>
      <c r="O495" s="39"/>
      <c r="P495" s="47"/>
      <c r="Q495" s="48"/>
      <c r="R495" s="41"/>
      <c r="T495" s="42"/>
      <c r="U495" s="44"/>
      <c r="V495" s="42" t="str">
        <f>IF(NOTA[[#This Row],[HARGA/ CTN]]="",NOTA[[#This Row],[JUMLAH_H]],NOTA[[#This Row],[HARGA/ CTN]]*IF(NOTA[[#This Row],[C]]="",0,NOTA[[#This Row],[C]]))</f>
        <v/>
      </c>
      <c r="W495" s="42" t="str">
        <f>IF(NOTA[[#This Row],[JUMLAH]]="","",NOTA[[#This Row],[JUMLAH]]*NOTA[[#This Row],[Column6]])</f>
        <v/>
      </c>
      <c r="X495" s="42" t="str">
        <f>IF(NOTA[[#This Row],[JUMLAH]]="","",(NOTA[[#This Row],[JUMLAH]]-NOTA[[#This Row],[DISC 1-]])*NOTA[[#This Row],[Column7]])</f>
        <v/>
      </c>
      <c r="Y495" s="42" t="str">
        <f>IF(NOTA[[#This Row],[JUMLAH]]="","",(NOTA[[#This Row],[JUMLAH]]-NOTA[[#This Row],[DISC 1-]]-NOTA[[#This Row],[DISC 2-]])*NOTA[[#This Row],[Column8]])</f>
        <v/>
      </c>
      <c r="Z495" s="42" t="str">
        <f>IF(NOTA[[#This Row],[JUMLAH]]="","",NOTA[[#This Row],[DISC 1-]]+NOTA[[#This Row],[DISC 2-]]+NOTA[[#This Row],[DISC 3-]])</f>
        <v/>
      </c>
      <c r="AA495" s="42" t="str">
        <f>IF(NOTA[[#This Row],[JUMLAH]]="","",NOTA[[#This Row],[JUMLAH]]-NOTA[[#This Row],[DISC]])</f>
        <v/>
      </c>
      <c r="AB495" s="42"/>
      <c r="AC4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42" t="str">
        <f>IF(OR(NOTA[[#This Row],[QTY]]="",NOTA[[#This Row],[HARGA SATUAN]]="",),"",NOTA[[#This Row],[QTY]]*NOTA[[#This Row],[HARGA SATUAN]])</f>
        <v/>
      </c>
      <c r="AG495" s="36" t="str">
        <f ca="1">IF(NOTA[[#This Row],[ID_H]]="","",INDEX(NOTA[TANGGAL],MATCH(,INDIRECT(ADDRESS(ROW(NOTA[TANGGAL]),COLUMN(NOTA[TANGGAL]))&amp;":"&amp;ADDRESS(ROW(),COLUMN(NOTA[TANGGAL]))),-1)))</f>
        <v/>
      </c>
      <c r="AH495" s="36" t="str">
        <f ca="1">IF(NOTA[[#This Row],[ID_H]]="","",INDEX(NOTA[TGL.NOTA],MATCH(,INDIRECT(ADDRESS(ROW(NOTA[TGL.NOTA]),COLUMN(NOTA[TGL.NOTA]))&amp;":"&amp;ADDRESS(ROW(),COLUMN(NOTA[TGL.NOTA]))),-1)))</f>
        <v/>
      </c>
      <c r="AI495" s="36" t="str">
        <f ca="1">IF(NOTA[[#This Row],[ID_H]]="","",INDEX(NOTA[NO.NOTA],MATCH(NOTA[[#This Row],[ID_H]],NOTA[ID_H],0)))</f>
        <v/>
      </c>
      <c r="AJ495" s="38" t="str">
        <f ca="1">IF(NOTA[[#This Row],[NAMA BARANG]]="","",INDEX(NOTA[SUPPLIER],MATCH(,INDIRECT(ADDRESS(ROW(NOTA[ID]),COLUMN(NOTA[ID]))&amp;":"&amp;ADDRESS(ROW(),COLUMN(NOTA[ID]))),-1)))</f>
        <v/>
      </c>
      <c r="AK495" s="38" t="str">
        <f ca="1">IF(NOTA[[#This Row],[ID_H]]="","",IF(NOTA[[#This Row],[FAKTUR]]="",INDIRECT(ADDRESS(ROW()-1,COLUMN())),NOTA[[#This Row],[FAKTUR]]))</f>
        <v/>
      </c>
      <c r="AL495" s="35" t="str">
        <f ca="1">IF(NOTA[[#This Row],[ID]]="","",COUNTIF(NOTA[ID_H],NOTA[[#This Row],[ID_H]]))</f>
        <v/>
      </c>
      <c r="AM495" s="35" t="str">
        <f ca="1">IF(NOTA[[#This Row],[TGL.NOTA]]="",IF(NOTA[[#This Row],[SUPPLIER_H]]="","",AM494),MONTH(NOTA[[#This Row],[TGL.NOTA]]))</f>
        <v/>
      </c>
      <c r="AN4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5" s="35" t="str">
        <f>IF(NOTA[[#This Row],[CONCAT1]]="","",MATCH(NOTA[[#This Row],[CONCAT1]],[3]!db[NB NOTA_C],0))</f>
        <v/>
      </c>
      <c r="AS495" s="35" t="str">
        <f>IF(NOTA[[#This Row],[Column5]]="","",TRUE)</f>
        <v/>
      </c>
      <c r="AT495" s="35" t="str">
        <f ca="1">IF(NOTA[[#This Row],[ID_H]]="","",IF(NOTA[[#This Row],[Column3]]=TRUE,NOTA[[#This Row],[Column5]],INDEX([3]!db[QTY/ CTN],NOTA[[#This Row],[//DB]])))</f>
        <v/>
      </c>
      <c r="AU4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5" s="35" t="str">
        <f ca="1">IF(NOTA[[#This Row],[ID_H]]="","",MATCH(NOTA[[#This Row],[NB NOTA_C_QTY]],[3]!db[NB NOTA_C_QTY+F],0))</f>
        <v/>
      </c>
      <c r="AW495" s="43" t="str">
        <f ca="1">IF(NOTA[[#This Row],[NB NOTA_C_QTY]]="","",ROW()-2)</f>
        <v/>
      </c>
    </row>
    <row r="496" spans="1:49" ht="20.100000000000001" customHeight="1">
      <c r="A4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5" t="str">
        <f ca="1">IF(NOTA[[#This Row],[NAMA BARANG]]="","",INDEX(NOTA[ID],MATCH(,INDIRECT(ADDRESS(ROW(NOTA[ID]),COLUMN(NOTA[ID]))&amp;":"&amp;ADDRESS(ROW(),COLUMN(NOTA[ID]))),-1)))</f>
        <v/>
      </c>
      <c r="C496" s="45"/>
      <c r="F496" s="46"/>
      <c r="G496" s="35"/>
      <c r="H496" s="36"/>
      <c r="I496" s="35"/>
      <c r="K496" s="37"/>
      <c r="L496" s="35"/>
      <c r="N496" s="38"/>
      <c r="O496" s="39"/>
      <c r="P496" s="47"/>
      <c r="Q496" s="48"/>
      <c r="R496" s="41"/>
      <c r="T496" s="42"/>
      <c r="U496" s="44"/>
      <c r="V496" s="42" t="str">
        <f>IF(NOTA[[#This Row],[HARGA/ CTN]]="",NOTA[[#This Row],[JUMLAH_H]],NOTA[[#This Row],[HARGA/ CTN]]*IF(NOTA[[#This Row],[C]]="",0,NOTA[[#This Row],[C]]))</f>
        <v/>
      </c>
      <c r="W496" s="42" t="str">
        <f>IF(NOTA[[#This Row],[JUMLAH]]="","",NOTA[[#This Row],[JUMLAH]]*NOTA[[#This Row],[Column6]])</f>
        <v/>
      </c>
      <c r="X496" s="42" t="str">
        <f>IF(NOTA[[#This Row],[JUMLAH]]="","",(NOTA[[#This Row],[JUMLAH]]-NOTA[[#This Row],[DISC 1-]])*NOTA[[#This Row],[Column7]])</f>
        <v/>
      </c>
      <c r="Y496" s="42" t="str">
        <f>IF(NOTA[[#This Row],[JUMLAH]]="","",(NOTA[[#This Row],[JUMLAH]]-NOTA[[#This Row],[DISC 1-]]-NOTA[[#This Row],[DISC 2-]])*NOTA[[#This Row],[Column8]])</f>
        <v/>
      </c>
      <c r="Z496" s="42" t="str">
        <f>IF(NOTA[[#This Row],[JUMLAH]]="","",NOTA[[#This Row],[DISC 1-]]+NOTA[[#This Row],[DISC 2-]]+NOTA[[#This Row],[DISC 3-]])</f>
        <v/>
      </c>
      <c r="AA496" s="42" t="str">
        <f>IF(NOTA[[#This Row],[JUMLAH]]="","",NOTA[[#This Row],[JUMLAH]]-NOTA[[#This Row],[DISC]])</f>
        <v/>
      </c>
      <c r="AB496" s="42"/>
      <c r="AC4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42" t="str">
        <f>IF(OR(NOTA[[#This Row],[QTY]]="",NOTA[[#This Row],[HARGA SATUAN]]="",),"",NOTA[[#This Row],[QTY]]*NOTA[[#This Row],[HARGA SATUAN]])</f>
        <v/>
      </c>
      <c r="AG496" s="36" t="str">
        <f ca="1">IF(NOTA[[#This Row],[ID_H]]="","",INDEX(NOTA[TANGGAL],MATCH(,INDIRECT(ADDRESS(ROW(NOTA[TANGGAL]),COLUMN(NOTA[TANGGAL]))&amp;":"&amp;ADDRESS(ROW(),COLUMN(NOTA[TANGGAL]))),-1)))</f>
        <v/>
      </c>
      <c r="AH496" s="36" t="str">
        <f ca="1">IF(NOTA[[#This Row],[ID_H]]="","",INDEX(NOTA[TGL.NOTA],MATCH(,INDIRECT(ADDRESS(ROW(NOTA[TGL.NOTA]),COLUMN(NOTA[TGL.NOTA]))&amp;":"&amp;ADDRESS(ROW(),COLUMN(NOTA[TGL.NOTA]))),-1)))</f>
        <v/>
      </c>
      <c r="AI496" s="36" t="str">
        <f ca="1">IF(NOTA[[#This Row],[ID_H]]="","",INDEX(NOTA[NO.NOTA],MATCH(NOTA[[#This Row],[ID_H]],NOTA[ID_H],0)))</f>
        <v/>
      </c>
      <c r="AJ496" s="38" t="str">
        <f ca="1">IF(NOTA[[#This Row],[NAMA BARANG]]="","",INDEX(NOTA[SUPPLIER],MATCH(,INDIRECT(ADDRESS(ROW(NOTA[ID]),COLUMN(NOTA[ID]))&amp;":"&amp;ADDRESS(ROW(),COLUMN(NOTA[ID]))),-1)))</f>
        <v/>
      </c>
      <c r="AK496" s="38" t="str">
        <f ca="1">IF(NOTA[[#This Row],[ID_H]]="","",IF(NOTA[[#This Row],[FAKTUR]]="",INDIRECT(ADDRESS(ROW()-1,COLUMN())),NOTA[[#This Row],[FAKTUR]]))</f>
        <v/>
      </c>
      <c r="AL496" s="35" t="str">
        <f ca="1">IF(NOTA[[#This Row],[ID]]="","",COUNTIF(NOTA[ID_H],NOTA[[#This Row],[ID_H]]))</f>
        <v/>
      </c>
      <c r="AM496" s="35" t="str">
        <f ca="1">IF(NOTA[[#This Row],[TGL.NOTA]]="",IF(NOTA[[#This Row],[SUPPLIER_H]]="","",AM495),MONTH(NOTA[[#This Row],[TGL.NOTA]]))</f>
        <v/>
      </c>
      <c r="AN4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6" s="35" t="str">
        <f>IF(NOTA[[#This Row],[CONCAT1]]="","",MATCH(NOTA[[#This Row],[CONCAT1]],[3]!db[NB NOTA_C],0))</f>
        <v/>
      </c>
      <c r="AS496" s="35" t="str">
        <f>IF(NOTA[[#This Row],[Column5]]="","",TRUE)</f>
        <v/>
      </c>
      <c r="AT496" s="35" t="str">
        <f ca="1">IF(NOTA[[#This Row],[ID_H]]="","",IF(NOTA[[#This Row],[Column3]]=TRUE,NOTA[[#This Row],[Column5]],INDEX([3]!db[QTY/ CTN],NOTA[[#This Row],[//DB]])))</f>
        <v/>
      </c>
      <c r="AU4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6" s="35" t="str">
        <f ca="1">IF(NOTA[[#This Row],[ID_H]]="","",MATCH(NOTA[[#This Row],[NB NOTA_C_QTY]],[3]!db[NB NOTA_C_QTY+F],0))</f>
        <v/>
      </c>
      <c r="AW496" s="43" t="str">
        <f ca="1">IF(NOTA[[#This Row],[NB NOTA_C_QTY]]="","",ROW()-2)</f>
        <v/>
      </c>
    </row>
    <row r="497" spans="1:49" ht="20.100000000000001" customHeight="1">
      <c r="A4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5" t="str">
        <f ca="1">IF(NOTA[[#This Row],[NAMA BARANG]]="","",INDEX(NOTA[ID],MATCH(,INDIRECT(ADDRESS(ROW(NOTA[ID]),COLUMN(NOTA[ID]))&amp;":"&amp;ADDRESS(ROW(),COLUMN(NOTA[ID]))),-1)))</f>
        <v/>
      </c>
      <c r="C497" s="45"/>
      <c r="F497" s="46"/>
      <c r="G497" s="35"/>
      <c r="H497" s="36"/>
      <c r="I497" s="35"/>
      <c r="K497" s="37"/>
      <c r="L497" s="35"/>
      <c r="N497" s="38"/>
      <c r="O497" s="39"/>
      <c r="P497" s="47"/>
      <c r="Q497" s="48"/>
      <c r="R497" s="41"/>
      <c r="T497" s="42"/>
      <c r="U497" s="44"/>
      <c r="V497" s="42" t="str">
        <f>IF(NOTA[[#This Row],[HARGA/ CTN]]="",NOTA[[#This Row],[JUMLAH_H]],NOTA[[#This Row],[HARGA/ CTN]]*IF(NOTA[[#This Row],[C]]="",0,NOTA[[#This Row],[C]]))</f>
        <v/>
      </c>
      <c r="W497" s="42" t="str">
        <f>IF(NOTA[[#This Row],[JUMLAH]]="","",NOTA[[#This Row],[JUMLAH]]*NOTA[[#This Row],[Column6]])</f>
        <v/>
      </c>
      <c r="X497" s="42" t="str">
        <f>IF(NOTA[[#This Row],[JUMLAH]]="","",(NOTA[[#This Row],[JUMLAH]]-NOTA[[#This Row],[DISC 1-]])*NOTA[[#This Row],[Column7]])</f>
        <v/>
      </c>
      <c r="Y497" s="42" t="str">
        <f>IF(NOTA[[#This Row],[JUMLAH]]="","",(NOTA[[#This Row],[JUMLAH]]-NOTA[[#This Row],[DISC 1-]]-NOTA[[#This Row],[DISC 2-]])*NOTA[[#This Row],[Column8]])</f>
        <v/>
      </c>
      <c r="Z497" s="42" t="str">
        <f>IF(NOTA[[#This Row],[JUMLAH]]="","",NOTA[[#This Row],[DISC 1-]]+NOTA[[#This Row],[DISC 2-]]+NOTA[[#This Row],[DISC 3-]])</f>
        <v/>
      </c>
      <c r="AA497" s="42" t="str">
        <f>IF(NOTA[[#This Row],[JUMLAH]]="","",NOTA[[#This Row],[JUMLAH]]-NOTA[[#This Row],[DISC]])</f>
        <v/>
      </c>
      <c r="AB497" s="42"/>
      <c r="AC4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42" t="str">
        <f>IF(OR(NOTA[[#This Row],[QTY]]="",NOTA[[#This Row],[HARGA SATUAN]]="",),"",NOTA[[#This Row],[QTY]]*NOTA[[#This Row],[HARGA SATUAN]])</f>
        <v/>
      </c>
      <c r="AG497" s="36" t="str">
        <f ca="1">IF(NOTA[[#This Row],[ID_H]]="","",INDEX(NOTA[TANGGAL],MATCH(,INDIRECT(ADDRESS(ROW(NOTA[TANGGAL]),COLUMN(NOTA[TANGGAL]))&amp;":"&amp;ADDRESS(ROW(),COLUMN(NOTA[TANGGAL]))),-1)))</f>
        <v/>
      </c>
      <c r="AH497" s="36" t="str">
        <f ca="1">IF(NOTA[[#This Row],[ID_H]]="","",INDEX(NOTA[TGL.NOTA],MATCH(,INDIRECT(ADDRESS(ROW(NOTA[TGL.NOTA]),COLUMN(NOTA[TGL.NOTA]))&amp;":"&amp;ADDRESS(ROW(),COLUMN(NOTA[TGL.NOTA]))),-1)))</f>
        <v/>
      </c>
      <c r="AI497" s="36" t="str">
        <f ca="1">IF(NOTA[[#This Row],[ID_H]]="","",INDEX(NOTA[NO.NOTA],MATCH(NOTA[[#This Row],[ID_H]],NOTA[ID_H],0)))</f>
        <v/>
      </c>
      <c r="AJ497" s="38" t="str">
        <f ca="1">IF(NOTA[[#This Row],[NAMA BARANG]]="","",INDEX(NOTA[SUPPLIER],MATCH(,INDIRECT(ADDRESS(ROW(NOTA[ID]),COLUMN(NOTA[ID]))&amp;":"&amp;ADDRESS(ROW(),COLUMN(NOTA[ID]))),-1)))</f>
        <v/>
      </c>
      <c r="AK497" s="38" t="str">
        <f ca="1">IF(NOTA[[#This Row],[ID_H]]="","",IF(NOTA[[#This Row],[FAKTUR]]="",INDIRECT(ADDRESS(ROW()-1,COLUMN())),NOTA[[#This Row],[FAKTUR]]))</f>
        <v/>
      </c>
      <c r="AL497" s="35" t="str">
        <f ca="1">IF(NOTA[[#This Row],[ID]]="","",COUNTIF(NOTA[ID_H],NOTA[[#This Row],[ID_H]]))</f>
        <v/>
      </c>
      <c r="AM497" s="35" t="str">
        <f ca="1">IF(NOTA[[#This Row],[TGL.NOTA]]="",IF(NOTA[[#This Row],[SUPPLIER_H]]="","",AM496),MONTH(NOTA[[#This Row],[TGL.NOTA]]))</f>
        <v/>
      </c>
      <c r="AN4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7" s="35" t="str">
        <f>IF(NOTA[[#This Row],[CONCAT1]]="","",MATCH(NOTA[[#This Row],[CONCAT1]],[3]!db[NB NOTA_C],0))</f>
        <v/>
      </c>
      <c r="AS497" s="35" t="str">
        <f>IF(NOTA[[#This Row],[Column5]]="","",TRUE)</f>
        <v/>
      </c>
      <c r="AT497" s="35" t="str">
        <f ca="1">IF(NOTA[[#This Row],[ID_H]]="","",IF(NOTA[[#This Row],[Column3]]=TRUE,NOTA[[#This Row],[Column5]],INDEX([3]!db[QTY/ CTN],NOTA[[#This Row],[//DB]])))</f>
        <v/>
      </c>
      <c r="AU4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7" s="35" t="str">
        <f ca="1">IF(NOTA[[#This Row],[ID_H]]="","",MATCH(NOTA[[#This Row],[NB NOTA_C_QTY]],[3]!db[NB NOTA_C_QTY+F],0))</f>
        <v/>
      </c>
      <c r="AW497" s="43" t="str">
        <f ca="1">IF(NOTA[[#This Row],[NB NOTA_C_QTY]]="","",ROW()-2)</f>
        <v/>
      </c>
    </row>
    <row r="498" spans="1:49" ht="20.100000000000001" customHeight="1">
      <c r="A4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5" t="str">
        <f ca="1">IF(NOTA[[#This Row],[NAMA BARANG]]="","",INDEX(NOTA[ID],MATCH(,INDIRECT(ADDRESS(ROW(NOTA[ID]),COLUMN(NOTA[ID]))&amp;":"&amp;ADDRESS(ROW(),COLUMN(NOTA[ID]))),-1)))</f>
        <v/>
      </c>
      <c r="C498" s="45"/>
      <c r="F498" s="46"/>
      <c r="G498" s="35"/>
      <c r="H498" s="36"/>
      <c r="I498" s="35"/>
      <c r="K498" s="37"/>
      <c r="L498" s="35"/>
      <c r="N498" s="38"/>
      <c r="O498" s="39"/>
      <c r="P498" s="47"/>
      <c r="Q498" s="48"/>
      <c r="R498" s="41"/>
      <c r="T498" s="42"/>
      <c r="U498" s="44"/>
      <c r="V498" s="42" t="str">
        <f>IF(NOTA[[#This Row],[HARGA/ CTN]]="",NOTA[[#This Row],[JUMLAH_H]],NOTA[[#This Row],[HARGA/ CTN]]*IF(NOTA[[#This Row],[C]]="",0,NOTA[[#This Row],[C]]))</f>
        <v/>
      </c>
      <c r="W498" s="42" t="str">
        <f>IF(NOTA[[#This Row],[JUMLAH]]="","",NOTA[[#This Row],[JUMLAH]]*NOTA[[#This Row],[Column6]])</f>
        <v/>
      </c>
      <c r="X498" s="42" t="str">
        <f>IF(NOTA[[#This Row],[JUMLAH]]="","",(NOTA[[#This Row],[JUMLAH]]-NOTA[[#This Row],[DISC 1-]])*NOTA[[#This Row],[Column7]])</f>
        <v/>
      </c>
      <c r="Y498" s="42" t="str">
        <f>IF(NOTA[[#This Row],[JUMLAH]]="","",(NOTA[[#This Row],[JUMLAH]]-NOTA[[#This Row],[DISC 1-]]-NOTA[[#This Row],[DISC 2-]])*NOTA[[#This Row],[Column8]])</f>
        <v/>
      </c>
      <c r="Z498" s="42" t="str">
        <f>IF(NOTA[[#This Row],[JUMLAH]]="","",NOTA[[#This Row],[DISC 1-]]+NOTA[[#This Row],[DISC 2-]]+NOTA[[#This Row],[DISC 3-]])</f>
        <v/>
      </c>
      <c r="AA498" s="42" t="str">
        <f>IF(NOTA[[#This Row],[JUMLAH]]="","",NOTA[[#This Row],[JUMLAH]]-NOTA[[#This Row],[DISC]])</f>
        <v/>
      </c>
      <c r="AB498" s="42"/>
      <c r="AC4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42" t="str">
        <f>IF(OR(NOTA[[#This Row],[QTY]]="",NOTA[[#This Row],[HARGA SATUAN]]="",),"",NOTA[[#This Row],[QTY]]*NOTA[[#This Row],[HARGA SATUAN]])</f>
        <v/>
      </c>
      <c r="AG498" s="36" t="str">
        <f ca="1">IF(NOTA[[#This Row],[ID_H]]="","",INDEX(NOTA[TANGGAL],MATCH(,INDIRECT(ADDRESS(ROW(NOTA[TANGGAL]),COLUMN(NOTA[TANGGAL]))&amp;":"&amp;ADDRESS(ROW(),COLUMN(NOTA[TANGGAL]))),-1)))</f>
        <v/>
      </c>
      <c r="AH498" s="36" t="str">
        <f ca="1">IF(NOTA[[#This Row],[ID_H]]="","",INDEX(NOTA[TGL.NOTA],MATCH(,INDIRECT(ADDRESS(ROW(NOTA[TGL.NOTA]),COLUMN(NOTA[TGL.NOTA]))&amp;":"&amp;ADDRESS(ROW(),COLUMN(NOTA[TGL.NOTA]))),-1)))</f>
        <v/>
      </c>
      <c r="AI498" s="36" t="str">
        <f ca="1">IF(NOTA[[#This Row],[ID_H]]="","",INDEX(NOTA[NO.NOTA],MATCH(NOTA[[#This Row],[ID_H]],NOTA[ID_H],0)))</f>
        <v/>
      </c>
      <c r="AJ498" s="38" t="str">
        <f ca="1">IF(NOTA[[#This Row],[NAMA BARANG]]="","",INDEX(NOTA[SUPPLIER],MATCH(,INDIRECT(ADDRESS(ROW(NOTA[ID]),COLUMN(NOTA[ID]))&amp;":"&amp;ADDRESS(ROW(),COLUMN(NOTA[ID]))),-1)))</f>
        <v/>
      </c>
      <c r="AK498" s="38" t="str">
        <f ca="1">IF(NOTA[[#This Row],[ID_H]]="","",IF(NOTA[[#This Row],[FAKTUR]]="",INDIRECT(ADDRESS(ROW()-1,COLUMN())),NOTA[[#This Row],[FAKTUR]]))</f>
        <v/>
      </c>
      <c r="AL498" s="35" t="str">
        <f ca="1">IF(NOTA[[#This Row],[ID]]="","",COUNTIF(NOTA[ID_H],NOTA[[#This Row],[ID_H]]))</f>
        <v/>
      </c>
      <c r="AM498" s="35" t="str">
        <f ca="1">IF(NOTA[[#This Row],[TGL.NOTA]]="",IF(NOTA[[#This Row],[SUPPLIER_H]]="","",AM497),MONTH(NOTA[[#This Row],[TGL.NOTA]]))</f>
        <v/>
      </c>
      <c r="AN4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8" s="35" t="str">
        <f>IF(NOTA[[#This Row],[CONCAT1]]="","",MATCH(NOTA[[#This Row],[CONCAT1]],[3]!db[NB NOTA_C],0))</f>
        <v/>
      </c>
      <c r="AS498" s="35" t="str">
        <f>IF(NOTA[[#This Row],[Column5]]="","",TRUE)</f>
        <v/>
      </c>
      <c r="AT498" s="35" t="str">
        <f ca="1">IF(NOTA[[#This Row],[ID_H]]="","",IF(NOTA[[#This Row],[Column3]]=TRUE,NOTA[[#This Row],[Column5]],INDEX([3]!db[QTY/ CTN],NOTA[[#This Row],[//DB]])))</f>
        <v/>
      </c>
      <c r="AU4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8" s="35" t="str">
        <f ca="1">IF(NOTA[[#This Row],[ID_H]]="","",MATCH(NOTA[[#This Row],[NB NOTA_C_QTY]],[3]!db[NB NOTA_C_QTY+F],0))</f>
        <v/>
      </c>
      <c r="AW498" s="43" t="str">
        <f ca="1">IF(NOTA[[#This Row],[NB NOTA_C_QTY]]="","",ROW()-2)</f>
        <v/>
      </c>
    </row>
    <row r="499" spans="1:49" ht="20.100000000000001" customHeight="1">
      <c r="A4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5" t="str">
        <f ca="1">IF(NOTA[[#This Row],[NAMA BARANG]]="","",INDEX(NOTA[ID],MATCH(,INDIRECT(ADDRESS(ROW(NOTA[ID]),COLUMN(NOTA[ID]))&amp;":"&amp;ADDRESS(ROW(),COLUMN(NOTA[ID]))),-1)))</f>
        <v/>
      </c>
      <c r="C499" s="45"/>
      <c r="F499" s="46"/>
      <c r="G499" s="35"/>
      <c r="H499" s="36"/>
      <c r="I499" s="35"/>
      <c r="K499" s="37"/>
      <c r="L499" s="35"/>
      <c r="N499" s="38"/>
      <c r="O499" s="39"/>
      <c r="P499" s="47"/>
      <c r="Q499" s="48"/>
      <c r="R499" s="41"/>
      <c r="T499" s="42"/>
      <c r="U499" s="44"/>
      <c r="V499" s="42" t="str">
        <f>IF(NOTA[[#This Row],[HARGA/ CTN]]="",NOTA[[#This Row],[JUMLAH_H]],NOTA[[#This Row],[HARGA/ CTN]]*IF(NOTA[[#This Row],[C]]="",0,NOTA[[#This Row],[C]]))</f>
        <v/>
      </c>
      <c r="W499" s="42" t="str">
        <f>IF(NOTA[[#This Row],[JUMLAH]]="","",NOTA[[#This Row],[JUMLAH]]*NOTA[[#This Row],[Column6]])</f>
        <v/>
      </c>
      <c r="X499" s="42" t="str">
        <f>IF(NOTA[[#This Row],[JUMLAH]]="","",(NOTA[[#This Row],[JUMLAH]]-NOTA[[#This Row],[DISC 1-]])*NOTA[[#This Row],[Column7]])</f>
        <v/>
      </c>
      <c r="Y499" s="42" t="str">
        <f>IF(NOTA[[#This Row],[JUMLAH]]="","",(NOTA[[#This Row],[JUMLAH]]-NOTA[[#This Row],[DISC 1-]]-NOTA[[#This Row],[DISC 2-]])*NOTA[[#This Row],[Column8]])</f>
        <v/>
      </c>
      <c r="Z499" s="42" t="str">
        <f>IF(NOTA[[#This Row],[JUMLAH]]="","",NOTA[[#This Row],[DISC 1-]]+NOTA[[#This Row],[DISC 2-]]+NOTA[[#This Row],[DISC 3-]])</f>
        <v/>
      </c>
      <c r="AA499" s="42" t="str">
        <f>IF(NOTA[[#This Row],[JUMLAH]]="","",NOTA[[#This Row],[JUMLAH]]-NOTA[[#This Row],[DISC]])</f>
        <v/>
      </c>
      <c r="AB499" s="42"/>
      <c r="AC4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4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4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42" t="str">
        <f>IF(OR(NOTA[[#This Row],[QTY]]="",NOTA[[#This Row],[HARGA SATUAN]]="",),"",NOTA[[#This Row],[QTY]]*NOTA[[#This Row],[HARGA SATUAN]])</f>
        <v/>
      </c>
      <c r="AG499" s="36" t="str">
        <f ca="1">IF(NOTA[[#This Row],[ID_H]]="","",INDEX(NOTA[TANGGAL],MATCH(,INDIRECT(ADDRESS(ROW(NOTA[TANGGAL]),COLUMN(NOTA[TANGGAL]))&amp;":"&amp;ADDRESS(ROW(),COLUMN(NOTA[TANGGAL]))),-1)))</f>
        <v/>
      </c>
      <c r="AH499" s="36" t="str">
        <f ca="1">IF(NOTA[[#This Row],[ID_H]]="","",INDEX(NOTA[TGL.NOTA],MATCH(,INDIRECT(ADDRESS(ROW(NOTA[TGL.NOTA]),COLUMN(NOTA[TGL.NOTA]))&amp;":"&amp;ADDRESS(ROW(),COLUMN(NOTA[TGL.NOTA]))),-1)))</f>
        <v/>
      </c>
      <c r="AI499" s="36" t="str">
        <f ca="1">IF(NOTA[[#This Row],[ID_H]]="","",INDEX(NOTA[NO.NOTA],MATCH(NOTA[[#This Row],[ID_H]],NOTA[ID_H],0)))</f>
        <v/>
      </c>
      <c r="AJ499" s="38" t="str">
        <f ca="1">IF(NOTA[[#This Row],[NAMA BARANG]]="","",INDEX(NOTA[SUPPLIER],MATCH(,INDIRECT(ADDRESS(ROW(NOTA[ID]),COLUMN(NOTA[ID]))&amp;":"&amp;ADDRESS(ROW(),COLUMN(NOTA[ID]))),-1)))</f>
        <v/>
      </c>
      <c r="AK499" s="38" t="str">
        <f ca="1">IF(NOTA[[#This Row],[ID_H]]="","",IF(NOTA[[#This Row],[FAKTUR]]="",INDIRECT(ADDRESS(ROW()-1,COLUMN())),NOTA[[#This Row],[FAKTUR]]))</f>
        <v/>
      </c>
      <c r="AL499" s="35" t="str">
        <f ca="1">IF(NOTA[[#This Row],[ID]]="","",COUNTIF(NOTA[ID_H],NOTA[[#This Row],[ID_H]]))</f>
        <v/>
      </c>
      <c r="AM499" s="35" t="str">
        <f ca="1">IF(NOTA[[#This Row],[TGL.NOTA]]="",IF(NOTA[[#This Row],[SUPPLIER_H]]="","",AM498),MONTH(NOTA[[#This Row],[TGL.NOTA]]))</f>
        <v/>
      </c>
      <c r="AN4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4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4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4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9" s="35" t="str">
        <f>IF(NOTA[[#This Row],[CONCAT1]]="","",MATCH(NOTA[[#This Row],[CONCAT1]],[3]!db[NB NOTA_C],0))</f>
        <v/>
      </c>
      <c r="AS499" s="35" t="str">
        <f>IF(NOTA[[#This Row],[Column5]]="","",TRUE)</f>
        <v/>
      </c>
      <c r="AT499" s="35" t="str">
        <f ca="1">IF(NOTA[[#This Row],[ID_H]]="","",IF(NOTA[[#This Row],[Column3]]=TRUE,NOTA[[#This Row],[Column5]],INDEX([3]!db[QTY/ CTN],NOTA[[#This Row],[//DB]])))</f>
        <v/>
      </c>
      <c r="AU4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499" s="35" t="str">
        <f ca="1">IF(NOTA[[#This Row],[ID_H]]="","",MATCH(NOTA[[#This Row],[NB NOTA_C_QTY]],[3]!db[NB NOTA_C_QTY+F],0))</f>
        <v/>
      </c>
      <c r="AW499" s="43" t="str">
        <f ca="1">IF(NOTA[[#This Row],[NB NOTA_C_QTY]]="","",ROW()-2)</f>
        <v/>
      </c>
    </row>
    <row r="500" spans="1:49" ht="20.100000000000001" customHeight="1">
      <c r="A5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5" t="str">
        <f ca="1">IF(NOTA[[#This Row],[NAMA BARANG]]="","",INDEX(NOTA[ID],MATCH(,INDIRECT(ADDRESS(ROW(NOTA[ID]),COLUMN(NOTA[ID]))&amp;":"&amp;ADDRESS(ROW(),COLUMN(NOTA[ID]))),-1)))</f>
        <v/>
      </c>
      <c r="C500" s="45"/>
      <c r="F500" s="46"/>
      <c r="G500" s="35"/>
      <c r="H500" s="36"/>
      <c r="I500" s="35"/>
      <c r="K500" s="37"/>
      <c r="L500" s="35"/>
      <c r="N500" s="38"/>
      <c r="O500" s="39"/>
      <c r="P500" s="47"/>
      <c r="Q500" s="48"/>
      <c r="R500" s="41"/>
      <c r="T500" s="42"/>
      <c r="U500" s="44"/>
      <c r="V500" s="42" t="str">
        <f>IF(NOTA[[#This Row],[HARGA/ CTN]]="",NOTA[[#This Row],[JUMLAH_H]],NOTA[[#This Row],[HARGA/ CTN]]*IF(NOTA[[#This Row],[C]]="",0,NOTA[[#This Row],[C]]))</f>
        <v/>
      </c>
      <c r="W500" s="42" t="str">
        <f>IF(NOTA[[#This Row],[JUMLAH]]="","",NOTA[[#This Row],[JUMLAH]]*NOTA[[#This Row],[Column6]])</f>
        <v/>
      </c>
      <c r="X500" s="42" t="str">
        <f>IF(NOTA[[#This Row],[JUMLAH]]="","",(NOTA[[#This Row],[JUMLAH]]-NOTA[[#This Row],[DISC 1-]])*NOTA[[#This Row],[Column7]])</f>
        <v/>
      </c>
      <c r="Y500" s="42" t="str">
        <f>IF(NOTA[[#This Row],[JUMLAH]]="","",(NOTA[[#This Row],[JUMLAH]]-NOTA[[#This Row],[DISC 1-]]-NOTA[[#This Row],[DISC 2-]])*NOTA[[#This Row],[Column8]])</f>
        <v/>
      </c>
      <c r="Z500" s="42" t="str">
        <f>IF(NOTA[[#This Row],[JUMLAH]]="","",NOTA[[#This Row],[DISC 1-]]+NOTA[[#This Row],[DISC 2-]]+NOTA[[#This Row],[DISC 3-]])</f>
        <v/>
      </c>
      <c r="AA500" s="42" t="str">
        <f>IF(NOTA[[#This Row],[JUMLAH]]="","",NOTA[[#This Row],[JUMLAH]]-NOTA[[#This Row],[DISC]])</f>
        <v/>
      </c>
      <c r="AB500" s="42"/>
      <c r="AC5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42" t="str">
        <f>IF(OR(NOTA[[#This Row],[QTY]]="",NOTA[[#This Row],[HARGA SATUAN]]="",),"",NOTA[[#This Row],[QTY]]*NOTA[[#This Row],[HARGA SATUAN]])</f>
        <v/>
      </c>
      <c r="AG500" s="36" t="str">
        <f ca="1">IF(NOTA[[#This Row],[ID_H]]="","",INDEX(NOTA[TANGGAL],MATCH(,INDIRECT(ADDRESS(ROW(NOTA[TANGGAL]),COLUMN(NOTA[TANGGAL]))&amp;":"&amp;ADDRESS(ROW(),COLUMN(NOTA[TANGGAL]))),-1)))</f>
        <v/>
      </c>
      <c r="AH500" s="36" t="str">
        <f ca="1">IF(NOTA[[#This Row],[ID_H]]="","",INDEX(NOTA[TGL.NOTA],MATCH(,INDIRECT(ADDRESS(ROW(NOTA[TGL.NOTA]),COLUMN(NOTA[TGL.NOTA]))&amp;":"&amp;ADDRESS(ROW(),COLUMN(NOTA[TGL.NOTA]))),-1)))</f>
        <v/>
      </c>
      <c r="AI500" s="36" t="str">
        <f ca="1">IF(NOTA[[#This Row],[ID_H]]="","",INDEX(NOTA[NO.NOTA],MATCH(NOTA[[#This Row],[ID_H]],NOTA[ID_H],0)))</f>
        <v/>
      </c>
      <c r="AJ500" s="38" t="str">
        <f ca="1">IF(NOTA[[#This Row],[NAMA BARANG]]="","",INDEX(NOTA[SUPPLIER],MATCH(,INDIRECT(ADDRESS(ROW(NOTA[ID]),COLUMN(NOTA[ID]))&amp;":"&amp;ADDRESS(ROW(),COLUMN(NOTA[ID]))),-1)))</f>
        <v/>
      </c>
      <c r="AK500" s="38" t="str">
        <f ca="1">IF(NOTA[[#This Row],[ID_H]]="","",IF(NOTA[[#This Row],[FAKTUR]]="",INDIRECT(ADDRESS(ROW()-1,COLUMN())),NOTA[[#This Row],[FAKTUR]]))</f>
        <v/>
      </c>
      <c r="AL500" s="35" t="str">
        <f ca="1">IF(NOTA[[#This Row],[ID]]="","",COUNTIF(NOTA[ID_H],NOTA[[#This Row],[ID_H]]))</f>
        <v/>
      </c>
      <c r="AM500" s="35" t="str">
        <f ca="1">IF(NOTA[[#This Row],[TGL.NOTA]]="",IF(NOTA[[#This Row],[SUPPLIER_H]]="","",AM499),MONTH(NOTA[[#This Row],[TGL.NOTA]]))</f>
        <v/>
      </c>
      <c r="AN5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0" s="35" t="str">
        <f>IF(NOTA[[#This Row],[CONCAT1]]="","",MATCH(NOTA[[#This Row],[CONCAT1]],[3]!db[NB NOTA_C],0))</f>
        <v/>
      </c>
      <c r="AS500" s="35" t="str">
        <f>IF(NOTA[[#This Row],[Column5]]="","",TRUE)</f>
        <v/>
      </c>
      <c r="AT500" s="35" t="str">
        <f ca="1">IF(NOTA[[#This Row],[ID_H]]="","",IF(NOTA[[#This Row],[Column3]]=TRUE,NOTA[[#This Row],[Column5]],INDEX([3]!db[QTY/ CTN],NOTA[[#This Row],[//DB]])))</f>
        <v/>
      </c>
      <c r="AU5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0" s="35" t="str">
        <f ca="1">IF(NOTA[[#This Row],[ID_H]]="","",MATCH(NOTA[[#This Row],[NB NOTA_C_QTY]],[3]!db[NB NOTA_C_QTY+F],0))</f>
        <v/>
      </c>
      <c r="AW500" s="43" t="str">
        <f ca="1">IF(NOTA[[#This Row],[NB NOTA_C_QTY]]="","",ROW()-2)</f>
        <v/>
      </c>
    </row>
    <row r="501" spans="1:49" ht="20.100000000000001" customHeight="1">
      <c r="A5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5" t="str">
        <f ca="1">IF(NOTA[[#This Row],[NAMA BARANG]]="","",INDEX(NOTA[ID],MATCH(,INDIRECT(ADDRESS(ROW(NOTA[ID]),COLUMN(NOTA[ID]))&amp;":"&amp;ADDRESS(ROW(),COLUMN(NOTA[ID]))),-1)))</f>
        <v/>
      </c>
      <c r="C501" s="45"/>
      <c r="F501" s="46"/>
      <c r="G501" s="35"/>
      <c r="H501" s="36"/>
      <c r="I501" s="35"/>
      <c r="K501" s="37"/>
      <c r="L501" s="35"/>
      <c r="N501" s="38"/>
      <c r="O501" s="39"/>
      <c r="P501" s="47"/>
      <c r="Q501" s="48"/>
      <c r="R501" s="41"/>
      <c r="T501" s="42"/>
      <c r="U501" s="44"/>
      <c r="V501" s="42" t="str">
        <f>IF(NOTA[[#This Row],[HARGA/ CTN]]="",NOTA[[#This Row],[JUMLAH_H]],NOTA[[#This Row],[HARGA/ CTN]]*IF(NOTA[[#This Row],[C]]="",0,NOTA[[#This Row],[C]]))</f>
        <v/>
      </c>
      <c r="W501" s="42" t="str">
        <f>IF(NOTA[[#This Row],[JUMLAH]]="","",NOTA[[#This Row],[JUMLAH]]*NOTA[[#This Row],[Column6]])</f>
        <v/>
      </c>
      <c r="X501" s="42" t="str">
        <f>IF(NOTA[[#This Row],[JUMLAH]]="","",(NOTA[[#This Row],[JUMLAH]]-NOTA[[#This Row],[DISC 1-]])*NOTA[[#This Row],[Column7]])</f>
        <v/>
      </c>
      <c r="Y501" s="42" t="str">
        <f>IF(NOTA[[#This Row],[JUMLAH]]="","",(NOTA[[#This Row],[JUMLAH]]-NOTA[[#This Row],[DISC 1-]]-NOTA[[#This Row],[DISC 2-]])*NOTA[[#This Row],[Column8]])</f>
        <v/>
      </c>
      <c r="Z501" s="42" t="str">
        <f>IF(NOTA[[#This Row],[JUMLAH]]="","",NOTA[[#This Row],[DISC 1-]]+NOTA[[#This Row],[DISC 2-]]+NOTA[[#This Row],[DISC 3-]])</f>
        <v/>
      </c>
      <c r="AA501" s="42" t="str">
        <f>IF(NOTA[[#This Row],[JUMLAH]]="","",NOTA[[#This Row],[JUMLAH]]-NOTA[[#This Row],[DISC]])</f>
        <v/>
      </c>
      <c r="AB501" s="42"/>
      <c r="AC5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42" t="str">
        <f>IF(OR(NOTA[[#This Row],[QTY]]="",NOTA[[#This Row],[HARGA SATUAN]]="",),"",NOTA[[#This Row],[QTY]]*NOTA[[#This Row],[HARGA SATUAN]])</f>
        <v/>
      </c>
      <c r="AG501" s="36" t="str">
        <f ca="1">IF(NOTA[[#This Row],[ID_H]]="","",INDEX(NOTA[TANGGAL],MATCH(,INDIRECT(ADDRESS(ROW(NOTA[TANGGAL]),COLUMN(NOTA[TANGGAL]))&amp;":"&amp;ADDRESS(ROW(),COLUMN(NOTA[TANGGAL]))),-1)))</f>
        <v/>
      </c>
      <c r="AH501" s="36" t="str">
        <f ca="1">IF(NOTA[[#This Row],[ID_H]]="","",INDEX(NOTA[TGL.NOTA],MATCH(,INDIRECT(ADDRESS(ROW(NOTA[TGL.NOTA]),COLUMN(NOTA[TGL.NOTA]))&amp;":"&amp;ADDRESS(ROW(),COLUMN(NOTA[TGL.NOTA]))),-1)))</f>
        <v/>
      </c>
      <c r="AI501" s="36" t="str">
        <f ca="1">IF(NOTA[[#This Row],[ID_H]]="","",INDEX(NOTA[NO.NOTA],MATCH(NOTA[[#This Row],[ID_H]],NOTA[ID_H],0)))</f>
        <v/>
      </c>
      <c r="AJ501" s="38" t="str">
        <f ca="1">IF(NOTA[[#This Row],[NAMA BARANG]]="","",INDEX(NOTA[SUPPLIER],MATCH(,INDIRECT(ADDRESS(ROW(NOTA[ID]),COLUMN(NOTA[ID]))&amp;":"&amp;ADDRESS(ROW(),COLUMN(NOTA[ID]))),-1)))</f>
        <v/>
      </c>
      <c r="AK501" s="38" t="str">
        <f ca="1">IF(NOTA[[#This Row],[ID_H]]="","",IF(NOTA[[#This Row],[FAKTUR]]="",INDIRECT(ADDRESS(ROW()-1,COLUMN())),NOTA[[#This Row],[FAKTUR]]))</f>
        <v/>
      </c>
      <c r="AL501" s="35" t="str">
        <f ca="1">IF(NOTA[[#This Row],[ID]]="","",COUNTIF(NOTA[ID_H],NOTA[[#This Row],[ID_H]]))</f>
        <v/>
      </c>
      <c r="AM501" s="35" t="str">
        <f ca="1">IF(NOTA[[#This Row],[TGL.NOTA]]="",IF(NOTA[[#This Row],[SUPPLIER_H]]="","",AM500),MONTH(NOTA[[#This Row],[TGL.NOTA]]))</f>
        <v/>
      </c>
      <c r="AN5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1" s="35" t="str">
        <f>IF(NOTA[[#This Row],[CONCAT1]]="","",MATCH(NOTA[[#This Row],[CONCAT1]],[3]!db[NB NOTA_C],0))</f>
        <v/>
      </c>
      <c r="AS501" s="35" t="str">
        <f>IF(NOTA[[#This Row],[Column5]]="","",TRUE)</f>
        <v/>
      </c>
      <c r="AT501" s="35" t="str">
        <f ca="1">IF(NOTA[[#This Row],[ID_H]]="","",IF(NOTA[[#This Row],[Column3]]=TRUE,NOTA[[#This Row],[Column5]],INDEX([3]!db[QTY/ CTN],NOTA[[#This Row],[//DB]])))</f>
        <v/>
      </c>
      <c r="AU5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1" s="35" t="str">
        <f ca="1">IF(NOTA[[#This Row],[ID_H]]="","",MATCH(NOTA[[#This Row],[NB NOTA_C_QTY]],[3]!db[NB NOTA_C_QTY+F],0))</f>
        <v/>
      </c>
      <c r="AW501" s="43" t="str">
        <f ca="1">IF(NOTA[[#This Row],[NB NOTA_C_QTY]]="","",ROW()-2)</f>
        <v/>
      </c>
    </row>
    <row r="502" spans="1:49" ht="20.100000000000001" customHeight="1">
      <c r="A5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5" t="str">
        <f ca="1">IF(NOTA[[#This Row],[NAMA BARANG]]="","",INDEX(NOTA[ID],MATCH(,INDIRECT(ADDRESS(ROW(NOTA[ID]),COLUMN(NOTA[ID]))&amp;":"&amp;ADDRESS(ROW(),COLUMN(NOTA[ID]))),-1)))</f>
        <v/>
      </c>
      <c r="C502" s="45"/>
      <c r="F502" s="46"/>
      <c r="G502" s="35"/>
      <c r="H502" s="36"/>
      <c r="I502" s="35"/>
      <c r="K502" s="37"/>
      <c r="L502" s="35"/>
      <c r="N502" s="38"/>
      <c r="O502" s="39"/>
      <c r="P502" s="47"/>
      <c r="Q502" s="48"/>
      <c r="R502" s="41"/>
      <c r="T502" s="42"/>
      <c r="U502" s="44"/>
      <c r="V502" s="42" t="str">
        <f>IF(NOTA[[#This Row],[HARGA/ CTN]]="",NOTA[[#This Row],[JUMLAH_H]],NOTA[[#This Row],[HARGA/ CTN]]*IF(NOTA[[#This Row],[C]]="",0,NOTA[[#This Row],[C]]))</f>
        <v/>
      </c>
      <c r="W502" s="42" t="str">
        <f>IF(NOTA[[#This Row],[JUMLAH]]="","",NOTA[[#This Row],[JUMLAH]]*NOTA[[#This Row],[Column6]])</f>
        <v/>
      </c>
      <c r="X502" s="42" t="str">
        <f>IF(NOTA[[#This Row],[JUMLAH]]="","",(NOTA[[#This Row],[JUMLAH]]-NOTA[[#This Row],[DISC 1-]])*NOTA[[#This Row],[Column7]])</f>
        <v/>
      </c>
      <c r="Y502" s="42" t="str">
        <f>IF(NOTA[[#This Row],[JUMLAH]]="","",(NOTA[[#This Row],[JUMLAH]]-NOTA[[#This Row],[DISC 1-]]-NOTA[[#This Row],[DISC 2-]])*NOTA[[#This Row],[Column8]])</f>
        <v/>
      </c>
      <c r="Z502" s="42" t="str">
        <f>IF(NOTA[[#This Row],[JUMLAH]]="","",NOTA[[#This Row],[DISC 1-]]+NOTA[[#This Row],[DISC 2-]]+NOTA[[#This Row],[DISC 3-]])</f>
        <v/>
      </c>
      <c r="AA502" s="42" t="str">
        <f>IF(NOTA[[#This Row],[JUMLAH]]="","",NOTA[[#This Row],[JUMLAH]]-NOTA[[#This Row],[DISC]])</f>
        <v/>
      </c>
      <c r="AB502" s="42"/>
      <c r="AC5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42" t="str">
        <f>IF(OR(NOTA[[#This Row],[QTY]]="",NOTA[[#This Row],[HARGA SATUAN]]="",),"",NOTA[[#This Row],[QTY]]*NOTA[[#This Row],[HARGA SATUAN]])</f>
        <v/>
      </c>
      <c r="AG502" s="36" t="str">
        <f ca="1">IF(NOTA[[#This Row],[ID_H]]="","",INDEX(NOTA[TANGGAL],MATCH(,INDIRECT(ADDRESS(ROW(NOTA[TANGGAL]),COLUMN(NOTA[TANGGAL]))&amp;":"&amp;ADDRESS(ROW(),COLUMN(NOTA[TANGGAL]))),-1)))</f>
        <v/>
      </c>
      <c r="AH502" s="36" t="str">
        <f ca="1">IF(NOTA[[#This Row],[ID_H]]="","",INDEX(NOTA[TGL.NOTA],MATCH(,INDIRECT(ADDRESS(ROW(NOTA[TGL.NOTA]),COLUMN(NOTA[TGL.NOTA]))&amp;":"&amp;ADDRESS(ROW(),COLUMN(NOTA[TGL.NOTA]))),-1)))</f>
        <v/>
      </c>
      <c r="AI502" s="36" t="str">
        <f ca="1">IF(NOTA[[#This Row],[ID_H]]="","",INDEX(NOTA[NO.NOTA],MATCH(NOTA[[#This Row],[ID_H]],NOTA[ID_H],0)))</f>
        <v/>
      </c>
      <c r="AJ502" s="38" t="str">
        <f ca="1">IF(NOTA[[#This Row],[NAMA BARANG]]="","",INDEX(NOTA[SUPPLIER],MATCH(,INDIRECT(ADDRESS(ROW(NOTA[ID]),COLUMN(NOTA[ID]))&amp;":"&amp;ADDRESS(ROW(),COLUMN(NOTA[ID]))),-1)))</f>
        <v/>
      </c>
      <c r="AK502" s="38" t="str">
        <f ca="1">IF(NOTA[[#This Row],[ID_H]]="","",IF(NOTA[[#This Row],[FAKTUR]]="",INDIRECT(ADDRESS(ROW()-1,COLUMN())),NOTA[[#This Row],[FAKTUR]]))</f>
        <v/>
      </c>
      <c r="AL502" s="35" t="str">
        <f ca="1">IF(NOTA[[#This Row],[ID]]="","",COUNTIF(NOTA[ID_H],NOTA[[#This Row],[ID_H]]))</f>
        <v/>
      </c>
      <c r="AM502" s="35" t="str">
        <f ca="1">IF(NOTA[[#This Row],[TGL.NOTA]]="",IF(NOTA[[#This Row],[SUPPLIER_H]]="","",AM501),MONTH(NOTA[[#This Row],[TGL.NOTA]]))</f>
        <v/>
      </c>
      <c r="AN5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2" s="35" t="str">
        <f>IF(NOTA[[#This Row],[CONCAT1]]="","",MATCH(NOTA[[#This Row],[CONCAT1]],[3]!db[NB NOTA_C],0))</f>
        <v/>
      </c>
      <c r="AS502" s="35" t="str">
        <f>IF(NOTA[[#This Row],[Column5]]="","",TRUE)</f>
        <v/>
      </c>
      <c r="AT502" s="35" t="str">
        <f ca="1">IF(NOTA[[#This Row],[ID_H]]="","",IF(NOTA[[#This Row],[Column3]]=TRUE,NOTA[[#This Row],[Column5]],INDEX([3]!db[QTY/ CTN],NOTA[[#This Row],[//DB]])))</f>
        <v/>
      </c>
      <c r="AU5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2" s="35" t="str">
        <f ca="1">IF(NOTA[[#This Row],[ID_H]]="","",MATCH(NOTA[[#This Row],[NB NOTA_C_QTY]],[3]!db[NB NOTA_C_QTY+F],0))</f>
        <v/>
      </c>
      <c r="AW502" s="43" t="str">
        <f ca="1">IF(NOTA[[#This Row],[NB NOTA_C_QTY]]="","",ROW()-2)</f>
        <v/>
      </c>
    </row>
    <row r="503" spans="1:49" ht="20.100000000000001" customHeight="1">
      <c r="A5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5" t="str">
        <f ca="1">IF(NOTA[[#This Row],[NAMA BARANG]]="","",INDEX(NOTA[ID],MATCH(,INDIRECT(ADDRESS(ROW(NOTA[ID]),COLUMN(NOTA[ID]))&amp;":"&amp;ADDRESS(ROW(),COLUMN(NOTA[ID]))),-1)))</f>
        <v/>
      </c>
      <c r="C503" s="45"/>
      <c r="F503" s="46"/>
      <c r="G503" s="35"/>
      <c r="H503" s="36"/>
      <c r="I503" s="35"/>
      <c r="K503" s="37"/>
      <c r="L503" s="35"/>
      <c r="N503" s="38"/>
      <c r="O503" s="39"/>
      <c r="P503" s="47"/>
      <c r="Q503" s="48"/>
      <c r="R503" s="41"/>
      <c r="T503" s="42"/>
      <c r="U503" s="44"/>
      <c r="V503" s="42" t="str">
        <f>IF(NOTA[[#This Row],[HARGA/ CTN]]="",NOTA[[#This Row],[JUMLAH_H]],NOTA[[#This Row],[HARGA/ CTN]]*IF(NOTA[[#This Row],[C]]="",0,NOTA[[#This Row],[C]]))</f>
        <v/>
      </c>
      <c r="W503" s="42" t="str">
        <f>IF(NOTA[[#This Row],[JUMLAH]]="","",NOTA[[#This Row],[JUMLAH]]*NOTA[[#This Row],[Column6]])</f>
        <v/>
      </c>
      <c r="X503" s="42" t="str">
        <f>IF(NOTA[[#This Row],[JUMLAH]]="","",(NOTA[[#This Row],[JUMLAH]]-NOTA[[#This Row],[DISC 1-]])*NOTA[[#This Row],[Column7]])</f>
        <v/>
      </c>
      <c r="Y503" s="42" t="str">
        <f>IF(NOTA[[#This Row],[JUMLAH]]="","",(NOTA[[#This Row],[JUMLAH]]-NOTA[[#This Row],[DISC 1-]]-NOTA[[#This Row],[DISC 2-]])*NOTA[[#This Row],[Column8]])</f>
        <v/>
      </c>
      <c r="Z503" s="42" t="str">
        <f>IF(NOTA[[#This Row],[JUMLAH]]="","",NOTA[[#This Row],[DISC 1-]]+NOTA[[#This Row],[DISC 2-]]+NOTA[[#This Row],[DISC 3-]])</f>
        <v/>
      </c>
      <c r="AA503" s="42" t="str">
        <f>IF(NOTA[[#This Row],[JUMLAH]]="","",NOTA[[#This Row],[JUMLAH]]-NOTA[[#This Row],[DISC]])</f>
        <v/>
      </c>
      <c r="AB503" s="42"/>
      <c r="AC5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42" t="str">
        <f>IF(OR(NOTA[[#This Row],[QTY]]="",NOTA[[#This Row],[HARGA SATUAN]]="",),"",NOTA[[#This Row],[QTY]]*NOTA[[#This Row],[HARGA SATUAN]])</f>
        <v/>
      </c>
      <c r="AG503" s="36" t="str">
        <f ca="1">IF(NOTA[[#This Row],[ID_H]]="","",INDEX(NOTA[TANGGAL],MATCH(,INDIRECT(ADDRESS(ROW(NOTA[TANGGAL]),COLUMN(NOTA[TANGGAL]))&amp;":"&amp;ADDRESS(ROW(),COLUMN(NOTA[TANGGAL]))),-1)))</f>
        <v/>
      </c>
      <c r="AH503" s="36" t="str">
        <f ca="1">IF(NOTA[[#This Row],[ID_H]]="","",INDEX(NOTA[TGL.NOTA],MATCH(,INDIRECT(ADDRESS(ROW(NOTA[TGL.NOTA]),COLUMN(NOTA[TGL.NOTA]))&amp;":"&amp;ADDRESS(ROW(),COLUMN(NOTA[TGL.NOTA]))),-1)))</f>
        <v/>
      </c>
      <c r="AI503" s="36" t="str">
        <f ca="1">IF(NOTA[[#This Row],[ID_H]]="","",INDEX(NOTA[NO.NOTA],MATCH(NOTA[[#This Row],[ID_H]],NOTA[ID_H],0)))</f>
        <v/>
      </c>
      <c r="AJ503" s="38" t="str">
        <f ca="1">IF(NOTA[[#This Row],[NAMA BARANG]]="","",INDEX(NOTA[SUPPLIER],MATCH(,INDIRECT(ADDRESS(ROW(NOTA[ID]),COLUMN(NOTA[ID]))&amp;":"&amp;ADDRESS(ROW(),COLUMN(NOTA[ID]))),-1)))</f>
        <v/>
      </c>
      <c r="AK503" s="38" t="str">
        <f ca="1">IF(NOTA[[#This Row],[ID_H]]="","",IF(NOTA[[#This Row],[FAKTUR]]="",INDIRECT(ADDRESS(ROW()-1,COLUMN())),NOTA[[#This Row],[FAKTUR]]))</f>
        <v/>
      </c>
      <c r="AL503" s="35" t="str">
        <f ca="1">IF(NOTA[[#This Row],[ID]]="","",COUNTIF(NOTA[ID_H],NOTA[[#This Row],[ID_H]]))</f>
        <v/>
      </c>
      <c r="AM503" s="35" t="str">
        <f ca="1">IF(NOTA[[#This Row],[TGL.NOTA]]="",IF(NOTA[[#This Row],[SUPPLIER_H]]="","",AM502),MONTH(NOTA[[#This Row],[TGL.NOTA]]))</f>
        <v/>
      </c>
      <c r="AN5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3" s="35" t="str">
        <f>IF(NOTA[[#This Row],[CONCAT1]]="","",MATCH(NOTA[[#This Row],[CONCAT1]],[3]!db[NB NOTA_C],0))</f>
        <v/>
      </c>
      <c r="AS503" s="35" t="str">
        <f>IF(NOTA[[#This Row],[Column5]]="","",TRUE)</f>
        <v/>
      </c>
      <c r="AT503" s="35" t="str">
        <f ca="1">IF(NOTA[[#This Row],[ID_H]]="","",IF(NOTA[[#This Row],[Column3]]=TRUE,NOTA[[#This Row],[Column5]],INDEX([3]!db[QTY/ CTN],NOTA[[#This Row],[//DB]])))</f>
        <v/>
      </c>
      <c r="AU5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3" s="35" t="str">
        <f ca="1">IF(NOTA[[#This Row],[ID_H]]="","",MATCH(NOTA[[#This Row],[NB NOTA_C_QTY]],[3]!db[NB NOTA_C_QTY+F],0))</f>
        <v/>
      </c>
      <c r="AW503" s="43" t="str">
        <f ca="1">IF(NOTA[[#This Row],[NB NOTA_C_QTY]]="","",ROW()-2)</f>
        <v/>
      </c>
    </row>
    <row r="504" spans="1:49" ht="20.100000000000001" customHeight="1">
      <c r="A5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5" t="str">
        <f ca="1">IF(NOTA[[#This Row],[NAMA BARANG]]="","",INDEX(NOTA[ID],MATCH(,INDIRECT(ADDRESS(ROW(NOTA[ID]),COLUMN(NOTA[ID]))&amp;":"&amp;ADDRESS(ROW(),COLUMN(NOTA[ID]))),-1)))</f>
        <v/>
      </c>
      <c r="C504" s="45"/>
      <c r="F504" s="46"/>
      <c r="G504" s="35"/>
      <c r="H504" s="36"/>
      <c r="I504" s="35"/>
      <c r="K504" s="37"/>
      <c r="L504" s="35"/>
      <c r="N504" s="38"/>
      <c r="O504" s="39"/>
      <c r="P504" s="47"/>
      <c r="Q504" s="48"/>
      <c r="R504" s="41"/>
      <c r="T504" s="42"/>
      <c r="U504" s="44"/>
      <c r="V504" s="42" t="str">
        <f>IF(NOTA[[#This Row],[HARGA/ CTN]]="",NOTA[[#This Row],[JUMLAH_H]],NOTA[[#This Row],[HARGA/ CTN]]*IF(NOTA[[#This Row],[C]]="",0,NOTA[[#This Row],[C]]))</f>
        <v/>
      </c>
      <c r="W504" s="42" t="str">
        <f>IF(NOTA[[#This Row],[JUMLAH]]="","",NOTA[[#This Row],[JUMLAH]]*NOTA[[#This Row],[Column6]])</f>
        <v/>
      </c>
      <c r="X504" s="42" t="str">
        <f>IF(NOTA[[#This Row],[JUMLAH]]="","",(NOTA[[#This Row],[JUMLAH]]-NOTA[[#This Row],[DISC 1-]])*NOTA[[#This Row],[Column7]])</f>
        <v/>
      </c>
      <c r="Y504" s="42" t="str">
        <f>IF(NOTA[[#This Row],[JUMLAH]]="","",(NOTA[[#This Row],[JUMLAH]]-NOTA[[#This Row],[DISC 1-]]-NOTA[[#This Row],[DISC 2-]])*NOTA[[#This Row],[Column8]])</f>
        <v/>
      </c>
      <c r="Z504" s="42" t="str">
        <f>IF(NOTA[[#This Row],[JUMLAH]]="","",NOTA[[#This Row],[DISC 1-]]+NOTA[[#This Row],[DISC 2-]]+NOTA[[#This Row],[DISC 3-]])</f>
        <v/>
      </c>
      <c r="AA504" s="42" t="str">
        <f>IF(NOTA[[#This Row],[JUMLAH]]="","",NOTA[[#This Row],[JUMLAH]]-NOTA[[#This Row],[DISC]])</f>
        <v/>
      </c>
      <c r="AB504" s="42"/>
      <c r="AC5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42" t="str">
        <f>IF(OR(NOTA[[#This Row],[QTY]]="",NOTA[[#This Row],[HARGA SATUAN]]="",),"",NOTA[[#This Row],[QTY]]*NOTA[[#This Row],[HARGA SATUAN]])</f>
        <v/>
      </c>
      <c r="AG504" s="36" t="str">
        <f ca="1">IF(NOTA[[#This Row],[ID_H]]="","",INDEX(NOTA[TANGGAL],MATCH(,INDIRECT(ADDRESS(ROW(NOTA[TANGGAL]),COLUMN(NOTA[TANGGAL]))&amp;":"&amp;ADDRESS(ROW(),COLUMN(NOTA[TANGGAL]))),-1)))</f>
        <v/>
      </c>
      <c r="AH504" s="36" t="str">
        <f ca="1">IF(NOTA[[#This Row],[ID_H]]="","",INDEX(NOTA[TGL.NOTA],MATCH(,INDIRECT(ADDRESS(ROW(NOTA[TGL.NOTA]),COLUMN(NOTA[TGL.NOTA]))&amp;":"&amp;ADDRESS(ROW(),COLUMN(NOTA[TGL.NOTA]))),-1)))</f>
        <v/>
      </c>
      <c r="AI504" s="36" t="str">
        <f ca="1">IF(NOTA[[#This Row],[ID_H]]="","",INDEX(NOTA[NO.NOTA],MATCH(NOTA[[#This Row],[ID_H]],NOTA[ID_H],0)))</f>
        <v/>
      </c>
      <c r="AJ504" s="38" t="str">
        <f ca="1">IF(NOTA[[#This Row],[NAMA BARANG]]="","",INDEX(NOTA[SUPPLIER],MATCH(,INDIRECT(ADDRESS(ROW(NOTA[ID]),COLUMN(NOTA[ID]))&amp;":"&amp;ADDRESS(ROW(),COLUMN(NOTA[ID]))),-1)))</f>
        <v/>
      </c>
      <c r="AK504" s="38" t="str">
        <f ca="1">IF(NOTA[[#This Row],[ID_H]]="","",IF(NOTA[[#This Row],[FAKTUR]]="",INDIRECT(ADDRESS(ROW()-1,COLUMN())),NOTA[[#This Row],[FAKTUR]]))</f>
        <v/>
      </c>
      <c r="AL504" s="35" t="str">
        <f ca="1">IF(NOTA[[#This Row],[ID]]="","",COUNTIF(NOTA[ID_H],NOTA[[#This Row],[ID_H]]))</f>
        <v/>
      </c>
      <c r="AM504" s="35" t="str">
        <f ca="1">IF(NOTA[[#This Row],[TGL.NOTA]]="",IF(NOTA[[#This Row],[SUPPLIER_H]]="","",AM503),MONTH(NOTA[[#This Row],[TGL.NOTA]]))</f>
        <v/>
      </c>
      <c r="AN5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4" s="35" t="str">
        <f>IF(NOTA[[#This Row],[CONCAT1]]="","",MATCH(NOTA[[#This Row],[CONCAT1]],[3]!db[NB NOTA_C],0))</f>
        <v/>
      </c>
      <c r="AS504" s="35" t="str">
        <f>IF(NOTA[[#This Row],[Column5]]="","",TRUE)</f>
        <v/>
      </c>
      <c r="AT504" s="35" t="str">
        <f ca="1">IF(NOTA[[#This Row],[ID_H]]="","",IF(NOTA[[#This Row],[Column3]]=TRUE,NOTA[[#This Row],[Column5]],INDEX([3]!db[QTY/ CTN],NOTA[[#This Row],[//DB]])))</f>
        <v/>
      </c>
      <c r="AU5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4" s="35" t="str">
        <f ca="1">IF(NOTA[[#This Row],[ID_H]]="","",MATCH(NOTA[[#This Row],[NB NOTA_C_QTY]],[3]!db[NB NOTA_C_QTY+F],0))</f>
        <v/>
      </c>
      <c r="AW504" s="43" t="str">
        <f ca="1">IF(NOTA[[#This Row],[NB NOTA_C_QTY]]="","",ROW()-2)</f>
        <v/>
      </c>
    </row>
    <row r="505" spans="1:49" ht="20.100000000000001" customHeight="1">
      <c r="A5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5" t="str">
        <f ca="1">IF(NOTA[[#This Row],[NAMA BARANG]]="","",INDEX(NOTA[ID],MATCH(,INDIRECT(ADDRESS(ROW(NOTA[ID]),COLUMN(NOTA[ID]))&amp;":"&amp;ADDRESS(ROW(),COLUMN(NOTA[ID]))),-1)))</f>
        <v/>
      </c>
      <c r="C505" s="45"/>
      <c r="F505" s="46"/>
      <c r="G505" s="35"/>
      <c r="H505" s="36"/>
      <c r="I505" s="35"/>
      <c r="K505" s="37"/>
      <c r="L505" s="35"/>
      <c r="N505" s="38"/>
      <c r="O505" s="39"/>
      <c r="P505" s="47"/>
      <c r="Q505" s="48"/>
      <c r="R505" s="41"/>
      <c r="T505" s="42"/>
      <c r="U505" s="44"/>
      <c r="V505" s="42" t="str">
        <f>IF(NOTA[[#This Row],[HARGA/ CTN]]="",NOTA[[#This Row],[JUMLAH_H]],NOTA[[#This Row],[HARGA/ CTN]]*IF(NOTA[[#This Row],[C]]="",0,NOTA[[#This Row],[C]]))</f>
        <v/>
      </c>
      <c r="W505" s="42" t="str">
        <f>IF(NOTA[[#This Row],[JUMLAH]]="","",NOTA[[#This Row],[JUMLAH]]*NOTA[[#This Row],[Column6]])</f>
        <v/>
      </c>
      <c r="X505" s="42" t="str">
        <f>IF(NOTA[[#This Row],[JUMLAH]]="","",(NOTA[[#This Row],[JUMLAH]]-NOTA[[#This Row],[DISC 1-]])*NOTA[[#This Row],[Column7]])</f>
        <v/>
      </c>
      <c r="Y505" s="42" t="str">
        <f>IF(NOTA[[#This Row],[JUMLAH]]="","",(NOTA[[#This Row],[JUMLAH]]-NOTA[[#This Row],[DISC 1-]]-NOTA[[#This Row],[DISC 2-]])*NOTA[[#This Row],[Column8]])</f>
        <v/>
      </c>
      <c r="Z505" s="42" t="str">
        <f>IF(NOTA[[#This Row],[JUMLAH]]="","",NOTA[[#This Row],[DISC 1-]]+NOTA[[#This Row],[DISC 2-]]+NOTA[[#This Row],[DISC 3-]])</f>
        <v/>
      </c>
      <c r="AA505" s="42" t="str">
        <f>IF(NOTA[[#This Row],[JUMLAH]]="","",NOTA[[#This Row],[JUMLAH]]-NOTA[[#This Row],[DISC]])</f>
        <v/>
      </c>
      <c r="AB505" s="42"/>
      <c r="AC5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42" t="str">
        <f>IF(OR(NOTA[[#This Row],[QTY]]="",NOTA[[#This Row],[HARGA SATUAN]]="",),"",NOTA[[#This Row],[QTY]]*NOTA[[#This Row],[HARGA SATUAN]])</f>
        <v/>
      </c>
      <c r="AG505" s="36" t="str">
        <f ca="1">IF(NOTA[[#This Row],[ID_H]]="","",INDEX(NOTA[TANGGAL],MATCH(,INDIRECT(ADDRESS(ROW(NOTA[TANGGAL]),COLUMN(NOTA[TANGGAL]))&amp;":"&amp;ADDRESS(ROW(),COLUMN(NOTA[TANGGAL]))),-1)))</f>
        <v/>
      </c>
      <c r="AH505" s="36" t="str">
        <f ca="1">IF(NOTA[[#This Row],[ID_H]]="","",INDEX(NOTA[TGL.NOTA],MATCH(,INDIRECT(ADDRESS(ROW(NOTA[TGL.NOTA]),COLUMN(NOTA[TGL.NOTA]))&amp;":"&amp;ADDRESS(ROW(),COLUMN(NOTA[TGL.NOTA]))),-1)))</f>
        <v/>
      </c>
      <c r="AI505" s="36" t="str">
        <f ca="1">IF(NOTA[[#This Row],[ID_H]]="","",INDEX(NOTA[NO.NOTA],MATCH(NOTA[[#This Row],[ID_H]],NOTA[ID_H],0)))</f>
        <v/>
      </c>
      <c r="AJ505" s="38" t="str">
        <f ca="1">IF(NOTA[[#This Row],[NAMA BARANG]]="","",INDEX(NOTA[SUPPLIER],MATCH(,INDIRECT(ADDRESS(ROW(NOTA[ID]),COLUMN(NOTA[ID]))&amp;":"&amp;ADDRESS(ROW(),COLUMN(NOTA[ID]))),-1)))</f>
        <v/>
      </c>
      <c r="AK505" s="38" t="str">
        <f ca="1">IF(NOTA[[#This Row],[ID_H]]="","",IF(NOTA[[#This Row],[FAKTUR]]="",INDIRECT(ADDRESS(ROW()-1,COLUMN())),NOTA[[#This Row],[FAKTUR]]))</f>
        <v/>
      </c>
      <c r="AL505" s="35" t="str">
        <f ca="1">IF(NOTA[[#This Row],[ID]]="","",COUNTIF(NOTA[ID_H],NOTA[[#This Row],[ID_H]]))</f>
        <v/>
      </c>
      <c r="AM505" s="35" t="str">
        <f ca="1">IF(NOTA[[#This Row],[TGL.NOTA]]="",IF(NOTA[[#This Row],[SUPPLIER_H]]="","",AM504),MONTH(NOTA[[#This Row],[TGL.NOTA]]))</f>
        <v/>
      </c>
      <c r="AN5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5" s="35" t="str">
        <f>IF(NOTA[[#This Row],[CONCAT1]]="","",MATCH(NOTA[[#This Row],[CONCAT1]],[3]!db[NB NOTA_C],0))</f>
        <v/>
      </c>
      <c r="AS505" s="35" t="str">
        <f>IF(NOTA[[#This Row],[Column5]]="","",TRUE)</f>
        <v/>
      </c>
      <c r="AT505" s="35" t="str">
        <f ca="1">IF(NOTA[[#This Row],[ID_H]]="","",IF(NOTA[[#This Row],[Column3]]=TRUE,NOTA[[#This Row],[Column5]],INDEX([3]!db[QTY/ CTN],NOTA[[#This Row],[//DB]])))</f>
        <v/>
      </c>
      <c r="AU5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5" s="35" t="str">
        <f ca="1">IF(NOTA[[#This Row],[ID_H]]="","",MATCH(NOTA[[#This Row],[NB NOTA_C_QTY]],[3]!db[NB NOTA_C_QTY+F],0))</f>
        <v/>
      </c>
      <c r="AW505" s="43" t="str">
        <f ca="1">IF(NOTA[[#This Row],[NB NOTA_C_QTY]]="","",ROW()-2)</f>
        <v/>
      </c>
    </row>
    <row r="506" spans="1:49" ht="20.100000000000001" customHeight="1">
      <c r="A5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5" t="str">
        <f ca="1">IF(NOTA[[#This Row],[NAMA BARANG]]="","",INDEX(NOTA[ID],MATCH(,INDIRECT(ADDRESS(ROW(NOTA[ID]),COLUMN(NOTA[ID]))&amp;":"&amp;ADDRESS(ROW(),COLUMN(NOTA[ID]))),-1)))</f>
        <v/>
      </c>
      <c r="C506" s="45"/>
      <c r="F506" s="46"/>
      <c r="G506" s="35"/>
      <c r="H506" s="36"/>
      <c r="I506" s="35"/>
      <c r="K506" s="37"/>
      <c r="L506" s="35"/>
      <c r="N506" s="38"/>
      <c r="O506" s="39"/>
      <c r="P506" s="47"/>
      <c r="Q506" s="48"/>
      <c r="R506" s="41"/>
      <c r="T506" s="42"/>
      <c r="U506" s="44"/>
      <c r="V506" s="42" t="str">
        <f>IF(NOTA[[#This Row],[HARGA/ CTN]]="",NOTA[[#This Row],[JUMLAH_H]],NOTA[[#This Row],[HARGA/ CTN]]*IF(NOTA[[#This Row],[C]]="",0,NOTA[[#This Row],[C]]))</f>
        <v/>
      </c>
      <c r="W506" s="42" t="str">
        <f>IF(NOTA[[#This Row],[JUMLAH]]="","",NOTA[[#This Row],[JUMLAH]]*NOTA[[#This Row],[Column6]])</f>
        <v/>
      </c>
      <c r="X506" s="42" t="str">
        <f>IF(NOTA[[#This Row],[JUMLAH]]="","",(NOTA[[#This Row],[JUMLAH]]-NOTA[[#This Row],[DISC 1-]])*NOTA[[#This Row],[Column7]])</f>
        <v/>
      </c>
      <c r="Y506" s="42" t="str">
        <f>IF(NOTA[[#This Row],[JUMLAH]]="","",(NOTA[[#This Row],[JUMLAH]]-NOTA[[#This Row],[DISC 1-]]-NOTA[[#This Row],[DISC 2-]])*NOTA[[#This Row],[Column8]])</f>
        <v/>
      </c>
      <c r="Z506" s="42" t="str">
        <f>IF(NOTA[[#This Row],[JUMLAH]]="","",NOTA[[#This Row],[DISC 1-]]+NOTA[[#This Row],[DISC 2-]]+NOTA[[#This Row],[DISC 3-]])</f>
        <v/>
      </c>
      <c r="AA506" s="42" t="str">
        <f>IF(NOTA[[#This Row],[JUMLAH]]="","",NOTA[[#This Row],[JUMLAH]]-NOTA[[#This Row],[DISC]])</f>
        <v/>
      </c>
      <c r="AB506" s="42"/>
      <c r="AC5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42" t="str">
        <f>IF(OR(NOTA[[#This Row],[QTY]]="",NOTA[[#This Row],[HARGA SATUAN]]="",),"",NOTA[[#This Row],[QTY]]*NOTA[[#This Row],[HARGA SATUAN]])</f>
        <v/>
      </c>
      <c r="AG506" s="36" t="str">
        <f ca="1">IF(NOTA[[#This Row],[ID_H]]="","",INDEX(NOTA[TANGGAL],MATCH(,INDIRECT(ADDRESS(ROW(NOTA[TANGGAL]),COLUMN(NOTA[TANGGAL]))&amp;":"&amp;ADDRESS(ROW(),COLUMN(NOTA[TANGGAL]))),-1)))</f>
        <v/>
      </c>
      <c r="AH506" s="36" t="str">
        <f ca="1">IF(NOTA[[#This Row],[ID_H]]="","",INDEX(NOTA[TGL.NOTA],MATCH(,INDIRECT(ADDRESS(ROW(NOTA[TGL.NOTA]),COLUMN(NOTA[TGL.NOTA]))&amp;":"&amp;ADDRESS(ROW(),COLUMN(NOTA[TGL.NOTA]))),-1)))</f>
        <v/>
      </c>
      <c r="AI506" s="36" t="str">
        <f ca="1">IF(NOTA[[#This Row],[ID_H]]="","",INDEX(NOTA[NO.NOTA],MATCH(NOTA[[#This Row],[ID_H]],NOTA[ID_H],0)))</f>
        <v/>
      </c>
      <c r="AJ506" s="38" t="str">
        <f ca="1">IF(NOTA[[#This Row],[NAMA BARANG]]="","",INDEX(NOTA[SUPPLIER],MATCH(,INDIRECT(ADDRESS(ROW(NOTA[ID]),COLUMN(NOTA[ID]))&amp;":"&amp;ADDRESS(ROW(),COLUMN(NOTA[ID]))),-1)))</f>
        <v/>
      </c>
      <c r="AK506" s="38" t="str">
        <f ca="1">IF(NOTA[[#This Row],[ID_H]]="","",IF(NOTA[[#This Row],[FAKTUR]]="",INDIRECT(ADDRESS(ROW()-1,COLUMN())),NOTA[[#This Row],[FAKTUR]]))</f>
        <v/>
      </c>
      <c r="AL506" s="35" t="str">
        <f ca="1">IF(NOTA[[#This Row],[ID]]="","",COUNTIF(NOTA[ID_H],NOTA[[#This Row],[ID_H]]))</f>
        <v/>
      </c>
      <c r="AM506" s="35" t="str">
        <f ca="1">IF(NOTA[[#This Row],[TGL.NOTA]]="",IF(NOTA[[#This Row],[SUPPLIER_H]]="","",AM505),MONTH(NOTA[[#This Row],[TGL.NOTA]]))</f>
        <v/>
      </c>
      <c r="AN5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6" s="35" t="str">
        <f>IF(NOTA[[#This Row],[CONCAT1]]="","",MATCH(NOTA[[#This Row],[CONCAT1]],[3]!db[NB NOTA_C],0))</f>
        <v/>
      </c>
      <c r="AS506" s="35" t="str">
        <f>IF(NOTA[[#This Row],[Column5]]="","",TRUE)</f>
        <v/>
      </c>
      <c r="AT506" s="35" t="str">
        <f ca="1">IF(NOTA[[#This Row],[ID_H]]="","",IF(NOTA[[#This Row],[Column3]]=TRUE,NOTA[[#This Row],[Column5]],INDEX([3]!db[QTY/ CTN],NOTA[[#This Row],[//DB]])))</f>
        <v/>
      </c>
      <c r="AU5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6" s="35" t="str">
        <f ca="1">IF(NOTA[[#This Row],[ID_H]]="","",MATCH(NOTA[[#This Row],[NB NOTA_C_QTY]],[3]!db[NB NOTA_C_QTY+F],0))</f>
        <v/>
      </c>
      <c r="AW506" s="43" t="str">
        <f ca="1">IF(NOTA[[#This Row],[NB NOTA_C_QTY]]="","",ROW()-2)</f>
        <v/>
      </c>
    </row>
    <row r="507" spans="1:49" ht="20.100000000000001" customHeight="1">
      <c r="A5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5" t="str">
        <f ca="1">IF(NOTA[[#This Row],[NAMA BARANG]]="","",INDEX(NOTA[ID],MATCH(,INDIRECT(ADDRESS(ROW(NOTA[ID]),COLUMN(NOTA[ID]))&amp;":"&amp;ADDRESS(ROW(),COLUMN(NOTA[ID]))),-1)))</f>
        <v/>
      </c>
      <c r="C507" s="45"/>
      <c r="F507" s="46"/>
      <c r="G507" s="35"/>
      <c r="H507" s="36"/>
      <c r="I507" s="35"/>
      <c r="K507" s="37"/>
      <c r="L507" s="35"/>
      <c r="N507" s="38"/>
      <c r="O507" s="39"/>
      <c r="P507" s="47"/>
      <c r="Q507" s="48"/>
      <c r="R507" s="41"/>
      <c r="T507" s="42"/>
      <c r="U507" s="44"/>
      <c r="V507" s="42" t="str">
        <f>IF(NOTA[[#This Row],[HARGA/ CTN]]="",NOTA[[#This Row],[JUMLAH_H]],NOTA[[#This Row],[HARGA/ CTN]]*IF(NOTA[[#This Row],[C]]="",0,NOTA[[#This Row],[C]]))</f>
        <v/>
      </c>
      <c r="W507" s="42" t="str">
        <f>IF(NOTA[[#This Row],[JUMLAH]]="","",NOTA[[#This Row],[JUMLAH]]*NOTA[[#This Row],[Column6]])</f>
        <v/>
      </c>
      <c r="X507" s="42" t="str">
        <f>IF(NOTA[[#This Row],[JUMLAH]]="","",(NOTA[[#This Row],[JUMLAH]]-NOTA[[#This Row],[DISC 1-]])*NOTA[[#This Row],[Column7]])</f>
        <v/>
      </c>
      <c r="Y507" s="42" t="str">
        <f>IF(NOTA[[#This Row],[JUMLAH]]="","",(NOTA[[#This Row],[JUMLAH]]-NOTA[[#This Row],[DISC 1-]]-NOTA[[#This Row],[DISC 2-]])*NOTA[[#This Row],[Column8]])</f>
        <v/>
      </c>
      <c r="Z507" s="42" t="str">
        <f>IF(NOTA[[#This Row],[JUMLAH]]="","",NOTA[[#This Row],[DISC 1-]]+NOTA[[#This Row],[DISC 2-]]+NOTA[[#This Row],[DISC 3-]])</f>
        <v/>
      </c>
      <c r="AA507" s="42" t="str">
        <f>IF(NOTA[[#This Row],[JUMLAH]]="","",NOTA[[#This Row],[JUMLAH]]-NOTA[[#This Row],[DISC]])</f>
        <v/>
      </c>
      <c r="AB507" s="42"/>
      <c r="AC5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42" t="str">
        <f>IF(OR(NOTA[[#This Row],[QTY]]="",NOTA[[#This Row],[HARGA SATUAN]]="",),"",NOTA[[#This Row],[QTY]]*NOTA[[#This Row],[HARGA SATUAN]])</f>
        <v/>
      </c>
      <c r="AG507" s="36" t="str">
        <f ca="1">IF(NOTA[[#This Row],[ID_H]]="","",INDEX(NOTA[TANGGAL],MATCH(,INDIRECT(ADDRESS(ROW(NOTA[TANGGAL]),COLUMN(NOTA[TANGGAL]))&amp;":"&amp;ADDRESS(ROW(),COLUMN(NOTA[TANGGAL]))),-1)))</f>
        <v/>
      </c>
      <c r="AH507" s="36" t="str">
        <f ca="1">IF(NOTA[[#This Row],[ID_H]]="","",INDEX(NOTA[TGL.NOTA],MATCH(,INDIRECT(ADDRESS(ROW(NOTA[TGL.NOTA]),COLUMN(NOTA[TGL.NOTA]))&amp;":"&amp;ADDRESS(ROW(),COLUMN(NOTA[TGL.NOTA]))),-1)))</f>
        <v/>
      </c>
      <c r="AI507" s="36" t="str">
        <f ca="1">IF(NOTA[[#This Row],[ID_H]]="","",INDEX(NOTA[NO.NOTA],MATCH(NOTA[[#This Row],[ID_H]],NOTA[ID_H],0)))</f>
        <v/>
      </c>
      <c r="AJ507" s="38" t="str">
        <f ca="1">IF(NOTA[[#This Row],[NAMA BARANG]]="","",INDEX(NOTA[SUPPLIER],MATCH(,INDIRECT(ADDRESS(ROW(NOTA[ID]),COLUMN(NOTA[ID]))&amp;":"&amp;ADDRESS(ROW(),COLUMN(NOTA[ID]))),-1)))</f>
        <v/>
      </c>
      <c r="AK507" s="38" t="str">
        <f ca="1">IF(NOTA[[#This Row],[ID_H]]="","",IF(NOTA[[#This Row],[FAKTUR]]="",INDIRECT(ADDRESS(ROW()-1,COLUMN())),NOTA[[#This Row],[FAKTUR]]))</f>
        <v/>
      </c>
      <c r="AL507" s="35" t="str">
        <f ca="1">IF(NOTA[[#This Row],[ID]]="","",COUNTIF(NOTA[ID_H],NOTA[[#This Row],[ID_H]]))</f>
        <v/>
      </c>
      <c r="AM507" s="35" t="str">
        <f ca="1">IF(NOTA[[#This Row],[TGL.NOTA]]="",IF(NOTA[[#This Row],[SUPPLIER_H]]="","",AM506),MONTH(NOTA[[#This Row],[TGL.NOTA]]))</f>
        <v/>
      </c>
      <c r="AN5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7" s="35" t="str">
        <f>IF(NOTA[[#This Row],[CONCAT1]]="","",MATCH(NOTA[[#This Row],[CONCAT1]],[3]!db[NB NOTA_C],0))</f>
        <v/>
      </c>
      <c r="AS507" s="35" t="str">
        <f>IF(NOTA[[#This Row],[Column5]]="","",TRUE)</f>
        <v/>
      </c>
      <c r="AT507" s="35" t="str">
        <f ca="1">IF(NOTA[[#This Row],[ID_H]]="","",IF(NOTA[[#This Row],[Column3]]=TRUE,NOTA[[#This Row],[Column5]],INDEX([3]!db[QTY/ CTN],NOTA[[#This Row],[//DB]])))</f>
        <v/>
      </c>
      <c r="AU5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7" s="35" t="str">
        <f ca="1">IF(NOTA[[#This Row],[ID_H]]="","",MATCH(NOTA[[#This Row],[NB NOTA_C_QTY]],[3]!db[NB NOTA_C_QTY+F],0))</f>
        <v/>
      </c>
      <c r="AW507" s="43" t="str">
        <f ca="1">IF(NOTA[[#This Row],[NB NOTA_C_QTY]]="","",ROW()-2)</f>
        <v/>
      </c>
    </row>
    <row r="508" spans="1:49" ht="20.100000000000001" customHeight="1">
      <c r="A5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5" t="str">
        <f ca="1">IF(NOTA[[#This Row],[NAMA BARANG]]="","",INDEX(NOTA[ID],MATCH(,INDIRECT(ADDRESS(ROW(NOTA[ID]),COLUMN(NOTA[ID]))&amp;":"&amp;ADDRESS(ROW(),COLUMN(NOTA[ID]))),-1)))</f>
        <v/>
      </c>
      <c r="C508" s="45"/>
      <c r="F508" s="46"/>
      <c r="G508" s="35"/>
      <c r="H508" s="36"/>
      <c r="I508" s="35"/>
      <c r="K508" s="37"/>
      <c r="L508" s="35"/>
      <c r="N508" s="38"/>
      <c r="O508" s="39"/>
      <c r="P508" s="47"/>
      <c r="Q508" s="48"/>
      <c r="R508" s="41"/>
      <c r="T508" s="42"/>
      <c r="U508" s="44"/>
      <c r="V508" s="42" t="str">
        <f>IF(NOTA[[#This Row],[HARGA/ CTN]]="",NOTA[[#This Row],[JUMLAH_H]],NOTA[[#This Row],[HARGA/ CTN]]*IF(NOTA[[#This Row],[C]]="",0,NOTA[[#This Row],[C]]))</f>
        <v/>
      </c>
      <c r="W508" s="42" t="str">
        <f>IF(NOTA[[#This Row],[JUMLAH]]="","",NOTA[[#This Row],[JUMLAH]]*NOTA[[#This Row],[Column6]])</f>
        <v/>
      </c>
      <c r="X508" s="42" t="str">
        <f>IF(NOTA[[#This Row],[JUMLAH]]="","",(NOTA[[#This Row],[JUMLAH]]-NOTA[[#This Row],[DISC 1-]])*NOTA[[#This Row],[Column7]])</f>
        <v/>
      </c>
      <c r="Y508" s="42" t="str">
        <f>IF(NOTA[[#This Row],[JUMLAH]]="","",(NOTA[[#This Row],[JUMLAH]]-NOTA[[#This Row],[DISC 1-]]-NOTA[[#This Row],[DISC 2-]])*NOTA[[#This Row],[Column8]])</f>
        <v/>
      </c>
      <c r="Z508" s="42" t="str">
        <f>IF(NOTA[[#This Row],[JUMLAH]]="","",NOTA[[#This Row],[DISC 1-]]+NOTA[[#This Row],[DISC 2-]]+NOTA[[#This Row],[DISC 3-]])</f>
        <v/>
      </c>
      <c r="AA508" s="42" t="str">
        <f>IF(NOTA[[#This Row],[JUMLAH]]="","",NOTA[[#This Row],[JUMLAH]]-NOTA[[#This Row],[DISC]])</f>
        <v/>
      </c>
      <c r="AB508" s="42"/>
      <c r="AC5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42" t="str">
        <f>IF(OR(NOTA[[#This Row],[QTY]]="",NOTA[[#This Row],[HARGA SATUAN]]="",),"",NOTA[[#This Row],[QTY]]*NOTA[[#This Row],[HARGA SATUAN]])</f>
        <v/>
      </c>
      <c r="AG508" s="36" t="str">
        <f ca="1">IF(NOTA[[#This Row],[ID_H]]="","",INDEX(NOTA[TANGGAL],MATCH(,INDIRECT(ADDRESS(ROW(NOTA[TANGGAL]),COLUMN(NOTA[TANGGAL]))&amp;":"&amp;ADDRESS(ROW(),COLUMN(NOTA[TANGGAL]))),-1)))</f>
        <v/>
      </c>
      <c r="AH508" s="36" t="str">
        <f ca="1">IF(NOTA[[#This Row],[ID_H]]="","",INDEX(NOTA[TGL.NOTA],MATCH(,INDIRECT(ADDRESS(ROW(NOTA[TGL.NOTA]),COLUMN(NOTA[TGL.NOTA]))&amp;":"&amp;ADDRESS(ROW(),COLUMN(NOTA[TGL.NOTA]))),-1)))</f>
        <v/>
      </c>
      <c r="AI508" s="36" t="str">
        <f ca="1">IF(NOTA[[#This Row],[ID_H]]="","",INDEX(NOTA[NO.NOTA],MATCH(NOTA[[#This Row],[ID_H]],NOTA[ID_H],0)))</f>
        <v/>
      </c>
      <c r="AJ508" s="38" t="str">
        <f ca="1">IF(NOTA[[#This Row],[NAMA BARANG]]="","",INDEX(NOTA[SUPPLIER],MATCH(,INDIRECT(ADDRESS(ROW(NOTA[ID]),COLUMN(NOTA[ID]))&amp;":"&amp;ADDRESS(ROW(),COLUMN(NOTA[ID]))),-1)))</f>
        <v/>
      </c>
      <c r="AK508" s="38" t="str">
        <f ca="1">IF(NOTA[[#This Row],[ID_H]]="","",IF(NOTA[[#This Row],[FAKTUR]]="",INDIRECT(ADDRESS(ROW()-1,COLUMN())),NOTA[[#This Row],[FAKTUR]]))</f>
        <v/>
      </c>
      <c r="AL508" s="35" t="str">
        <f ca="1">IF(NOTA[[#This Row],[ID]]="","",COUNTIF(NOTA[ID_H],NOTA[[#This Row],[ID_H]]))</f>
        <v/>
      </c>
      <c r="AM508" s="35" t="str">
        <f ca="1">IF(NOTA[[#This Row],[TGL.NOTA]]="",IF(NOTA[[#This Row],[SUPPLIER_H]]="","",AM507),MONTH(NOTA[[#This Row],[TGL.NOTA]]))</f>
        <v/>
      </c>
      <c r="AN5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8" s="35" t="str">
        <f>IF(NOTA[[#This Row],[CONCAT1]]="","",MATCH(NOTA[[#This Row],[CONCAT1]],[3]!db[NB NOTA_C],0))</f>
        <v/>
      </c>
      <c r="AS508" s="35" t="str">
        <f>IF(NOTA[[#This Row],[Column5]]="","",TRUE)</f>
        <v/>
      </c>
      <c r="AT508" s="35" t="str">
        <f ca="1">IF(NOTA[[#This Row],[ID_H]]="","",IF(NOTA[[#This Row],[Column3]]=TRUE,NOTA[[#This Row],[Column5]],INDEX([3]!db[QTY/ CTN],NOTA[[#This Row],[//DB]])))</f>
        <v/>
      </c>
      <c r="AU5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8" s="35" t="str">
        <f ca="1">IF(NOTA[[#This Row],[ID_H]]="","",MATCH(NOTA[[#This Row],[NB NOTA_C_QTY]],[3]!db[NB NOTA_C_QTY+F],0))</f>
        <v/>
      </c>
      <c r="AW508" s="43" t="str">
        <f ca="1">IF(NOTA[[#This Row],[NB NOTA_C_QTY]]="","",ROW()-2)</f>
        <v/>
      </c>
    </row>
    <row r="509" spans="1:49" ht="20.100000000000001" customHeight="1">
      <c r="A5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5" t="str">
        <f ca="1">IF(NOTA[[#This Row],[NAMA BARANG]]="","",INDEX(NOTA[ID],MATCH(,INDIRECT(ADDRESS(ROW(NOTA[ID]),COLUMN(NOTA[ID]))&amp;":"&amp;ADDRESS(ROW(),COLUMN(NOTA[ID]))),-1)))</f>
        <v/>
      </c>
      <c r="C509" s="45"/>
      <c r="F509" s="46"/>
      <c r="G509" s="35"/>
      <c r="H509" s="36"/>
      <c r="I509" s="35"/>
      <c r="K509" s="37"/>
      <c r="L509" s="35"/>
      <c r="N509" s="38"/>
      <c r="O509" s="39"/>
      <c r="P509" s="47"/>
      <c r="Q509" s="48"/>
      <c r="R509" s="41"/>
      <c r="T509" s="42"/>
      <c r="U509" s="44"/>
      <c r="V509" s="42" t="str">
        <f>IF(NOTA[[#This Row],[HARGA/ CTN]]="",NOTA[[#This Row],[JUMLAH_H]],NOTA[[#This Row],[HARGA/ CTN]]*IF(NOTA[[#This Row],[C]]="",0,NOTA[[#This Row],[C]]))</f>
        <v/>
      </c>
      <c r="W509" s="42" t="str">
        <f>IF(NOTA[[#This Row],[JUMLAH]]="","",NOTA[[#This Row],[JUMLAH]]*NOTA[[#This Row],[Column6]])</f>
        <v/>
      </c>
      <c r="X509" s="42" t="str">
        <f>IF(NOTA[[#This Row],[JUMLAH]]="","",(NOTA[[#This Row],[JUMLAH]]-NOTA[[#This Row],[DISC 1-]])*NOTA[[#This Row],[Column7]])</f>
        <v/>
      </c>
      <c r="Y509" s="42" t="str">
        <f>IF(NOTA[[#This Row],[JUMLAH]]="","",(NOTA[[#This Row],[JUMLAH]]-NOTA[[#This Row],[DISC 1-]]-NOTA[[#This Row],[DISC 2-]])*NOTA[[#This Row],[Column8]])</f>
        <v/>
      </c>
      <c r="Z509" s="42" t="str">
        <f>IF(NOTA[[#This Row],[JUMLAH]]="","",NOTA[[#This Row],[DISC 1-]]+NOTA[[#This Row],[DISC 2-]]+NOTA[[#This Row],[DISC 3-]])</f>
        <v/>
      </c>
      <c r="AA509" s="42" t="str">
        <f>IF(NOTA[[#This Row],[JUMLAH]]="","",NOTA[[#This Row],[JUMLAH]]-NOTA[[#This Row],[DISC]])</f>
        <v/>
      </c>
      <c r="AB509" s="42"/>
      <c r="AC5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42" t="str">
        <f>IF(OR(NOTA[[#This Row],[QTY]]="",NOTA[[#This Row],[HARGA SATUAN]]="",),"",NOTA[[#This Row],[QTY]]*NOTA[[#This Row],[HARGA SATUAN]])</f>
        <v/>
      </c>
      <c r="AG509" s="36" t="str">
        <f ca="1">IF(NOTA[[#This Row],[ID_H]]="","",INDEX(NOTA[TANGGAL],MATCH(,INDIRECT(ADDRESS(ROW(NOTA[TANGGAL]),COLUMN(NOTA[TANGGAL]))&amp;":"&amp;ADDRESS(ROW(),COLUMN(NOTA[TANGGAL]))),-1)))</f>
        <v/>
      </c>
      <c r="AH509" s="36" t="str">
        <f ca="1">IF(NOTA[[#This Row],[ID_H]]="","",INDEX(NOTA[TGL.NOTA],MATCH(,INDIRECT(ADDRESS(ROW(NOTA[TGL.NOTA]),COLUMN(NOTA[TGL.NOTA]))&amp;":"&amp;ADDRESS(ROW(),COLUMN(NOTA[TGL.NOTA]))),-1)))</f>
        <v/>
      </c>
      <c r="AI509" s="36" t="str">
        <f ca="1">IF(NOTA[[#This Row],[ID_H]]="","",INDEX(NOTA[NO.NOTA],MATCH(NOTA[[#This Row],[ID_H]],NOTA[ID_H],0)))</f>
        <v/>
      </c>
      <c r="AJ509" s="38" t="str">
        <f ca="1">IF(NOTA[[#This Row],[NAMA BARANG]]="","",INDEX(NOTA[SUPPLIER],MATCH(,INDIRECT(ADDRESS(ROW(NOTA[ID]),COLUMN(NOTA[ID]))&amp;":"&amp;ADDRESS(ROW(),COLUMN(NOTA[ID]))),-1)))</f>
        <v/>
      </c>
      <c r="AK509" s="38" t="str">
        <f ca="1">IF(NOTA[[#This Row],[ID_H]]="","",IF(NOTA[[#This Row],[FAKTUR]]="",INDIRECT(ADDRESS(ROW()-1,COLUMN())),NOTA[[#This Row],[FAKTUR]]))</f>
        <v/>
      </c>
      <c r="AL509" s="35" t="str">
        <f ca="1">IF(NOTA[[#This Row],[ID]]="","",COUNTIF(NOTA[ID_H],NOTA[[#This Row],[ID_H]]))</f>
        <v/>
      </c>
      <c r="AM509" s="35" t="str">
        <f ca="1">IF(NOTA[[#This Row],[TGL.NOTA]]="",IF(NOTA[[#This Row],[SUPPLIER_H]]="","",AM508),MONTH(NOTA[[#This Row],[TGL.NOTA]]))</f>
        <v/>
      </c>
      <c r="AN5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9" s="35" t="str">
        <f>IF(NOTA[[#This Row],[CONCAT1]]="","",MATCH(NOTA[[#This Row],[CONCAT1]],[3]!db[NB NOTA_C],0))</f>
        <v/>
      </c>
      <c r="AS509" s="35" t="str">
        <f>IF(NOTA[[#This Row],[Column5]]="","",TRUE)</f>
        <v/>
      </c>
      <c r="AT509" s="35" t="str">
        <f ca="1">IF(NOTA[[#This Row],[ID_H]]="","",IF(NOTA[[#This Row],[Column3]]=TRUE,NOTA[[#This Row],[Column5]],INDEX([3]!db[QTY/ CTN],NOTA[[#This Row],[//DB]])))</f>
        <v/>
      </c>
      <c r="AU5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09" s="35" t="str">
        <f ca="1">IF(NOTA[[#This Row],[ID_H]]="","",MATCH(NOTA[[#This Row],[NB NOTA_C_QTY]],[3]!db[NB NOTA_C_QTY+F],0))</f>
        <v/>
      </c>
      <c r="AW509" s="43" t="str">
        <f ca="1">IF(NOTA[[#This Row],[NB NOTA_C_QTY]]="","",ROW()-2)</f>
        <v/>
      </c>
    </row>
    <row r="510" spans="1:49" ht="20.100000000000001" customHeight="1">
      <c r="A5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5" t="str">
        <f ca="1">IF(NOTA[[#This Row],[NAMA BARANG]]="","",INDEX(NOTA[ID],MATCH(,INDIRECT(ADDRESS(ROW(NOTA[ID]),COLUMN(NOTA[ID]))&amp;":"&amp;ADDRESS(ROW(),COLUMN(NOTA[ID]))),-1)))</f>
        <v/>
      </c>
      <c r="C510" s="45"/>
      <c r="F510" s="46"/>
      <c r="G510" s="35"/>
      <c r="H510" s="36"/>
      <c r="I510" s="35"/>
      <c r="K510" s="37"/>
      <c r="L510" s="35"/>
      <c r="N510" s="38"/>
      <c r="O510" s="39"/>
      <c r="P510" s="47"/>
      <c r="Q510" s="48"/>
      <c r="R510" s="41"/>
      <c r="T510" s="42"/>
      <c r="U510" s="44"/>
      <c r="V510" s="42" t="str">
        <f>IF(NOTA[[#This Row],[HARGA/ CTN]]="",NOTA[[#This Row],[JUMLAH_H]],NOTA[[#This Row],[HARGA/ CTN]]*IF(NOTA[[#This Row],[C]]="",0,NOTA[[#This Row],[C]]))</f>
        <v/>
      </c>
      <c r="W510" s="42" t="str">
        <f>IF(NOTA[[#This Row],[JUMLAH]]="","",NOTA[[#This Row],[JUMLAH]]*NOTA[[#This Row],[Column6]])</f>
        <v/>
      </c>
      <c r="X510" s="42" t="str">
        <f>IF(NOTA[[#This Row],[JUMLAH]]="","",(NOTA[[#This Row],[JUMLAH]]-NOTA[[#This Row],[DISC 1-]])*NOTA[[#This Row],[Column7]])</f>
        <v/>
      </c>
      <c r="Y510" s="42" t="str">
        <f>IF(NOTA[[#This Row],[JUMLAH]]="","",(NOTA[[#This Row],[JUMLAH]]-NOTA[[#This Row],[DISC 1-]]-NOTA[[#This Row],[DISC 2-]])*NOTA[[#This Row],[Column8]])</f>
        <v/>
      </c>
      <c r="Z510" s="42" t="str">
        <f>IF(NOTA[[#This Row],[JUMLAH]]="","",NOTA[[#This Row],[DISC 1-]]+NOTA[[#This Row],[DISC 2-]]+NOTA[[#This Row],[DISC 3-]])</f>
        <v/>
      </c>
      <c r="AA510" s="42" t="str">
        <f>IF(NOTA[[#This Row],[JUMLAH]]="","",NOTA[[#This Row],[JUMLAH]]-NOTA[[#This Row],[DISC]])</f>
        <v/>
      </c>
      <c r="AB510" s="42"/>
      <c r="AC5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42" t="str">
        <f>IF(OR(NOTA[[#This Row],[QTY]]="",NOTA[[#This Row],[HARGA SATUAN]]="",),"",NOTA[[#This Row],[QTY]]*NOTA[[#This Row],[HARGA SATUAN]])</f>
        <v/>
      </c>
      <c r="AG510" s="36" t="str">
        <f ca="1">IF(NOTA[[#This Row],[ID_H]]="","",INDEX(NOTA[TANGGAL],MATCH(,INDIRECT(ADDRESS(ROW(NOTA[TANGGAL]),COLUMN(NOTA[TANGGAL]))&amp;":"&amp;ADDRESS(ROW(),COLUMN(NOTA[TANGGAL]))),-1)))</f>
        <v/>
      </c>
      <c r="AH510" s="36" t="str">
        <f ca="1">IF(NOTA[[#This Row],[ID_H]]="","",INDEX(NOTA[TGL.NOTA],MATCH(,INDIRECT(ADDRESS(ROW(NOTA[TGL.NOTA]),COLUMN(NOTA[TGL.NOTA]))&amp;":"&amp;ADDRESS(ROW(),COLUMN(NOTA[TGL.NOTA]))),-1)))</f>
        <v/>
      </c>
      <c r="AI510" s="36" t="str">
        <f ca="1">IF(NOTA[[#This Row],[ID_H]]="","",INDEX(NOTA[NO.NOTA],MATCH(NOTA[[#This Row],[ID_H]],NOTA[ID_H],0)))</f>
        <v/>
      </c>
      <c r="AJ510" s="38" t="str">
        <f ca="1">IF(NOTA[[#This Row],[NAMA BARANG]]="","",INDEX(NOTA[SUPPLIER],MATCH(,INDIRECT(ADDRESS(ROW(NOTA[ID]),COLUMN(NOTA[ID]))&amp;":"&amp;ADDRESS(ROW(),COLUMN(NOTA[ID]))),-1)))</f>
        <v/>
      </c>
      <c r="AK510" s="38" t="str">
        <f ca="1">IF(NOTA[[#This Row],[ID_H]]="","",IF(NOTA[[#This Row],[FAKTUR]]="",INDIRECT(ADDRESS(ROW()-1,COLUMN())),NOTA[[#This Row],[FAKTUR]]))</f>
        <v/>
      </c>
      <c r="AL510" s="35" t="str">
        <f ca="1">IF(NOTA[[#This Row],[ID]]="","",COUNTIF(NOTA[ID_H],NOTA[[#This Row],[ID_H]]))</f>
        <v/>
      </c>
      <c r="AM510" s="35" t="str">
        <f ca="1">IF(NOTA[[#This Row],[TGL.NOTA]]="",IF(NOTA[[#This Row],[SUPPLIER_H]]="","",AM509),MONTH(NOTA[[#This Row],[TGL.NOTA]]))</f>
        <v/>
      </c>
      <c r="AN5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0" s="35" t="str">
        <f>IF(NOTA[[#This Row],[CONCAT1]]="","",MATCH(NOTA[[#This Row],[CONCAT1]],[3]!db[NB NOTA_C],0))</f>
        <v/>
      </c>
      <c r="AS510" s="35" t="str">
        <f>IF(NOTA[[#This Row],[Column5]]="","",TRUE)</f>
        <v/>
      </c>
      <c r="AT510" s="35" t="str">
        <f ca="1">IF(NOTA[[#This Row],[ID_H]]="","",IF(NOTA[[#This Row],[Column3]]=TRUE,NOTA[[#This Row],[Column5]],INDEX([3]!db[QTY/ CTN],NOTA[[#This Row],[//DB]])))</f>
        <v/>
      </c>
      <c r="AU5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0" s="35" t="str">
        <f ca="1">IF(NOTA[[#This Row],[ID_H]]="","",MATCH(NOTA[[#This Row],[NB NOTA_C_QTY]],[3]!db[NB NOTA_C_QTY+F],0))</f>
        <v/>
      </c>
      <c r="AW510" s="43" t="str">
        <f ca="1">IF(NOTA[[#This Row],[NB NOTA_C_QTY]]="","",ROW()-2)</f>
        <v/>
      </c>
    </row>
    <row r="511" spans="1:49" ht="20.100000000000001" customHeight="1">
      <c r="A5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5" t="str">
        <f ca="1">IF(NOTA[[#This Row],[NAMA BARANG]]="","",INDEX(NOTA[ID],MATCH(,INDIRECT(ADDRESS(ROW(NOTA[ID]),COLUMN(NOTA[ID]))&amp;":"&amp;ADDRESS(ROW(),COLUMN(NOTA[ID]))),-1)))</f>
        <v/>
      </c>
      <c r="C511" s="45"/>
      <c r="F511" s="46"/>
      <c r="G511" s="35"/>
      <c r="H511" s="36"/>
      <c r="I511" s="35"/>
      <c r="K511" s="37"/>
      <c r="L511" s="35"/>
      <c r="N511" s="38"/>
      <c r="O511" s="39"/>
      <c r="P511" s="47"/>
      <c r="Q511" s="48"/>
      <c r="R511" s="41"/>
      <c r="T511" s="42"/>
      <c r="U511" s="44"/>
      <c r="V511" s="42" t="str">
        <f>IF(NOTA[[#This Row],[HARGA/ CTN]]="",NOTA[[#This Row],[JUMLAH_H]],NOTA[[#This Row],[HARGA/ CTN]]*IF(NOTA[[#This Row],[C]]="",0,NOTA[[#This Row],[C]]))</f>
        <v/>
      </c>
      <c r="W511" s="42" t="str">
        <f>IF(NOTA[[#This Row],[JUMLAH]]="","",NOTA[[#This Row],[JUMLAH]]*NOTA[[#This Row],[Column6]])</f>
        <v/>
      </c>
      <c r="X511" s="42" t="str">
        <f>IF(NOTA[[#This Row],[JUMLAH]]="","",(NOTA[[#This Row],[JUMLAH]]-NOTA[[#This Row],[DISC 1-]])*NOTA[[#This Row],[Column7]])</f>
        <v/>
      </c>
      <c r="Y511" s="42" t="str">
        <f>IF(NOTA[[#This Row],[JUMLAH]]="","",(NOTA[[#This Row],[JUMLAH]]-NOTA[[#This Row],[DISC 1-]]-NOTA[[#This Row],[DISC 2-]])*NOTA[[#This Row],[Column8]])</f>
        <v/>
      </c>
      <c r="Z511" s="42" t="str">
        <f>IF(NOTA[[#This Row],[JUMLAH]]="","",NOTA[[#This Row],[DISC 1-]]+NOTA[[#This Row],[DISC 2-]]+NOTA[[#This Row],[DISC 3-]])</f>
        <v/>
      </c>
      <c r="AA511" s="42" t="str">
        <f>IF(NOTA[[#This Row],[JUMLAH]]="","",NOTA[[#This Row],[JUMLAH]]-NOTA[[#This Row],[DISC]])</f>
        <v/>
      </c>
      <c r="AB511" s="42"/>
      <c r="AC5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42" t="str">
        <f>IF(OR(NOTA[[#This Row],[QTY]]="",NOTA[[#This Row],[HARGA SATUAN]]="",),"",NOTA[[#This Row],[QTY]]*NOTA[[#This Row],[HARGA SATUAN]])</f>
        <v/>
      </c>
      <c r="AG511" s="36" t="str">
        <f ca="1">IF(NOTA[[#This Row],[ID_H]]="","",INDEX(NOTA[TANGGAL],MATCH(,INDIRECT(ADDRESS(ROW(NOTA[TANGGAL]),COLUMN(NOTA[TANGGAL]))&amp;":"&amp;ADDRESS(ROW(),COLUMN(NOTA[TANGGAL]))),-1)))</f>
        <v/>
      </c>
      <c r="AH511" s="36" t="str">
        <f ca="1">IF(NOTA[[#This Row],[ID_H]]="","",INDEX(NOTA[TGL.NOTA],MATCH(,INDIRECT(ADDRESS(ROW(NOTA[TGL.NOTA]),COLUMN(NOTA[TGL.NOTA]))&amp;":"&amp;ADDRESS(ROW(),COLUMN(NOTA[TGL.NOTA]))),-1)))</f>
        <v/>
      </c>
      <c r="AI511" s="36" t="str">
        <f ca="1">IF(NOTA[[#This Row],[ID_H]]="","",INDEX(NOTA[NO.NOTA],MATCH(NOTA[[#This Row],[ID_H]],NOTA[ID_H],0)))</f>
        <v/>
      </c>
      <c r="AJ511" s="38" t="str">
        <f ca="1">IF(NOTA[[#This Row],[NAMA BARANG]]="","",INDEX(NOTA[SUPPLIER],MATCH(,INDIRECT(ADDRESS(ROW(NOTA[ID]),COLUMN(NOTA[ID]))&amp;":"&amp;ADDRESS(ROW(),COLUMN(NOTA[ID]))),-1)))</f>
        <v/>
      </c>
      <c r="AK511" s="38" t="str">
        <f ca="1">IF(NOTA[[#This Row],[ID_H]]="","",IF(NOTA[[#This Row],[FAKTUR]]="",INDIRECT(ADDRESS(ROW()-1,COLUMN())),NOTA[[#This Row],[FAKTUR]]))</f>
        <v/>
      </c>
      <c r="AL511" s="35" t="str">
        <f ca="1">IF(NOTA[[#This Row],[ID]]="","",COUNTIF(NOTA[ID_H],NOTA[[#This Row],[ID_H]]))</f>
        <v/>
      </c>
      <c r="AM511" s="35" t="str">
        <f ca="1">IF(NOTA[[#This Row],[TGL.NOTA]]="",IF(NOTA[[#This Row],[SUPPLIER_H]]="","",AM510),MONTH(NOTA[[#This Row],[TGL.NOTA]]))</f>
        <v/>
      </c>
      <c r="AN5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1" s="35" t="str">
        <f>IF(NOTA[[#This Row],[CONCAT1]]="","",MATCH(NOTA[[#This Row],[CONCAT1]],[3]!db[NB NOTA_C],0))</f>
        <v/>
      </c>
      <c r="AS511" s="35" t="str">
        <f>IF(NOTA[[#This Row],[Column5]]="","",TRUE)</f>
        <v/>
      </c>
      <c r="AT511" s="35" t="str">
        <f ca="1">IF(NOTA[[#This Row],[ID_H]]="","",IF(NOTA[[#This Row],[Column3]]=TRUE,NOTA[[#This Row],[Column5]],INDEX([3]!db[QTY/ CTN],NOTA[[#This Row],[//DB]])))</f>
        <v/>
      </c>
      <c r="AU5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1" s="35" t="str">
        <f ca="1">IF(NOTA[[#This Row],[ID_H]]="","",MATCH(NOTA[[#This Row],[NB NOTA_C_QTY]],[3]!db[NB NOTA_C_QTY+F],0))</f>
        <v/>
      </c>
      <c r="AW511" s="43" t="str">
        <f ca="1">IF(NOTA[[#This Row],[NB NOTA_C_QTY]]="","",ROW()-2)</f>
        <v/>
      </c>
    </row>
    <row r="512" spans="1:49" ht="20.100000000000001" customHeight="1">
      <c r="A5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5" t="str">
        <f ca="1">IF(NOTA[[#This Row],[NAMA BARANG]]="","",INDEX(NOTA[ID],MATCH(,INDIRECT(ADDRESS(ROW(NOTA[ID]),COLUMN(NOTA[ID]))&amp;":"&amp;ADDRESS(ROW(),COLUMN(NOTA[ID]))),-1)))</f>
        <v/>
      </c>
      <c r="C512" s="45"/>
      <c r="F512" s="46"/>
      <c r="G512" s="35"/>
      <c r="H512" s="36"/>
      <c r="I512" s="35"/>
      <c r="K512" s="37"/>
      <c r="L512" s="35"/>
      <c r="N512" s="38"/>
      <c r="O512" s="39"/>
      <c r="P512" s="47"/>
      <c r="Q512" s="48"/>
      <c r="R512" s="41"/>
      <c r="T512" s="42"/>
      <c r="U512" s="44"/>
      <c r="V512" s="42" t="str">
        <f>IF(NOTA[[#This Row],[HARGA/ CTN]]="",NOTA[[#This Row],[JUMLAH_H]],NOTA[[#This Row],[HARGA/ CTN]]*IF(NOTA[[#This Row],[C]]="",0,NOTA[[#This Row],[C]]))</f>
        <v/>
      </c>
      <c r="W512" s="42" t="str">
        <f>IF(NOTA[[#This Row],[JUMLAH]]="","",NOTA[[#This Row],[JUMLAH]]*NOTA[[#This Row],[Column6]])</f>
        <v/>
      </c>
      <c r="X512" s="42" t="str">
        <f>IF(NOTA[[#This Row],[JUMLAH]]="","",(NOTA[[#This Row],[JUMLAH]]-NOTA[[#This Row],[DISC 1-]])*NOTA[[#This Row],[Column7]])</f>
        <v/>
      </c>
      <c r="Y512" s="42" t="str">
        <f>IF(NOTA[[#This Row],[JUMLAH]]="","",(NOTA[[#This Row],[JUMLAH]]-NOTA[[#This Row],[DISC 1-]]-NOTA[[#This Row],[DISC 2-]])*NOTA[[#This Row],[Column8]])</f>
        <v/>
      </c>
      <c r="Z512" s="42" t="str">
        <f>IF(NOTA[[#This Row],[JUMLAH]]="","",NOTA[[#This Row],[DISC 1-]]+NOTA[[#This Row],[DISC 2-]]+NOTA[[#This Row],[DISC 3-]])</f>
        <v/>
      </c>
      <c r="AA512" s="42" t="str">
        <f>IF(NOTA[[#This Row],[JUMLAH]]="","",NOTA[[#This Row],[JUMLAH]]-NOTA[[#This Row],[DISC]])</f>
        <v/>
      </c>
      <c r="AB512" s="42"/>
      <c r="AC5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42" t="str">
        <f>IF(OR(NOTA[[#This Row],[QTY]]="",NOTA[[#This Row],[HARGA SATUAN]]="",),"",NOTA[[#This Row],[QTY]]*NOTA[[#This Row],[HARGA SATUAN]])</f>
        <v/>
      </c>
      <c r="AG512" s="36" t="str">
        <f ca="1">IF(NOTA[[#This Row],[ID_H]]="","",INDEX(NOTA[TANGGAL],MATCH(,INDIRECT(ADDRESS(ROW(NOTA[TANGGAL]),COLUMN(NOTA[TANGGAL]))&amp;":"&amp;ADDRESS(ROW(),COLUMN(NOTA[TANGGAL]))),-1)))</f>
        <v/>
      </c>
      <c r="AH512" s="36" t="str">
        <f ca="1">IF(NOTA[[#This Row],[ID_H]]="","",INDEX(NOTA[TGL.NOTA],MATCH(,INDIRECT(ADDRESS(ROW(NOTA[TGL.NOTA]),COLUMN(NOTA[TGL.NOTA]))&amp;":"&amp;ADDRESS(ROW(),COLUMN(NOTA[TGL.NOTA]))),-1)))</f>
        <v/>
      </c>
      <c r="AI512" s="36" t="str">
        <f ca="1">IF(NOTA[[#This Row],[ID_H]]="","",INDEX(NOTA[NO.NOTA],MATCH(NOTA[[#This Row],[ID_H]],NOTA[ID_H],0)))</f>
        <v/>
      </c>
      <c r="AJ512" s="38" t="str">
        <f ca="1">IF(NOTA[[#This Row],[NAMA BARANG]]="","",INDEX(NOTA[SUPPLIER],MATCH(,INDIRECT(ADDRESS(ROW(NOTA[ID]),COLUMN(NOTA[ID]))&amp;":"&amp;ADDRESS(ROW(),COLUMN(NOTA[ID]))),-1)))</f>
        <v/>
      </c>
      <c r="AK512" s="38" t="str">
        <f ca="1">IF(NOTA[[#This Row],[ID_H]]="","",IF(NOTA[[#This Row],[FAKTUR]]="",INDIRECT(ADDRESS(ROW()-1,COLUMN())),NOTA[[#This Row],[FAKTUR]]))</f>
        <v/>
      </c>
      <c r="AL512" s="35" t="str">
        <f ca="1">IF(NOTA[[#This Row],[ID]]="","",COUNTIF(NOTA[ID_H],NOTA[[#This Row],[ID_H]]))</f>
        <v/>
      </c>
      <c r="AM512" s="35" t="str">
        <f ca="1">IF(NOTA[[#This Row],[TGL.NOTA]]="",IF(NOTA[[#This Row],[SUPPLIER_H]]="","",AM511),MONTH(NOTA[[#This Row],[TGL.NOTA]]))</f>
        <v/>
      </c>
      <c r="AN5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2" s="35" t="str">
        <f>IF(NOTA[[#This Row],[CONCAT1]]="","",MATCH(NOTA[[#This Row],[CONCAT1]],[3]!db[NB NOTA_C],0))</f>
        <v/>
      </c>
      <c r="AS512" s="35" t="str">
        <f>IF(NOTA[[#This Row],[Column5]]="","",TRUE)</f>
        <v/>
      </c>
      <c r="AT512" s="35" t="str">
        <f ca="1">IF(NOTA[[#This Row],[ID_H]]="","",IF(NOTA[[#This Row],[Column3]]=TRUE,NOTA[[#This Row],[Column5]],INDEX([3]!db[QTY/ CTN],NOTA[[#This Row],[//DB]])))</f>
        <v/>
      </c>
      <c r="AU5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2" s="35" t="str">
        <f ca="1">IF(NOTA[[#This Row],[ID_H]]="","",MATCH(NOTA[[#This Row],[NB NOTA_C_QTY]],[3]!db[NB NOTA_C_QTY+F],0))</f>
        <v/>
      </c>
      <c r="AW512" s="43" t="str">
        <f ca="1">IF(NOTA[[#This Row],[NB NOTA_C_QTY]]="","",ROW()-2)</f>
        <v/>
      </c>
    </row>
    <row r="513" spans="1:49" ht="20.100000000000001" customHeight="1">
      <c r="A5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5" t="str">
        <f ca="1">IF(NOTA[[#This Row],[NAMA BARANG]]="","",INDEX(NOTA[ID],MATCH(,INDIRECT(ADDRESS(ROW(NOTA[ID]),COLUMN(NOTA[ID]))&amp;":"&amp;ADDRESS(ROW(),COLUMN(NOTA[ID]))),-1)))</f>
        <v/>
      </c>
      <c r="C513" s="45"/>
      <c r="F513" s="46"/>
      <c r="G513" s="35"/>
      <c r="H513" s="36"/>
      <c r="I513" s="35"/>
      <c r="K513" s="37"/>
      <c r="L513" s="35"/>
      <c r="N513" s="38"/>
      <c r="O513" s="39"/>
      <c r="P513" s="47"/>
      <c r="Q513" s="48"/>
      <c r="R513" s="41"/>
      <c r="T513" s="42"/>
      <c r="U513" s="44"/>
      <c r="V513" s="42" t="str">
        <f>IF(NOTA[[#This Row],[HARGA/ CTN]]="",NOTA[[#This Row],[JUMLAH_H]],NOTA[[#This Row],[HARGA/ CTN]]*IF(NOTA[[#This Row],[C]]="",0,NOTA[[#This Row],[C]]))</f>
        <v/>
      </c>
      <c r="W513" s="42" t="str">
        <f>IF(NOTA[[#This Row],[JUMLAH]]="","",NOTA[[#This Row],[JUMLAH]]*NOTA[[#This Row],[Column6]])</f>
        <v/>
      </c>
      <c r="X513" s="42" t="str">
        <f>IF(NOTA[[#This Row],[JUMLAH]]="","",(NOTA[[#This Row],[JUMLAH]]-NOTA[[#This Row],[DISC 1-]])*NOTA[[#This Row],[Column7]])</f>
        <v/>
      </c>
      <c r="Y513" s="42" t="str">
        <f>IF(NOTA[[#This Row],[JUMLAH]]="","",(NOTA[[#This Row],[JUMLAH]]-NOTA[[#This Row],[DISC 1-]]-NOTA[[#This Row],[DISC 2-]])*NOTA[[#This Row],[Column8]])</f>
        <v/>
      </c>
      <c r="Z513" s="42" t="str">
        <f>IF(NOTA[[#This Row],[JUMLAH]]="","",NOTA[[#This Row],[DISC 1-]]+NOTA[[#This Row],[DISC 2-]]+NOTA[[#This Row],[DISC 3-]])</f>
        <v/>
      </c>
      <c r="AA513" s="42" t="str">
        <f>IF(NOTA[[#This Row],[JUMLAH]]="","",NOTA[[#This Row],[JUMLAH]]-NOTA[[#This Row],[DISC]])</f>
        <v/>
      </c>
      <c r="AB513" s="42"/>
      <c r="AC5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42" t="str">
        <f>IF(OR(NOTA[[#This Row],[QTY]]="",NOTA[[#This Row],[HARGA SATUAN]]="",),"",NOTA[[#This Row],[QTY]]*NOTA[[#This Row],[HARGA SATUAN]])</f>
        <v/>
      </c>
      <c r="AG513" s="36" t="str">
        <f ca="1">IF(NOTA[[#This Row],[ID_H]]="","",INDEX(NOTA[TANGGAL],MATCH(,INDIRECT(ADDRESS(ROW(NOTA[TANGGAL]),COLUMN(NOTA[TANGGAL]))&amp;":"&amp;ADDRESS(ROW(),COLUMN(NOTA[TANGGAL]))),-1)))</f>
        <v/>
      </c>
      <c r="AH513" s="36" t="str">
        <f ca="1">IF(NOTA[[#This Row],[ID_H]]="","",INDEX(NOTA[TGL.NOTA],MATCH(,INDIRECT(ADDRESS(ROW(NOTA[TGL.NOTA]),COLUMN(NOTA[TGL.NOTA]))&amp;":"&amp;ADDRESS(ROW(),COLUMN(NOTA[TGL.NOTA]))),-1)))</f>
        <v/>
      </c>
      <c r="AI513" s="36" t="str">
        <f ca="1">IF(NOTA[[#This Row],[ID_H]]="","",INDEX(NOTA[NO.NOTA],MATCH(NOTA[[#This Row],[ID_H]],NOTA[ID_H],0)))</f>
        <v/>
      </c>
      <c r="AJ513" s="38" t="str">
        <f ca="1">IF(NOTA[[#This Row],[NAMA BARANG]]="","",INDEX(NOTA[SUPPLIER],MATCH(,INDIRECT(ADDRESS(ROW(NOTA[ID]),COLUMN(NOTA[ID]))&amp;":"&amp;ADDRESS(ROW(),COLUMN(NOTA[ID]))),-1)))</f>
        <v/>
      </c>
      <c r="AK513" s="38" t="str">
        <f ca="1">IF(NOTA[[#This Row],[ID_H]]="","",IF(NOTA[[#This Row],[FAKTUR]]="",INDIRECT(ADDRESS(ROW()-1,COLUMN())),NOTA[[#This Row],[FAKTUR]]))</f>
        <v/>
      </c>
      <c r="AL513" s="35" t="str">
        <f ca="1">IF(NOTA[[#This Row],[ID]]="","",COUNTIF(NOTA[ID_H],NOTA[[#This Row],[ID_H]]))</f>
        <v/>
      </c>
      <c r="AM513" s="35" t="str">
        <f ca="1">IF(NOTA[[#This Row],[TGL.NOTA]]="",IF(NOTA[[#This Row],[SUPPLIER_H]]="","",AM512),MONTH(NOTA[[#This Row],[TGL.NOTA]]))</f>
        <v/>
      </c>
      <c r="AN5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3" s="35" t="str">
        <f>IF(NOTA[[#This Row],[CONCAT1]]="","",MATCH(NOTA[[#This Row],[CONCAT1]],[3]!db[NB NOTA_C],0))</f>
        <v/>
      </c>
      <c r="AS513" s="35" t="str">
        <f>IF(NOTA[[#This Row],[Column5]]="","",TRUE)</f>
        <v/>
      </c>
      <c r="AT513" s="35" t="str">
        <f ca="1">IF(NOTA[[#This Row],[ID_H]]="","",IF(NOTA[[#This Row],[Column3]]=TRUE,NOTA[[#This Row],[Column5]],INDEX([3]!db[QTY/ CTN],NOTA[[#This Row],[//DB]])))</f>
        <v/>
      </c>
      <c r="AU5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3" s="35" t="str">
        <f ca="1">IF(NOTA[[#This Row],[ID_H]]="","",MATCH(NOTA[[#This Row],[NB NOTA_C_QTY]],[3]!db[NB NOTA_C_QTY+F],0))</f>
        <v/>
      </c>
      <c r="AW513" s="43" t="str">
        <f ca="1">IF(NOTA[[#This Row],[NB NOTA_C_QTY]]="","",ROW()-2)</f>
        <v/>
      </c>
    </row>
    <row r="514" spans="1:49" ht="20.100000000000001" customHeight="1">
      <c r="A5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5" t="str">
        <f ca="1">IF(NOTA[[#This Row],[NAMA BARANG]]="","",INDEX(NOTA[ID],MATCH(,INDIRECT(ADDRESS(ROW(NOTA[ID]),COLUMN(NOTA[ID]))&amp;":"&amp;ADDRESS(ROW(),COLUMN(NOTA[ID]))),-1)))</f>
        <v/>
      </c>
      <c r="C514" s="45"/>
      <c r="F514" s="46"/>
      <c r="G514" s="35"/>
      <c r="H514" s="36"/>
      <c r="I514" s="35"/>
      <c r="K514" s="37"/>
      <c r="L514" s="35"/>
      <c r="N514" s="38"/>
      <c r="O514" s="39"/>
      <c r="P514" s="47"/>
      <c r="Q514" s="48"/>
      <c r="R514" s="41"/>
      <c r="T514" s="42"/>
      <c r="U514" s="44"/>
      <c r="V514" s="42" t="str">
        <f>IF(NOTA[[#This Row],[HARGA/ CTN]]="",NOTA[[#This Row],[JUMLAH_H]],NOTA[[#This Row],[HARGA/ CTN]]*IF(NOTA[[#This Row],[C]]="",0,NOTA[[#This Row],[C]]))</f>
        <v/>
      </c>
      <c r="W514" s="42" t="str">
        <f>IF(NOTA[[#This Row],[JUMLAH]]="","",NOTA[[#This Row],[JUMLAH]]*NOTA[[#This Row],[Column6]])</f>
        <v/>
      </c>
      <c r="X514" s="42" t="str">
        <f>IF(NOTA[[#This Row],[JUMLAH]]="","",(NOTA[[#This Row],[JUMLAH]]-NOTA[[#This Row],[DISC 1-]])*NOTA[[#This Row],[Column7]])</f>
        <v/>
      </c>
      <c r="Y514" s="42" t="str">
        <f>IF(NOTA[[#This Row],[JUMLAH]]="","",(NOTA[[#This Row],[JUMLAH]]-NOTA[[#This Row],[DISC 1-]]-NOTA[[#This Row],[DISC 2-]])*NOTA[[#This Row],[Column8]])</f>
        <v/>
      </c>
      <c r="Z514" s="42" t="str">
        <f>IF(NOTA[[#This Row],[JUMLAH]]="","",NOTA[[#This Row],[DISC 1-]]+NOTA[[#This Row],[DISC 2-]]+NOTA[[#This Row],[DISC 3-]])</f>
        <v/>
      </c>
      <c r="AA514" s="42" t="str">
        <f>IF(NOTA[[#This Row],[JUMLAH]]="","",NOTA[[#This Row],[JUMLAH]]-NOTA[[#This Row],[DISC]])</f>
        <v/>
      </c>
      <c r="AB514" s="42"/>
      <c r="AC5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42" t="str">
        <f>IF(OR(NOTA[[#This Row],[QTY]]="",NOTA[[#This Row],[HARGA SATUAN]]="",),"",NOTA[[#This Row],[QTY]]*NOTA[[#This Row],[HARGA SATUAN]])</f>
        <v/>
      </c>
      <c r="AG514" s="36" t="str">
        <f ca="1">IF(NOTA[[#This Row],[ID_H]]="","",INDEX(NOTA[TANGGAL],MATCH(,INDIRECT(ADDRESS(ROW(NOTA[TANGGAL]),COLUMN(NOTA[TANGGAL]))&amp;":"&amp;ADDRESS(ROW(),COLUMN(NOTA[TANGGAL]))),-1)))</f>
        <v/>
      </c>
      <c r="AH514" s="36" t="str">
        <f ca="1">IF(NOTA[[#This Row],[ID_H]]="","",INDEX(NOTA[TGL.NOTA],MATCH(,INDIRECT(ADDRESS(ROW(NOTA[TGL.NOTA]),COLUMN(NOTA[TGL.NOTA]))&amp;":"&amp;ADDRESS(ROW(),COLUMN(NOTA[TGL.NOTA]))),-1)))</f>
        <v/>
      </c>
      <c r="AI514" s="36" t="str">
        <f ca="1">IF(NOTA[[#This Row],[ID_H]]="","",INDEX(NOTA[NO.NOTA],MATCH(NOTA[[#This Row],[ID_H]],NOTA[ID_H],0)))</f>
        <v/>
      </c>
      <c r="AJ514" s="38" t="str">
        <f ca="1">IF(NOTA[[#This Row],[NAMA BARANG]]="","",INDEX(NOTA[SUPPLIER],MATCH(,INDIRECT(ADDRESS(ROW(NOTA[ID]),COLUMN(NOTA[ID]))&amp;":"&amp;ADDRESS(ROW(),COLUMN(NOTA[ID]))),-1)))</f>
        <v/>
      </c>
      <c r="AK514" s="38" t="str">
        <f ca="1">IF(NOTA[[#This Row],[ID_H]]="","",IF(NOTA[[#This Row],[FAKTUR]]="",INDIRECT(ADDRESS(ROW()-1,COLUMN())),NOTA[[#This Row],[FAKTUR]]))</f>
        <v/>
      </c>
      <c r="AL514" s="35" t="str">
        <f ca="1">IF(NOTA[[#This Row],[ID]]="","",COUNTIF(NOTA[ID_H],NOTA[[#This Row],[ID_H]]))</f>
        <v/>
      </c>
      <c r="AM514" s="35" t="str">
        <f ca="1">IF(NOTA[[#This Row],[TGL.NOTA]]="",IF(NOTA[[#This Row],[SUPPLIER_H]]="","",AM513),MONTH(NOTA[[#This Row],[TGL.NOTA]]))</f>
        <v/>
      </c>
      <c r="AN5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4" s="35" t="str">
        <f>IF(NOTA[[#This Row],[CONCAT1]]="","",MATCH(NOTA[[#This Row],[CONCAT1]],[3]!db[NB NOTA_C],0))</f>
        <v/>
      </c>
      <c r="AS514" s="35" t="str">
        <f>IF(NOTA[[#This Row],[Column5]]="","",TRUE)</f>
        <v/>
      </c>
      <c r="AT514" s="35" t="str">
        <f ca="1">IF(NOTA[[#This Row],[ID_H]]="","",IF(NOTA[[#This Row],[Column3]]=TRUE,NOTA[[#This Row],[Column5]],INDEX([3]!db[QTY/ CTN],NOTA[[#This Row],[//DB]])))</f>
        <v/>
      </c>
      <c r="AU5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4" s="35" t="str">
        <f ca="1">IF(NOTA[[#This Row],[ID_H]]="","",MATCH(NOTA[[#This Row],[NB NOTA_C_QTY]],[3]!db[NB NOTA_C_QTY+F],0))</f>
        <v/>
      </c>
      <c r="AW514" s="43" t="str">
        <f ca="1">IF(NOTA[[#This Row],[NB NOTA_C_QTY]]="","",ROW()-2)</f>
        <v/>
      </c>
    </row>
    <row r="515" spans="1:49" ht="20.100000000000001" customHeight="1">
      <c r="A5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5" t="str">
        <f ca="1">IF(NOTA[[#This Row],[NAMA BARANG]]="","",INDEX(NOTA[ID],MATCH(,INDIRECT(ADDRESS(ROW(NOTA[ID]),COLUMN(NOTA[ID]))&amp;":"&amp;ADDRESS(ROW(),COLUMN(NOTA[ID]))),-1)))</f>
        <v/>
      </c>
      <c r="C515" s="45"/>
      <c r="F515" s="46"/>
      <c r="G515" s="35"/>
      <c r="H515" s="36"/>
      <c r="I515" s="35"/>
      <c r="K515" s="37"/>
      <c r="L515" s="35"/>
      <c r="N515" s="38"/>
      <c r="O515" s="39"/>
      <c r="P515" s="47"/>
      <c r="Q515" s="48"/>
      <c r="R515" s="41"/>
      <c r="T515" s="42"/>
      <c r="U515" s="44"/>
      <c r="V515" s="42" t="str">
        <f>IF(NOTA[[#This Row],[HARGA/ CTN]]="",NOTA[[#This Row],[JUMLAH_H]],NOTA[[#This Row],[HARGA/ CTN]]*IF(NOTA[[#This Row],[C]]="",0,NOTA[[#This Row],[C]]))</f>
        <v/>
      </c>
      <c r="W515" s="42" t="str">
        <f>IF(NOTA[[#This Row],[JUMLAH]]="","",NOTA[[#This Row],[JUMLAH]]*NOTA[[#This Row],[Column6]])</f>
        <v/>
      </c>
      <c r="X515" s="42" t="str">
        <f>IF(NOTA[[#This Row],[JUMLAH]]="","",(NOTA[[#This Row],[JUMLAH]]-NOTA[[#This Row],[DISC 1-]])*NOTA[[#This Row],[Column7]])</f>
        <v/>
      </c>
      <c r="Y515" s="42" t="str">
        <f>IF(NOTA[[#This Row],[JUMLAH]]="","",(NOTA[[#This Row],[JUMLAH]]-NOTA[[#This Row],[DISC 1-]]-NOTA[[#This Row],[DISC 2-]])*NOTA[[#This Row],[Column8]])</f>
        <v/>
      </c>
      <c r="Z515" s="42" t="str">
        <f>IF(NOTA[[#This Row],[JUMLAH]]="","",NOTA[[#This Row],[DISC 1-]]+NOTA[[#This Row],[DISC 2-]]+NOTA[[#This Row],[DISC 3-]])</f>
        <v/>
      </c>
      <c r="AA515" s="42" t="str">
        <f>IF(NOTA[[#This Row],[JUMLAH]]="","",NOTA[[#This Row],[JUMLAH]]-NOTA[[#This Row],[DISC]])</f>
        <v/>
      </c>
      <c r="AB515" s="42"/>
      <c r="AC5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42" t="str">
        <f>IF(OR(NOTA[[#This Row],[QTY]]="",NOTA[[#This Row],[HARGA SATUAN]]="",),"",NOTA[[#This Row],[QTY]]*NOTA[[#This Row],[HARGA SATUAN]])</f>
        <v/>
      </c>
      <c r="AG515" s="36" t="str">
        <f ca="1">IF(NOTA[[#This Row],[ID_H]]="","",INDEX(NOTA[TANGGAL],MATCH(,INDIRECT(ADDRESS(ROW(NOTA[TANGGAL]),COLUMN(NOTA[TANGGAL]))&amp;":"&amp;ADDRESS(ROW(),COLUMN(NOTA[TANGGAL]))),-1)))</f>
        <v/>
      </c>
      <c r="AH515" s="36" t="str">
        <f ca="1">IF(NOTA[[#This Row],[ID_H]]="","",INDEX(NOTA[TGL.NOTA],MATCH(,INDIRECT(ADDRESS(ROW(NOTA[TGL.NOTA]),COLUMN(NOTA[TGL.NOTA]))&amp;":"&amp;ADDRESS(ROW(),COLUMN(NOTA[TGL.NOTA]))),-1)))</f>
        <v/>
      </c>
      <c r="AI515" s="36" t="str">
        <f ca="1">IF(NOTA[[#This Row],[ID_H]]="","",INDEX(NOTA[NO.NOTA],MATCH(NOTA[[#This Row],[ID_H]],NOTA[ID_H],0)))</f>
        <v/>
      </c>
      <c r="AJ515" s="38" t="str">
        <f ca="1">IF(NOTA[[#This Row],[NAMA BARANG]]="","",INDEX(NOTA[SUPPLIER],MATCH(,INDIRECT(ADDRESS(ROW(NOTA[ID]),COLUMN(NOTA[ID]))&amp;":"&amp;ADDRESS(ROW(),COLUMN(NOTA[ID]))),-1)))</f>
        <v/>
      </c>
      <c r="AK515" s="38" t="str">
        <f ca="1">IF(NOTA[[#This Row],[ID_H]]="","",IF(NOTA[[#This Row],[FAKTUR]]="",INDIRECT(ADDRESS(ROW()-1,COLUMN())),NOTA[[#This Row],[FAKTUR]]))</f>
        <v/>
      </c>
      <c r="AL515" s="35" t="str">
        <f ca="1">IF(NOTA[[#This Row],[ID]]="","",COUNTIF(NOTA[ID_H],NOTA[[#This Row],[ID_H]]))</f>
        <v/>
      </c>
      <c r="AM515" s="35" t="str">
        <f ca="1">IF(NOTA[[#This Row],[TGL.NOTA]]="",IF(NOTA[[#This Row],[SUPPLIER_H]]="","",AM514),MONTH(NOTA[[#This Row],[TGL.NOTA]]))</f>
        <v/>
      </c>
      <c r="AN5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5" s="35" t="str">
        <f>IF(NOTA[[#This Row],[CONCAT1]]="","",MATCH(NOTA[[#This Row],[CONCAT1]],[3]!db[NB NOTA_C],0))</f>
        <v/>
      </c>
      <c r="AS515" s="35" t="str">
        <f>IF(NOTA[[#This Row],[Column5]]="","",TRUE)</f>
        <v/>
      </c>
      <c r="AT515" s="35" t="str">
        <f ca="1">IF(NOTA[[#This Row],[ID_H]]="","",IF(NOTA[[#This Row],[Column3]]=TRUE,NOTA[[#This Row],[Column5]],INDEX([3]!db[QTY/ CTN],NOTA[[#This Row],[//DB]])))</f>
        <v/>
      </c>
      <c r="AU5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5" s="35" t="str">
        <f ca="1">IF(NOTA[[#This Row],[ID_H]]="","",MATCH(NOTA[[#This Row],[NB NOTA_C_QTY]],[3]!db[NB NOTA_C_QTY+F],0))</f>
        <v/>
      </c>
      <c r="AW515" s="43" t="str">
        <f ca="1">IF(NOTA[[#This Row],[NB NOTA_C_QTY]]="","",ROW()-2)</f>
        <v/>
      </c>
    </row>
    <row r="516" spans="1:49" ht="20.100000000000001" customHeight="1">
      <c r="A5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5" t="str">
        <f ca="1">IF(NOTA[[#This Row],[NAMA BARANG]]="","",INDEX(NOTA[ID],MATCH(,INDIRECT(ADDRESS(ROW(NOTA[ID]),COLUMN(NOTA[ID]))&amp;":"&amp;ADDRESS(ROW(),COLUMN(NOTA[ID]))),-1)))</f>
        <v/>
      </c>
      <c r="C516" s="45"/>
      <c r="F516" s="46"/>
      <c r="G516" s="35"/>
      <c r="H516" s="36"/>
      <c r="I516" s="35"/>
      <c r="K516" s="37"/>
      <c r="L516" s="35"/>
      <c r="N516" s="38"/>
      <c r="O516" s="39"/>
      <c r="P516" s="47"/>
      <c r="Q516" s="48"/>
      <c r="R516" s="41"/>
      <c r="T516" s="42"/>
      <c r="U516" s="44"/>
      <c r="V516" s="42" t="str">
        <f>IF(NOTA[[#This Row],[HARGA/ CTN]]="",NOTA[[#This Row],[JUMLAH_H]],NOTA[[#This Row],[HARGA/ CTN]]*IF(NOTA[[#This Row],[C]]="",0,NOTA[[#This Row],[C]]))</f>
        <v/>
      </c>
      <c r="W516" s="42" t="str">
        <f>IF(NOTA[[#This Row],[JUMLAH]]="","",NOTA[[#This Row],[JUMLAH]]*NOTA[[#This Row],[Column6]])</f>
        <v/>
      </c>
      <c r="X516" s="42" t="str">
        <f>IF(NOTA[[#This Row],[JUMLAH]]="","",(NOTA[[#This Row],[JUMLAH]]-NOTA[[#This Row],[DISC 1-]])*NOTA[[#This Row],[Column7]])</f>
        <v/>
      </c>
      <c r="Y516" s="42" t="str">
        <f>IF(NOTA[[#This Row],[JUMLAH]]="","",(NOTA[[#This Row],[JUMLAH]]-NOTA[[#This Row],[DISC 1-]]-NOTA[[#This Row],[DISC 2-]])*NOTA[[#This Row],[Column8]])</f>
        <v/>
      </c>
      <c r="Z516" s="42" t="str">
        <f>IF(NOTA[[#This Row],[JUMLAH]]="","",NOTA[[#This Row],[DISC 1-]]+NOTA[[#This Row],[DISC 2-]]+NOTA[[#This Row],[DISC 3-]])</f>
        <v/>
      </c>
      <c r="AA516" s="42" t="str">
        <f>IF(NOTA[[#This Row],[JUMLAH]]="","",NOTA[[#This Row],[JUMLAH]]-NOTA[[#This Row],[DISC]])</f>
        <v/>
      </c>
      <c r="AB516" s="42"/>
      <c r="AC5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42" t="str">
        <f>IF(OR(NOTA[[#This Row],[QTY]]="",NOTA[[#This Row],[HARGA SATUAN]]="",),"",NOTA[[#This Row],[QTY]]*NOTA[[#This Row],[HARGA SATUAN]])</f>
        <v/>
      </c>
      <c r="AG516" s="36" t="str">
        <f ca="1">IF(NOTA[[#This Row],[ID_H]]="","",INDEX(NOTA[TANGGAL],MATCH(,INDIRECT(ADDRESS(ROW(NOTA[TANGGAL]),COLUMN(NOTA[TANGGAL]))&amp;":"&amp;ADDRESS(ROW(),COLUMN(NOTA[TANGGAL]))),-1)))</f>
        <v/>
      </c>
      <c r="AH516" s="36" t="str">
        <f ca="1">IF(NOTA[[#This Row],[ID_H]]="","",INDEX(NOTA[TGL.NOTA],MATCH(,INDIRECT(ADDRESS(ROW(NOTA[TGL.NOTA]),COLUMN(NOTA[TGL.NOTA]))&amp;":"&amp;ADDRESS(ROW(),COLUMN(NOTA[TGL.NOTA]))),-1)))</f>
        <v/>
      </c>
      <c r="AI516" s="36" t="str">
        <f ca="1">IF(NOTA[[#This Row],[ID_H]]="","",INDEX(NOTA[NO.NOTA],MATCH(NOTA[[#This Row],[ID_H]],NOTA[ID_H],0)))</f>
        <v/>
      </c>
      <c r="AJ516" s="38" t="str">
        <f ca="1">IF(NOTA[[#This Row],[NAMA BARANG]]="","",INDEX(NOTA[SUPPLIER],MATCH(,INDIRECT(ADDRESS(ROW(NOTA[ID]),COLUMN(NOTA[ID]))&amp;":"&amp;ADDRESS(ROW(),COLUMN(NOTA[ID]))),-1)))</f>
        <v/>
      </c>
      <c r="AK516" s="38" t="str">
        <f ca="1">IF(NOTA[[#This Row],[ID_H]]="","",IF(NOTA[[#This Row],[FAKTUR]]="",INDIRECT(ADDRESS(ROW()-1,COLUMN())),NOTA[[#This Row],[FAKTUR]]))</f>
        <v/>
      </c>
      <c r="AL516" s="35" t="str">
        <f ca="1">IF(NOTA[[#This Row],[ID]]="","",COUNTIF(NOTA[ID_H],NOTA[[#This Row],[ID_H]]))</f>
        <v/>
      </c>
      <c r="AM516" s="35" t="str">
        <f ca="1">IF(NOTA[[#This Row],[TGL.NOTA]]="",IF(NOTA[[#This Row],[SUPPLIER_H]]="","",AM515),MONTH(NOTA[[#This Row],[TGL.NOTA]]))</f>
        <v/>
      </c>
      <c r="AN5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6" s="35" t="str">
        <f>IF(NOTA[[#This Row],[CONCAT1]]="","",MATCH(NOTA[[#This Row],[CONCAT1]],[3]!db[NB NOTA_C],0))</f>
        <v/>
      </c>
      <c r="AS516" s="35" t="str">
        <f>IF(NOTA[[#This Row],[Column5]]="","",TRUE)</f>
        <v/>
      </c>
      <c r="AT516" s="35" t="str">
        <f ca="1">IF(NOTA[[#This Row],[ID_H]]="","",IF(NOTA[[#This Row],[Column3]]=TRUE,NOTA[[#This Row],[Column5]],INDEX([3]!db[QTY/ CTN],NOTA[[#This Row],[//DB]])))</f>
        <v/>
      </c>
      <c r="AU5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6" s="35" t="str">
        <f ca="1">IF(NOTA[[#This Row],[ID_H]]="","",MATCH(NOTA[[#This Row],[NB NOTA_C_QTY]],[3]!db[NB NOTA_C_QTY+F],0))</f>
        <v/>
      </c>
      <c r="AW516" s="43" t="str">
        <f ca="1">IF(NOTA[[#This Row],[NB NOTA_C_QTY]]="","",ROW()-2)</f>
        <v/>
      </c>
    </row>
    <row r="517" spans="1:49" ht="20.100000000000001" customHeight="1">
      <c r="A5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5" t="str">
        <f ca="1">IF(NOTA[[#This Row],[NAMA BARANG]]="","",INDEX(NOTA[ID],MATCH(,INDIRECT(ADDRESS(ROW(NOTA[ID]),COLUMN(NOTA[ID]))&amp;":"&amp;ADDRESS(ROW(),COLUMN(NOTA[ID]))),-1)))</f>
        <v/>
      </c>
      <c r="C517" s="45"/>
      <c r="F517" s="46"/>
      <c r="G517" s="35"/>
      <c r="H517" s="36"/>
      <c r="I517" s="35"/>
      <c r="K517" s="37"/>
      <c r="L517" s="35"/>
      <c r="N517" s="38"/>
      <c r="O517" s="39"/>
      <c r="P517" s="47"/>
      <c r="Q517" s="48"/>
      <c r="R517" s="41"/>
      <c r="T517" s="42"/>
      <c r="U517" s="44"/>
      <c r="V517" s="42" t="str">
        <f>IF(NOTA[[#This Row],[HARGA/ CTN]]="",NOTA[[#This Row],[JUMLAH_H]],NOTA[[#This Row],[HARGA/ CTN]]*IF(NOTA[[#This Row],[C]]="",0,NOTA[[#This Row],[C]]))</f>
        <v/>
      </c>
      <c r="W517" s="42" t="str">
        <f>IF(NOTA[[#This Row],[JUMLAH]]="","",NOTA[[#This Row],[JUMLAH]]*NOTA[[#This Row],[Column6]])</f>
        <v/>
      </c>
      <c r="X517" s="42" t="str">
        <f>IF(NOTA[[#This Row],[JUMLAH]]="","",(NOTA[[#This Row],[JUMLAH]]-NOTA[[#This Row],[DISC 1-]])*NOTA[[#This Row],[Column7]])</f>
        <v/>
      </c>
      <c r="Y517" s="42" t="str">
        <f>IF(NOTA[[#This Row],[JUMLAH]]="","",(NOTA[[#This Row],[JUMLAH]]-NOTA[[#This Row],[DISC 1-]]-NOTA[[#This Row],[DISC 2-]])*NOTA[[#This Row],[Column8]])</f>
        <v/>
      </c>
      <c r="Z517" s="42" t="str">
        <f>IF(NOTA[[#This Row],[JUMLAH]]="","",NOTA[[#This Row],[DISC 1-]]+NOTA[[#This Row],[DISC 2-]]+NOTA[[#This Row],[DISC 3-]])</f>
        <v/>
      </c>
      <c r="AA517" s="42" t="str">
        <f>IF(NOTA[[#This Row],[JUMLAH]]="","",NOTA[[#This Row],[JUMLAH]]-NOTA[[#This Row],[DISC]])</f>
        <v/>
      </c>
      <c r="AB517" s="42"/>
      <c r="AC5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42" t="str">
        <f>IF(OR(NOTA[[#This Row],[QTY]]="",NOTA[[#This Row],[HARGA SATUAN]]="",),"",NOTA[[#This Row],[QTY]]*NOTA[[#This Row],[HARGA SATUAN]])</f>
        <v/>
      </c>
      <c r="AG517" s="36" t="str">
        <f ca="1">IF(NOTA[[#This Row],[ID_H]]="","",INDEX(NOTA[TANGGAL],MATCH(,INDIRECT(ADDRESS(ROW(NOTA[TANGGAL]),COLUMN(NOTA[TANGGAL]))&amp;":"&amp;ADDRESS(ROW(),COLUMN(NOTA[TANGGAL]))),-1)))</f>
        <v/>
      </c>
      <c r="AH517" s="36" t="str">
        <f ca="1">IF(NOTA[[#This Row],[ID_H]]="","",INDEX(NOTA[TGL.NOTA],MATCH(,INDIRECT(ADDRESS(ROW(NOTA[TGL.NOTA]),COLUMN(NOTA[TGL.NOTA]))&amp;":"&amp;ADDRESS(ROW(),COLUMN(NOTA[TGL.NOTA]))),-1)))</f>
        <v/>
      </c>
      <c r="AI517" s="36" t="str">
        <f ca="1">IF(NOTA[[#This Row],[ID_H]]="","",INDEX(NOTA[NO.NOTA],MATCH(NOTA[[#This Row],[ID_H]],NOTA[ID_H],0)))</f>
        <v/>
      </c>
      <c r="AJ517" s="38" t="str">
        <f ca="1">IF(NOTA[[#This Row],[NAMA BARANG]]="","",INDEX(NOTA[SUPPLIER],MATCH(,INDIRECT(ADDRESS(ROW(NOTA[ID]),COLUMN(NOTA[ID]))&amp;":"&amp;ADDRESS(ROW(),COLUMN(NOTA[ID]))),-1)))</f>
        <v/>
      </c>
      <c r="AK517" s="38" t="str">
        <f ca="1">IF(NOTA[[#This Row],[ID_H]]="","",IF(NOTA[[#This Row],[FAKTUR]]="",INDIRECT(ADDRESS(ROW()-1,COLUMN())),NOTA[[#This Row],[FAKTUR]]))</f>
        <v/>
      </c>
      <c r="AL517" s="35" t="str">
        <f ca="1">IF(NOTA[[#This Row],[ID]]="","",COUNTIF(NOTA[ID_H],NOTA[[#This Row],[ID_H]]))</f>
        <v/>
      </c>
      <c r="AM517" s="35" t="str">
        <f ca="1">IF(NOTA[[#This Row],[TGL.NOTA]]="",IF(NOTA[[#This Row],[SUPPLIER_H]]="","",AM516),MONTH(NOTA[[#This Row],[TGL.NOTA]]))</f>
        <v/>
      </c>
      <c r="AN5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7" s="35" t="str">
        <f>IF(NOTA[[#This Row],[CONCAT1]]="","",MATCH(NOTA[[#This Row],[CONCAT1]],[3]!db[NB NOTA_C],0))</f>
        <v/>
      </c>
      <c r="AS517" s="35" t="str">
        <f>IF(NOTA[[#This Row],[Column5]]="","",TRUE)</f>
        <v/>
      </c>
      <c r="AT517" s="35" t="str">
        <f ca="1">IF(NOTA[[#This Row],[ID_H]]="","",IF(NOTA[[#This Row],[Column3]]=TRUE,NOTA[[#This Row],[Column5]],INDEX([3]!db[QTY/ CTN],NOTA[[#This Row],[//DB]])))</f>
        <v/>
      </c>
      <c r="AU5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7" s="35" t="str">
        <f ca="1">IF(NOTA[[#This Row],[ID_H]]="","",MATCH(NOTA[[#This Row],[NB NOTA_C_QTY]],[3]!db[NB NOTA_C_QTY+F],0))</f>
        <v/>
      </c>
      <c r="AW517" s="43" t="str">
        <f ca="1">IF(NOTA[[#This Row],[NB NOTA_C_QTY]]="","",ROW()-2)</f>
        <v/>
      </c>
    </row>
    <row r="518" spans="1:49" ht="20.100000000000001" customHeight="1">
      <c r="A5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5" t="str">
        <f ca="1">IF(NOTA[[#This Row],[NAMA BARANG]]="","",INDEX(NOTA[ID],MATCH(,INDIRECT(ADDRESS(ROW(NOTA[ID]),COLUMN(NOTA[ID]))&amp;":"&amp;ADDRESS(ROW(),COLUMN(NOTA[ID]))),-1)))</f>
        <v/>
      </c>
      <c r="C518" s="45"/>
      <c r="F518" s="46"/>
      <c r="G518" s="35"/>
      <c r="H518" s="36"/>
      <c r="I518" s="35"/>
      <c r="K518" s="37"/>
      <c r="L518" s="35"/>
      <c r="N518" s="38"/>
      <c r="O518" s="39"/>
      <c r="P518" s="47"/>
      <c r="Q518" s="48"/>
      <c r="R518" s="41"/>
      <c r="T518" s="42"/>
      <c r="U518" s="44"/>
      <c r="V518" s="42" t="str">
        <f>IF(NOTA[[#This Row],[HARGA/ CTN]]="",NOTA[[#This Row],[JUMLAH_H]],NOTA[[#This Row],[HARGA/ CTN]]*IF(NOTA[[#This Row],[C]]="",0,NOTA[[#This Row],[C]]))</f>
        <v/>
      </c>
      <c r="W518" s="42" t="str">
        <f>IF(NOTA[[#This Row],[JUMLAH]]="","",NOTA[[#This Row],[JUMLAH]]*NOTA[[#This Row],[Column6]])</f>
        <v/>
      </c>
      <c r="X518" s="42" t="str">
        <f>IF(NOTA[[#This Row],[JUMLAH]]="","",(NOTA[[#This Row],[JUMLAH]]-NOTA[[#This Row],[DISC 1-]])*NOTA[[#This Row],[Column7]])</f>
        <v/>
      </c>
      <c r="Y518" s="42" t="str">
        <f>IF(NOTA[[#This Row],[JUMLAH]]="","",(NOTA[[#This Row],[JUMLAH]]-NOTA[[#This Row],[DISC 1-]]-NOTA[[#This Row],[DISC 2-]])*NOTA[[#This Row],[Column8]])</f>
        <v/>
      </c>
      <c r="Z518" s="42" t="str">
        <f>IF(NOTA[[#This Row],[JUMLAH]]="","",NOTA[[#This Row],[DISC 1-]]+NOTA[[#This Row],[DISC 2-]]+NOTA[[#This Row],[DISC 3-]])</f>
        <v/>
      </c>
      <c r="AA518" s="42" t="str">
        <f>IF(NOTA[[#This Row],[JUMLAH]]="","",NOTA[[#This Row],[JUMLAH]]-NOTA[[#This Row],[DISC]])</f>
        <v/>
      </c>
      <c r="AB518" s="42"/>
      <c r="AC5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42" t="str">
        <f>IF(OR(NOTA[[#This Row],[QTY]]="",NOTA[[#This Row],[HARGA SATUAN]]="",),"",NOTA[[#This Row],[QTY]]*NOTA[[#This Row],[HARGA SATUAN]])</f>
        <v/>
      </c>
      <c r="AG518" s="36" t="str">
        <f ca="1">IF(NOTA[[#This Row],[ID_H]]="","",INDEX(NOTA[TANGGAL],MATCH(,INDIRECT(ADDRESS(ROW(NOTA[TANGGAL]),COLUMN(NOTA[TANGGAL]))&amp;":"&amp;ADDRESS(ROW(),COLUMN(NOTA[TANGGAL]))),-1)))</f>
        <v/>
      </c>
      <c r="AH518" s="36" t="str">
        <f ca="1">IF(NOTA[[#This Row],[ID_H]]="","",INDEX(NOTA[TGL.NOTA],MATCH(,INDIRECT(ADDRESS(ROW(NOTA[TGL.NOTA]),COLUMN(NOTA[TGL.NOTA]))&amp;":"&amp;ADDRESS(ROW(),COLUMN(NOTA[TGL.NOTA]))),-1)))</f>
        <v/>
      </c>
      <c r="AI518" s="36" t="str">
        <f ca="1">IF(NOTA[[#This Row],[ID_H]]="","",INDEX(NOTA[NO.NOTA],MATCH(NOTA[[#This Row],[ID_H]],NOTA[ID_H],0)))</f>
        <v/>
      </c>
      <c r="AJ518" s="38" t="str">
        <f ca="1">IF(NOTA[[#This Row],[NAMA BARANG]]="","",INDEX(NOTA[SUPPLIER],MATCH(,INDIRECT(ADDRESS(ROW(NOTA[ID]),COLUMN(NOTA[ID]))&amp;":"&amp;ADDRESS(ROW(),COLUMN(NOTA[ID]))),-1)))</f>
        <v/>
      </c>
      <c r="AK518" s="38" t="str">
        <f ca="1">IF(NOTA[[#This Row],[ID_H]]="","",IF(NOTA[[#This Row],[FAKTUR]]="",INDIRECT(ADDRESS(ROW()-1,COLUMN())),NOTA[[#This Row],[FAKTUR]]))</f>
        <v/>
      </c>
      <c r="AL518" s="35" t="str">
        <f ca="1">IF(NOTA[[#This Row],[ID]]="","",COUNTIF(NOTA[ID_H],NOTA[[#This Row],[ID_H]]))</f>
        <v/>
      </c>
      <c r="AM518" s="35" t="str">
        <f ca="1">IF(NOTA[[#This Row],[TGL.NOTA]]="",IF(NOTA[[#This Row],[SUPPLIER_H]]="","",AM517),MONTH(NOTA[[#This Row],[TGL.NOTA]]))</f>
        <v/>
      </c>
      <c r="AN5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8" s="35" t="str">
        <f>IF(NOTA[[#This Row],[CONCAT1]]="","",MATCH(NOTA[[#This Row],[CONCAT1]],[3]!db[NB NOTA_C],0))</f>
        <v/>
      </c>
      <c r="AS518" s="35" t="str">
        <f>IF(NOTA[[#This Row],[Column5]]="","",TRUE)</f>
        <v/>
      </c>
      <c r="AT518" s="35" t="str">
        <f ca="1">IF(NOTA[[#This Row],[ID_H]]="","",IF(NOTA[[#This Row],[Column3]]=TRUE,NOTA[[#This Row],[Column5]],INDEX([3]!db[QTY/ CTN],NOTA[[#This Row],[//DB]])))</f>
        <v/>
      </c>
      <c r="AU5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8" s="35" t="str">
        <f ca="1">IF(NOTA[[#This Row],[ID_H]]="","",MATCH(NOTA[[#This Row],[NB NOTA_C_QTY]],[3]!db[NB NOTA_C_QTY+F],0))</f>
        <v/>
      </c>
      <c r="AW518" s="43" t="str">
        <f ca="1">IF(NOTA[[#This Row],[NB NOTA_C_QTY]]="","",ROW()-2)</f>
        <v/>
      </c>
    </row>
    <row r="519" spans="1:49" ht="20.100000000000001" customHeight="1">
      <c r="A5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5" t="str">
        <f ca="1">IF(NOTA[[#This Row],[NAMA BARANG]]="","",INDEX(NOTA[ID],MATCH(,INDIRECT(ADDRESS(ROW(NOTA[ID]),COLUMN(NOTA[ID]))&amp;":"&amp;ADDRESS(ROW(),COLUMN(NOTA[ID]))),-1)))</f>
        <v/>
      </c>
      <c r="C519" s="45"/>
      <c r="F519" s="46"/>
      <c r="G519" s="35"/>
      <c r="H519" s="36"/>
      <c r="I519" s="35"/>
      <c r="K519" s="37"/>
      <c r="L519" s="35"/>
      <c r="N519" s="38"/>
      <c r="O519" s="39"/>
      <c r="P519" s="47"/>
      <c r="Q519" s="48"/>
      <c r="R519" s="41"/>
      <c r="T519" s="42"/>
      <c r="U519" s="44"/>
      <c r="V519" s="42" t="str">
        <f>IF(NOTA[[#This Row],[HARGA/ CTN]]="",NOTA[[#This Row],[JUMLAH_H]],NOTA[[#This Row],[HARGA/ CTN]]*IF(NOTA[[#This Row],[C]]="",0,NOTA[[#This Row],[C]]))</f>
        <v/>
      </c>
      <c r="W519" s="42" t="str">
        <f>IF(NOTA[[#This Row],[JUMLAH]]="","",NOTA[[#This Row],[JUMLAH]]*NOTA[[#This Row],[Column6]])</f>
        <v/>
      </c>
      <c r="X519" s="42" t="str">
        <f>IF(NOTA[[#This Row],[JUMLAH]]="","",(NOTA[[#This Row],[JUMLAH]]-NOTA[[#This Row],[DISC 1-]])*NOTA[[#This Row],[Column7]])</f>
        <v/>
      </c>
      <c r="Y519" s="42" t="str">
        <f>IF(NOTA[[#This Row],[JUMLAH]]="","",(NOTA[[#This Row],[JUMLAH]]-NOTA[[#This Row],[DISC 1-]]-NOTA[[#This Row],[DISC 2-]])*NOTA[[#This Row],[Column8]])</f>
        <v/>
      </c>
      <c r="Z519" s="42" t="str">
        <f>IF(NOTA[[#This Row],[JUMLAH]]="","",NOTA[[#This Row],[DISC 1-]]+NOTA[[#This Row],[DISC 2-]]+NOTA[[#This Row],[DISC 3-]])</f>
        <v/>
      </c>
      <c r="AA519" s="42" t="str">
        <f>IF(NOTA[[#This Row],[JUMLAH]]="","",NOTA[[#This Row],[JUMLAH]]-NOTA[[#This Row],[DISC]])</f>
        <v/>
      </c>
      <c r="AB519" s="42"/>
      <c r="AC5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42" t="str">
        <f>IF(OR(NOTA[[#This Row],[QTY]]="",NOTA[[#This Row],[HARGA SATUAN]]="",),"",NOTA[[#This Row],[QTY]]*NOTA[[#This Row],[HARGA SATUAN]])</f>
        <v/>
      </c>
      <c r="AG519" s="36" t="str">
        <f ca="1">IF(NOTA[[#This Row],[ID_H]]="","",INDEX(NOTA[TANGGAL],MATCH(,INDIRECT(ADDRESS(ROW(NOTA[TANGGAL]),COLUMN(NOTA[TANGGAL]))&amp;":"&amp;ADDRESS(ROW(),COLUMN(NOTA[TANGGAL]))),-1)))</f>
        <v/>
      </c>
      <c r="AH519" s="36" t="str">
        <f ca="1">IF(NOTA[[#This Row],[ID_H]]="","",INDEX(NOTA[TGL.NOTA],MATCH(,INDIRECT(ADDRESS(ROW(NOTA[TGL.NOTA]),COLUMN(NOTA[TGL.NOTA]))&amp;":"&amp;ADDRESS(ROW(),COLUMN(NOTA[TGL.NOTA]))),-1)))</f>
        <v/>
      </c>
      <c r="AI519" s="36" t="str">
        <f ca="1">IF(NOTA[[#This Row],[ID_H]]="","",INDEX(NOTA[NO.NOTA],MATCH(NOTA[[#This Row],[ID_H]],NOTA[ID_H],0)))</f>
        <v/>
      </c>
      <c r="AJ519" s="38" t="str">
        <f ca="1">IF(NOTA[[#This Row],[NAMA BARANG]]="","",INDEX(NOTA[SUPPLIER],MATCH(,INDIRECT(ADDRESS(ROW(NOTA[ID]),COLUMN(NOTA[ID]))&amp;":"&amp;ADDRESS(ROW(),COLUMN(NOTA[ID]))),-1)))</f>
        <v/>
      </c>
      <c r="AK519" s="38" t="str">
        <f ca="1">IF(NOTA[[#This Row],[ID_H]]="","",IF(NOTA[[#This Row],[FAKTUR]]="",INDIRECT(ADDRESS(ROW()-1,COLUMN())),NOTA[[#This Row],[FAKTUR]]))</f>
        <v/>
      </c>
      <c r="AL519" s="35" t="str">
        <f ca="1">IF(NOTA[[#This Row],[ID]]="","",COUNTIF(NOTA[ID_H],NOTA[[#This Row],[ID_H]]))</f>
        <v/>
      </c>
      <c r="AM519" s="35" t="str">
        <f ca="1">IF(NOTA[[#This Row],[TGL.NOTA]]="",IF(NOTA[[#This Row],[SUPPLIER_H]]="","",AM518),MONTH(NOTA[[#This Row],[TGL.NOTA]]))</f>
        <v/>
      </c>
      <c r="AN5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9" s="35" t="str">
        <f>IF(NOTA[[#This Row],[CONCAT1]]="","",MATCH(NOTA[[#This Row],[CONCAT1]],[3]!db[NB NOTA_C],0))</f>
        <v/>
      </c>
      <c r="AS519" s="35" t="str">
        <f>IF(NOTA[[#This Row],[Column5]]="","",TRUE)</f>
        <v/>
      </c>
      <c r="AT519" s="35" t="str">
        <f ca="1">IF(NOTA[[#This Row],[ID_H]]="","",IF(NOTA[[#This Row],[Column3]]=TRUE,NOTA[[#This Row],[Column5]],INDEX([3]!db[QTY/ CTN],NOTA[[#This Row],[//DB]])))</f>
        <v/>
      </c>
      <c r="AU5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19" s="35" t="str">
        <f ca="1">IF(NOTA[[#This Row],[ID_H]]="","",MATCH(NOTA[[#This Row],[NB NOTA_C_QTY]],[3]!db[NB NOTA_C_QTY+F],0))</f>
        <v/>
      </c>
      <c r="AW519" s="43" t="str">
        <f ca="1">IF(NOTA[[#This Row],[NB NOTA_C_QTY]]="","",ROW()-2)</f>
        <v/>
      </c>
    </row>
    <row r="520" spans="1:49" ht="20.100000000000001" customHeight="1">
      <c r="A5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5" t="str">
        <f ca="1">IF(NOTA[[#This Row],[NAMA BARANG]]="","",INDEX(NOTA[ID],MATCH(,INDIRECT(ADDRESS(ROW(NOTA[ID]),COLUMN(NOTA[ID]))&amp;":"&amp;ADDRESS(ROW(),COLUMN(NOTA[ID]))),-1)))</f>
        <v/>
      </c>
      <c r="C520" s="45"/>
      <c r="F520" s="46"/>
      <c r="G520" s="35"/>
      <c r="H520" s="36"/>
      <c r="I520" s="35"/>
      <c r="K520" s="37"/>
      <c r="L520" s="35"/>
      <c r="N520" s="38"/>
      <c r="O520" s="39"/>
      <c r="P520" s="47"/>
      <c r="Q520" s="48"/>
      <c r="R520" s="41"/>
      <c r="T520" s="42"/>
      <c r="U520" s="44"/>
      <c r="V520" s="42" t="str">
        <f>IF(NOTA[[#This Row],[HARGA/ CTN]]="",NOTA[[#This Row],[JUMLAH_H]],NOTA[[#This Row],[HARGA/ CTN]]*IF(NOTA[[#This Row],[C]]="",0,NOTA[[#This Row],[C]]))</f>
        <v/>
      </c>
      <c r="W520" s="42" t="str">
        <f>IF(NOTA[[#This Row],[JUMLAH]]="","",NOTA[[#This Row],[JUMLAH]]*NOTA[[#This Row],[Column6]])</f>
        <v/>
      </c>
      <c r="X520" s="42" t="str">
        <f>IF(NOTA[[#This Row],[JUMLAH]]="","",(NOTA[[#This Row],[JUMLAH]]-NOTA[[#This Row],[DISC 1-]])*NOTA[[#This Row],[Column7]])</f>
        <v/>
      </c>
      <c r="Y520" s="42" t="str">
        <f>IF(NOTA[[#This Row],[JUMLAH]]="","",(NOTA[[#This Row],[JUMLAH]]-NOTA[[#This Row],[DISC 1-]]-NOTA[[#This Row],[DISC 2-]])*NOTA[[#This Row],[Column8]])</f>
        <v/>
      </c>
      <c r="Z520" s="42" t="str">
        <f>IF(NOTA[[#This Row],[JUMLAH]]="","",NOTA[[#This Row],[DISC 1-]]+NOTA[[#This Row],[DISC 2-]]+NOTA[[#This Row],[DISC 3-]])</f>
        <v/>
      </c>
      <c r="AA520" s="42" t="str">
        <f>IF(NOTA[[#This Row],[JUMLAH]]="","",NOTA[[#This Row],[JUMLAH]]-NOTA[[#This Row],[DISC]])</f>
        <v/>
      </c>
      <c r="AB520" s="42"/>
      <c r="AC5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42" t="str">
        <f>IF(OR(NOTA[[#This Row],[QTY]]="",NOTA[[#This Row],[HARGA SATUAN]]="",),"",NOTA[[#This Row],[QTY]]*NOTA[[#This Row],[HARGA SATUAN]])</f>
        <v/>
      </c>
      <c r="AG520" s="36" t="str">
        <f ca="1">IF(NOTA[[#This Row],[ID_H]]="","",INDEX(NOTA[TANGGAL],MATCH(,INDIRECT(ADDRESS(ROW(NOTA[TANGGAL]),COLUMN(NOTA[TANGGAL]))&amp;":"&amp;ADDRESS(ROW(),COLUMN(NOTA[TANGGAL]))),-1)))</f>
        <v/>
      </c>
      <c r="AH520" s="36" t="str">
        <f ca="1">IF(NOTA[[#This Row],[ID_H]]="","",INDEX(NOTA[TGL.NOTA],MATCH(,INDIRECT(ADDRESS(ROW(NOTA[TGL.NOTA]),COLUMN(NOTA[TGL.NOTA]))&amp;":"&amp;ADDRESS(ROW(),COLUMN(NOTA[TGL.NOTA]))),-1)))</f>
        <v/>
      </c>
      <c r="AI520" s="36" t="str">
        <f ca="1">IF(NOTA[[#This Row],[ID_H]]="","",INDEX(NOTA[NO.NOTA],MATCH(NOTA[[#This Row],[ID_H]],NOTA[ID_H],0)))</f>
        <v/>
      </c>
      <c r="AJ520" s="38" t="str">
        <f ca="1">IF(NOTA[[#This Row],[NAMA BARANG]]="","",INDEX(NOTA[SUPPLIER],MATCH(,INDIRECT(ADDRESS(ROW(NOTA[ID]),COLUMN(NOTA[ID]))&amp;":"&amp;ADDRESS(ROW(),COLUMN(NOTA[ID]))),-1)))</f>
        <v/>
      </c>
      <c r="AK520" s="38" t="str">
        <f ca="1">IF(NOTA[[#This Row],[ID_H]]="","",IF(NOTA[[#This Row],[FAKTUR]]="",INDIRECT(ADDRESS(ROW()-1,COLUMN())),NOTA[[#This Row],[FAKTUR]]))</f>
        <v/>
      </c>
      <c r="AL520" s="35" t="str">
        <f ca="1">IF(NOTA[[#This Row],[ID]]="","",COUNTIF(NOTA[ID_H],NOTA[[#This Row],[ID_H]]))</f>
        <v/>
      </c>
      <c r="AM520" s="35" t="str">
        <f ca="1">IF(NOTA[[#This Row],[TGL.NOTA]]="",IF(NOTA[[#This Row],[SUPPLIER_H]]="","",AM519),MONTH(NOTA[[#This Row],[TGL.NOTA]]))</f>
        <v/>
      </c>
      <c r="AN5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0" s="35" t="str">
        <f>IF(NOTA[[#This Row],[CONCAT1]]="","",MATCH(NOTA[[#This Row],[CONCAT1]],[3]!db[NB NOTA_C],0))</f>
        <v/>
      </c>
      <c r="AS520" s="35" t="str">
        <f>IF(NOTA[[#This Row],[Column5]]="","",TRUE)</f>
        <v/>
      </c>
      <c r="AT520" s="35" t="str">
        <f ca="1">IF(NOTA[[#This Row],[ID_H]]="","",IF(NOTA[[#This Row],[Column3]]=TRUE,NOTA[[#This Row],[Column5]],INDEX([3]!db[QTY/ CTN],NOTA[[#This Row],[//DB]])))</f>
        <v/>
      </c>
      <c r="AU5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0" s="35" t="str">
        <f ca="1">IF(NOTA[[#This Row],[ID_H]]="","",MATCH(NOTA[[#This Row],[NB NOTA_C_QTY]],[3]!db[NB NOTA_C_QTY+F],0))</f>
        <v/>
      </c>
      <c r="AW520" s="43" t="str">
        <f ca="1">IF(NOTA[[#This Row],[NB NOTA_C_QTY]]="","",ROW()-2)</f>
        <v/>
      </c>
    </row>
    <row r="521" spans="1:49" ht="20.100000000000001" customHeight="1">
      <c r="A5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5" t="str">
        <f ca="1">IF(NOTA[[#This Row],[NAMA BARANG]]="","",INDEX(NOTA[ID],MATCH(,INDIRECT(ADDRESS(ROW(NOTA[ID]),COLUMN(NOTA[ID]))&amp;":"&amp;ADDRESS(ROW(),COLUMN(NOTA[ID]))),-1)))</f>
        <v/>
      </c>
      <c r="C521" s="45"/>
      <c r="F521" s="46"/>
      <c r="G521" s="35"/>
      <c r="H521" s="36"/>
      <c r="I521" s="35"/>
      <c r="K521" s="37"/>
      <c r="L521" s="35"/>
      <c r="N521" s="38"/>
      <c r="O521" s="39"/>
      <c r="P521" s="47"/>
      <c r="Q521" s="48"/>
      <c r="R521" s="41"/>
      <c r="T521" s="42"/>
      <c r="U521" s="44"/>
      <c r="V521" s="42" t="str">
        <f>IF(NOTA[[#This Row],[HARGA/ CTN]]="",NOTA[[#This Row],[JUMLAH_H]],NOTA[[#This Row],[HARGA/ CTN]]*IF(NOTA[[#This Row],[C]]="",0,NOTA[[#This Row],[C]]))</f>
        <v/>
      </c>
      <c r="W521" s="42" t="str">
        <f>IF(NOTA[[#This Row],[JUMLAH]]="","",NOTA[[#This Row],[JUMLAH]]*NOTA[[#This Row],[Column6]])</f>
        <v/>
      </c>
      <c r="X521" s="42" t="str">
        <f>IF(NOTA[[#This Row],[JUMLAH]]="","",(NOTA[[#This Row],[JUMLAH]]-NOTA[[#This Row],[DISC 1-]])*NOTA[[#This Row],[Column7]])</f>
        <v/>
      </c>
      <c r="Y521" s="42" t="str">
        <f>IF(NOTA[[#This Row],[JUMLAH]]="","",(NOTA[[#This Row],[JUMLAH]]-NOTA[[#This Row],[DISC 1-]]-NOTA[[#This Row],[DISC 2-]])*NOTA[[#This Row],[Column8]])</f>
        <v/>
      </c>
      <c r="Z521" s="42" t="str">
        <f>IF(NOTA[[#This Row],[JUMLAH]]="","",NOTA[[#This Row],[DISC 1-]]+NOTA[[#This Row],[DISC 2-]]+NOTA[[#This Row],[DISC 3-]])</f>
        <v/>
      </c>
      <c r="AA521" s="42" t="str">
        <f>IF(NOTA[[#This Row],[JUMLAH]]="","",NOTA[[#This Row],[JUMLAH]]-NOTA[[#This Row],[DISC]])</f>
        <v/>
      </c>
      <c r="AB521" s="42"/>
      <c r="AC5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42" t="str">
        <f>IF(OR(NOTA[[#This Row],[QTY]]="",NOTA[[#This Row],[HARGA SATUAN]]="",),"",NOTA[[#This Row],[QTY]]*NOTA[[#This Row],[HARGA SATUAN]])</f>
        <v/>
      </c>
      <c r="AG521" s="36" t="str">
        <f ca="1">IF(NOTA[[#This Row],[ID_H]]="","",INDEX(NOTA[TANGGAL],MATCH(,INDIRECT(ADDRESS(ROW(NOTA[TANGGAL]),COLUMN(NOTA[TANGGAL]))&amp;":"&amp;ADDRESS(ROW(),COLUMN(NOTA[TANGGAL]))),-1)))</f>
        <v/>
      </c>
      <c r="AH521" s="36" t="str">
        <f ca="1">IF(NOTA[[#This Row],[ID_H]]="","",INDEX(NOTA[TGL.NOTA],MATCH(,INDIRECT(ADDRESS(ROW(NOTA[TGL.NOTA]),COLUMN(NOTA[TGL.NOTA]))&amp;":"&amp;ADDRESS(ROW(),COLUMN(NOTA[TGL.NOTA]))),-1)))</f>
        <v/>
      </c>
      <c r="AI521" s="36" t="str">
        <f ca="1">IF(NOTA[[#This Row],[ID_H]]="","",INDEX(NOTA[NO.NOTA],MATCH(NOTA[[#This Row],[ID_H]],NOTA[ID_H],0)))</f>
        <v/>
      </c>
      <c r="AJ521" s="38" t="str">
        <f ca="1">IF(NOTA[[#This Row],[NAMA BARANG]]="","",INDEX(NOTA[SUPPLIER],MATCH(,INDIRECT(ADDRESS(ROW(NOTA[ID]),COLUMN(NOTA[ID]))&amp;":"&amp;ADDRESS(ROW(),COLUMN(NOTA[ID]))),-1)))</f>
        <v/>
      </c>
      <c r="AK521" s="38" t="str">
        <f ca="1">IF(NOTA[[#This Row],[ID_H]]="","",IF(NOTA[[#This Row],[FAKTUR]]="",INDIRECT(ADDRESS(ROW()-1,COLUMN())),NOTA[[#This Row],[FAKTUR]]))</f>
        <v/>
      </c>
      <c r="AL521" s="35" t="str">
        <f ca="1">IF(NOTA[[#This Row],[ID]]="","",COUNTIF(NOTA[ID_H],NOTA[[#This Row],[ID_H]]))</f>
        <v/>
      </c>
      <c r="AM521" s="35" t="str">
        <f ca="1">IF(NOTA[[#This Row],[TGL.NOTA]]="",IF(NOTA[[#This Row],[SUPPLIER_H]]="","",AM520),MONTH(NOTA[[#This Row],[TGL.NOTA]]))</f>
        <v/>
      </c>
      <c r="AN5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1" s="35" t="str">
        <f>IF(NOTA[[#This Row],[CONCAT1]]="","",MATCH(NOTA[[#This Row],[CONCAT1]],[3]!db[NB NOTA_C],0))</f>
        <v/>
      </c>
      <c r="AS521" s="35" t="str">
        <f>IF(NOTA[[#This Row],[Column5]]="","",TRUE)</f>
        <v/>
      </c>
      <c r="AT521" s="35" t="str">
        <f ca="1">IF(NOTA[[#This Row],[ID_H]]="","",IF(NOTA[[#This Row],[Column3]]=TRUE,NOTA[[#This Row],[Column5]],INDEX([3]!db[QTY/ CTN],NOTA[[#This Row],[//DB]])))</f>
        <v/>
      </c>
      <c r="AU5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1" s="35" t="str">
        <f ca="1">IF(NOTA[[#This Row],[ID_H]]="","",MATCH(NOTA[[#This Row],[NB NOTA_C_QTY]],[3]!db[NB NOTA_C_QTY+F],0))</f>
        <v/>
      </c>
      <c r="AW521" s="43" t="str">
        <f ca="1">IF(NOTA[[#This Row],[NB NOTA_C_QTY]]="","",ROW()-2)</f>
        <v/>
      </c>
    </row>
    <row r="522" spans="1:49" ht="20.100000000000001" customHeight="1">
      <c r="A5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5" t="str">
        <f ca="1">IF(NOTA[[#This Row],[NAMA BARANG]]="","",INDEX(NOTA[ID],MATCH(,INDIRECT(ADDRESS(ROW(NOTA[ID]),COLUMN(NOTA[ID]))&amp;":"&amp;ADDRESS(ROW(),COLUMN(NOTA[ID]))),-1)))</f>
        <v/>
      </c>
      <c r="C522" s="45"/>
      <c r="F522" s="46"/>
      <c r="G522" s="35"/>
      <c r="H522" s="36"/>
      <c r="I522" s="35"/>
      <c r="K522" s="37"/>
      <c r="L522" s="35"/>
      <c r="N522" s="38"/>
      <c r="O522" s="39"/>
      <c r="P522" s="47"/>
      <c r="Q522" s="48"/>
      <c r="R522" s="41"/>
      <c r="T522" s="42"/>
      <c r="U522" s="44"/>
      <c r="V522" s="42" t="str">
        <f>IF(NOTA[[#This Row],[HARGA/ CTN]]="",NOTA[[#This Row],[JUMLAH_H]],NOTA[[#This Row],[HARGA/ CTN]]*IF(NOTA[[#This Row],[C]]="",0,NOTA[[#This Row],[C]]))</f>
        <v/>
      </c>
      <c r="W522" s="42" t="str">
        <f>IF(NOTA[[#This Row],[JUMLAH]]="","",NOTA[[#This Row],[JUMLAH]]*NOTA[[#This Row],[Column6]])</f>
        <v/>
      </c>
      <c r="X522" s="42" t="str">
        <f>IF(NOTA[[#This Row],[JUMLAH]]="","",(NOTA[[#This Row],[JUMLAH]]-NOTA[[#This Row],[DISC 1-]])*NOTA[[#This Row],[Column7]])</f>
        <v/>
      </c>
      <c r="Y522" s="42" t="str">
        <f>IF(NOTA[[#This Row],[JUMLAH]]="","",(NOTA[[#This Row],[JUMLAH]]-NOTA[[#This Row],[DISC 1-]]-NOTA[[#This Row],[DISC 2-]])*NOTA[[#This Row],[Column8]])</f>
        <v/>
      </c>
      <c r="Z522" s="42" t="str">
        <f>IF(NOTA[[#This Row],[JUMLAH]]="","",NOTA[[#This Row],[DISC 1-]]+NOTA[[#This Row],[DISC 2-]]+NOTA[[#This Row],[DISC 3-]])</f>
        <v/>
      </c>
      <c r="AA522" s="42" t="str">
        <f>IF(NOTA[[#This Row],[JUMLAH]]="","",NOTA[[#This Row],[JUMLAH]]-NOTA[[#This Row],[DISC]])</f>
        <v/>
      </c>
      <c r="AB522" s="42"/>
      <c r="AC5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42" t="str">
        <f>IF(OR(NOTA[[#This Row],[QTY]]="",NOTA[[#This Row],[HARGA SATUAN]]="",),"",NOTA[[#This Row],[QTY]]*NOTA[[#This Row],[HARGA SATUAN]])</f>
        <v/>
      </c>
      <c r="AG522" s="36" t="str">
        <f ca="1">IF(NOTA[[#This Row],[ID_H]]="","",INDEX(NOTA[TANGGAL],MATCH(,INDIRECT(ADDRESS(ROW(NOTA[TANGGAL]),COLUMN(NOTA[TANGGAL]))&amp;":"&amp;ADDRESS(ROW(),COLUMN(NOTA[TANGGAL]))),-1)))</f>
        <v/>
      </c>
      <c r="AH522" s="36" t="str">
        <f ca="1">IF(NOTA[[#This Row],[ID_H]]="","",INDEX(NOTA[TGL.NOTA],MATCH(,INDIRECT(ADDRESS(ROW(NOTA[TGL.NOTA]),COLUMN(NOTA[TGL.NOTA]))&amp;":"&amp;ADDRESS(ROW(),COLUMN(NOTA[TGL.NOTA]))),-1)))</f>
        <v/>
      </c>
      <c r="AI522" s="36" t="str">
        <f ca="1">IF(NOTA[[#This Row],[ID_H]]="","",INDEX(NOTA[NO.NOTA],MATCH(NOTA[[#This Row],[ID_H]],NOTA[ID_H],0)))</f>
        <v/>
      </c>
      <c r="AJ522" s="38" t="str">
        <f ca="1">IF(NOTA[[#This Row],[NAMA BARANG]]="","",INDEX(NOTA[SUPPLIER],MATCH(,INDIRECT(ADDRESS(ROW(NOTA[ID]),COLUMN(NOTA[ID]))&amp;":"&amp;ADDRESS(ROW(),COLUMN(NOTA[ID]))),-1)))</f>
        <v/>
      </c>
      <c r="AK522" s="38" t="str">
        <f ca="1">IF(NOTA[[#This Row],[ID_H]]="","",IF(NOTA[[#This Row],[FAKTUR]]="",INDIRECT(ADDRESS(ROW()-1,COLUMN())),NOTA[[#This Row],[FAKTUR]]))</f>
        <v/>
      </c>
      <c r="AL522" s="35" t="str">
        <f ca="1">IF(NOTA[[#This Row],[ID]]="","",COUNTIF(NOTA[ID_H],NOTA[[#This Row],[ID_H]]))</f>
        <v/>
      </c>
      <c r="AM522" s="35" t="str">
        <f ca="1">IF(NOTA[[#This Row],[TGL.NOTA]]="",IF(NOTA[[#This Row],[SUPPLIER_H]]="","",AM521),MONTH(NOTA[[#This Row],[TGL.NOTA]]))</f>
        <v/>
      </c>
      <c r="AN5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2" s="35" t="str">
        <f>IF(NOTA[[#This Row],[CONCAT1]]="","",MATCH(NOTA[[#This Row],[CONCAT1]],[3]!db[NB NOTA_C],0))</f>
        <v/>
      </c>
      <c r="AS522" s="35" t="str">
        <f>IF(NOTA[[#This Row],[Column5]]="","",TRUE)</f>
        <v/>
      </c>
      <c r="AT522" s="35" t="str">
        <f ca="1">IF(NOTA[[#This Row],[ID_H]]="","",IF(NOTA[[#This Row],[Column3]]=TRUE,NOTA[[#This Row],[Column5]],INDEX([3]!db[QTY/ CTN],NOTA[[#This Row],[//DB]])))</f>
        <v/>
      </c>
      <c r="AU5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2" s="35" t="str">
        <f ca="1">IF(NOTA[[#This Row],[ID_H]]="","",MATCH(NOTA[[#This Row],[NB NOTA_C_QTY]],[3]!db[NB NOTA_C_QTY+F],0))</f>
        <v/>
      </c>
      <c r="AW522" s="43" t="str">
        <f ca="1">IF(NOTA[[#This Row],[NB NOTA_C_QTY]]="","",ROW()-2)</f>
        <v/>
      </c>
    </row>
    <row r="523" spans="1:49" ht="20.100000000000001" customHeight="1">
      <c r="A5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5" t="str">
        <f ca="1">IF(NOTA[[#This Row],[NAMA BARANG]]="","",INDEX(NOTA[ID],MATCH(,INDIRECT(ADDRESS(ROW(NOTA[ID]),COLUMN(NOTA[ID]))&amp;":"&amp;ADDRESS(ROW(),COLUMN(NOTA[ID]))),-1)))</f>
        <v/>
      </c>
      <c r="C523" s="45"/>
      <c r="F523" s="46"/>
      <c r="G523" s="35"/>
      <c r="H523" s="36"/>
      <c r="I523" s="35"/>
      <c r="K523" s="37"/>
      <c r="L523" s="35"/>
      <c r="N523" s="38"/>
      <c r="O523" s="39"/>
      <c r="P523" s="47"/>
      <c r="Q523" s="48"/>
      <c r="R523" s="41"/>
      <c r="T523" s="42"/>
      <c r="U523" s="44"/>
      <c r="V523" s="42" t="str">
        <f>IF(NOTA[[#This Row],[HARGA/ CTN]]="",NOTA[[#This Row],[JUMLAH_H]],NOTA[[#This Row],[HARGA/ CTN]]*IF(NOTA[[#This Row],[C]]="",0,NOTA[[#This Row],[C]]))</f>
        <v/>
      </c>
      <c r="W523" s="42" t="str">
        <f>IF(NOTA[[#This Row],[JUMLAH]]="","",NOTA[[#This Row],[JUMLAH]]*NOTA[[#This Row],[Column6]])</f>
        <v/>
      </c>
      <c r="X523" s="42" t="str">
        <f>IF(NOTA[[#This Row],[JUMLAH]]="","",(NOTA[[#This Row],[JUMLAH]]-NOTA[[#This Row],[DISC 1-]])*NOTA[[#This Row],[Column7]])</f>
        <v/>
      </c>
      <c r="Y523" s="42" t="str">
        <f>IF(NOTA[[#This Row],[JUMLAH]]="","",(NOTA[[#This Row],[JUMLAH]]-NOTA[[#This Row],[DISC 1-]]-NOTA[[#This Row],[DISC 2-]])*NOTA[[#This Row],[Column8]])</f>
        <v/>
      </c>
      <c r="Z523" s="42" t="str">
        <f>IF(NOTA[[#This Row],[JUMLAH]]="","",NOTA[[#This Row],[DISC 1-]]+NOTA[[#This Row],[DISC 2-]]+NOTA[[#This Row],[DISC 3-]])</f>
        <v/>
      </c>
      <c r="AA523" s="42" t="str">
        <f>IF(NOTA[[#This Row],[JUMLAH]]="","",NOTA[[#This Row],[JUMLAH]]-NOTA[[#This Row],[DISC]])</f>
        <v/>
      </c>
      <c r="AB523" s="42"/>
      <c r="AC5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42" t="str">
        <f>IF(OR(NOTA[[#This Row],[QTY]]="",NOTA[[#This Row],[HARGA SATUAN]]="",),"",NOTA[[#This Row],[QTY]]*NOTA[[#This Row],[HARGA SATUAN]])</f>
        <v/>
      </c>
      <c r="AG523" s="36" t="str">
        <f ca="1">IF(NOTA[[#This Row],[ID_H]]="","",INDEX(NOTA[TANGGAL],MATCH(,INDIRECT(ADDRESS(ROW(NOTA[TANGGAL]),COLUMN(NOTA[TANGGAL]))&amp;":"&amp;ADDRESS(ROW(),COLUMN(NOTA[TANGGAL]))),-1)))</f>
        <v/>
      </c>
      <c r="AH523" s="36" t="str">
        <f ca="1">IF(NOTA[[#This Row],[ID_H]]="","",INDEX(NOTA[TGL.NOTA],MATCH(,INDIRECT(ADDRESS(ROW(NOTA[TGL.NOTA]),COLUMN(NOTA[TGL.NOTA]))&amp;":"&amp;ADDRESS(ROW(),COLUMN(NOTA[TGL.NOTA]))),-1)))</f>
        <v/>
      </c>
      <c r="AI523" s="36" t="str">
        <f ca="1">IF(NOTA[[#This Row],[ID_H]]="","",INDEX(NOTA[NO.NOTA],MATCH(NOTA[[#This Row],[ID_H]],NOTA[ID_H],0)))</f>
        <v/>
      </c>
      <c r="AJ523" s="38" t="str">
        <f ca="1">IF(NOTA[[#This Row],[NAMA BARANG]]="","",INDEX(NOTA[SUPPLIER],MATCH(,INDIRECT(ADDRESS(ROW(NOTA[ID]),COLUMN(NOTA[ID]))&amp;":"&amp;ADDRESS(ROW(),COLUMN(NOTA[ID]))),-1)))</f>
        <v/>
      </c>
      <c r="AK523" s="38" t="str">
        <f ca="1">IF(NOTA[[#This Row],[ID_H]]="","",IF(NOTA[[#This Row],[FAKTUR]]="",INDIRECT(ADDRESS(ROW()-1,COLUMN())),NOTA[[#This Row],[FAKTUR]]))</f>
        <v/>
      </c>
      <c r="AL523" s="35" t="str">
        <f ca="1">IF(NOTA[[#This Row],[ID]]="","",COUNTIF(NOTA[ID_H],NOTA[[#This Row],[ID_H]]))</f>
        <v/>
      </c>
      <c r="AM523" s="35" t="str">
        <f ca="1">IF(NOTA[[#This Row],[TGL.NOTA]]="",IF(NOTA[[#This Row],[SUPPLIER_H]]="","",AM522),MONTH(NOTA[[#This Row],[TGL.NOTA]]))</f>
        <v/>
      </c>
      <c r="AN5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3" s="35" t="str">
        <f>IF(NOTA[[#This Row],[CONCAT1]]="","",MATCH(NOTA[[#This Row],[CONCAT1]],[3]!db[NB NOTA_C],0))</f>
        <v/>
      </c>
      <c r="AS523" s="35" t="str">
        <f>IF(NOTA[[#This Row],[Column5]]="","",TRUE)</f>
        <v/>
      </c>
      <c r="AT523" s="35" t="str">
        <f ca="1">IF(NOTA[[#This Row],[ID_H]]="","",IF(NOTA[[#This Row],[Column3]]=TRUE,NOTA[[#This Row],[Column5]],INDEX([3]!db[QTY/ CTN],NOTA[[#This Row],[//DB]])))</f>
        <v/>
      </c>
      <c r="AU5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3" s="35" t="str">
        <f ca="1">IF(NOTA[[#This Row],[ID_H]]="","",MATCH(NOTA[[#This Row],[NB NOTA_C_QTY]],[3]!db[NB NOTA_C_QTY+F],0))</f>
        <v/>
      </c>
      <c r="AW523" s="43" t="str">
        <f ca="1">IF(NOTA[[#This Row],[NB NOTA_C_QTY]]="","",ROW()-2)</f>
        <v/>
      </c>
    </row>
    <row r="524" spans="1:49" ht="20.100000000000001" customHeight="1">
      <c r="A5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5" t="str">
        <f ca="1">IF(NOTA[[#This Row],[NAMA BARANG]]="","",INDEX(NOTA[ID],MATCH(,INDIRECT(ADDRESS(ROW(NOTA[ID]),COLUMN(NOTA[ID]))&amp;":"&amp;ADDRESS(ROW(),COLUMN(NOTA[ID]))),-1)))</f>
        <v/>
      </c>
      <c r="C524" s="45"/>
      <c r="F524" s="46"/>
      <c r="G524" s="35"/>
      <c r="H524" s="36"/>
      <c r="I524" s="35"/>
      <c r="K524" s="37"/>
      <c r="L524" s="35"/>
      <c r="N524" s="38"/>
      <c r="O524" s="39"/>
      <c r="P524" s="47"/>
      <c r="Q524" s="48"/>
      <c r="R524" s="41"/>
      <c r="T524" s="42"/>
      <c r="U524" s="44"/>
      <c r="V524" s="42" t="str">
        <f>IF(NOTA[[#This Row],[HARGA/ CTN]]="",NOTA[[#This Row],[JUMLAH_H]],NOTA[[#This Row],[HARGA/ CTN]]*IF(NOTA[[#This Row],[C]]="",0,NOTA[[#This Row],[C]]))</f>
        <v/>
      </c>
      <c r="W524" s="42" t="str">
        <f>IF(NOTA[[#This Row],[JUMLAH]]="","",NOTA[[#This Row],[JUMLAH]]*NOTA[[#This Row],[Column6]])</f>
        <v/>
      </c>
      <c r="X524" s="42" t="str">
        <f>IF(NOTA[[#This Row],[JUMLAH]]="","",(NOTA[[#This Row],[JUMLAH]]-NOTA[[#This Row],[DISC 1-]])*NOTA[[#This Row],[Column7]])</f>
        <v/>
      </c>
      <c r="Y524" s="42" t="str">
        <f>IF(NOTA[[#This Row],[JUMLAH]]="","",(NOTA[[#This Row],[JUMLAH]]-NOTA[[#This Row],[DISC 1-]]-NOTA[[#This Row],[DISC 2-]])*NOTA[[#This Row],[Column8]])</f>
        <v/>
      </c>
      <c r="Z524" s="42" t="str">
        <f>IF(NOTA[[#This Row],[JUMLAH]]="","",NOTA[[#This Row],[DISC 1-]]+NOTA[[#This Row],[DISC 2-]]+NOTA[[#This Row],[DISC 3-]])</f>
        <v/>
      </c>
      <c r="AA524" s="42" t="str">
        <f>IF(NOTA[[#This Row],[JUMLAH]]="","",NOTA[[#This Row],[JUMLAH]]-NOTA[[#This Row],[DISC]])</f>
        <v/>
      </c>
      <c r="AB524" s="42"/>
      <c r="AC5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42" t="str">
        <f>IF(OR(NOTA[[#This Row],[QTY]]="",NOTA[[#This Row],[HARGA SATUAN]]="",),"",NOTA[[#This Row],[QTY]]*NOTA[[#This Row],[HARGA SATUAN]])</f>
        <v/>
      </c>
      <c r="AG524" s="36" t="str">
        <f ca="1">IF(NOTA[[#This Row],[ID_H]]="","",INDEX(NOTA[TANGGAL],MATCH(,INDIRECT(ADDRESS(ROW(NOTA[TANGGAL]),COLUMN(NOTA[TANGGAL]))&amp;":"&amp;ADDRESS(ROW(),COLUMN(NOTA[TANGGAL]))),-1)))</f>
        <v/>
      </c>
      <c r="AH524" s="36" t="str">
        <f ca="1">IF(NOTA[[#This Row],[ID_H]]="","",INDEX(NOTA[TGL.NOTA],MATCH(,INDIRECT(ADDRESS(ROW(NOTA[TGL.NOTA]),COLUMN(NOTA[TGL.NOTA]))&amp;":"&amp;ADDRESS(ROW(),COLUMN(NOTA[TGL.NOTA]))),-1)))</f>
        <v/>
      </c>
      <c r="AI524" s="36" t="str">
        <f ca="1">IF(NOTA[[#This Row],[ID_H]]="","",INDEX(NOTA[NO.NOTA],MATCH(NOTA[[#This Row],[ID_H]],NOTA[ID_H],0)))</f>
        <v/>
      </c>
      <c r="AJ524" s="38" t="str">
        <f ca="1">IF(NOTA[[#This Row],[NAMA BARANG]]="","",INDEX(NOTA[SUPPLIER],MATCH(,INDIRECT(ADDRESS(ROW(NOTA[ID]),COLUMN(NOTA[ID]))&amp;":"&amp;ADDRESS(ROW(),COLUMN(NOTA[ID]))),-1)))</f>
        <v/>
      </c>
      <c r="AK524" s="38" t="str">
        <f ca="1">IF(NOTA[[#This Row],[ID_H]]="","",IF(NOTA[[#This Row],[FAKTUR]]="",INDIRECT(ADDRESS(ROW()-1,COLUMN())),NOTA[[#This Row],[FAKTUR]]))</f>
        <v/>
      </c>
      <c r="AL524" s="35" t="str">
        <f ca="1">IF(NOTA[[#This Row],[ID]]="","",COUNTIF(NOTA[ID_H],NOTA[[#This Row],[ID_H]]))</f>
        <v/>
      </c>
      <c r="AM524" s="35" t="str">
        <f ca="1">IF(NOTA[[#This Row],[TGL.NOTA]]="",IF(NOTA[[#This Row],[SUPPLIER_H]]="","",AM523),MONTH(NOTA[[#This Row],[TGL.NOTA]]))</f>
        <v/>
      </c>
      <c r="AN5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4" s="35" t="str">
        <f>IF(NOTA[[#This Row],[CONCAT1]]="","",MATCH(NOTA[[#This Row],[CONCAT1]],[3]!db[NB NOTA_C],0))</f>
        <v/>
      </c>
      <c r="AS524" s="35" t="str">
        <f>IF(NOTA[[#This Row],[Column5]]="","",TRUE)</f>
        <v/>
      </c>
      <c r="AT524" s="35" t="str">
        <f ca="1">IF(NOTA[[#This Row],[ID_H]]="","",IF(NOTA[[#This Row],[Column3]]=TRUE,NOTA[[#This Row],[Column5]],INDEX([3]!db[QTY/ CTN],NOTA[[#This Row],[//DB]])))</f>
        <v/>
      </c>
      <c r="AU5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4" s="35" t="str">
        <f ca="1">IF(NOTA[[#This Row],[ID_H]]="","",MATCH(NOTA[[#This Row],[NB NOTA_C_QTY]],[3]!db[NB NOTA_C_QTY+F],0))</f>
        <v/>
      </c>
      <c r="AW524" s="43" t="str">
        <f ca="1">IF(NOTA[[#This Row],[NB NOTA_C_QTY]]="","",ROW()-2)</f>
        <v/>
      </c>
    </row>
    <row r="525" spans="1:49" ht="20.100000000000001" customHeight="1">
      <c r="A5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5" t="str">
        <f ca="1">IF(NOTA[[#This Row],[NAMA BARANG]]="","",INDEX(NOTA[ID],MATCH(,INDIRECT(ADDRESS(ROW(NOTA[ID]),COLUMN(NOTA[ID]))&amp;":"&amp;ADDRESS(ROW(),COLUMN(NOTA[ID]))),-1)))</f>
        <v/>
      </c>
      <c r="C525" s="45"/>
      <c r="F525" s="46"/>
      <c r="G525" s="35"/>
      <c r="H525" s="36"/>
      <c r="I525" s="35"/>
      <c r="K525" s="37"/>
      <c r="L525" s="35"/>
      <c r="N525" s="38"/>
      <c r="O525" s="39"/>
      <c r="P525" s="47"/>
      <c r="Q525" s="48"/>
      <c r="R525" s="41"/>
      <c r="T525" s="42"/>
      <c r="U525" s="44"/>
      <c r="V525" s="42" t="str">
        <f>IF(NOTA[[#This Row],[HARGA/ CTN]]="",NOTA[[#This Row],[JUMLAH_H]],NOTA[[#This Row],[HARGA/ CTN]]*IF(NOTA[[#This Row],[C]]="",0,NOTA[[#This Row],[C]]))</f>
        <v/>
      </c>
      <c r="W525" s="42" t="str">
        <f>IF(NOTA[[#This Row],[JUMLAH]]="","",NOTA[[#This Row],[JUMLAH]]*NOTA[[#This Row],[Column6]])</f>
        <v/>
      </c>
      <c r="X525" s="42" t="str">
        <f>IF(NOTA[[#This Row],[JUMLAH]]="","",(NOTA[[#This Row],[JUMLAH]]-NOTA[[#This Row],[DISC 1-]])*NOTA[[#This Row],[Column7]])</f>
        <v/>
      </c>
      <c r="Y525" s="42" t="str">
        <f>IF(NOTA[[#This Row],[JUMLAH]]="","",(NOTA[[#This Row],[JUMLAH]]-NOTA[[#This Row],[DISC 1-]]-NOTA[[#This Row],[DISC 2-]])*NOTA[[#This Row],[Column8]])</f>
        <v/>
      </c>
      <c r="Z525" s="42" t="str">
        <f>IF(NOTA[[#This Row],[JUMLAH]]="","",NOTA[[#This Row],[DISC 1-]]+NOTA[[#This Row],[DISC 2-]]+NOTA[[#This Row],[DISC 3-]])</f>
        <v/>
      </c>
      <c r="AA525" s="42" t="str">
        <f>IF(NOTA[[#This Row],[JUMLAH]]="","",NOTA[[#This Row],[JUMLAH]]-NOTA[[#This Row],[DISC]])</f>
        <v/>
      </c>
      <c r="AB525" s="42"/>
      <c r="AC5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42" t="str">
        <f>IF(OR(NOTA[[#This Row],[QTY]]="",NOTA[[#This Row],[HARGA SATUAN]]="",),"",NOTA[[#This Row],[QTY]]*NOTA[[#This Row],[HARGA SATUAN]])</f>
        <v/>
      </c>
      <c r="AG525" s="36" t="str">
        <f ca="1">IF(NOTA[[#This Row],[ID_H]]="","",INDEX(NOTA[TANGGAL],MATCH(,INDIRECT(ADDRESS(ROW(NOTA[TANGGAL]),COLUMN(NOTA[TANGGAL]))&amp;":"&amp;ADDRESS(ROW(),COLUMN(NOTA[TANGGAL]))),-1)))</f>
        <v/>
      </c>
      <c r="AH525" s="36" t="str">
        <f ca="1">IF(NOTA[[#This Row],[ID_H]]="","",INDEX(NOTA[TGL.NOTA],MATCH(,INDIRECT(ADDRESS(ROW(NOTA[TGL.NOTA]),COLUMN(NOTA[TGL.NOTA]))&amp;":"&amp;ADDRESS(ROW(),COLUMN(NOTA[TGL.NOTA]))),-1)))</f>
        <v/>
      </c>
      <c r="AI525" s="36" t="str">
        <f ca="1">IF(NOTA[[#This Row],[ID_H]]="","",INDEX(NOTA[NO.NOTA],MATCH(NOTA[[#This Row],[ID_H]],NOTA[ID_H],0)))</f>
        <v/>
      </c>
      <c r="AJ525" s="38" t="str">
        <f ca="1">IF(NOTA[[#This Row],[NAMA BARANG]]="","",INDEX(NOTA[SUPPLIER],MATCH(,INDIRECT(ADDRESS(ROW(NOTA[ID]),COLUMN(NOTA[ID]))&amp;":"&amp;ADDRESS(ROW(),COLUMN(NOTA[ID]))),-1)))</f>
        <v/>
      </c>
      <c r="AK525" s="38" t="str">
        <f ca="1">IF(NOTA[[#This Row],[ID_H]]="","",IF(NOTA[[#This Row],[FAKTUR]]="",INDIRECT(ADDRESS(ROW()-1,COLUMN())),NOTA[[#This Row],[FAKTUR]]))</f>
        <v/>
      </c>
      <c r="AL525" s="35" t="str">
        <f ca="1">IF(NOTA[[#This Row],[ID]]="","",COUNTIF(NOTA[ID_H],NOTA[[#This Row],[ID_H]]))</f>
        <v/>
      </c>
      <c r="AM525" s="35" t="str">
        <f ca="1">IF(NOTA[[#This Row],[TGL.NOTA]]="",IF(NOTA[[#This Row],[SUPPLIER_H]]="","",AM524),MONTH(NOTA[[#This Row],[TGL.NOTA]]))</f>
        <v/>
      </c>
      <c r="AN5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5" s="35" t="str">
        <f>IF(NOTA[[#This Row],[CONCAT1]]="","",MATCH(NOTA[[#This Row],[CONCAT1]],[3]!db[NB NOTA_C],0))</f>
        <v/>
      </c>
      <c r="AS525" s="35" t="str">
        <f>IF(NOTA[[#This Row],[Column5]]="","",TRUE)</f>
        <v/>
      </c>
      <c r="AT525" s="35" t="str">
        <f ca="1">IF(NOTA[[#This Row],[ID_H]]="","",IF(NOTA[[#This Row],[Column3]]=TRUE,NOTA[[#This Row],[Column5]],INDEX([3]!db[QTY/ CTN],NOTA[[#This Row],[//DB]])))</f>
        <v/>
      </c>
      <c r="AU5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5" s="35" t="str">
        <f ca="1">IF(NOTA[[#This Row],[ID_H]]="","",MATCH(NOTA[[#This Row],[NB NOTA_C_QTY]],[3]!db[NB NOTA_C_QTY+F],0))</f>
        <v/>
      </c>
      <c r="AW525" s="43" t="str">
        <f ca="1">IF(NOTA[[#This Row],[NB NOTA_C_QTY]]="","",ROW()-2)</f>
        <v/>
      </c>
    </row>
    <row r="526" spans="1:49" ht="20.100000000000001" customHeight="1">
      <c r="A5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5" t="str">
        <f ca="1">IF(NOTA[[#This Row],[NAMA BARANG]]="","",INDEX(NOTA[ID],MATCH(,INDIRECT(ADDRESS(ROW(NOTA[ID]),COLUMN(NOTA[ID]))&amp;":"&amp;ADDRESS(ROW(),COLUMN(NOTA[ID]))),-1)))</f>
        <v/>
      </c>
      <c r="C526" s="45"/>
      <c r="F526" s="46"/>
      <c r="G526" s="35"/>
      <c r="H526" s="36"/>
      <c r="I526" s="35"/>
      <c r="K526" s="37"/>
      <c r="L526" s="35"/>
      <c r="N526" s="38"/>
      <c r="O526" s="39"/>
      <c r="P526" s="47"/>
      <c r="Q526" s="48"/>
      <c r="R526" s="41"/>
      <c r="T526" s="42"/>
      <c r="U526" s="44"/>
      <c r="V526" s="42" t="str">
        <f>IF(NOTA[[#This Row],[HARGA/ CTN]]="",NOTA[[#This Row],[JUMLAH_H]],NOTA[[#This Row],[HARGA/ CTN]]*IF(NOTA[[#This Row],[C]]="",0,NOTA[[#This Row],[C]]))</f>
        <v/>
      </c>
      <c r="W526" s="42" t="str">
        <f>IF(NOTA[[#This Row],[JUMLAH]]="","",NOTA[[#This Row],[JUMLAH]]*NOTA[[#This Row],[Column6]])</f>
        <v/>
      </c>
      <c r="X526" s="42" t="str">
        <f>IF(NOTA[[#This Row],[JUMLAH]]="","",(NOTA[[#This Row],[JUMLAH]]-NOTA[[#This Row],[DISC 1-]])*NOTA[[#This Row],[Column7]])</f>
        <v/>
      </c>
      <c r="Y526" s="42" t="str">
        <f>IF(NOTA[[#This Row],[JUMLAH]]="","",(NOTA[[#This Row],[JUMLAH]]-NOTA[[#This Row],[DISC 1-]]-NOTA[[#This Row],[DISC 2-]])*NOTA[[#This Row],[Column8]])</f>
        <v/>
      </c>
      <c r="Z526" s="42" t="str">
        <f>IF(NOTA[[#This Row],[JUMLAH]]="","",NOTA[[#This Row],[DISC 1-]]+NOTA[[#This Row],[DISC 2-]]+NOTA[[#This Row],[DISC 3-]])</f>
        <v/>
      </c>
      <c r="AA526" s="42" t="str">
        <f>IF(NOTA[[#This Row],[JUMLAH]]="","",NOTA[[#This Row],[JUMLAH]]-NOTA[[#This Row],[DISC]])</f>
        <v/>
      </c>
      <c r="AB526" s="42"/>
      <c r="AC5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42" t="str">
        <f>IF(OR(NOTA[[#This Row],[QTY]]="",NOTA[[#This Row],[HARGA SATUAN]]="",),"",NOTA[[#This Row],[QTY]]*NOTA[[#This Row],[HARGA SATUAN]])</f>
        <v/>
      </c>
      <c r="AG526" s="36" t="str">
        <f ca="1">IF(NOTA[[#This Row],[ID_H]]="","",INDEX(NOTA[TANGGAL],MATCH(,INDIRECT(ADDRESS(ROW(NOTA[TANGGAL]),COLUMN(NOTA[TANGGAL]))&amp;":"&amp;ADDRESS(ROW(),COLUMN(NOTA[TANGGAL]))),-1)))</f>
        <v/>
      </c>
      <c r="AH526" s="36" t="str">
        <f ca="1">IF(NOTA[[#This Row],[ID_H]]="","",INDEX(NOTA[TGL.NOTA],MATCH(,INDIRECT(ADDRESS(ROW(NOTA[TGL.NOTA]),COLUMN(NOTA[TGL.NOTA]))&amp;":"&amp;ADDRESS(ROW(),COLUMN(NOTA[TGL.NOTA]))),-1)))</f>
        <v/>
      </c>
      <c r="AI526" s="36" t="str">
        <f ca="1">IF(NOTA[[#This Row],[ID_H]]="","",INDEX(NOTA[NO.NOTA],MATCH(NOTA[[#This Row],[ID_H]],NOTA[ID_H],0)))</f>
        <v/>
      </c>
      <c r="AJ526" s="38" t="str">
        <f ca="1">IF(NOTA[[#This Row],[NAMA BARANG]]="","",INDEX(NOTA[SUPPLIER],MATCH(,INDIRECT(ADDRESS(ROW(NOTA[ID]),COLUMN(NOTA[ID]))&amp;":"&amp;ADDRESS(ROW(),COLUMN(NOTA[ID]))),-1)))</f>
        <v/>
      </c>
      <c r="AK526" s="38" t="str">
        <f ca="1">IF(NOTA[[#This Row],[ID_H]]="","",IF(NOTA[[#This Row],[FAKTUR]]="",INDIRECT(ADDRESS(ROW()-1,COLUMN())),NOTA[[#This Row],[FAKTUR]]))</f>
        <v/>
      </c>
      <c r="AL526" s="35" t="str">
        <f ca="1">IF(NOTA[[#This Row],[ID]]="","",COUNTIF(NOTA[ID_H],NOTA[[#This Row],[ID_H]]))</f>
        <v/>
      </c>
      <c r="AM526" s="35" t="str">
        <f ca="1">IF(NOTA[[#This Row],[TGL.NOTA]]="",IF(NOTA[[#This Row],[SUPPLIER_H]]="","",AM525),MONTH(NOTA[[#This Row],[TGL.NOTA]]))</f>
        <v/>
      </c>
      <c r="AN5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6" s="35" t="str">
        <f>IF(NOTA[[#This Row],[CONCAT1]]="","",MATCH(NOTA[[#This Row],[CONCAT1]],[3]!db[NB NOTA_C],0))</f>
        <v/>
      </c>
      <c r="AS526" s="35" t="str">
        <f>IF(NOTA[[#This Row],[Column5]]="","",TRUE)</f>
        <v/>
      </c>
      <c r="AT526" s="35" t="str">
        <f ca="1">IF(NOTA[[#This Row],[ID_H]]="","",IF(NOTA[[#This Row],[Column3]]=TRUE,NOTA[[#This Row],[Column5]],INDEX([3]!db[QTY/ CTN],NOTA[[#This Row],[//DB]])))</f>
        <v/>
      </c>
      <c r="AU5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6" s="35" t="str">
        <f ca="1">IF(NOTA[[#This Row],[ID_H]]="","",MATCH(NOTA[[#This Row],[NB NOTA_C_QTY]],[3]!db[NB NOTA_C_QTY+F],0))</f>
        <v/>
      </c>
      <c r="AW526" s="43" t="str">
        <f ca="1">IF(NOTA[[#This Row],[NB NOTA_C_QTY]]="","",ROW()-2)</f>
        <v/>
      </c>
    </row>
    <row r="527" spans="1:49" ht="20.100000000000001" customHeight="1">
      <c r="A5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5" t="str">
        <f ca="1">IF(NOTA[[#This Row],[NAMA BARANG]]="","",INDEX(NOTA[ID],MATCH(,INDIRECT(ADDRESS(ROW(NOTA[ID]),COLUMN(NOTA[ID]))&amp;":"&amp;ADDRESS(ROW(),COLUMN(NOTA[ID]))),-1)))</f>
        <v/>
      </c>
      <c r="C527" s="45"/>
      <c r="F527" s="46"/>
      <c r="G527" s="35"/>
      <c r="H527" s="36"/>
      <c r="I527" s="35"/>
      <c r="K527" s="37"/>
      <c r="L527" s="35"/>
      <c r="N527" s="38"/>
      <c r="O527" s="39"/>
      <c r="P527" s="47"/>
      <c r="Q527" s="48"/>
      <c r="R527" s="41"/>
      <c r="T527" s="42"/>
      <c r="U527" s="44"/>
      <c r="V527" s="42" t="str">
        <f>IF(NOTA[[#This Row],[HARGA/ CTN]]="",NOTA[[#This Row],[JUMLAH_H]],NOTA[[#This Row],[HARGA/ CTN]]*IF(NOTA[[#This Row],[C]]="",0,NOTA[[#This Row],[C]]))</f>
        <v/>
      </c>
      <c r="W527" s="42" t="str">
        <f>IF(NOTA[[#This Row],[JUMLAH]]="","",NOTA[[#This Row],[JUMLAH]]*NOTA[[#This Row],[Column6]])</f>
        <v/>
      </c>
      <c r="X527" s="42" t="str">
        <f>IF(NOTA[[#This Row],[JUMLAH]]="","",(NOTA[[#This Row],[JUMLAH]]-NOTA[[#This Row],[DISC 1-]])*NOTA[[#This Row],[Column7]])</f>
        <v/>
      </c>
      <c r="Y527" s="42" t="str">
        <f>IF(NOTA[[#This Row],[JUMLAH]]="","",(NOTA[[#This Row],[JUMLAH]]-NOTA[[#This Row],[DISC 1-]]-NOTA[[#This Row],[DISC 2-]])*NOTA[[#This Row],[Column8]])</f>
        <v/>
      </c>
      <c r="Z527" s="42" t="str">
        <f>IF(NOTA[[#This Row],[JUMLAH]]="","",NOTA[[#This Row],[DISC 1-]]+NOTA[[#This Row],[DISC 2-]]+NOTA[[#This Row],[DISC 3-]])</f>
        <v/>
      </c>
      <c r="AA527" s="42" t="str">
        <f>IF(NOTA[[#This Row],[JUMLAH]]="","",NOTA[[#This Row],[JUMLAH]]-NOTA[[#This Row],[DISC]])</f>
        <v/>
      </c>
      <c r="AB527" s="42"/>
      <c r="AC5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42" t="str">
        <f>IF(OR(NOTA[[#This Row],[QTY]]="",NOTA[[#This Row],[HARGA SATUAN]]="",),"",NOTA[[#This Row],[QTY]]*NOTA[[#This Row],[HARGA SATUAN]])</f>
        <v/>
      </c>
      <c r="AG527" s="36" t="str">
        <f ca="1">IF(NOTA[[#This Row],[ID_H]]="","",INDEX(NOTA[TANGGAL],MATCH(,INDIRECT(ADDRESS(ROW(NOTA[TANGGAL]),COLUMN(NOTA[TANGGAL]))&amp;":"&amp;ADDRESS(ROW(),COLUMN(NOTA[TANGGAL]))),-1)))</f>
        <v/>
      </c>
      <c r="AH527" s="36" t="str">
        <f ca="1">IF(NOTA[[#This Row],[ID_H]]="","",INDEX(NOTA[TGL.NOTA],MATCH(,INDIRECT(ADDRESS(ROW(NOTA[TGL.NOTA]),COLUMN(NOTA[TGL.NOTA]))&amp;":"&amp;ADDRESS(ROW(),COLUMN(NOTA[TGL.NOTA]))),-1)))</f>
        <v/>
      </c>
      <c r="AI527" s="36" t="str">
        <f ca="1">IF(NOTA[[#This Row],[ID_H]]="","",INDEX(NOTA[NO.NOTA],MATCH(NOTA[[#This Row],[ID_H]],NOTA[ID_H],0)))</f>
        <v/>
      </c>
      <c r="AJ527" s="38" t="str">
        <f ca="1">IF(NOTA[[#This Row],[NAMA BARANG]]="","",INDEX(NOTA[SUPPLIER],MATCH(,INDIRECT(ADDRESS(ROW(NOTA[ID]),COLUMN(NOTA[ID]))&amp;":"&amp;ADDRESS(ROW(),COLUMN(NOTA[ID]))),-1)))</f>
        <v/>
      </c>
      <c r="AK527" s="38" t="str">
        <f ca="1">IF(NOTA[[#This Row],[ID_H]]="","",IF(NOTA[[#This Row],[FAKTUR]]="",INDIRECT(ADDRESS(ROW()-1,COLUMN())),NOTA[[#This Row],[FAKTUR]]))</f>
        <v/>
      </c>
      <c r="AL527" s="35" t="str">
        <f ca="1">IF(NOTA[[#This Row],[ID]]="","",COUNTIF(NOTA[ID_H],NOTA[[#This Row],[ID_H]]))</f>
        <v/>
      </c>
      <c r="AM527" s="35" t="str">
        <f ca="1">IF(NOTA[[#This Row],[TGL.NOTA]]="",IF(NOTA[[#This Row],[SUPPLIER_H]]="","",AM526),MONTH(NOTA[[#This Row],[TGL.NOTA]]))</f>
        <v/>
      </c>
      <c r="AN5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7" s="35" t="str">
        <f>IF(NOTA[[#This Row],[CONCAT1]]="","",MATCH(NOTA[[#This Row],[CONCAT1]],[3]!db[NB NOTA_C],0))</f>
        <v/>
      </c>
      <c r="AS527" s="35" t="str">
        <f>IF(NOTA[[#This Row],[Column5]]="","",TRUE)</f>
        <v/>
      </c>
      <c r="AT527" s="35" t="str">
        <f ca="1">IF(NOTA[[#This Row],[ID_H]]="","",IF(NOTA[[#This Row],[Column3]]=TRUE,NOTA[[#This Row],[Column5]],INDEX([3]!db[QTY/ CTN],NOTA[[#This Row],[//DB]])))</f>
        <v/>
      </c>
      <c r="AU5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7" s="35" t="str">
        <f ca="1">IF(NOTA[[#This Row],[ID_H]]="","",MATCH(NOTA[[#This Row],[NB NOTA_C_QTY]],[3]!db[NB NOTA_C_QTY+F],0))</f>
        <v/>
      </c>
      <c r="AW527" s="43" t="str">
        <f ca="1">IF(NOTA[[#This Row],[NB NOTA_C_QTY]]="","",ROW()-2)</f>
        <v/>
      </c>
    </row>
    <row r="528" spans="1:49" ht="20.100000000000001" customHeight="1">
      <c r="A5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5" t="str">
        <f ca="1">IF(NOTA[[#This Row],[NAMA BARANG]]="","",INDEX(NOTA[ID],MATCH(,INDIRECT(ADDRESS(ROW(NOTA[ID]),COLUMN(NOTA[ID]))&amp;":"&amp;ADDRESS(ROW(),COLUMN(NOTA[ID]))),-1)))</f>
        <v/>
      </c>
      <c r="C528" s="45"/>
      <c r="F528" s="46"/>
      <c r="G528" s="35"/>
      <c r="H528" s="36"/>
      <c r="I528" s="35"/>
      <c r="K528" s="37"/>
      <c r="L528" s="35"/>
      <c r="N528" s="38"/>
      <c r="O528" s="39"/>
      <c r="P528" s="47"/>
      <c r="Q528" s="48"/>
      <c r="R528" s="41"/>
      <c r="T528" s="42"/>
      <c r="U528" s="44"/>
      <c r="V528" s="42" t="str">
        <f>IF(NOTA[[#This Row],[HARGA/ CTN]]="",NOTA[[#This Row],[JUMLAH_H]],NOTA[[#This Row],[HARGA/ CTN]]*IF(NOTA[[#This Row],[C]]="",0,NOTA[[#This Row],[C]]))</f>
        <v/>
      </c>
      <c r="W528" s="42" t="str">
        <f>IF(NOTA[[#This Row],[JUMLAH]]="","",NOTA[[#This Row],[JUMLAH]]*NOTA[[#This Row],[Column6]])</f>
        <v/>
      </c>
      <c r="X528" s="42" t="str">
        <f>IF(NOTA[[#This Row],[JUMLAH]]="","",(NOTA[[#This Row],[JUMLAH]]-NOTA[[#This Row],[DISC 1-]])*NOTA[[#This Row],[Column7]])</f>
        <v/>
      </c>
      <c r="Y528" s="42" t="str">
        <f>IF(NOTA[[#This Row],[JUMLAH]]="","",(NOTA[[#This Row],[JUMLAH]]-NOTA[[#This Row],[DISC 1-]]-NOTA[[#This Row],[DISC 2-]])*NOTA[[#This Row],[Column8]])</f>
        <v/>
      </c>
      <c r="Z528" s="42" t="str">
        <f>IF(NOTA[[#This Row],[JUMLAH]]="","",NOTA[[#This Row],[DISC 1-]]+NOTA[[#This Row],[DISC 2-]]+NOTA[[#This Row],[DISC 3-]])</f>
        <v/>
      </c>
      <c r="AA528" s="42" t="str">
        <f>IF(NOTA[[#This Row],[JUMLAH]]="","",NOTA[[#This Row],[JUMLAH]]-NOTA[[#This Row],[DISC]])</f>
        <v/>
      </c>
      <c r="AB528" s="42"/>
      <c r="AC5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42" t="str">
        <f>IF(OR(NOTA[[#This Row],[QTY]]="",NOTA[[#This Row],[HARGA SATUAN]]="",),"",NOTA[[#This Row],[QTY]]*NOTA[[#This Row],[HARGA SATUAN]])</f>
        <v/>
      </c>
      <c r="AG528" s="36" t="str">
        <f ca="1">IF(NOTA[[#This Row],[ID_H]]="","",INDEX(NOTA[TANGGAL],MATCH(,INDIRECT(ADDRESS(ROW(NOTA[TANGGAL]),COLUMN(NOTA[TANGGAL]))&amp;":"&amp;ADDRESS(ROW(),COLUMN(NOTA[TANGGAL]))),-1)))</f>
        <v/>
      </c>
      <c r="AH528" s="36" t="str">
        <f ca="1">IF(NOTA[[#This Row],[ID_H]]="","",INDEX(NOTA[TGL.NOTA],MATCH(,INDIRECT(ADDRESS(ROW(NOTA[TGL.NOTA]),COLUMN(NOTA[TGL.NOTA]))&amp;":"&amp;ADDRESS(ROW(),COLUMN(NOTA[TGL.NOTA]))),-1)))</f>
        <v/>
      </c>
      <c r="AI528" s="36" t="str">
        <f ca="1">IF(NOTA[[#This Row],[ID_H]]="","",INDEX(NOTA[NO.NOTA],MATCH(NOTA[[#This Row],[ID_H]],NOTA[ID_H],0)))</f>
        <v/>
      </c>
      <c r="AJ528" s="38" t="str">
        <f ca="1">IF(NOTA[[#This Row],[NAMA BARANG]]="","",INDEX(NOTA[SUPPLIER],MATCH(,INDIRECT(ADDRESS(ROW(NOTA[ID]),COLUMN(NOTA[ID]))&amp;":"&amp;ADDRESS(ROW(),COLUMN(NOTA[ID]))),-1)))</f>
        <v/>
      </c>
      <c r="AK528" s="38" t="str">
        <f ca="1">IF(NOTA[[#This Row],[ID_H]]="","",IF(NOTA[[#This Row],[FAKTUR]]="",INDIRECT(ADDRESS(ROW()-1,COLUMN())),NOTA[[#This Row],[FAKTUR]]))</f>
        <v/>
      </c>
      <c r="AL528" s="35" t="str">
        <f ca="1">IF(NOTA[[#This Row],[ID]]="","",COUNTIF(NOTA[ID_H],NOTA[[#This Row],[ID_H]]))</f>
        <v/>
      </c>
      <c r="AM528" s="35" t="str">
        <f ca="1">IF(NOTA[[#This Row],[TGL.NOTA]]="",IF(NOTA[[#This Row],[SUPPLIER_H]]="","",AM527),MONTH(NOTA[[#This Row],[TGL.NOTA]]))</f>
        <v/>
      </c>
      <c r="AN5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8" s="35" t="str">
        <f>IF(NOTA[[#This Row],[CONCAT1]]="","",MATCH(NOTA[[#This Row],[CONCAT1]],[3]!db[NB NOTA_C],0))</f>
        <v/>
      </c>
      <c r="AS528" s="35" t="str">
        <f>IF(NOTA[[#This Row],[Column5]]="","",TRUE)</f>
        <v/>
      </c>
      <c r="AT528" s="35" t="str">
        <f ca="1">IF(NOTA[[#This Row],[ID_H]]="","",IF(NOTA[[#This Row],[Column3]]=TRUE,NOTA[[#This Row],[Column5]],INDEX([3]!db[QTY/ CTN],NOTA[[#This Row],[//DB]])))</f>
        <v/>
      </c>
      <c r="AU5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8" s="35" t="str">
        <f ca="1">IF(NOTA[[#This Row],[ID_H]]="","",MATCH(NOTA[[#This Row],[NB NOTA_C_QTY]],[3]!db[NB NOTA_C_QTY+F],0))</f>
        <v/>
      </c>
      <c r="AW528" s="43" t="str">
        <f ca="1">IF(NOTA[[#This Row],[NB NOTA_C_QTY]]="","",ROW()-2)</f>
        <v/>
      </c>
    </row>
    <row r="529" spans="1:49" ht="20.100000000000001" customHeight="1">
      <c r="A5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5" t="str">
        <f ca="1">IF(NOTA[[#This Row],[NAMA BARANG]]="","",INDEX(NOTA[ID],MATCH(,INDIRECT(ADDRESS(ROW(NOTA[ID]),COLUMN(NOTA[ID]))&amp;":"&amp;ADDRESS(ROW(),COLUMN(NOTA[ID]))),-1)))</f>
        <v/>
      </c>
      <c r="C529" s="45"/>
      <c r="F529" s="46"/>
      <c r="G529" s="35"/>
      <c r="H529" s="36"/>
      <c r="I529" s="35"/>
      <c r="K529" s="37"/>
      <c r="L529" s="35"/>
      <c r="N529" s="38"/>
      <c r="O529" s="39"/>
      <c r="P529" s="47"/>
      <c r="Q529" s="48"/>
      <c r="R529" s="41"/>
      <c r="T529" s="42"/>
      <c r="U529" s="44"/>
      <c r="V529" s="42" t="str">
        <f>IF(NOTA[[#This Row],[HARGA/ CTN]]="",NOTA[[#This Row],[JUMLAH_H]],NOTA[[#This Row],[HARGA/ CTN]]*IF(NOTA[[#This Row],[C]]="",0,NOTA[[#This Row],[C]]))</f>
        <v/>
      </c>
      <c r="W529" s="42" t="str">
        <f>IF(NOTA[[#This Row],[JUMLAH]]="","",NOTA[[#This Row],[JUMLAH]]*NOTA[[#This Row],[Column6]])</f>
        <v/>
      </c>
      <c r="X529" s="42" t="str">
        <f>IF(NOTA[[#This Row],[JUMLAH]]="","",(NOTA[[#This Row],[JUMLAH]]-NOTA[[#This Row],[DISC 1-]])*NOTA[[#This Row],[Column7]])</f>
        <v/>
      </c>
      <c r="Y529" s="42" t="str">
        <f>IF(NOTA[[#This Row],[JUMLAH]]="","",(NOTA[[#This Row],[JUMLAH]]-NOTA[[#This Row],[DISC 1-]]-NOTA[[#This Row],[DISC 2-]])*NOTA[[#This Row],[Column8]])</f>
        <v/>
      </c>
      <c r="Z529" s="42" t="str">
        <f>IF(NOTA[[#This Row],[JUMLAH]]="","",NOTA[[#This Row],[DISC 1-]]+NOTA[[#This Row],[DISC 2-]]+NOTA[[#This Row],[DISC 3-]])</f>
        <v/>
      </c>
      <c r="AA529" s="42" t="str">
        <f>IF(NOTA[[#This Row],[JUMLAH]]="","",NOTA[[#This Row],[JUMLAH]]-NOTA[[#This Row],[DISC]])</f>
        <v/>
      </c>
      <c r="AB529" s="42"/>
      <c r="AC5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42" t="str">
        <f>IF(OR(NOTA[[#This Row],[QTY]]="",NOTA[[#This Row],[HARGA SATUAN]]="",),"",NOTA[[#This Row],[QTY]]*NOTA[[#This Row],[HARGA SATUAN]])</f>
        <v/>
      </c>
      <c r="AG529" s="36" t="str">
        <f ca="1">IF(NOTA[[#This Row],[ID_H]]="","",INDEX(NOTA[TANGGAL],MATCH(,INDIRECT(ADDRESS(ROW(NOTA[TANGGAL]),COLUMN(NOTA[TANGGAL]))&amp;":"&amp;ADDRESS(ROW(),COLUMN(NOTA[TANGGAL]))),-1)))</f>
        <v/>
      </c>
      <c r="AH529" s="36" t="str">
        <f ca="1">IF(NOTA[[#This Row],[ID_H]]="","",INDEX(NOTA[TGL.NOTA],MATCH(,INDIRECT(ADDRESS(ROW(NOTA[TGL.NOTA]),COLUMN(NOTA[TGL.NOTA]))&amp;":"&amp;ADDRESS(ROW(),COLUMN(NOTA[TGL.NOTA]))),-1)))</f>
        <v/>
      </c>
      <c r="AI529" s="36" t="str">
        <f ca="1">IF(NOTA[[#This Row],[ID_H]]="","",INDEX(NOTA[NO.NOTA],MATCH(NOTA[[#This Row],[ID_H]],NOTA[ID_H],0)))</f>
        <v/>
      </c>
      <c r="AJ529" s="38" t="str">
        <f ca="1">IF(NOTA[[#This Row],[NAMA BARANG]]="","",INDEX(NOTA[SUPPLIER],MATCH(,INDIRECT(ADDRESS(ROW(NOTA[ID]),COLUMN(NOTA[ID]))&amp;":"&amp;ADDRESS(ROW(),COLUMN(NOTA[ID]))),-1)))</f>
        <v/>
      </c>
      <c r="AK529" s="38" t="str">
        <f ca="1">IF(NOTA[[#This Row],[ID_H]]="","",IF(NOTA[[#This Row],[FAKTUR]]="",INDIRECT(ADDRESS(ROW()-1,COLUMN())),NOTA[[#This Row],[FAKTUR]]))</f>
        <v/>
      </c>
      <c r="AL529" s="35" t="str">
        <f ca="1">IF(NOTA[[#This Row],[ID]]="","",COUNTIF(NOTA[ID_H],NOTA[[#This Row],[ID_H]]))</f>
        <v/>
      </c>
      <c r="AM529" s="35" t="str">
        <f ca="1">IF(NOTA[[#This Row],[TGL.NOTA]]="",IF(NOTA[[#This Row],[SUPPLIER_H]]="","",AM528),MONTH(NOTA[[#This Row],[TGL.NOTA]]))</f>
        <v/>
      </c>
      <c r="AN5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9" s="35" t="str">
        <f>IF(NOTA[[#This Row],[CONCAT1]]="","",MATCH(NOTA[[#This Row],[CONCAT1]],[3]!db[NB NOTA_C],0))</f>
        <v/>
      </c>
      <c r="AS529" s="35" t="str">
        <f>IF(NOTA[[#This Row],[Column5]]="","",TRUE)</f>
        <v/>
      </c>
      <c r="AT529" s="35" t="str">
        <f ca="1">IF(NOTA[[#This Row],[ID_H]]="","",IF(NOTA[[#This Row],[Column3]]=TRUE,NOTA[[#This Row],[Column5]],INDEX([3]!db[QTY/ CTN],NOTA[[#This Row],[//DB]])))</f>
        <v/>
      </c>
      <c r="AU5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29" s="35" t="str">
        <f ca="1">IF(NOTA[[#This Row],[ID_H]]="","",MATCH(NOTA[[#This Row],[NB NOTA_C_QTY]],[3]!db[NB NOTA_C_QTY+F],0))</f>
        <v/>
      </c>
      <c r="AW529" s="43" t="str">
        <f ca="1">IF(NOTA[[#This Row],[NB NOTA_C_QTY]]="","",ROW()-2)</f>
        <v/>
      </c>
    </row>
    <row r="530" spans="1:49" ht="20.100000000000001" customHeight="1">
      <c r="A5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5" t="str">
        <f ca="1">IF(NOTA[[#This Row],[NAMA BARANG]]="","",INDEX(NOTA[ID],MATCH(,INDIRECT(ADDRESS(ROW(NOTA[ID]),COLUMN(NOTA[ID]))&amp;":"&amp;ADDRESS(ROW(),COLUMN(NOTA[ID]))),-1)))</f>
        <v/>
      </c>
      <c r="C530" s="45"/>
      <c r="F530" s="46"/>
      <c r="G530" s="35"/>
      <c r="H530" s="36"/>
      <c r="I530" s="35"/>
      <c r="K530" s="37"/>
      <c r="L530" s="35"/>
      <c r="N530" s="38"/>
      <c r="O530" s="39"/>
      <c r="P530" s="47"/>
      <c r="Q530" s="48"/>
      <c r="R530" s="41"/>
      <c r="T530" s="42"/>
      <c r="U530" s="44"/>
      <c r="V530" s="42" t="str">
        <f>IF(NOTA[[#This Row],[HARGA/ CTN]]="",NOTA[[#This Row],[JUMLAH_H]],NOTA[[#This Row],[HARGA/ CTN]]*IF(NOTA[[#This Row],[C]]="",0,NOTA[[#This Row],[C]]))</f>
        <v/>
      </c>
      <c r="W530" s="42" t="str">
        <f>IF(NOTA[[#This Row],[JUMLAH]]="","",NOTA[[#This Row],[JUMLAH]]*NOTA[[#This Row],[Column6]])</f>
        <v/>
      </c>
      <c r="X530" s="42" t="str">
        <f>IF(NOTA[[#This Row],[JUMLAH]]="","",(NOTA[[#This Row],[JUMLAH]]-NOTA[[#This Row],[DISC 1-]])*NOTA[[#This Row],[Column7]])</f>
        <v/>
      </c>
      <c r="Y530" s="42" t="str">
        <f>IF(NOTA[[#This Row],[JUMLAH]]="","",(NOTA[[#This Row],[JUMLAH]]-NOTA[[#This Row],[DISC 1-]]-NOTA[[#This Row],[DISC 2-]])*NOTA[[#This Row],[Column8]])</f>
        <v/>
      </c>
      <c r="Z530" s="42" t="str">
        <f>IF(NOTA[[#This Row],[JUMLAH]]="","",NOTA[[#This Row],[DISC 1-]]+NOTA[[#This Row],[DISC 2-]]+NOTA[[#This Row],[DISC 3-]])</f>
        <v/>
      </c>
      <c r="AA530" s="42" t="str">
        <f>IF(NOTA[[#This Row],[JUMLAH]]="","",NOTA[[#This Row],[JUMLAH]]-NOTA[[#This Row],[DISC]])</f>
        <v/>
      </c>
      <c r="AB530" s="42"/>
      <c r="AC5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42" t="str">
        <f>IF(OR(NOTA[[#This Row],[QTY]]="",NOTA[[#This Row],[HARGA SATUAN]]="",),"",NOTA[[#This Row],[QTY]]*NOTA[[#This Row],[HARGA SATUAN]])</f>
        <v/>
      </c>
      <c r="AG530" s="36" t="str">
        <f ca="1">IF(NOTA[[#This Row],[ID_H]]="","",INDEX(NOTA[TANGGAL],MATCH(,INDIRECT(ADDRESS(ROW(NOTA[TANGGAL]),COLUMN(NOTA[TANGGAL]))&amp;":"&amp;ADDRESS(ROW(),COLUMN(NOTA[TANGGAL]))),-1)))</f>
        <v/>
      </c>
      <c r="AH530" s="36" t="str">
        <f ca="1">IF(NOTA[[#This Row],[ID_H]]="","",INDEX(NOTA[TGL.NOTA],MATCH(,INDIRECT(ADDRESS(ROW(NOTA[TGL.NOTA]),COLUMN(NOTA[TGL.NOTA]))&amp;":"&amp;ADDRESS(ROW(),COLUMN(NOTA[TGL.NOTA]))),-1)))</f>
        <v/>
      </c>
      <c r="AI530" s="36" t="str">
        <f ca="1">IF(NOTA[[#This Row],[ID_H]]="","",INDEX(NOTA[NO.NOTA],MATCH(NOTA[[#This Row],[ID_H]],NOTA[ID_H],0)))</f>
        <v/>
      </c>
      <c r="AJ530" s="38" t="str">
        <f ca="1">IF(NOTA[[#This Row],[NAMA BARANG]]="","",INDEX(NOTA[SUPPLIER],MATCH(,INDIRECT(ADDRESS(ROW(NOTA[ID]),COLUMN(NOTA[ID]))&amp;":"&amp;ADDRESS(ROW(),COLUMN(NOTA[ID]))),-1)))</f>
        <v/>
      </c>
      <c r="AK530" s="38" t="str">
        <f ca="1">IF(NOTA[[#This Row],[ID_H]]="","",IF(NOTA[[#This Row],[FAKTUR]]="",INDIRECT(ADDRESS(ROW()-1,COLUMN())),NOTA[[#This Row],[FAKTUR]]))</f>
        <v/>
      </c>
      <c r="AL530" s="35" t="str">
        <f ca="1">IF(NOTA[[#This Row],[ID]]="","",COUNTIF(NOTA[ID_H],NOTA[[#This Row],[ID_H]]))</f>
        <v/>
      </c>
      <c r="AM530" s="35" t="str">
        <f ca="1">IF(NOTA[[#This Row],[TGL.NOTA]]="",IF(NOTA[[#This Row],[SUPPLIER_H]]="","",AM529),MONTH(NOTA[[#This Row],[TGL.NOTA]]))</f>
        <v/>
      </c>
      <c r="AN5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0" s="35" t="str">
        <f>IF(NOTA[[#This Row],[CONCAT1]]="","",MATCH(NOTA[[#This Row],[CONCAT1]],[3]!db[NB NOTA_C],0))</f>
        <v/>
      </c>
      <c r="AS530" s="35" t="str">
        <f>IF(NOTA[[#This Row],[Column5]]="","",TRUE)</f>
        <v/>
      </c>
      <c r="AT530" s="35" t="str">
        <f ca="1">IF(NOTA[[#This Row],[ID_H]]="","",IF(NOTA[[#This Row],[Column3]]=TRUE,NOTA[[#This Row],[Column5]],INDEX([3]!db[QTY/ CTN],NOTA[[#This Row],[//DB]])))</f>
        <v/>
      </c>
      <c r="AU5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0" s="35" t="str">
        <f ca="1">IF(NOTA[[#This Row],[ID_H]]="","",MATCH(NOTA[[#This Row],[NB NOTA_C_QTY]],[3]!db[NB NOTA_C_QTY+F],0))</f>
        <v/>
      </c>
      <c r="AW530" s="43" t="str">
        <f ca="1">IF(NOTA[[#This Row],[NB NOTA_C_QTY]]="","",ROW()-2)</f>
        <v/>
      </c>
    </row>
    <row r="531" spans="1:49" ht="20.100000000000001" customHeight="1">
      <c r="A5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5" t="str">
        <f ca="1">IF(NOTA[[#This Row],[NAMA BARANG]]="","",INDEX(NOTA[ID],MATCH(,INDIRECT(ADDRESS(ROW(NOTA[ID]),COLUMN(NOTA[ID]))&amp;":"&amp;ADDRESS(ROW(),COLUMN(NOTA[ID]))),-1)))</f>
        <v/>
      </c>
      <c r="C531" s="45"/>
      <c r="F531" s="46"/>
      <c r="G531" s="35"/>
      <c r="H531" s="36"/>
      <c r="I531" s="35"/>
      <c r="K531" s="37"/>
      <c r="L531" s="35"/>
      <c r="N531" s="38"/>
      <c r="O531" s="39"/>
      <c r="P531" s="47"/>
      <c r="Q531" s="48"/>
      <c r="R531" s="41"/>
      <c r="T531" s="42"/>
      <c r="U531" s="44"/>
      <c r="V531" s="42" t="str">
        <f>IF(NOTA[[#This Row],[HARGA/ CTN]]="",NOTA[[#This Row],[JUMLAH_H]],NOTA[[#This Row],[HARGA/ CTN]]*IF(NOTA[[#This Row],[C]]="",0,NOTA[[#This Row],[C]]))</f>
        <v/>
      </c>
      <c r="W531" s="42" t="str">
        <f>IF(NOTA[[#This Row],[JUMLAH]]="","",NOTA[[#This Row],[JUMLAH]]*NOTA[[#This Row],[Column6]])</f>
        <v/>
      </c>
      <c r="X531" s="42" t="str">
        <f>IF(NOTA[[#This Row],[JUMLAH]]="","",(NOTA[[#This Row],[JUMLAH]]-NOTA[[#This Row],[DISC 1-]])*NOTA[[#This Row],[Column7]])</f>
        <v/>
      </c>
      <c r="Y531" s="42" t="str">
        <f>IF(NOTA[[#This Row],[JUMLAH]]="","",(NOTA[[#This Row],[JUMLAH]]-NOTA[[#This Row],[DISC 1-]]-NOTA[[#This Row],[DISC 2-]])*NOTA[[#This Row],[Column8]])</f>
        <v/>
      </c>
      <c r="Z531" s="42" t="str">
        <f>IF(NOTA[[#This Row],[JUMLAH]]="","",NOTA[[#This Row],[DISC 1-]]+NOTA[[#This Row],[DISC 2-]]+NOTA[[#This Row],[DISC 3-]])</f>
        <v/>
      </c>
      <c r="AA531" s="42" t="str">
        <f>IF(NOTA[[#This Row],[JUMLAH]]="","",NOTA[[#This Row],[JUMLAH]]-NOTA[[#This Row],[DISC]])</f>
        <v/>
      </c>
      <c r="AB531" s="42"/>
      <c r="AC5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42" t="str">
        <f>IF(OR(NOTA[[#This Row],[QTY]]="",NOTA[[#This Row],[HARGA SATUAN]]="",),"",NOTA[[#This Row],[QTY]]*NOTA[[#This Row],[HARGA SATUAN]])</f>
        <v/>
      </c>
      <c r="AG531" s="36" t="str">
        <f ca="1">IF(NOTA[[#This Row],[ID_H]]="","",INDEX(NOTA[TANGGAL],MATCH(,INDIRECT(ADDRESS(ROW(NOTA[TANGGAL]),COLUMN(NOTA[TANGGAL]))&amp;":"&amp;ADDRESS(ROW(),COLUMN(NOTA[TANGGAL]))),-1)))</f>
        <v/>
      </c>
      <c r="AH531" s="36" t="str">
        <f ca="1">IF(NOTA[[#This Row],[ID_H]]="","",INDEX(NOTA[TGL.NOTA],MATCH(,INDIRECT(ADDRESS(ROW(NOTA[TGL.NOTA]),COLUMN(NOTA[TGL.NOTA]))&amp;":"&amp;ADDRESS(ROW(),COLUMN(NOTA[TGL.NOTA]))),-1)))</f>
        <v/>
      </c>
      <c r="AI531" s="36" t="str">
        <f ca="1">IF(NOTA[[#This Row],[ID_H]]="","",INDEX(NOTA[NO.NOTA],MATCH(NOTA[[#This Row],[ID_H]],NOTA[ID_H],0)))</f>
        <v/>
      </c>
      <c r="AJ531" s="38" t="str">
        <f ca="1">IF(NOTA[[#This Row],[NAMA BARANG]]="","",INDEX(NOTA[SUPPLIER],MATCH(,INDIRECT(ADDRESS(ROW(NOTA[ID]),COLUMN(NOTA[ID]))&amp;":"&amp;ADDRESS(ROW(),COLUMN(NOTA[ID]))),-1)))</f>
        <v/>
      </c>
      <c r="AK531" s="38" t="str">
        <f ca="1">IF(NOTA[[#This Row],[ID_H]]="","",IF(NOTA[[#This Row],[FAKTUR]]="",INDIRECT(ADDRESS(ROW()-1,COLUMN())),NOTA[[#This Row],[FAKTUR]]))</f>
        <v/>
      </c>
      <c r="AL531" s="35" t="str">
        <f ca="1">IF(NOTA[[#This Row],[ID]]="","",COUNTIF(NOTA[ID_H],NOTA[[#This Row],[ID_H]]))</f>
        <v/>
      </c>
      <c r="AM531" s="35" t="str">
        <f ca="1">IF(NOTA[[#This Row],[TGL.NOTA]]="",IF(NOTA[[#This Row],[SUPPLIER_H]]="","",AM530),MONTH(NOTA[[#This Row],[TGL.NOTA]]))</f>
        <v/>
      </c>
      <c r="AN5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1" s="35" t="str">
        <f>IF(NOTA[[#This Row],[CONCAT1]]="","",MATCH(NOTA[[#This Row],[CONCAT1]],[3]!db[NB NOTA_C],0))</f>
        <v/>
      </c>
      <c r="AS531" s="35" t="str">
        <f>IF(NOTA[[#This Row],[Column5]]="","",TRUE)</f>
        <v/>
      </c>
      <c r="AT531" s="35" t="str">
        <f ca="1">IF(NOTA[[#This Row],[ID_H]]="","",IF(NOTA[[#This Row],[Column3]]=TRUE,NOTA[[#This Row],[Column5]],INDEX([3]!db[QTY/ CTN],NOTA[[#This Row],[//DB]])))</f>
        <v/>
      </c>
      <c r="AU5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1" s="35" t="str">
        <f ca="1">IF(NOTA[[#This Row],[ID_H]]="","",MATCH(NOTA[[#This Row],[NB NOTA_C_QTY]],[3]!db[NB NOTA_C_QTY+F],0))</f>
        <v/>
      </c>
      <c r="AW531" s="43" t="str">
        <f ca="1">IF(NOTA[[#This Row],[NB NOTA_C_QTY]]="","",ROW()-2)</f>
        <v/>
      </c>
    </row>
    <row r="532" spans="1:49" ht="20.100000000000001" customHeight="1">
      <c r="A5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5" t="str">
        <f ca="1">IF(NOTA[[#This Row],[NAMA BARANG]]="","",INDEX(NOTA[ID],MATCH(,INDIRECT(ADDRESS(ROW(NOTA[ID]),COLUMN(NOTA[ID]))&amp;":"&amp;ADDRESS(ROW(),COLUMN(NOTA[ID]))),-1)))</f>
        <v/>
      </c>
      <c r="C532" s="45"/>
      <c r="F532" s="46"/>
      <c r="G532" s="35"/>
      <c r="H532" s="36"/>
      <c r="I532" s="35"/>
      <c r="K532" s="37"/>
      <c r="L532" s="35"/>
      <c r="N532" s="38"/>
      <c r="O532" s="39"/>
      <c r="P532" s="47"/>
      <c r="Q532" s="48"/>
      <c r="R532" s="41"/>
      <c r="T532" s="42"/>
      <c r="U532" s="44"/>
      <c r="V532" s="42" t="str">
        <f>IF(NOTA[[#This Row],[HARGA/ CTN]]="",NOTA[[#This Row],[JUMLAH_H]],NOTA[[#This Row],[HARGA/ CTN]]*IF(NOTA[[#This Row],[C]]="",0,NOTA[[#This Row],[C]]))</f>
        <v/>
      </c>
      <c r="W532" s="42" t="str">
        <f>IF(NOTA[[#This Row],[JUMLAH]]="","",NOTA[[#This Row],[JUMLAH]]*NOTA[[#This Row],[Column6]])</f>
        <v/>
      </c>
      <c r="X532" s="42" t="str">
        <f>IF(NOTA[[#This Row],[JUMLAH]]="","",(NOTA[[#This Row],[JUMLAH]]-NOTA[[#This Row],[DISC 1-]])*NOTA[[#This Row],[Column7]])</f>
        <v/>
      </c>
      <c r="Y532" s="42" t="str">
        <f>IF(NOTA[[#This Row],[JUMLAH]]="","",(NOTA[[#This Row],[JUMLAH]]-NOTA[[#This Row],[DISC 1-]]-NOTA[[#This Row],[DISC 2-]])*NOTA[[#This Row],[Column8]])</f>
        <v/>
      </c>
      <c r="Z532" s="42" t="str">
        <f>IF(NOTA[[#This Row],[JUMLAH]]="","",NOTA[[#This Row],[DISC 1-]]+NOTA[[#This Row],[DISC 2-]]+NOTA[[#This Row],[DISC 3-]])</f>
        <v/>
      </c>
      <c r="AA532" s="42" t="str">
        <f>IF(NOTA[[#This Row],[JUMLAH]]="","",NOTA[[#This Row],[JUMLAH]]-NOTA[[#This Row],[DISC]])</f>
        <v/>
      </c>
      <c r="AB532" s="42"/>
      <c r="AC5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42" t="str">
        <f>IF(OR(NOTA[[#This Row],[QTY]]="",NOTA[[#This Row],[HARGA SATUAN]]="",),"",NOTA[[#This Row],[QTY]]*NOTA[[#This Row],[HARGA SATUAN]])</f>
        <v/>
      </c>
      <c r="AG532" s="36" t="str">
        <f ca="1">IF(NOTA[[#This Row],[ID_H]]="","",INDEX(NOTA[TANGGAL],MATCH(,INDIRECT(ADDRESS(ROW(NOTA[TANGGAL]),COLUMN(NOTA[TANGGAL]))&amp;":"&amp;ADDRESS(ROW(),COLUMN(NOTA[TANGGAL]))),-1)))</f>
        <v/>
      </c>
      <c r="AH532" s="36" t="str">
        <f ca="1">IF(NOTA[[#This Row],[ID_H]]="","",INDEX(NOTA[TGL.NOTA],MATCH(,INDIRECT(ADDRESS(ROW(NOTA[TGL.NOTA]),COLUMN(NOTA[TGL.NOTA]))&amp;":"&amp;ADDRESS(ROW(),COLUMN(NOTA[TGL.NOTA]))),-1)))</f>
        <v/>
      </c>
      <c r="AI532" s="36" t="str">
        <f ca="1">IF(NOTA[[#This Row],[ID_H]]="","",INDEX(NOTA[NO.NOTA],MATCH(NOTA[[#This Row],[ID_H]],NOTA[ID_H],0)))</f>
        <v/>
      </c>
      <c r="AJ532" s="38" t="str">
        <f ca="1">IF(NOTA[[#This Row],[NAMA BARANG]]="","",INDEX(NOTA[SUPPLIER],MATCH(,INDIRECT(ADDRESS(ROW(NOTA[ID]),COLUMN(NOTA[ID]))&amp;":"&amp;ADDRESS(ROW(),COLUMN(NOTA[ID]))),-1)))</f>
        <v/>
      </c>
      <c r="AK532" s="38" t="str">
        <f ca="1">IF(NOTA[[#This Row],[ID_H]]="","",IF(NOTA[[#This Row],[FAKTUR]]="",INDIRECT(ADDRESS(ROW()-1,COLUMN())),NOTA[[#This Row],[FAKTUR]]))</f>
        <v/>
      </c>
      <c r="AL532" s="35" t="str">
        <f ca="1">IF(NOTA[[#This Row],[ID]]="","",COUNTIF(NOTA[ID_H],NOTA[[#This Row],[ID_H]]))</f>
        <v/>
      </c>
      <c r="AM532" s="35" t="str">
        <f ca="1">IF(NOTA[[#This Row],[TGL.NOTA]]="",IF(NOTA[[#This Row],[SUPPLIER_H]]="","",AM531),MONTH(NOTA[[#This Row],[TGL.NOTA]]))</f>
        <v/>
      </c>
      <c r="AN5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2" s="35" t="str">
        <f>IF(NOTA[[#This Row],[CONCAT1]]="","",MATCH(NOTA[[#This Row],[CONCAT1]],[3]!db[NB NOTA_C],0))</f>
        <v/>
      </c>
      <c r="AS532" s="35" t="str">
        <f>IF(NOTA[[#This Row],[Column5]]="","",TRUE)</f>
        <v/>
      </c>
      <c r="AT532" s="35" t="str">
        <f ca="1">IF(NOTA[[#This Row],[ID_H]]="","",IF(NOTA[[#This Row],[Column3]]=TRUE,NOTA[[#This Row],[Column5]],INDEX([3]!db[QTY/ CTN],NOTA[[#This Row],[//DB]])))</f>
        <v/>
      </c>
      <c r="AU5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2" s="35" t="str">
        <f ca="1">IF(NOTA[[#This Row],[ID_H]]="","",MATCH(NOTA[[#This Row],[NB NOTA_C_QTY]],[3]!db[NB NOTA_C_QTY+F],0))</f>
        <v/>
      </c>
      <c r="AW532" s="43" t="str">
        <f ca="1">IF(NOTA[[#This Row],[NB NOTA_C_QTY]]="","",ROW()-2)</f>
        <v/>
      </c>
    </row>
    <row r="533" spans="1:49" ht="20.100000000000001" customHeight="1">
      <c r="A5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5" t="str">
        <f ca="1">IF(NOTA[[#This Row],[NAMA BARANG]]="","",INDEX(NOTA[ID],MATCH(,INDIRECT(ADDRESS(ROW(NOTA[ID]),COLUMN(NOTA[ID]))&amp;":"&amp;ADDRESS(ROW(),COLUMN(NOTA[ID]))),-1)))</f>
        <v/>
      </c>
      <c r="C533" s="45"/>
      <c r="F533" s="46"/>
      <c r="G533" s="35"/>
      <c r="H533" s="36"/>
      <c r="I533" s="35"/>
      <c r="K533" s="37"/>
      <c r="L533" s="35"/>
      <c r="N533" s="38"/>
      <c r="O533" s="39"/>
      <c r="P533" s="47"/>
      <c r="Q533" s="48"/>
      <c r="R533" s="41"/>
      <c r="T533" s="42"/>
      <c r="U533" s="44"/>
      <c r="V533" s="42" t="str">
        <f>IF(NOTA[[#This Row],[HARGA/ CTN]]="",NOTA[[#This Row],[JUMLAH_H]],NOTA[[#This Row],[HARGA/ CTN]]*IF(NOTA[[#This Row],[C]]="",0,NOTA[[#This Row],[C]]))</f>
        <v/>
      </c>
      <c r="W533" s="42" t="str">
        <f>IF(NOTA[[#This Row],[JUMLAH]]="","",NOTA[[#This Row],[JUMLAH]]*NOTA[[#This Row],[Column6]])</f>
        <v/>
      </c>
      <c r="X533" s="42" t="str">
        <f>IF(NOTA[[#This Row],[JUMLAH]]="","",(NOTA[[#This Row],[JUMLAH]]-NOTA[[#This Row],[DISC 1-]])*NOTA[[#This Row],[Column7]])</f>
        <v/>
      </c>
      <c r="Y533" s="42" t="str">
        <f>IF(NOTA[[#This Row],[JUMLAH]]="","",(NOTA[[#This Row],[JUMLAH]]-NOTA[[#This Row],[DISC 1-]]-NOTA[[#This Row],[DISC 2-]])*NOTA[[#This Row],[Column8]])</f>
        <v/>
      </c>
      <c r="Z533" s="42" t="str">
        <f>IF(NOTA[[#This Row],[JUMLAH]]="","",NOTA[[#This Row],[DISC 1-]]+NOTA[[#This Row],[DISC 2-]]+NOTA[[#This Row],[DISC 3-]])</f>
        <v/>
      </c>
      <c r="AA533" s="42" t="str">
        <f>IF(NOTA[[#This Row],[JUMLAH]]="","",NOTA[[#This Row],[JUMLAH]]-NOTA[[#This Row],[DISC]])</f>
        <v/>
      </c>
      <c r="AB533" s="42"/>
      <c r="AC5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42" t="str">
        <f>IF(OR(NOTA[[#This Row],[QTY]]="",NOTA[[#This Row],[HARGA SATUAN]]="",),"",NOTA[[#This Row],[QTY]]*NOTA[[#This Row],[HARGA SATUAN]])</f>
        <v/>
      </c>
      <c r="AG533" s="36" t="str">
        <f ca="1">IF(NOTA[[#This Row],[ID_H]]="","",INDEX(NOTA[TANGGAL],MATCH(,INDIRECT(ADDRESS(ROW(NOTA[TANGGAL]),COLUMN(NOTA[TANGGAL]))&amp;":"&amp;ADDRESS(ROW(),COLUMN(NOTA[TANGGAL]))),-1)))</f>
        <v/>
      </c>
      <c r="AH533" s="36" t="str">
        <f ca="1">IF(NOTA[[#This Row],[ID_H]]="","",INDEX(NOTA[TGL.NOTA],MATCH(,INDIRECT(ADDRESS(ROW(NOTA[TGL.NOTA]),COLUMN(NOTA[TGL.NOTA]))&amp;":"&amp;ADDRESS(ROW(),COLUMN(NOTA[TGL.NOTA]))),-1)))</f>
        <v/>
      </c>
      <c r="AI533" s="36" t="str">
        <f ca="1">IF(NOTA[[#This Row],[ID_H]]="","",INDEX(NOTA[NO.NOTA],MATCH(NOTA[[#This Row],[ID_H]],NOTA[ID_H],0)))</f>
        <v/>
      </c>
      <c r="AJ533" s="38" t="str">
        <f ca="1">IF(NOTA[[#This Row],[NAMA BARANG]]="","",INDEX(NOTA[SUPPLIER],MATCH(,INDIRECT(ADDRESS(ROW(NOTA[ID]),COLUMN(NOTA[ID]))&amp;":"&amp;ADDRESS(ROW(),COLUMN(NOTA[ID]))),-1)))</f>
        <v/>
      </c>
      <c r="AK533" s="38" t="str">
        <f ca="1">IF(NOTA[[#This Row],[ID_H]]="","",IF(NOTA[[#This Row],[FAKTUR]]="",INDIRECT(ADDRESS(ROW()-1,COLUMN())),NOTA[[#This Row],[FAKTUR]]))</f>
        <v/>
      </c>
      <c r="AL533" s="35" t="str">
        <f ca="1">IF(NOTA[[#This Row],[ID]]="","",COUNTIF(NOTA[ID_H],NOTA[[#This Row],[ID_H]]))</f>
        <v/>
      </c>
      <c r="AM533" s="35" t="str">
        <f ca="1">IF(NOTA[[#This Row],[TGL.NOTA]]="",IF(NOTA[[#This Row],[SUPPLIER_H]]="","",AM532),MONTH(NOTA[[#This Row],[TGL.NOTA]]))</f>
        <v/>
      </c>
      <c r="AN5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3" s="35" t="str">
        <f>IF(NOTA[[#This Row],[CONCAT1]]="","",MATCH(NOTA[[#This Row],[CONCAT1]],[3]!db[NB NOTA_C],0))</f>
        <v/>
      </c>
      <c r="AS533" s="35" t="str">
        <f>IF(NOTA[[#This Row],[Column5]]="","",TRUE)</f>
        <v/>
      </c>
      <c r="AT533" s="35" t="str">
        <f ca="1">IF(NOTA[[#This Row],[ID_H]]="","",IF(NOTA[[#This Row],[Column3]]=TRUE,NOTA[[#This Row],[Column5]],INDEX([3]!db[QTY/ CTN],NOTA[[#This Row],[//DB]])))</f>
        <v/>
      </c>
      <c r="AU5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3" s="35" t="str">
        <f ca="1">IF(NOTA[[#This Row],[ID_H]]="","",MATCH(NOTA[[#This Row],[NB NOTA_C_QTY]],[3]!db[NB NOTA_C_QTY+F],0))</f>
        <v/>
      </c>
      <c r="AW533" s="43" t="str">
        <f ca="1">IF(NOTA[[#This Row],[NB NOTA_C_QTY]]="","",ROW()-2)</f>
        <v/>
      </c>
    </row>
    <row r="534" spans="1:49" ht="20.100000000000001" customHeight="1">
      <c r="A5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5" t="str">
        <f ca="1">IF(NOTA[[#This Row],[NAMA BARANG]]="","",INDEX(NOTA[ID],MATCH(,INDIRECT(ADDRESS(ROW(NOTA[ID]),COLUMN(NOTA[ID]))&amp;":"&amp;ADDRESS(ROW(),COLUMN(NOTA[ID]))),-1)))</f>
        <v/>
      </c>
      <c r="C534" s="45"/>
      <c r="F534" s="46"/>
      <c r="G534" s="35"/>
      <c r="H534" s="36"/>
      <c r="I534" s="35"/>
      <c r="K534" s="37"/>
      <c r="L534" s="35"/>
      <c r="N534" s="38"/>
      <c r="O534" s="39"/>
      <c r="P534" s="47"/>
      <c r="Q534" s="48"/>
      <c r="R534" s="41"/>
      <c r="T534" s="42"/>
      <c r="U534" s="44"/>
      <c r="V534" s="42" t="str">
        <f>IF(NOTA[[#This Row],[HARGA/ CTN]]="",NOTA[[#This Row],[JUMLAH_H]],NOTA[[#This Row],[HARGA/ CTN]]*IF(NOTA[[#This Row],[C]]="",0,NOTA[[#This Row],[C]]))</f>
        <v/>
      </c>
      <c r="W534" s="42" t="str">
        <f>IF(NOTA[[#This Row],[JUMLAH]]="","",NOTA[[#This Row],[JUMLAH]]*NOTA[[#This Row],[Column6]])</f>
        <v/>
      </c>
      <c r="X534" s="42" t="str">
        <f>IF(NOTA[[#This Row],[JUMLAH]]="","",(NOTA[[#This Row],[JUMLAH]]-NOTA[[#This Row],[DISC 1-]])*NOTA[[#This Row],[Column7]])</f>
        <v/>
      </c>
      <c r="Y534" s="42" t="str">
        <f>IF(NOTA[[#This Row],[JUMLAH]]="","",(NOTA[[#This Row],[JUMLAH]]-NOTA[[#This Row],[DISC 1-]]-NOTA[[#This Row],[DISC 2-]])*NOTA[[#This Row],[Column8]])</f>
        <v/>
      </c>
      <c r="Z534" s="42" t="str">
        <f>IF(NOTA[[#This Row],[JUMLAH]]="","",NOTA[[#This Row],[DISC 1-]]+NOTA[[#This Row],[DISC 2-]]+NOTA[[#This Row],[DISC 3-]])</f>
        <v/>
      </c>
      <c r="AA534" s="42" t="str">
        <f>IF(NOTA[[#This Row],[JUMLAH]]="","",NOTA[[#This Row],[JUMLAH]]-NOTA[[#This Row],[DISC]])</f>
        <v/>
      </c>
      <c r="AB534" s="42"/>
      <c r="AC5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42" t="str">
        <f>IF(OR(NOTA[[#This Row],[QTY]]="",NOTA[[#This Row],[HARGA SATUAN]]="",),"",NOTA[[#This Row],[QTY]]*NOTA[[#This Row],[HARGA SATUAN]])</f>
        <v/>
      </c>
      <c r="AG534" s="36" t="str">
        <f ca="1">IF(NOTA[[#This Row],[ID_H]]="","",INDEX(NOTA[TANGGAL],MATCH(,INDIRECT(ADDRESS(ROW(NOTA[TANGGAL]),COLUMN(NOTA[TANGGAL]))&amp;":"&amp;ADDRESS(ROW(),COLUMN(NOTA[TANGGAL]))),-1)))</f>
        <v/>
      </c>
      <c r="AH534" s="36" t="str">
        <f ca="1">IF(NOTA[[#This Row],[ID_H]]="","",INDEX(NOTA[TGL.NOTA],MATCH(,INDIRECT(ADDRESS(ROW(NOTA[TGL.NOTA]),COLUMN(NOTA[TGL.NOTA]))&amp;":"&amp;ADDRESS(ROW(),COLUMN(NOTA[TGL.NOTA]))),-1)))</f>
        <v/>
      </c>
      <c r="AI534" s="36" t="str">
        <f ca="1">IF(NOTA[[#This Row],[ID_H]]="","",INDEX(NOTA[NO.NOTA],MATCH(NOTA[[#This Row],[ID_H]],NOTA[ID_H],0)))</f>
        <v/>
      </c>
      <c r="AJ534" s="38" t="str">
        <f ca="1">IF(NOTA[[#This Row],[NAMA BARANG]]="","",INDEX(NOTA[SUPPLIER],MATCH(,INDIRECT(ADDRESS(ROW(NOTA[ID]),COLUMN(NOTA[ID]))&amp;":"&amp;ADDRESS(ROW(),COLUMN(NOTA[ID]))),-1)))</f>
        <v/>
      </c>
      <c r="AK534" s="38" t="str">
        <f ca="1">IF(NOTA[[#This Row],[ID_H]]="","",IF(NOTA[[#This Row],[FAKTUR]]="",INDIRECT(ADDRESS(ROW()-1,COLUMN())),NOTA[[#This Row],[FAKTUR]]))</f>
        <v/>
      </c>
      <c r="AL534" s="35" t="str">
        <f ca="1">IF(NOTA[[#This Row],[ID]]="","",COUNTIF(NOTA[ID_H],NOTA[[#This Row],[ID_H]]))</f>
        <v/>
      </c>
      <c r="AM534" s="35" t="str">
        <f ca="1">IF(NOTA[[#This Row],[TGL.NOTA]]="",IF(NOTA[[#This Row],[SUPPLIER_H]]="","",AM533),MONTH(NOTA[[#This Row],[TGL.NOTA]]))</f>
        <v/>
      </c>
      <c r="AN5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4" s="35" t="str">
        <f>IF(NOTA[[#This Row],[CONCAT1]]="","",MATCH(NOTA[[#This Row],[CONCAT1]],[3]!db[NB NOTA_C],0))</f>
        <v/>
      </c>
      <c r="AS534" s="35" t="str">
        <f>IF(NOTA[[#This Row],[Column5]]="","",TRUE)</f>
        <v/>
      </c>
      <c r="AT534" s="35" t="str">
        <f ca="1">IF(NOTA[[#This Row],[ID_H]]="","",IF(NOTA[[#This Row],[Column3]]=TRUE,NOTA[[#This Row],[Column5]],INDEX([3]!db[QTY/ CTN],NOTA[[#This Row],[//DB]])))</f>
        <v/>
      </c>
      <c r="AU5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4" s="35" t="str">
        <f ca="1">IF(NOTA[[#This Row],[ID_H]]="","",MATCH(NOTA[[#This Row],[NB NOTA_C_QTY]],[3]!db[NB NOTA_C_QTY+F],0))</f>
        <v/>
      </c>
      <c r="AW534" s="43" t="str">
        <f ca="1">IF(NOTA[[#This Row],[NB NOTA_C_QTY]]="","",ROW()-2)</f>
        <v/>
      </c>
    </row>
    <row r="535" spans="1:49" ht="20.100000000000001" customHeight="1">
      <c r="A5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5" t="str">
        <f ca="1">IF(NOTA[[#This Row],[NAMA BARANG]]="","",INDEX(NOTA[ID],MATCH(,INDIRECT(ADDRESS(ROW(NOTA[ID]),COLUMN(NOTA[ID]))&amp;":"&amp;ADDRESS(ROW(),COLUMN(NOTA[ID]))),-1)))</f>
        <v/>
      </c>
      <c r="C535" s="45"/>
      <c r="F535" s="46"/>
      <c r="G535" s="35"/>
      <c r="H535" s="36"/>
      <c r="I535" s="35"/>
      <c r="K535" s="37"/>
      <c r="L535" s="35"/>
      <c r="N535" s="38"/>
      <c r="O535" s="39"/>
      <c r="P535" s="47"/>
      <c r="Q535" s="48"/>
      <c r="R535" s="41"/>
      <c r="T535" s="42"/>
      <c r="U535" s="44"/>
      <c r="V535" s="42" t="str">
        <f>IF(NOTA[[#This Row],[HARGA/ CTN]]="",NOTA[[#This Row],[JUMLAH_H]],NOTA[[#This Row],[HARGA/ CTN]]*IF(NOTA[[#This Row],[C]]="",0,NOTA[[#This Row],[C]]))</f>
        <v/>
      </c>
      <c r="W535" s="42" t="str">
        <f>IF(NOTA[[#This Row],[JUMLAH]]="","",NOTA[[#This Row],[JUMLAH]]*NOTA[[#This Row],[Column6]])</f>
        <v/>
      </c>
      <c r="X535" s="42" t="str">
        <f>IF(NOTA[[#This Row],[JUMLAH]]="","",(NOTA[[#This Row],[JUMLAH]]-NOTA[[#This Row],[DISC 1-]])*NOTA[[#This Row],[Column7]])</f>
        <v/>
      </c>
      <c r="Y535" s="42" t="str">
        <f>IF(NOTA[[#This Row],[JUMLAH]]="","",(NOTA[[#This Row],[JUMLAH]]-NOTA[[#This Row],[DISC 1-]]-NOTA[[#This Row],[DISC 2-]])*NOTA[[#This Row],[Column8]])</f>
        <v/>
      </c>
      <c r="Z535" s="42" t="str">
        <f>IF(NOTA[[#This Row],[JUMLAH]]="","",NOTA[[#This Row],[DISC 1-]]+NOTA[[#This Row],[DISC 2-]]+NOTA[[#This Row],[DISC 3-]])</f>
        <v/>
      </c>
      <c r="AA535" s="42" t="str">
        <f>IF(NOTA[[#This Row],[JUMLAH]]="","",NOTA[[#This Row],[JUMLAH]]-NOTA[[#This Row],[DISC]])</f>
        <v/>
      </c>
      <c r="AB535" s="42"/>
      <c r="AC5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42" t="str">
        <f>IF(OR(NOTA[[#This Row],[QTY]]="",NOTA[[#This Row],[HARGA SATUAN]]="",),"",NOTA[[#This Row],[QTY]]*NOTA[[#This Row],[HARGA SATUAN]])</f>
        <v/>
      </c>
      <c r="AG535" s="36" t="str">
        <f ca="1">IF(NOTA[[#This Row],[ID_H]]="","",INDEX(NOTA[TANGGAL],MATCH(,INDIRECT(ADDRESS(ROW(NOTA[TANGGAL]),COLUMN(NOTA[TANGGAL]))&amp;":"&amp;ADDRESS(ROW(),COLUMN(NOTA[TANGGAL]))),-1)))</f>
        <v/>
      </c>
      <c r="AH535" s="36" t="str">
        <f ca="1">IF(NOTA[[#This Row],[ID_H]]="","",INDEX(NOTA[TGL.NOTA],MATCH(,INDIRECT(ADDRESS(ROW(NOTA[TGL.NOTA]),COLUMN(NOTA[TGL.NOTA]))&amp;":"&amp;ADDRESS(ROW(),COLUMN(NOTA[TGL.NOTA]))),-1)))</f>
        <v/>
      </c>
      <c r="AI535" s="36" t="str">
        <f ca="1">IF(NOTA[[#This Row],[ID_H]]="","",INDEX(NOTA[NO.NOTA],MATCH(NOTA[[#This Row],[ID_H]],NOTA[ID_H],0)))</f>
        <v/>
      </c>
      <c r="AJ535" s="38" t="str">
        <f ca="1">IF(NOTA[[#This Row],[NAMA BARANG]]="","",INDEX(NOTA[SUPPLIER],MATCH(,INDIRECT(ADDRESS(ROW(NOTA[ID]),COLUMN(NOTA[ID]))&amp;":"&amp;ADDRESS(ROW(),COLUMN(NOTA[ID]))),-1)))</f>
        <v/>
      </c>
      <c r="AK535" s="38" t="str">
        <f ca="1">IF(NOTA[[#This Row],[ID_H]]="","",IF(NOTA[[#This Row],[FAKTUR]]="",INDIRECT(ADDRESS(ROW()-1,COLUMN())),NOTA[[#This Row],[FAKTUR]]))</f>
        <v/>
      </c>
      <c r="AL535" s="35" t="str">
        <f ca="1">IF(NOTA[[#This Row],[ID]]="","",COUNTIF(NOTA[ID_H],NOTA[[#This Row],[ID_H]]))</f>
        <v/>
      </c>
      <c r="AM535" s="35" t="str">
        <f ca="1">IF(NOTA[[#This Row],[TGL.NOTA]]="",IF(NOTA[[#This Row],[SUPPLIER_H]]="","",AM534),MONTH(NOTA[[#This Row],[TGL.NOTA]]))</f>
        <v/>
      </c>
      <c r="AN5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5" s="35" t="str">
        <f>IF(NOTA[[#This Row],[CONCAT1]]="","",MATCH(NOTA[[#This Row],[CONCAT1]],[3]!db[NB NOTA_C],0))</f>
        <v/>
      </c>
      <c r="AS535" s="35" t="str">
        <f>IF(NOTA[[#This Row],[Column5]]="","",TRUE)</f>
        <v/>
      </c>
      <c r="AT535" s="35" t="str">
        <f ca="1">IF(NOTA[[#This Row],[ID_H]]="","",IF(NOTA[[#This Row],[Column3]]=TRUE,NOTA[[#This Row],[Column5]],INDEX([3]!db[QTY/ CTN],NOTA[[#This Row],[//DB]])))</f>
        <v/>
      </c>
      <c r="AU5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5" s="35" t="str">
        <f ca="1">IF(NOTA[[#This Row],[ID_H]]="","",MATCH(NOTA[[#This Row],[NB NOTA_C_QTY]],[3]!db[NB NOTA_C_QTY+F],0))</f>
        <v/>
      </c>
      <c r="AW535" s="43" t="str">
        <f ca="1">IF(NOTA[[#This Row],[NB NOTA_C_QTY]]="","",ROW()-2)</f>
        <v/>
      </c>
    </row>
    <row r="536" spans="1:49" ht="20.100000000000001" customHeight="1">
      <c r="A5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5" t="str">
        <f ca="1">IF(NOTA[[#This Row],[NAMA BARANG]]="","",INDEX(NOTA[ID],MATCH(,INDIRECT(ADDRESS(ROW(NOTA[ID]),COLUMN(NOTA[ID]))&amp;":"&amp;ADDRESS(ROW(),COLUMN(NOTA[ID]))),-1)))</f>
        <v/>
      </c>
      <c r="C536" s="45"/>
      <c r="F536" s="46"/>
      <c r="G536" s="35"/>
      <c r="H536" s="36"/>
      <c r="I536" s="35"/>
      <c r="K536" s="37"/>
      <c r="L536" s="35"/>
      <c r="N536" s="38"/>
      <c r="O536" s="39"/>
      <c r="P536" s="47"/>
      <c r="Q536" s="48"/>
      <c r="R536" s="41"/>
      <c r="T536" s="42"/>
      <c r="U536" s="44"/>
      <c r="V536" s="42" t="str">
        <f>IF(NOTA[[#This Row],[HARGA/ CTN]]="",NOTA[[#This Row],[JUMLAH_H]],NOTA[[#This Row],[HARGA/ CTN]]*IF(NOTA[[#This Row],[C]]="",0,NOTA[[#This Row],[C]]))</f>
        <v/>
      </c>
      <c r="W536" s="42" t="str">
        <f>IF(NOTA[[#This Row],[JUMLAH]]="","",NOTA[[#This Row],[JUMLAH]]*NOTA[[#This Row],[Column6]])</f>
        <v/>
      </c>
      <c r="X536" s="42" t="str">
        <f>IF(NOTA[[#This Row],[JUMLAH]]="","",(NOTA[[#This Row],[JUMLAH]]-NOTA[[#This Row],[DISC 1-]])*NOTA[[#This Row],[Column7]])</f>
        <v/>
      </c>
      <c r="Y536" s="42" t="str">
        <f>IF(NOTA[[#This Row],[JUMLAH]]="","",(NOTA[[#This Row],[JUMLAH]]-NOTA[[#This Row],[DISC 1-]]-NOTA[[#This Row],[DISC 2-]])*NOTA[[#This Row],[Column8]])</f>
        <v/>
      </c>
      <c r="Z536" s="42" t="str">
        <f>IF(NOTA[[#This Row],[JUMLAH]]="","",NOTA[[#This Row],[DISC 1-]]+NOTA[[#This Row],[DISC 2-]]+NOTA[[#This Row],[DISC 3-]])</f>
        <v/>
      </c>
      <c r="AA536" s="42" t="str">
        <f>IF(NOTA[[#This Row],[JUMLAH]]="","",NOTA[[#This Row],[JUMLAH]]-NOTA[[#This Row],[DISC]])</f>
        <v/>
      </c>
      <c r="AB536" s="42"/>
      <c r="AC5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42" t="str">
        <f>IF(OR(NOTA[[#This Row],[QTY]]="",NOTA[[#This Row],[HARGA SATUAN]]="",),"",NOTA[[#This Row],[QTY]]*NOTA[[#This Row],[HARGA SATUAN]])</f>
        <v/>
      </c>
      <c r="AG536" s="36" t="str">
        <f ca="1">IF(NOTA[[#This Row],[ID_H]]="","",INDEX(NOTA[TANGGAL],MATCH(,INDIRECT(ADDRESS(ROW(NOTA[TANGGAL]),COLUMN(NOTA[TANGGAL]))&amp;":"&amp;ADDRESS(ROW(),COLUMN(NOTA[TANGGAL]))),-1)))</f>
        <v/>
      </c>
      <c r="AH536" s="36" t="str">
        <f ca="1">IF(NOTA[[#This Row],[ID_H]]="","",INDEX(NOTA[TGL.NOTA],MATCH(,INDIRECT(ADDRESS(ROW(NOTA[TGL.NOTA]),COLUMN(NOTA[TGL.NOTA]))&amp;":"&amp;ADDRESS(ROW(),COLUMN(NOTA[TGL.NOTA]))),-1)))</f>
        <v/>
      </c>
      <c r="AI536" s="36" t="str">
        <f ca="1">IF(NOTA[[#This Row],[ID_H]]="","",INDEX(NOTA[NO.NOTA],MATCH(NOTA[[#This Row],[ID_H]],NOTA[ID_H],0)))</f>
        <v/>
      </c>
      <c r="AJ536" s="38" t="str">
        <f ca="1">IF(NOTA[[#This Row],[NAMA BARANG]]="","",INDEX(NOTA[SUPPLIER],MATCH(,INDIRECT(ADDRESS(ROW(NOTA[ID]),COLUMN(NOTA[ID]))&amp;":"&amp;ADDRESS(ROW(),COLUMN(NOTA[ID]))),-1)))</f>
        <v/>
      </c>
      <c r="AK536" s="38" t="str">
        <f ca="1">IF(NOTA[[#This Row],[ID_H]]="","",IF(NOTA[[#This Row],[FAKTUR]]="",INDIRECT(ADDRESS(ROW()-1,COLUMN())),NOTA[[#This Row],[FAKTUR]]))</f>
        <v/>
      </c>
      <c r="AL536" s="35" t="str">
        <f ca="1">IF(NOTA[[#This Row],[ID]]="","",COUNTIF(NOTA[ID_H],NOTA[[#This Row],[ID_H]]))</f>
        <v/>
      </c>
      <c r="AM536" s="35" t="str">
        <f ca="1">IF(NOTA[[#This Row],[TGL.NOTA]]="",IF(NOTA[[#This Row],[SUPPLIER_H]]="","",AM535),MONTH(NOTA[[#This Row],[TGL.NOTA]]))</f>
        <v/>
      </c>
      <c r="AN5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6" s="35" t="str">
        <f>IF(NOTA[[#This Row],[CONCAT1]]="","",MATCH(NOTA[[#This Row],[CONCAT1]],[3]!db[NB NOTA_C],0))</f>
        <v/>
      </c>
      <c r="AS536" s="35" t="str">
        <f>IF(NOTA[[#This Row],[Column5]]="","",TRUE)</f>
        <v/>
      </c>
      <c r="AT536" s="35" t="str">
        <f ca="1">IF(NOTA[[#This Row],[ID_H]]="","",IF(NOTA[[#This Row],[Column3]]=TRUE,NOTA[[#This Row],[Column5]],INDEX([3]!db[QTY/ CTN],NOTA[[#This Row],[//DB]])))</f>
        <v/>
      </c>
      <c r="AU5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6" s="35" t="str">
        <f ca="1">IF(NOTA[[#This Row],[ID_H]]="","",MATCH(NOTA[[#This Row],[NB NOTA_C_QTY]],[3]!db[NB NOTA_C_QTY+F],0))</f>
        <v/>
      </c>
      <c r="AW536" s="43" t="str">
        <f ca="1">IF(NOTA[[#This Row],[NB NOTA_C_QTY]]="","",ROW()-2)</f>
        <v/>
      </c>
    </row>
    <row r="537" spans="1:49" ht="20.100000000000001" customHeight="1">
      <c r="A5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5" t="str">
        <f ca="1">IF(NOTA[[#This Row],[NAMA BARANG]]="","",INDEX(NOTA[ID],MATCH(,INDIRECT(ADDRESS(ROW(NOTA[ID]),COLUMN(NOTA[ID]))&amp;":"&amp;ADDRESS(ROW(),COLUMN(NOTA[ID]))),-1)))</f>
        <v/>
      </c>
      <c r="C537" s="45"/>
      <c r="F537" s="46"/>
      <c r="G537" s="35"/>
      <c r="H537" s="36"/>
      <c r="I537" s="35"/>
      <c r="K537" s="37"/>
      <c r="L537" s="35"/>
      <c r="N537" s="38"/>
      <c r="O537" s="39"/>
      <c r="P537" s="47"/>
      <c r="Q537" s="48"/>
      <c r="R537" s="41"/>
      <c r="T537" s="42"/>
      <c r="U537" s="44"/>
      <c r="V537" s="42" t="str">
        <f>IF(NOTA[[#This Row],[HARGA/ CTN]]="",NOTA[[#This Row],[JUMLAH_H]],NOTA[[#This Row],[HARGA/ CTN]]*IF(NOTA[[#This Row],[C]]="",0,NOTA[[#This Row],[C]]))</f>
        <v/>
      </c>
      <c r="W537" s="42" t="str">
        <f>IF(NOTA[[#This Row],[JUMLAH]]="","",NOTA[[#This Row],[JUMLAH]]*NOTA[[#This Row],[Column6]])</f>
        <v/>
      </c>
      <c r="X537" s="42" t="str">
        <f>IF(NOTA[[#This Row],[JUMLAH]]="","",(NOTA[[#This Row],[JUMLAH]]-NOTA[[#This Row],[DISC 1-]])*NOTA[[#This Row],[Column7]])</f>
        <v/>
      </c>
      <c r="Y537" s="42" t="str">
        <f>IF(NOTA[[#This Row],[JUMLAH]]="","",(NOTA[[#This Row],[JUMLAH]]-NOTA[[#This Row],[DISC 1-]]-NOTA[[#This Row],[DISC 2-]])*NOTA[[#This Row],[Column8]])</f>
        <v/>
      </c>
      <c r="Z537" s="42" t="str">
        <f>IF(NOTA[[#This Row],[JUMLAH]]="","",NOTA[[#This Row],[DISC 1-]]+NOTA[[#This Row],[DISC 2-]]+NOTA[[#This Row],[DISC 3-]])</f>
        <v/>
      </c>
      <c r="AA537" s="42" t="str">
        <f>IF(NOTA[[#This Row],[JUMLAH]]="","",NOTA[[#This Row],[JUMLAH]]-NOTA[[#This Row],[DISC]])</f>
        <v/>
      </c>
      <c r="AB537" s="42"/>
      <c r="AC5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42" t="str">
        <f>IF(OR(NOTA[[#This Row],[QTY]]="",NOTA[[#This Row],[HARGA SATUAN]]="",),"",NOTA[[#This Row],[QTY]]*NOTA[[#This Row],[HARGA SATUAN]])</f>
        <v/>
      </c>
      <c r="AG537" s="36" t="str">
        <f ca="1">IF(NOTA[[#This Row],[ID_H]]="","",INDEX(NOTA[TANGGAL],MATCH(,INDIRECT(ADDRESS(ROW(NOTA[TANGGAL]),COLUMN(NOTA[TANGGAL]))&amp;":"&amp;ADDRESS(ROW(),COLUMN(NOTA[TANGGAL]))),-1)))</f>
        <v/>
      </c>
      <c r="AH537" s="36" t="str">
        <f ca="1">IF(NOTA[[#This Row],[ID_H]]="","",INDEX(NOTA[TGL.NOTA],MATCH(,INDIRECT(ADDRESS(ROW(NOTA[TGL.NOTA]),COLUMN(NOTA[TGL.NOTA]))&amp;":"&amp;ADDRESS(ROW(),COLUMN(NOTA[TGL.NOTA]))),-1)))</f>
        <v/>
      </c>
      <c r="AI537" s="36" t="str">
        <f ca="1">IF(NOTA[[#This Row],[ID_H]]="","",INDEX(NOTA[NO.NOTA],MATCH(NOTA[[#This Row],[ID_H]],NOTA[ID_H],0)))</f>
        <v/>
      </c>
      <c r="AJ537" s="38" t="str">
        <f ca="1">IF(NOTA[[#This Row],[NAMA BARANG]]="","",INDEX(NOTA[SUPPLIER],MATCH(,INDIRECT(ADDRESS(ROW(NOTA[ID]),COLUMN(NOTA[ID]))&amp;":"&amp;ADDRESS(ROW(),COLUMN(NOTA[ID]))),-1)))</f>
        <v/>
      </c>
      <c r="AK537" s="38" t="str">
        <f ca="1">IF(NOTA[[#This Row],[ID_H]]="","",IF(NOTA[[#This Row],[FAKTUR]]="",INDIRECT(ADDRESS(ROW()-1,COLUMN())),NOTA[[#This Row],[FAKTUR]]))</f>
        <v/>
      </c>
      <c r="AL537" s="35" t="str">
        <f ca="1">IF(NOTA[[#This Row],[ID]]="","",COUNTIF(NOTA[ID_H],NOTA[[#This Row],[ID_H]]))</f>
        <v/>
      </c>
      <c r="AM537" s="35" t="str">
        <f ca="1">IF(NOTA[[#This Row],[TGL.NOTA]]="",IF(NOTA[[#This Row],[SUPPLIER_H]]="","",AM536),MONTH(NOTA[[#This Row],[TGL.NOTA]]))</f>
        <v/>
      </c>
      <c r="AN5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7" s="35" t="str">
        <f>IF(NOTA[[#This Row],[CONCAT1]]="","",MATCH(NOTA[[#This Row],[CONCAT1]],[3]!db[NB NOTA_C],0))</f>
        <v/>
      </c>
      <c r="AS537" s="35" t="str">
        <f>IF(NOTA[[#This Row],[Column5]]="","",TRUE)</f>
        <v/>
      </c>
      <c r="AT537" s="35" t="str">
        <f ca="1">IF(NOTA[[#This Row],[ID_H]]="","",IF(NOTA[[#This Row],[Column3]]=TRUE,NOTA[[#This Row],[Column5]],INDEX([3]!db[QTY/ CTN],NOTA[[#This Row],[//DB]])))</f>
        <v/>
      </c>
      <c r="AU5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7" s="35" t="str">
        <f ca="1">IF(NOTA[[#This Row],[ID_H]]="","",MATCH(NOTA[[#This Row],[NB NOTA_C_QTY]],[3]!db[NB NOTA_C_QTY+F],0))</f>
        <v/>
      </c>
      <c r="AW537" s="43" t="str">
        <f ca="1">IF(NOTA[[#This Row],[NB NOTA_C_QTY]]="","",ROW()-2)</f>
        <v/>
      </c>
    </row>
    <row r="538" spans="1:49" ht="20.100000000000001" customHeight="1">
      <c r="A5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5" t="str">
        <f ca="1">IF(NOTA[[#This Row],[NAMA BARANG]]="","",INDEX(NOTA[ID],MATCH(,INDIRECT(ADDRESS(ROW(NOTA[ID]),COLUMN(NOTA[ID]))&amp;":"&amp;ADDRESS(ROW(),COLUMN(NOTA[ID]))),-1)))</f>
        <v/>
      </c>
      <c r="C538" s="45"/>
      <c r="F538" s="46"/>
      <c r="G538" s="35"/>
      <c r="H538" s="36"/>
      <c r="I538" s="35"/>
      <c r="K538" s="37"/>
      <c r="L538" s="35"/>
      <c r="N538" s="38"/>
      <c r="O538" s="39"/>
      <c r="P538" s="47"/>
      <c r="Q538" s="48"/>
      <c r="R538" s="41"/>
      <c r="T538" s="42"/>
      <c r="U538" s="44"/>
      <c r="V538" s="42" t="str">
        <f>IF(NOTA[[#This Row],[HARGA/ CTN]]="",NOTA[[#This Row],[JUMLAH_H]],NOTA[[#This Row],[HARGA/ CTN]]*IF(NOTA[[#This Row],[C]]="",0,NOTA[[#This Row],[C]]))</f>
        <v/>
      </c>
      <c r="W538" s="42" t="str">
        <f>IF(NOTA[[#This Row],[JUMLAH]]="","",NOTA[[#This Row],[JUMLAH]]*NOTA[[#This Row],[Column6]])</f>
        <v/>
      </c>
      <c r="X538" s="42" t="str">
        <f>IF(NOTA[[#This Row],[JUMLAH]]="","",(NOTA[[#This Row],[JUMLAH]]-NOTA[[#This Row],[DISC 1-]])*NOTA[[#This Row],[Column7]])</f>
        <v/>
      </c>
      <c r="Y538" s="42" t="str">
        <f>IF(NOTA[[#This Row],[JUMLAH]]="","",(NOTA[[#This Row],[JUMLAH]]-NOTA[[#This Row],[DISC 1-]]-NOTA[[#This Row],[DISC 2-]])*NOTA[[#This Row],[Column8]])</f>
        <v/>
      </c>
      <c r="Z538" s="42" t="str">
        <f>IF(NOTA[[#This Row],[JUMLAH]]="","",NOTA[[#This Row],[DISC 1-]]+NOTA[[#This Row],[DISC 2-]]+NOTA[[#This Row],[DISC 3-]])</f>
        <v/>
      </c>
      <c r="AA538" s="42" t="str">
        <f>IF(NOTA[[#This Row],[JUMLAH]]="","",NOTA[[#This Row],[JUMLAH]]-NOTA[[#This Row],[DISC]])</f>
        <v/>
      </c>
      <c r="AB538" s="42"/>
      <c r="AC5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42" t="str">
        <f>IF(OR(NOTA[[#This Row],[QTY]]="",NOTA[[#This Row],[HARGA SATUAN]]="",),"",NOTA[[#This Row],[QTY]]*NOTA[[#This Row],[HARGA SATUAN]])</f>
        <v/>
      </c>
      <c r="AG538" s="36" t="str">
        <f ca="1">IF(NOTA[[#This Row],[ID_H]]="","",INDEX(NOTA[TANGGAL],MATCH(,INDIRECT(ADDRESS(ROW(NOTA[TANGGAL]),COLUMN(NOTA[TANGGAL]))&amp;":"&amp;ADDRESS(ROW(),COLUMN(NOTA[TANGGAL]))),-1)))</f>
        <v/>
      </c>
      <c r="AH538" s="36" t="str">
        <f ca="1">IF(NOTA[[#This Row],[ID_H]]="","",INDEX(NOTA[TGL.NOTA],MATCH(,INDIRECT(ADDRESS(ROW(NOTA[TGL.NOTA]),COLUMN(NOTA[TGL.NOTA]))&amp;":"&amp;ADDRESS(ROW(),COLUMN(NOTA[TGL.NOTA]))),-1)))</f>
        <v/>
      </c>
      <c r="AI538" s="36" t="str">
        <f ca="1">IF(NOTA[[#This Row],[ID_H]]="","",INDEX(NOTA[NO.NOTA],MATCH(NOTA[[#This Row],[ID_H]],NOTA[ID_H],0)))</f>
        <v/>
      </c>
      <c r="AJ538" s="38" t="str">
        <f ca="1">IF(NOTA[[#This Row],[NAMA BARANG]]="","",INDEX(NOTA[SUPPLIER],MATCH(,INDIRECT(ADDRESS(ROW(NOTA[ID]),COLUMN(NOTA[ID]))&amp;":"&amp;ADDRESS(ROW(),COLUMN(NOTA[ID]))),-1)))</f>
        <v/>
      </c>
      <c r="AK538" s="38" t="str">
        <f ca="1">IF(NOTA[[#This Row],[ID_H]]="","",IF(NOTA[[#This Row],[FAKTUR]]="",INDIRECT(ADDRESS(ROW()-1,COLUMN())),NOTA[[#This Row],[FAKTUR]]))</f>
        <v/>
      </c>
      <c r="AL538" s="35" t="str">
        <f ca="1">IF(NOTA[[#This Row],[ID]]="","",COUNTIF(NOTA[ID_H],NOTA[[#This Row],[ID_H]]))</f>
        <v/>
      </c>
      <c r="AM538" s="35" t="str">
        <f ca="1">IF(NOTA[[#This Row],[TGL.NOTA]]="",IF(NOTA[[#This Row],[SUPPLIER_H]]="","",AM537),MONTH(NOTA[[#This Row],[TGL.NOTA]]))</f>
        <v/>
      </c>
      <c r="AN5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8" s="35" t="str">
        <f>IF(NOTA[[#This Row],[CONCAT1]]="","",MATCH(NOTA[[#This Row],[CONCAT1]],[3]!db[NB NOTA_C],0))</f>
        <v/>
      </c>
      <c r="AS538" s="35" t="str">
        <f>IF(NOTA[[#This Row],[Column5]]="","",TRUE)</f>
        <v/>
      </c>
      <c r="AT538" s="35" t="str">
        <f ca="1">IF(NOTA[[#This Row],[ID_H]]="","",IF(NOTA[[#This Row],[Column3]]=TRUE,NOTA[[#This Row],[Column5]],INDEX([3]!db[QTY/ CTN],NOTA[[#This Row],[//DB]])))</f>
        <v/>
      </c>
      <c r="AU5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8" s="35" t="str">
        <f ca="1">IF(NOTA[[#This Row],[ID_H]]="","",MATCH(NOTA[[#This Row],[NB NOTA_C_QTY]],[3]!db[NB NOTA_C_QTY+F],0))</f>
        <v/>
      </c>
      <c r="AW538" s="43" t="str">
        <f ca="1">IF(NOTA[[#This Row],[NB NOTA_C_QTY]]="","",ROW()-2)</f>
        <v/>
      </c>
    </row>
    <row r="539" spans="1:49" ht="20.100000000000001" customHeight="1">
      <c r="A5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5" t="str">
        <f ca="1">IF(NOTA[[#This Row],[NAMA BARANG]]="","",INDEX(NOTA[ID],MATCH(,INDIRECT(ADDRESS(ROW(NOTA[ID]),COLUMN(NOTA[ID]))&amp;":"&amp;ADDRESS(ROW(),COLUMN(NOTA[ID]))),-1)))</f>
        <v/>
      </c>
      <c r="C539" s="45"/>
      <c r="F539" s="46"/>
      <c r="G539" s="35"/>
      <c r="H539" s="36"/>
      <c r="I539" s="35"/>
      <c r="K539" s="37"/>
      <c r="L539" s="35"/>
      <c r="N539" s="38"/>
      <c r="O539" s="39"/>
      <c r="P539" s="47"/>
      <c r="Q539" s="48"/>
      <c r="R539" s="41"/>
      <c r="T539" s="42"/>
      <c r="U539" s="44"/>
      <c r="V539" s="42" t="str">
        <f>IF(NOTA[[#This Row],[HARGA/ CTN]]="",NOTA[[#This Row],[JUMLAH_H]],NOTA[[#This Row],[HARGA/ CTN]]*IF(NOTA[[#This Row],[C]]="",0,NOTA[[#This Row],[C]]))</f>
        <v/>
      </c>
      <c r="W539" s="42" t="str">
        <f>IF(NOTA[[#This Row],[JUMLAH]]="","",NOTA[[#This Row],[JUMLAH]]*NOTA[[#This Row],[Column6]])</f>
        <v/>
      </c>
      <c r="X539" s="42" t="str">
        <f>IF(NOTA[[#This Row],[JUMLAH]]="","",(NOTA[[#This Row],[JUMLAH]]-NOTA[[#This Row],[DISC 1-]])*NOTA[[#This Row],[Column7]])</f>
        <v/>
      </c>
      <c r="Y539" s="42" t="str">
        <f>IF(NOTA[[#This Row],[JUMLAH]]="","",(NOTA[[#This Row],[JUMLAH]]-NOTA[[#This Row],[DISC 1-]]-NOTA[[#This Row],[DISC 2-]])*NOTA[[#This Row],[Column8]])</f>
        <v/>
      </c>
      <c r="Z539" s="42" t="str">
        <f>IF(NOTA[[#This Row],[JUMLAH]]="","",NOTA[[#This Row],[DISC 1-]]+NOTA[[#This Row],[DISC 2-]]+NOTA[[#This Row],[DISC 3-]])</f>
        <v/>
      </c>
      <c r="AA539" s="42" t="str">
        <f>IF(NOTA[[#This Row],[JUMLAH]]="","",NOTA[[#This Row],[JUMLAH]]-NOTA[[#This Row],[DISC]])</f>
        <v/>
      </c>
      <c r="AB539" s="42"/>
      <c r="AC5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42" t="str">
        <f>IF(OR(NOTA[[#This Row],[QTY]]="",NOTA[[#This Row],[HARGA SATUAN]]="",),"",NOTA[[#This Row],[QTY]]*NOTA[[#This Row],[HARGA SATUAN]])</f>
        <v/>
      </c>
      <c r="AG539" s="36" t="str">
        <f ca="1">IF(NOTA[[#This Row],[ID_H]]="","",INDEX(NOTA[TANGGAL],MATCH(,INDIRECT(ADDRESS(ROW(NOTA[TANGGAL]),COLUMN(NOTA[TANGGAL]))&amp;":"&amp;ADDRESS(ROW(),COLUMN(NOTA[TANGGAL]))),-1)))</f>
        <v/>
      </c>
      <c r="AH539" s="36" t="str">
        <f ca="1">IF(NOTA[[#This Row],[ID_H]]="","",INDEX(NOTA[TGL.NOTA],MATCH(,INDIRECT(ADDRESS(ROW(NOTA[TGL.NOTA]),COLUMN(NOTA[TGL.NOTA]))&amp;":"&amp;ADDRESS(ROW(),COLUMN(NOTA[TGL.NOTA]))),-1)))</f>
        <v/>
      </c>
      <c r="AI539" s="36" t="str">
        <f ca="1">IF(NOTA[[#This Row],[ID_H]]="","",INDEX(NOTA[NO.NOTA],MATCH(NOTA[[#This Row],[ID_H]],NOTA[ID_H],0)))</f>
        <v/>
      </c>
      <c r="AJ539" s="38" t="str">
        <f ca="1">IF(NOTA[[#This Row],[NAMA BARANG]]="","",INDEX(NOTA[SUPPLIER],MATCH(,INDIRECT(ADDRESS(ROW(NOTA[ID]),COLUMN(NOTA[ID]))&amp;":"&amp;ADDRESS(ROW(),COLUMN(NOTA[ID]))),-1)))</f>
        <v/>
      </c>
      <c r="AK539" s="38" t="str">
        <f ca="1">IF(NOTA[[#This Row],[ID_H]]="","",IF(NOTA[[#This Row],[FAKTUR]]="",INDIRECT(ADDRESS(ROW()-1,COLUMN())),NOTA[[#This Row],[FAKTUR]]))</f>
        <v/>
      </c>
      <c r="AL539" s="35" t="str">
        <f ca="1">IF(NOTA[[#This Row],[ID]]="","",COUNTIF(NOTA[ID_H],NOTA[[#This Row],[ID_H]]))</f>
        <v/>
      </c>
      <c r="AM539" s="35" t="str">
        <f ca="1">IF(NOTA[[#This Row],[TGL.NOTA]]="",IF(NOTA[[#This Row],[SUPPLIER_H]]="","",AM538),MONTH(NOTA[[#This Row],[TGL.NOTA]]))</f>
        <v/>
      </c>
      <c r="AN5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9" s="35" t="str">
        <f>IF(NOTA[[#This Row],[CONCAT1]]="","",MATCH(NOTA[[#This Row],[CONCAT1]],[3]!db[NB NOTA_C],0))</f>
        <v/>
      </c>
      <c r="AS539" s="35" t="str">
        <f>IF(NOTA[[#This Row],[Column5]]="","",TRUE)</f>
        <v/>
      </c>
      <c r="AT539" s="35" t="str">
        <f ca="1">IF(NOTA[[#This Row],[ID_H]]="","",IF(NOTA[[#This Row],[Column3]]=TRUE,NOTA[[#This Row],[Column5]],INDEX([3]!db[QTY/ CTN],NOTA[[#This Row],[//DB]])))</f>
        <v/>
      </c>
      <c r="AU5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39" s="35" t="str">
        <f ca="1">IF(NOTA[[#This Row],[ID_H]]="","",MATCH(NOTA[[#This Row],[NB NOTA_C_QTY]],[3]!db[NB NOTA_C_QTY+F],0))</f>
        <v/>
      </c>
      <c r="AW539" s="43" t="str">
        <f ca="1">IF(NOTA[[#This Row],[NB NOTA_C_QTY]]="","",ROW()-2)</f>
        <v/>
      </c>
    </row>
    <row r="540" spans="1:49" ht="20.100000000000001" customHeight="1">
      <c r="A5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5" t="str">
        <f ca="1">IF(NOTA[[#This Row],[NAMA BARANG]]="","",INDEX(NOTA[ID],MATCH(,INDIRECT(ADDRESS(ROW(NOTA[ID]),COLUMN(NOTA[ID]))&amp;":"&amp;ADDRESS(ROW(),COLUMN(NOTA[ID]))),-1)))</f>
        <v/>
      </c>
      <c r="C540" s="45"/>
      <c r="F540" s="46"/>
      <c r="G540" s="35"/>
      <c r="H540" s="36"/>
      <c r="I540" s="35"/>
      <c r="K540" s="37"/>
      <c r="L540" s="35"/>
      <c r="N540" s="38"/>
      <c r="O540" s="39"/>
      <c r="P540" s="47"/>
      <c r="Q540" s="48"/>
      <c r="R540" s="41"/>
      <c r="T540" s="42"/>
      <c r="U540" s="44"/>
      <c r="V540" s="42" t="str">
        <f>IF(NOTA[[#This Row],[HARGA/ CTN]]="",NOTA[[#This Row],[JUMLAH_H]],NOTA[[#This Row],[HARGA/ CTN]]*IF(NOTA[[#This Row],[C]]="",0,NOTA[[#This Row],[C]]))</f>
        <v/>
      </c>
      <c r="W540" s="42" t="str">
        <f>IF(NOTA[[#This Row],[JUMLAH]]="","",NOTA[[#This Row],[JUMLAH]]*NOTA[[#This Row],[Column6]])</f>
        <v/>
      </c>
      <c r="X540" s="42" t="str">
        <f>IF(NOTA[[#This Row],[JUMLAH]]="","",(NOTA[[#This Row],[JUMLAH]]-NOTA[[#This Row],[DISC 1-]])*NOTA[[#This Row],[Column7]])</f>
        <v/>
      </c>
      <c r="Y540" s="42" t="str">
        <f>IF(NOTA[[#This Row],[JUMLAH]]="","",(NOTA[[#This Row],[JUMLAH]]-NOTA[[#This Row],[DISC 1-]]-NOTA[[#This Row],[DISC 2-]])*NOTA[[#This Row],[Column8]])</f>
        <v/>
      </c>
      <c r="Z540" s="42" t="str">
        <f>IF(NOTA[[#This Row],[JUMLAH]]="","",NOTA[[#This Row],[DISC 1-]]+NOTA[[#This Row],[DISC 2-]]+NOTA[[#This Row],[DISC 3-]])</f>
        <v/>
      </c>
      <c r="AA540" s="42" t="str">
        <f>IF(NOTA[[#This Row],[JUMLAH]]="","",NOTA[[#This Row],[JUMLAH]]-NOTA[[#This Row],[DISC]])</f>
        <v/>
      </c>
      <c r="AB540" s="42"/>
      <c r="AC5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42" t="str">
        <f>IF(OR(NOTA[[#This Row],[QTY]]="",NOTA[[#This Row],[HARGA SATUAN]]="",),"",NOTA[[#This Row],[QTY]]*NOTA[[#This Row],[HARGA SATUAN]])</f>
        <v/>
      </c>
      <c r="AG540" s="36" t="str">
        <f ca="1">IF(NOTA[[#This Row],[ID_H]]="","",INDEX(NOTA[TANGGAL],MATCH(,INDIRECT(ADDRESS(ROW(NOTA[TANGGAL]),COLUMN(NOTA[TANGGAL]))&amp;":"&amp;ADDRESS(ROW(),COLUMN(NOTA[TANGGAL]))),-1)))</f>
        <v/>
      </c>
      <c r="AH540" s="36" t="str">
        <f ca="1">IF(NOTA[[#This Row],[ID_H]]="","",INDEX(NOTA[TGL.NOTA],MATCH(,INDIRECT(ADDRESS(ROW(NOTA[TGL.NOTA]),COLUMN(NOTA[TGL.NOTA]))&amp;":"&amp;ADDRESS(ROW(),COLUMN(NOTA[TGL.NOTA]))),-1)))</f>
        <v/>
      </c>
      <c r="AI540" s="36" t="str">
        <f ca="1">IF(NOTA[[#This Row],[ID_H]]="","",INDEX(NOTA[NO.NOTA],MATCH(NOTA[[#This Row],[ID_H]],NOTA[ID_H],0)))</f>
        <v/>
      </c>
      <c r="AJ540" s="38" t="str">
        <f ca="1">IF(NOTA[[#This Row],[NAMA BARANG]]="","",INDEX(NOTA[SUPPLIER],MATCH(,INDIRECT(ADDRESS(ROW(NOTA[ID]),COLUMN(NOTA[ID]))&amp;":"&amp;ADDRESS(ROW(),COLUMN(NOTA[ID]))),-1)))</f>
        <v/>
      </c>
      <c r="AK540" s="38" t="str">
        <f ca="1">IF(NOTA[[#This Row],[ID_H]]="","",IF(NOTA[[#This Row],[FAKTUR]]="",INDIRECT(ADDRESS(ROW()-1,COLUMN())),NOTA[[#This Row],[FAKTUR]]))</f>
        <v/>
      </c>
      <c r="AL540" s="35" t="str">
        <f ca="1">IF(NOTA[[#This Row],[ID]]="","",COUNTIF(NOTA[ID_H],NOTA[[#This Row],[ID_H]]))</f>
        <v/>
      </c>
      <c r="AM540" s="35" t="str">
        <f ca="1">IF(NOTA[[#This Row],[TGL.NOTA]]="",IF(NOTA[[#This Row],[SUPPLIER_H]]="","",AM539),MONTH(NOTA[[#This Row],[TGL.NOTA]]))</f>
        <v/>
      </c>
      <c r="AN5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0" s="35" t="str">
        <f>IF(NOTA[[#This Row],[CONCAT1]]="","",MATCH(NOTA[[#This Row],[CONCAT1]],[3]!db[NB NOTA_C],0))</f>
        <v/>
      </c>
      <c r="AS540" s="35" t="str">
        <f>IF(NOTA[[#This Row],[Column5]]="","",TRUE)</f>
        <v/>
      </c>
      <c r="AT540" s="35" t="str">
        <f ca="1">IF(NOTA[[#This Row],[ID_H]]="","",IF(NOTA[[#This Row],[Column3]]=TRUE,NOTA[[#This Row],[Column5]],INDEX([3]!db[QTY/ CTN],NOTA[[#This Row],[//DB]])))</f>
        <v/>
      </c>
      <c r="AU5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0" s="35" t="str">
        <f ca="1">IF(NOTA[[#This Row],[ID_H]]="","",MATCH(NOTA[[#This Row],[NB NOTA_C_QTY]],[3]!db[NB NOTA_C_QTY+F],0))</f>
        <v/>
      </c>
      <c r="AW540" s="43" t="str">
        <f ca="1">IF(NOTA[[#This Row],[NB NOTA_C_QTY]]="","",ROW()-2)</f>
        <v/>
      </c>
    </row>
    <row r="541" spans="1:49" ht="20.100000000000001" customHeight="1">
      <c r="A5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5" t="str">
        <f ca="1">IF(NOTA[[#This Row],[NAMA BARANG]]="","",INDEX(NOTA[ID],MATCH(,INDIRECT(ADDRESS(ROW(NOTA[ID]),COLUMN(NOTA[ID]))&amp;":"&amp;ADDRESS(ROW(),COLUMN(NOTA[ID]))),-1)))</f>
        <v/>
      </c>
      <c r="C541" s="45"/>
      <c r="F541" s="46"/>
      <c r="G541" s="35"/>
      <c r="H541" s="36"/>
      <c r="I541" s="35"/>
      <c r="K541" s="37"/>
      <c r="L541" s="35"/>
      <c r="N541" s="38"/>
      <c r="O541" s="39"/>
      <c r="P541" s="47"/>
      <c r="Q541" s="48"/>
      <c r="R541" s="41"/>
      <c r="T541" s="42"/>
      <c r="U541" s="44"/>
      <c r="V541" s="42" t="str">
        <f>IF(NOTA[[#This Row],[HARGA/ CTN]]="",NOTA[[#This Row],[JUMLAH_H]],NOTA[[#This Row],[HARGA/ CTN]]*IF(NOTA[[#This Row],[C]]="",0,NOTA[[#This Row],[C]]))</f>
        <v/>
      </c>
      <c r="W541" s="42" t="str">
        <f>IF(NOTA[[#This Row],[JUMLAH]]="","",NOTA[[#This Row],[JUMLAH]]*NOTA[[#This Row],[Column6]])</f>
        <v/>
      </c>
      <c r="X541" s="42" t="str">
        <f>IF(NOTA[[#This Row],[JUMLAH]]="","",(NOTA[[#This Row],[JUMLAH]]-NOTA[[#This Row],[DISC 1-]])*NOTA[[#This Row],[Column7]])</f>
        <v/>
      </c>
      <c r="Y541" s="42" t="str">
        <f>IF(NOTA[[#This Row],[JUMLAH]]="","",(NOTA[[#This Row],[JUMLAH]]-NOTA[[#This Row],[DISC 1-]]-NOTA[[#This Row],[DISC 2-]])*NOTA[[#This Row],[Column8]])</f>
        <v/>
      </c>
      <c r="Z541" s="42" t="str">
        <f>IF(NOTA[[#This Row],[JUMLAH]]="","",NOTA[[#This Row],[DISC 1-]]+NOTA[[#This Row],[DISC 2-]]+NOTA[[#This Row],[DISC 3-]])</f>
        <v/>
      </c>
      <c r="AA541" s="42" t="str">
        <f>IF(NOTA[[#This Row],[JUMLAH]]="","",NOTA[[#This Row],[JUMLAH]]-NOTA[[#This Row],[DISC]])</f>
        <v/>
      </c>
      <c r="AB541" s="42"/>
      <c r="AC5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42" t="str">
        <f>IF(OR(NOTA[[#This Row],[QTY]]="",NOTA[[#This Row],[HARGA SATUAN]]="",),"",NOTA[[#This Row],[QTY]]*NOTA[[#This Row],[HARGA SATUAN]])</f>
        <v/>
      </c>
      <c r="AG541" s="36" t="str">
        <f ca="1">IF(NOTA[[#This Row],[ID_H]]="","",INDEX(NOTA[TANGGAL],MATCH(,INDIRECT(ADDRESS(ROW(NOTA[TANGGAL]),COLUMN(NOTA[TANGGAL]))&amp;":"&amp;ADDRESS(ROW(),COLUMN(NOTA[TANGGAL]))),-1)))</f>
        <v/>
      </c>
      <c r="AH541" s="36" t="str">
        <f ca="1">IF(NOTA[[#This Row],[ID_H]]="","",INDEX(NOTA[TGL.NOTA],MATCH(,INDIRECT(ADDRESS(ROW(NOTA[TGL.NOTA]),COLUMN(NOTA[TGL.NOTA]))&amp;":"&amp;ADDRESS(ROW(),COLUMN(NOTA[TGL.NOTA]))),-1)))</f>
        <v/>
      </c>
      <c r="AI541" s="36" t="str">
        <f ca="1">IF(NOTA[[#This Row],[ID_H]]="","",INDEX(NOTA[NO.NOTA],MATCH(NOTA[[#This Row],[ID_H]],NOTA[ID_H],0)))</f>
        <v/>
      </c>
      <c r="AJ541" s="38" t="str">
        <f ca="1">IF(NOTA[[#This Row],[NAMA BARANG]]="","",INDEX(NOTA[SUPPLIER],MATCH(,INDIRECT(ADDRESS(ROW(NOTA[ID]),COLUMN(NOTA[ID]))&amp;":"&amp;ADDRESS(ROW(),COLUMN(NOTA[ID]))),-1)))</f>
        <v/>
      </c>
      <c r="AK541" s="38" t="str">
        <f ca="1">IF(NOTA[[#This Row],[ID_H]]="","",IF(NOTA[[#This Row],[FAKTUR]]="",INDIRECT(ADDRESS(ROW()-1,COLUMN())),NOTA[[#This Row],[FAKTUR]]))</f>
        <v/>
      </c>
      <c r="AL541" s="35" t="str">
        <f ca="1">IF(NOTA[[#This Row],[ID]]="","",COUNTIF(NOTA[ID_H],NOTA[[#This Row],[ID_H]]))</f>
        <v/>
      </c>
      <c r="AM541" s="35" t="str">
        <f ca="1">IF(NOTA[[#This Row],[TGL.NOTA]]="",IF(NOTA[[#This Row],[SUPPLIER_H]]="","",AM540),MONTH(NOTA[[#This Row],[TGL.NOTA]]))</f>
        <v/>
      </c>
      <c r="AN5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1" s="35" t="str">
        <f>IF(NOTA[[#This Row],[CONCAT1]]="","",MATCH(NOTA[[#This Row],[CONCAT1]],[3]!db[NB NOTA_C],0))</f>
        <v/>
      </c>
      <c r="AS541" s="35" t="str">
        <f>IF(NOTA[[#This Row],[Column5]]="","",TRUE)</f>
        <v/>
      </c>
      <c r="AT541" s="35" t="str">
        <f ca="1">IF(NOTA[[#This Row],[ID_H]]="","",IF(NOTA[[#This Row],[Column3]]=TRUE,NOTA[[#This Row],[Column5]],INDEX([3]!db[QTY/ CTN],NOTA[[#This Row],[//DB]])))</f>
        <v/>
      </c>
      <c r="AU5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1" s="35" t="str">
        <f ca="1">IF(NOTA[[#This Row],[ID_H]]="","",MATCH(NOTA[[#This Row],[NB NOTA_C_QTY]],[3]!db[NB NOTA_C_QTY+F],0))</f>
        <v/>
      </c>
      <c r="AW541" s="43" t="str">
        <f ca="1">IF(NOTA[[#This Row],[NB NOTA_C_QTY]]="","",ROW()-2)</f>
        <v/>
      </c>
    </row>
    <row r="542" spans="1:49" ht="20.100000000000001" customHeight="1">
      <c r="A5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5" t="str">
        <f ca="1">IF(NOTA[[#This Row],[NAMA BARANG]]="","",INDEX(NOTA[ID],MATCH(,INDIRECT(ADDRESS(ROW(NOTA[ID]),COLUMN(NOTA[ID]))&amp;":"&amp;ADDRESS(ROW(),COLUMN(NOTA[ID]))),-1)))</f>
        <v/>
      </c>
      <c r="C542" s="45"/>
      <c r="F542" s="46"/>
      <c r="G542" s="35"/>
      <c r="H542" s="36"/>
      <c r="I542" s="35"/>
      <c r="K542" s="37"/>
      <c r="L542" s="35"/>
      <c r="N542" s="38"/>
      <c r="O542" s="39"/>
      <c r="P542" s="47"/>
      <c r="Q542" s="48"/>
      <c r="R542" s="41"/>
      <c r="T542" s="42"/>
      <c r="U542" s="44"/>
      <c r="V542" s="42" t="str">
        <f>IF(NOTA[[#This Row],[HARGA/ CTN]]="",NOTA[[#This Row],[JUMLAH_H]],NOTA[[#This Row],[HARGA/ CTN]]*IF(NOTA[[#This Row],[C]]="",0,NOTA[[#This Row],[C]]))</f>
        <v/>
      </c>
      <c r="W542" s="42" t="str">
        <f>IF(NOTA[[#This Row],[JUMLAH]]="","",NOTA[[#This Row],[JUMLAH]]*NOTA[[#This Row],[Column6]])</f>
        <v/>
      </c>
      <c r="X542" s="42" t="str">
        <f>IF(NOTA[[#This Row],[JUMLAH]]="","",(NOTA[[#This Row],[JUMLAH]]-NOTA[[#This Row],[DISC 1-]])*NOTA[[#This Row],[Column7]])</f>
        <v/>
      </c>
      <c r="Y542" s="42" t="str">
        <f>IF(NOTA[[#This Row],[JUMLAH]]="","",(NOTA[[#This Row],[JUMLAH]]-NOTA[[#This Row],[DISC 1-]]-NOTA[[#This Row],[DISC 2-]])*NOTA[[#This Row],[Column8]])</f>
        <v/>
      </c>
      <c r="Z542" s="42" t="str">
        <f>IF(NOTA[[#This Row],[JUMLAH]]="","",NOTA[[#This Row],[DISC 1-]]+NOTA[[#This Row],[DISC 2-]]+NOTA[[#This Row],[DISC 3-]])</f>
        <v/>
      </c>
      <c r="AA542" s="42" t="str">
        <f>IF(NOTA[[#This Row],[JUMLAH]]="","",NOTA[[#This Row],[JUMLAH]]-NOTA[[#This Row],[DISC]])</f>
        <v/>
      </c>
      <c r="AB542" s="42"/>
      <c r="AC5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42" t="str">
        <f>IF(OR(NOTA[[#This Row],[QTY]]="",NOTA[[#This Row],[HARGA SATUAN]]="",),"",NOTA[[#This Row],[QTY]]*NOTA[[#This Row],[HARGA SATUAN]])</f>
        <v/>
      </c>
      <c r="AG542" s="36" t="str">
        <f ca="1">IF(NOTA[[#This Row],[ID_H]]="","",INDEX(NOTA[TANGGAL],MATCH(,INDIRECT(ADDRESS(ROW(NOTA[TANGGAL]),COLUMN(NOTA[TANGGAL]))&amp;":"&amp;ADDRESS(ROW(),COLUMN(NOTA[TANGGAL]))),-1)))</f>
        <v/>
      </c>
      <c r="AH542" s="36" t="str">
        <f ca="1">IF(NOTA[[#This Row],[ID_H]]="","",INDEX(NOTA[TGL.NOTA],MATCH(,INDIRECT(ADDRESS(ROW(NOTA[TGL.NOTA]),COLUMN(NOTA[TGL.NOTA]))&amp;":"&amp;ADDRESS(ROW(),COLUMN(NOTA[TGL.NOTA]))),-1)))</f>
        <v/>
      </c>
      <c r="AI542" s="36" t="str">
        <f ca="1">IF(NOTA[[#This Row],[ID_H]]="","",INDEX(NOTA[NO.NOTA],MATCH(NOTA[[#This Row],[ID_H]],NOTA[ID_H],0)))</f>
        <v/>
      </c>
      <c r="AJ542" s="38" t="str">
        <f ca="1">IF(NOTA[[#This Row],[NAMA BARANG]]="","",INDEX(NOTA[SUPPLIER],MATCH(,INDIRECT(ADDRESS(ROW(NOTA[ID]),COLUMN(NOTA[ID]))&amp;":"&amp;ADDRESS(ROW(),COLUMN(NOTA[ID]))),-1)))</f>
        <v/>
      </c>
      <c r="AK542" s="38" t="str">
        <f ca="1">IF(NOTA[[#This Row],[ID_H]]="","",IF(NOTA[[#This Row],[FAKTUR]]="",INDIRECT(ADDRESS(ROW()-1,COLUMN())),NOTA[[#This Row],[FAKTUR]]))</f>
        <v/>
      </c>
      <c r="AL542" s="35" t="str">
        <f ca="1">IF(NOTA[[#This Row],[ID]]="","",COUNTIF(NOTA[ID_H],NOTA[[#This Row],[ID_H]]))</f>
        <v/>
      </c>
      <c r="AM542" s="35" t="str">
        <f ca="1">IF(NOTA[[#This Row],[TGL.NOTA]]="",IF(NOTA[[#This Row],[SUPPLIER_H]]="","",AM541),MONTH(NOTA[[#This Row],[TGL.NOTA]]))</f>
        <v/>
      </c>
      <c r="AN5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2" s="35" t="str">
        <f>IF(NOTA[[#This Row],[CONCAT1]]="","",MATCH(NOTA[[#This Row],[CONCAT1]],[3]!db[NB NOTA_C],0))</f>
        <v/>
      </c>
      <c r="AS542" s="35" t="str">
        <f>IF(NOTA[[#This Row],[Column5]]="","",TRUE)</f>
        <v/>
      </c>
      <c r="AT542" s="35" t="str">
        <f ca="1">IF(NOTA[[#This Row],[ID_H]]="","",IF(NOTA[[#This Row],[Column3]]=TRUE,NOTA[[#This Row],[Column5]],INDEX([3]!db[QTY/ CTN],NOTA[[#This Row],[//DB]])))</f>
        <v/>
      </c>
      <c r="AU5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2" s="35" t="str">
        <f ca="1">IF(NOTA[[#This Row],[ID_H]]="","",MATCH(NOTA[[#This Row],[NB NOTA_C_QTY]],[3]!db[NB NOTA_C_QTY+F],0))</f>
        <v/>
      </c>
      <c r="AW542" s="43" t="str">
        <f ca="1">IF(NOTA[[#This Row],[NB NOTA_C_QTY]]="","",ROW()-2)</f>
        <v/>
      </c>
    </row>
    <row r="543" spans="1:49" ht="20.100000000000001" customHeight="1">
      <c r="A5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5" t="str">
        <f ca="1">IF(NOTA[[#This Row],[NAMA BARANG]]="","",INDEX(NOTA[ID],MATCH(,INDIRECT(ADDRESS(ROW(NOTA[ID]),COLUMN(NOTA[ID]))&amp;":"&amp;ADDRESS(ROW(),COLUMN(NOTA[ID]))),-1)))</f>
        <v/>
      </c>
      <c r="C543" s="45"/>
      <c r="F543" s="46"/>
      <c r="G543" s="35"/>
      <c r="H543" s="36"/>
      <c r="I543" s="35"/>
      <c r="K543" s="37"/>
      <c r="L543" s="35"/>
      <c r="N543" s="38"/>
      <c r="O543" s="39"/>
      <c r="P543" s="47"/>
      <c r="Q543" s="48"/>
      <c r="R543" s="41"/>
      <c r="T543" s="42"/>
      <c r="U543" s="44"/>
      <c r="V543" s="42" t="str">
        <f>IF(NOTA[[#This Row],[HARGA/ CTN]]="",NOTA[[#This Row],[JUMLAH_H]],NOTA[[#This Row],[HARGA/ CTN]]*IF(NOTA[[#This Row],[C]]="",0,NOTA[[#This Row],[C]]))</f>
        <v/>
      </c>
      <c r="W543" s="42" t="str">
        <f>IF(NOTA[[#This Row],[JUMLAH]]="","",NOTA[[#This Row],[JUMLAH]]*NOTA[[#This Row],[Column6]])</f>
        <v/>
      </c>
      <c r="X543" s="42" t="str">
        <f>IF(NOTA[[#This Row],[JUMLAH]]="","",(NOTA[[#This Row],[JUMLAH]]-NOTA[[#This Row],[DISC 1-]])*NOTA[[#This Row],[Column7]])</f>
        <v/>
      </c>
      <c r="Y543" s="42" t="str">
        <f>IF(NOTA[[#This Row],[JUMLAH]]="","",(NOTA[[#This Row],[JUMLAH]]-NOTA[[#This Row],[DISC 1-]]-NOTA[[#This Row],[DISC 2-]])*NOTA[[#This Row],[Column8]])</f>
        <v/>
      </c>
      <c r="Z543" s="42" t="str">
        <f>IF(NOTA[[#This Row],[JUMLAH]]="","",NOTA[[#This Row],[DISC 1-]]+NOTA[[#This Row],[DISC 2-]]+NOTA[[#This Row],[DISC 3-]])</f>
        <v/>
      </c>
      <c r="AA543" s="42" t="str">
        <f>IF(NOTA[[#This Row],[JUMLAH]]="","",NOTA[[#This Row],[JUMLAH]]-NOTA[[#This Row],[DISC]])</f>
        <v/>
      </c>
      <c r="AB543" s="42"/>
      <c r="AC5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42" t="str">
        <f>IF(OR(NOTA[[#This Row],[QTY]]="",NOTA[[#This Row],[HARGA SATUAN]]="",),"",NOTA[[#This Row],[QTY]]*NOTA[[#This Row],[HARGA SATUAN]])</f>
        <v/>
      </c>
      <c r="AG543" s="36" t="str">
        <f ca="1">IF(NOTA[[#This Row],[ID_H]]="","",INDEX(NOTA[TANGGAL],MATCH(,INDIRECT(ADDRESS(ROW(NOTA[TANGGAL]),COLUMN(NOTA[TANGGAL]))&amp;":"&amp;ADDRESS(ROW(),COLUMN(NOTA[TANGGAL]))),-1)))</f>
        <v/>
      </c>
      <c r="AH543" s="36" t="str">
        <f ca="1">IF(NOTA[[#This Row],[ID_H]]="","",INDEX(NOTA[TGL.NOTA],MATCH(,INDIRECT(ADDRESS(ROW(NOTA[TGL.NOTA]),COLUMN(NOTA[TGL.NOTA]))&amp;":"&amp;ADDRESS(ROW(),COLUMN(NOTA[TGL.NOTA]))),-1)))</f>
        <v/>
      </c>
      <c r="AI543" s="36" t="str">
        <f ca="1">IF(NOTA[[#This Row],[ID_H]]="","",INDEX(NOTA[NO.NOTA],MATCH(NOTA[[#This Row],[ID_H]],NOTA[ID_H],0)))</f>
        <v/>
      </c>
      <c r="AJ543" s="38" t="str">
        <f ca="1">IF(NOTA[[#This Row],[NAMA BARANG]]="","",INDEX(NOTA[SUPPLIER],MATCH(,INDIRECT(ADDRESS(ROW(NOTA[ID]),COLUMN(NOTA[ID]))&amp;":"&amp;ADDRESS(ROW(),COLUMN(NOTA[ID]))),-1)))</f>
        <v/>
      </c>
      <c r="AK543" s="38" t="str">
        <f ca="1">IF(NOTA[[#This Row],[ID_H]]="","",IF(NOTA[[#This Row],[FAKTUR]]="",INDIRECT(ADDRESS(ROW()-1,COLUMN())),NOTA[[#This Row],[FAKTUR]]))</f>
        <v/>
      </c>
      <c r="AL543" s="35" t="str">
        <f ca="1">IF(NOTA[[#This Row],[ID]]="","",COUNTIF(NOTA[ID_H],NOTA[[#This Row],[ID_H]]))</f>
        <v/>
      </c>
      <c r="AM543" s="35" t="str">
        <f ca="1">IF(NOTA[[#This Row],[TGL.NOTA]]="",IF(NOTA[[#This Row],[SUPPLIER_H]]="","",AM542),MONTH(NOTA[[#This Row],[TGL.NOTA]]))</f>
        <v/>
      </c>
      <c r="AN5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3" s="35" t="str">
        <f>IF(NOTA[[#This Row],[CONCAT1]]="","",MATCH(NOTA[[#This Row],[CONCAT1]],[3]!db[NB NOTA_C],0))</f>
        <v/>
      </c>
      <c r="AS543" s="35" t="str">
        <f>IF(NOTA[[#This Row],[Column5]]="","",TRUE)</f>
        <v/>
      </c>
      <c r="AT543" s="35" t="str">
        <f ca="1">IF(NOTA[[#This Row],[ID_H]]="","",IF(NOTA[[#This Row],[Column3]]=TRUE,NOTA[[#This Row],[Column5]],INDEX([3]!db[QTY/ CTN],NOTA[[#This Row],[//DB]])))</f>
        <v/>
      </c>
      <c r="AU5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3" s="35" t="str">
        <f ca="1">IF(NOTA[[#This Row],[ID_H]]="","",MATCH(NOTA[[#This Row],[NB NOTA_C_QTY]],[3]!db[NB NOTA_C_QTY+F],0))</f>
        <v/>
      </c>
      <c r="AW543" s="43" t="str">
        <f ca="1">IF(NOTA[[#This Row],[NB NOTA_C_QTY]]="","",ROW()-2)</f>
        <v/>
      </c>
    </row>
    <row r="544" spans="1:49" ht="20.100000000000001" customHeight="1">
      <c r="A5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5" t="str">
        <f ca="1">IF(NOTA[[#This Row],[NAMA BARANG]]="","",INDEX(NOTA[ID],MATCH(,INDIRECT(ADDRESS(ROW(NOTA[ID]),COLUMN(NOTA[ID]))&amp;":"&amp;ADDRESS(ROW(),COLUMN(NOTA[ID]))),-1)))</f>
        <v/>
      </c>
      <c r="C544" s="45"/>
      <c r="F544" s="46"/>
      <c r="G544" s="35"/>
      <c r="H544" s="36"/>
      <c r="I544" s="35"/>
      <c r="K544" s="37"/>
      <c r="L544" s="35"/>
      <c r="N544" s="38"/>
      <c r="O544" s="39"/>
      <c r="P544" s="47"/>
      <c r="Q544" s="48"/>
      <c r="R544" s="41"/>
      <c r="T544" s="42"/>
      <c r="U544" s="44"/>
      <c r="V544" s="42" t="str">
        <f>IF(NOTA[[#This Row],[HARGA/ CTN]]="",NOTA[[#This Row],[JUMLAH_H]],NOTA[[#This Row],[HARGA/ CTN]]*IF(NOTA[[#This Row],[C]]="",0,NOTA[[#This Row],[C]]))</f>
        <v/>
      </c>
      <c r="W544" s="42" t="str">
        <f>IF(NOTA[[#This Row],[JUMLAH]]="","",NOTA[[#This Row],[JUMLAH]]*NOTA[[#This Row],[Column6]])</f>
        <v/>
      </c>
      <c r="X544" s="42" t="str">
        <f>IF(NOTA[[#This Row],[JUMLAH]]="","",(NOTA[[#This Row],[JUMLAH]]-NOTA[[#This Row],[DISC 1-]])*NOTA[[#This Row],[Column7]])</f>
        <v/>
      </c>
      <c r="Y544" s="42" t="str">
        <f>IF(NOTA[[#This Row],[JUMLAH]]="","",(NOTA[[#This Row],[JUMLAH]]-NOTA[[#This Row],[DISC 1-]]-NOTA[[#This Row],[DISC 2-]])*NOTA[[#This Row],[Column8]])</f>
        <v/>
      </c>
      <c r="Z544" s="42" t="str">
        <f>IF(NOTA[[#This Row],[JUMLAH]]="","",NOTA[[#This Row],[DISC 1-]]+NOTA[[#This Row],[DISC 2-]]+NOTA[[#This Row],[DISC 3-]])</f>
        <v/>
      </c>
      <c r="AA544" s="42" t="str">
        <f>IF(NOTA[[#This Row],[JUMLAH]]="","",NOTA[[#This Row],[JUMLAH]]-NOTA[[#This Row],[DISC]])</f>
        <v/>
      </c>
      <c r="AB544" s="42"/>
      <c r="AC5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42" t="str">
        <f>IF(OR(NOTA[[#This Row],[QTY]]="",NOTA[[#This Row],[HARGA SATUAN]]="",),"",NOTA[[#This Row],[QTY]]*NOTA[[#This Row],[HARGA SATUAN]])</f>
        <v/>
      </c>
      <c r="AG544" s="36" t="str">
        <f ca="1">IF(NOTA[[#This Row],[ID_H]]="","",INDEX(NOTA[TANGGAL],MATCH(,INDIRECT(ADDRESS(ROW(NOTA[TANGGAL]),COLUMN(NOTA[TANGGAL]))&amp;":"&amp;ADDRESS(ROW(),COLUMN(NOTA[TANGGAL]))),-1)))</f>
        <v/>
      </c>
      <c r="AH544" s="36" t="str">
        <f ca="1">IF(NOTA[[#This Row],[ID_H]]="","",INDEX(NOTA[TGL.NOTA],MATCH(,INDIRECT(ADDRESS(ROW(NOTA[TGL.NOTA]),COLUMN(NOTA[TGL.NOTA]))&amp;":"&amp;ADDRESS(ROW(),COLUMN(NOTA[TGL.NOTA]))),-1)))</f>
        <v/>
      </c>
      <c r="AI544" s="36" t="str">
        <f ca="1">IF(NOTA[[#This Row],[ID_H]]="","",INDEX(NOTA[NO.NOTA],MATCH(NOTA[[#This Row],[ID_H]],NOTA[ID_H],0)))</f>
        <v/>
      </c>
      <c r="AJ544" s="38" t="str">
        <f ca="1">IF(NOTA[[#This Row],[NAMA BARANG]]="","",INDEX(NOTA[SUPPLIER],MATCH(,INDIRECT(ADDRESS(ROW(NOTA[ID]),COLUMN(NOTA[ID]))&amp;":"&amp;ADDRESS(ROW(),COLUMN(NOTA[ID]))),-1)))</f>
        <v/>
      </c>
      <c r="AK544" s="38" t="str">
        <f ca="1">IF(NOTA[[#This Row],[ID_H]]="","",IF(NOTA[[#This Row],[FAKTUR]]="",INDIRECT(ADDRESS(ROW()-1,COLUMN())),NOTA[[#This Row],[FAKTUR]]))</f>
        <v/>
      </c>
      <c r="AL544" s="35" t="str">
        <f ca="1">IF(NOTA[[#This Row],[ID]]="","",COUNTIF(NOTA[ID_H],NOTA[[#This Row],[ID_H]]))</f>
        <v/>
      </c>
      <c r="AM544" s="35" t="str">
        <f ca="1">IF(NOTA[[#This Row],[TGL.NOTA]]="",IF(NOTA[[#This Row],[SUPPLIER_H]]="","",AM543),MONTH(NOTA[[#This Row],[TGL.NOTA]]))</f>
        <v/>
      </c>
      <c r="AN5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4" s="35" t="str">
        <f>IF(NOTA[[#This Row],[CONCAT1]]="","",MATCH(NOTA[[#This Row],[CONCAT1]],[3]!db[NB NOTA_C],0))</f>
        <v/>
      </c>
      <c r="AS544" s="35" t="str">
        <f>IF(NOTA[[#This Row],[Column5]]="","",TRUE)</f>
        <v/>
      </c>
      <c r="AT544" s="35" t="str">
        <f ca="1">IF(NOTA[[#This Row],[ID_H]]="","",IF(NOTA[[#This Row],[Column3]]=TRUE,NOTA[[#This Row],[Column5]],INDEX([3]!db[QTY/ CTN],NOTA[[#This Row],[//DB]])))</f>
        <v/>
      </c>
      <c r="AU5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4" s="35" t="str">
        <f ca="1">IF(NOTA[[#This Row],[ID_H]]="","",MATCH(NOTA[[#This Row],[NB NOTA_C_QTY]],[3]!db[NB NOTA_C_QTY+F],0))</f>
        <v/>
      </c>
      <c r="AW544" s="43" t="str">
        <f ca="1">IF(NOTA[[#This Row],[NB NOTA_C_QTY]]="","",ROW()-2)</f>
        <v/>
      </c>
    </row>
    <row r="545" spans="1:49" ht="20.100000000000001" customHeight="1">
      <c r="A5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5" t="str">
        <f ca="1">IF(NOTA[[#This Row],[NAMA BARANG]]="","",INDEX(NOTA[ID],MATCH(,INDIRECT(ADDRESS(ROW(NOTA[ID]),COLUMN(NOTA[ID]))&amp;":"&amp;ADDRESS(ROW(),COLUMN(NOTA[ID]))),-1)))</f>
        <v/>
      </c>
      <c r="C545" s="45"/>
      <c r="F545" s="46"/>
      <c r="G545" s="35"/>
      <c r="H545" s="36"/>
      <c r="I545" s="35"/>
      <c r="K545" s="37"/>
      <c r="L545" s="35"/>
      <c r="N545" s="38"/>
      <c r="O545" s="39"/>
      <c r="P545" s="47"/>
      <c r="Q545" s="48"/>
      <c r="R545" s="41"/>
      <c r="T545" s="42"/>
      <c r="U545" s="44"/>
      <c r="V545" s="42" t="str">
        <f>IF(NOTA[[#This Row],[HARGA/ CTN]]="",NOTA[[#This Row],[JUMLAH_H]],NOTA[[#This Row],[HARGA/ CTN]]*IF(NOTA[[#This Row],[C]]="",0,NOTA[[#This Row],[C]]))</f>
        <v/>
      </c>
      <c r="W545" s="42" t="str">
        <f>IF(NOTA[[#This Row],[JUMLAH]]="","",NOTA[[#This Row],[JUMLAH]]*NOTA[[#This Row],[Column6]])</f>
        <v/>
      </c>
      <c r="X545" s="42" t="str">
        <f>IF(NOTA[[#This Row],[JUMLAH]]="","",(NOTA[[#This Row],[JUMLAH]]-NOTA[[#This Row],[DISC 1-]])*NOTA[[#This Row],[Column7]])</f>
        <v/>
      </c>
      <c r="Y545" s="42" t="str">
        <f>IF(NOTA[[#This Row],[JUMLAH]]="","",(NOTA[[#This Row],[JUMLAH]]-NOTA[[#This Row],[DISC 1-]]-NOTA[[#This Row],[DISC 2-]])*NOTA[[#This Row],[Column8]])</f>
        <v/>
      </c>
      <c r="Z545" s="42" t="str">
        <f>IF(NOTA[[#This Row],[JUMLAH]]="","",NOTA[[#This Row],[DISC 1-]]+NOTA[[#This Row],[DISC 2-]]+NOTA[[#This Row],[DISC 3-]])</f>
        <v/>
      </c>
      <c r="AA545" s="42" t="str">
        <f>IF(NOTA[[#This Row],[JUMLAH]]="","",NOTA[[#This Row],[JUMLAH]]-NOTA[[#This Row],[DISC]])</f>
        <v/>
      </c>
      <c r="AB545" s="42"/>
      <c r="AC5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42" t="str">
        <f>IF(OR(NOTA[[#This Row],[QTY]]="",NOTA[[#This Row],[HARGA SATUAN]]="",),"",NOTA[[#This Row],[QTY]]*NOTA[[#This Row],[HARGA SATUAN]])</f>
        <v/>
      </c>
      <c r="AG545" s="36" t="str">
        <f ca="1">IF(NOTA[[#This Row],[ID_H]]="","",INDEX(NOTA[TANGGAL],MATCH(,INDIRECT(ADDRESS(ROW(NOTA[TANGGAL]),COLUMN(NOTA[TANGGAL]))&amp;":"&amp;ADDRESS(ROW(),COLUMN(NOTA[TANGGAL]))),-1)))</f>
        <v/>
      </c>
      <c r="AH545" s="36" t="str">
        <f ca="1">IF(NOTA[[#This Row],[ID_H]]="","",INDEX(NOTA[TGL.NOTA],MATCH(,INDIRECT(ADDRESS(ROW(NOTA[TGL.NOTA]),COLUMN(NOTA[TGL.NOTA]))&amp;":"&amp;ADDRESS(ROW(),COLUMN(NOTA[TGL.NOTA]))),-1)))</f>
        <v/>
      </c>
      <c r="AI545" s="36" t="str">
        <f ca="1">IF(NOTA[[#This Row],[ID_H]]="","",INDEX(NOTA[NO.NOTA],MATCH(NOTA[[#This Row],[ID_H]],NOTA[ID_H],0)))</f>
        <v/>
      </c>
      <c r="AJ545" s="38" t="str">
        <f ca="1">IF(NOTA[[#This Row],[NAMA BARANG]]="","",INDEX(NOTA[SUPPLIER],MATCH(,INDIRECT(ADDRESS(ROW(NOTA[ID]),COLUMN(NOTA[ID]))&amp;":"&amp;ADDRESS(ROW(),COLUMN(NOTA[ID]))),-1)))</f>
        <v/>
      </c>
      <c r="AK545" s="38" t="str">
        <f ca="1">IF(NOTA[[#This Row],[ID_H]]="","",IF(NOTA[[#This Row],[FAKTUR]]="",INDIRECT(ADDRESS(ROW()-1,COLUMN())),NOTA[[#This Row],[FAKTUR]]))</f>
        <v/>
      </c>
      <c r="AL545" s="35" t="str">
        <f ca="1">IF(NOTA[[#This Row],[ID]]="","",COUNTIF(NOTA[ID_H],NOTA[[#This Row],[ID_H]]))</f>
        <v/>
      </c>
      <c r="AM545" s="35" t="str">
        <f ca="1">IF(NOTA[[#This Row],[TGL.NOTA]]="",IF(NOTA[[#This Row],[SUPPLIER_H]]="","",AM544),MONTH(NOTA[[#This Row],[TGL.NOTA]]))</f>
        <v/>
      </c>
      <c r="AN5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5" s="35" t="str">
        <f>IF(NOTA[[#This Row],[CONCAT1]]="","",MATCH(NOTA[[#This Row],[CONCAT1]],[3]!db[NB NOTA_C],0))</f>
        <v/>
      </c>
      <c r="AS545" s="35" t="str">
        <f>IF(NOTA[[#This Row],[Column5]]="","",TRUE)</f>
        <v/>
      </c>
      <c r="AT545" s="35" t="str">
        <f ca="1">IF(NOTA[[#This Row],[ID_H]]="","",IF(NOTA[[#This Row],[Column3]]=TRUE,NOTA[[#This Row],[Column5]],INDEX([3]!db[QTY/ CTN],NOTA[[#This Row],[//DB]])))</f>
        <v/>
      </c>
      <c r="AU5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5" s="35" t="str">
        <f ca="1">IF(NOTA[[#This Row],[ID_H]]="","",MATCH(NOTA[[#This Row],[NB NOTA_C_QTY]],[3]!db[NB NOTA_C_QTY+F],0))</f>
        <v/>
      </c>
      <c r="AW545" s="43" t="str">
        <f ca="1">IF(NOTA[[#This Row],[NB NOTA_C_QTY]]="","",ROW()-2)</f>
        <v/>
      </c>
    </row>
    <row r="546" spans="1:49" ht="20.100000000000001" customHeight="1">
      <c r="A5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5" t="str">
        <f ca="1">IF(NOTA[[#This Row],[NAMA BARANG]]="","",INDEX(NOTA[ID],MATCH(,INDIRECT(ADDRESS(ROW(NOTA[ID]),COLUMN(NOTA[ID]))&amp;":"&amp;ADDRESS(ROW(),COLUMN(NOTA[ID]))),-1)))</f>
        <v/>
      </c>
      <c r="C546" s="45"/>
      <c r="F546" s="46"/>
      <c r="G546" s="35"/>
      <c r="H546" s="36"/>
      <c r="I546" s="35"/>
      <c r="K546" s="37"/>
      <c r="L546" s="35"/>
      <c r="N546" s="38"/>
      <c r="O546" s="39"/>
      <c r="P546" s="47"/>
      <c r="Q546" s="48"/>
      <c r="R546" s="41"/>
      <c r="T546" s="42"/>
      <c r="U546" s="44"/>
      <c r="V546" s="42" t="str">
        <f>IF(NOTA[[#This Row],[HARGA/ CTN]]="",NOTA[[#This Row],[JUMLAH_H]],NOTA[[#This Row],[HARGA/ CTN]]*IF(NOTA[[#This Row],[C]]="",0,NOTA[[#This Row],[C]]))</f>
        <v/>
      </c>
      <c r="W546" s="42" t="str">
        <f>IF(NOTA[[#This Row],[JUMLAH]]="","",NOTA[[#This Row],[JUMLAH]]*NOTA[[#This Row],[Column6]])</f>
        <v/>
      </c>
      <c r="X546" s="42" t="str">
        <f>IF(NOTA[[#This Row],[JUMLAH]]="","",(NOTA[[#This Row],[JUMLAH]]-NOTA[[#This Row],[DISC 1-]])*NOTA[[#This Row],[Column7]])</f>
        <v/>
      </c>
      <c r="Y546" s="42" t="str">
        <f>IF(NOTA[[#This Row],[JUMLAH]]="","",(NOTA[[#This Row],[JUMLAH]]-NOTA[[#This Row],[DISC 1-]]-NOTA[[#This Row],[DISC 2-]])*NOTA[[#This Row],[Column8]])</f>
        <v/>
      </c>
      <c r="Z546" s="42" t="str">
        <f>IF(NOTA[[#This Row],[JUMLAH]]="","",NOTA[[#This Row],[DISC 1-]]+NOTA[[#This Row],[DISC 2-]]+NOTA[[#This Row],[DISC 3-]])</f>
        <v/>
      </c>
      <c r="AA546" s="42" t="str">
        <f>IF(NOTA[[#This Row],[JUMLAH]]="","",NOTA[[#This Row],[JUMLAH]]-NOTA[[#This Row],[DISC]])</f>
        <v/>
      </c>
      <c r="AB546" s="42"/>
      <c r="AC5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42" t="str">
        <f>IF(OR(NOTA[[#This Row],[QTY]]="",NOTA[[#This Row],[HARGA SATUAN]]="",),"",NOTA[[#This Row],[QTY]]*NOTA[[#This Row],[HARGA SATUAN]])</f>
        <v/>
      </c>
      <c r="AG546" s="36" t="str">
        <f ca="1">IF(NOTA[[#This Row],[ID_H]]="","",INDEX(NOTA[TANGGAL],MATCH(,INDIRECT(ADDRESS(ROW(NOTA[TANGGAL]),COLUMN(NOTA[TANGGAL]))&amp;":"&amp;ADDRESS(ROW(),COLUMN(NOTA[TANGGAL]))),-1)))</f>
        <v/>
      </c>
      <c r="AH546" s="36" t="str">
        <f ca="1">IF(NOTA[[#This Row],[ID_H]]="","",INDEX(NOTA[TGL.NOTA],MATCH(,INDIRECT(ADDRESS(ROW(NOTA[TGL.NOTA]),COLUMN(NOTA[TGL.NOTA]))&amp;":"&amp;ADDRESS(ROW(),COLUMN(NOTA[TGL.NOTA]))),-1)))</f>
        <v/>
      </c>
      <c r="AI546" s="36" t="str">
        <f ca="1">IF(NOTA[[#This Row],[ID_H]]="","",INDEX(NOTA[NO.NOTA],MATCH(NOTA[[#This Row],[ID_H]],NOTA[ID_H],0)))</f>
        <v/>
      </c>
      <c r="AJ546" s="38" t="str">
        <f ca="1">IF(NOTA[[#This Row],[NAMA BARANG]]="","",INDEX(NOTA[SUPPLIER],MATCH(,INDIRECT(ADDRESS(ROW(NOTA[ID]),COLUMN(NOTA[ID]))&amp;":"&amp;ADDRESS(ROW(),COLUMN(NOTA[ID]))),-1)))</f>
        <v/>
      </c>
      <c r="AK546" s="38" t="str">
        <f ca="1">IF(NOTA[[#This Row],[ID_H]]="","",IF(NOTA[[#This Row],[FAKTUR]]="",INDIRECT(ADDRESS(ROW()-1,COLUMN())),NOTA[[#This Row],[FAKTUR]]))</f>
        <v/>
      </c>
      <c r="AL546" s="35" t="str">
        <f ca="1">IF(NOTA[[#This Row],[ID]]="","",COUNTIF(NOTA[ID_H],NOTA[[#This Row],[ID_H]]))</f>
        <v/>
      </c>
      <c r="AM546" s="35" t="str">
        <f ca="1">IF(NOTA[[#This Row],[TGL.NOTA]]="",IF(NOTA[[#This Row],[SUPPLIER_H]]="","",AM545),MONTH(NOTA[[#This Row],[TGL.NOTA]]))</f>
        <v/>
      </c>
      <c r="AN5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6" s="35" t="str">
        <f>IF(NOTA[[#This Row],[CONCAT1]]="","",MATCH(NOTA[[#This Row],[CONCAT1]],[3]!db[NB NOTA_C],0))</f>
        <v/>
      </c>
      <c r="AS546" s="35" t="str">
        <f>IF(NOTA[[#This Row],[Column5]]="","",TRUE)</f>
        <v/>
      </c>
      <c r="AT546" s="35" t="str">
        <f ca="1">IF(NOTA[[#This Row],[ID_H]]="","",IF(NOTA[[#This Row],[Column3]]=TRUE,NOTA[[#This Row],[Column5]],INDEX([3]!db[QTY/ CTN],NOTA[[#This Row],[//DB]])))</f>
        <v/>
      </c>
      <c r="AU5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6" s="35" t="str">
        <f ca="1">IF(NOTA[[#This Row],[ID_H]]="","",MATCH(NOTA[[#This Row],[NB NOTA_C_QTY]],[3]!db[NB NOTA_C_QTY+F],0))</f>
        <v/>
      </c>
      <c r="AW546" s="43" t="str">
        <f ca="1">IF(NOTA[[#This Row],[NB NOTA_C_QTY]]="","",ROW()-2)</f>
        <v/>
      </c>
    </row>
    <row r="547" spans="1:49" ht="20.100000000000001" customHeight="1">
      <c r="A5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5" t="str">
        <f ca="1">IF(NOTA[[#This Row],[NAMA BARANG]]="","",INDEX(NOTA[ID],MATCH(,INDIRECT(ADDRESS(ROW(NOTA[ID]),COLUMN(NOTA[ID]))&amp;":"&amp;ADDRESS(ROW(),COLUMN(NOTA[ID]))),-1)))</f>
        <v/>
      </c>
      <c r="C547" s="45"/>
      <c r="F547" s="46"/>
      <c r="G547" s="35"/>
      <c r="H547" s="36"/>
      <c r="I547" s="35"/>
      <c r="K547" s="37"/>
      <c r="L547" s="35"/>
      <c r="N547" s="38"/>
      <c r="O547" s="39"/>
      <c r="P547" s="47"/>
      <c r="Q547" s="48"/>
      <c r="R547" s="41"/>
      <c r="T547" s="42"/>
      <c r="U547" s="44"/>
      <c r="V547" s="42" t="str">
        <f>IF(NOTA[[#This Row],[HARGA/ CTN]]="",NOTA[[#This Row],[JUMLAH_H]],NOTA[[#This Row],[HARGA/ CTN]]*IF(NOTA[[#This Row],[C]]="",0,NOTA[[#This Row],[C]]))</f>
        <v/>
      </c>
      <c r="W547" s="42" t="str">
        <f>IF(NOTA[[#This Row],[JUMLAH]]="","",NOTA[[#This Row],[JUMLAH]]*NOTA[[#This Row],[Column6]])</f>
        <v/>
      </c>
      <c r="X547" s="42" t="str">
        <f>IF(NOTA[[#This Row],[JUMLAH]]="","",(NOTA[[#This Row],[JUMLAH]]-NOTA[[#This Row],[DISC 1-]])*NOTA[[#This Row],[Column7]])</f>
        <v/>
      </c>
      <c r="Y547" s="42" t="str">
        <f>IF(NOTA[[#This Row],[JUMLAH]]="","",(NOTA[[#This Row],[JUMLAH]]-NOTA[[#This Row],[DISC 1-]]-NOTA[[#This Row],[DISC 2-]])*NOTA[[#This Row],[Column8]])</f>
        <v/>
      </c>
      <c r="Z547" s="42" t="str">
        <f>IF(NOTA[[#This Row],[JUMLAH]]="","",NOTA[[#This Row],[DISC 1-]]+NOTA[[#This Row],[DISC 2-]]+NOTA[[#This Row],[DISC 3-]])</f>
        <v/>
      </c>
      <c r="AA547" s="42" t="str">
        <f>IF(NOTA[[#This Row],[JUMLAH]]="","",NOTA[[#This Row],[JUMLAH]]-NOTA[[#This Row],[DISC]])</f>
        <v/>
      </c>
      <c r="AB547" s="42"/>
      <c r="AC5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42" t="str">
        <f>IF(OR(NOTA[[#This Row],[QTY]]="",NOTA[[#This Row],[HARGA SATUAN]]="",),"",NOTA[[#This Row],[QTY]]*NOTA[[#This Row],[HARGA SATUAN]])</f>
        <v/>
      </c>
      <c r="AG547" s="36" t="str">
        <f ca="1">IF(NOTA[[#This Row],[ID_H]]="","",INDEX(NOTA[TANGGAL],MATCH(,INDIRECT(ADDRESS(ROW(NOTA[TANGGAL]),COLUMN(NOTA[TANGGAL]))&amp;":"&amp;ADDRESS(ROW(),COLUMN(NOTA[TANGGAL]))),-1)))</f>
        <v/>
      </c>
      <c r="AH547" s="36" t="str">
        <f ca="1">IF(NOTA[[#This Row],[ID_H]]="","",INDEX(NOTA[TGL.NOTA],MATCH(,INDIRECT(ADDRESS(ROW(NOTA[TGL.NOTA]),COLUMN(NOTA[TGL.NOTA]))&amp;":"&amp;ADDRESS(ROW(),COLUMN(NOTA[TGL.NOTA]))),-1)))</f>
        <v/>
      </c>
      <c r="AI547" s="36" t="str">
        <f ca="1">IF(NOTA[[#This Row],[ID_H]]="","",INDEX(NOTA[NO.NOTA],MATCH(NOTA[[#This Row],[ID_H]],NOTA[ID_H],0)))</f>
        <v/>
      </c>
      <c r="AJ547" s="38" t="str">
        <f ca="1">IF(NOTA[[#This Row],[NAMA BARANG]]="","",INDEX(NOTA[SUPPLIER],MATCH(,INDIRECT(ADDRESS(ROW(NOTA[ID]),COLUMN(NOTA[ID]))&amp;":"&amp;ADDRESS(ROW(),COLUMN(NOTA[ID]))),-1)))</f>
        <v/>
      </c>
      <c r="AK547" s="38" t="str">
        <f ca="1">IF(NOTA[[#This Row],[ID_H]]="","",IF(NOTA[[#This Row],[FAKTUR]]="",INDIRECT(ADDRESS(ROW()-1,COLUMN())),NOTA[[#This Row],[FAKTUR]]))</f>
        <v/>
      </c>
      <c r="AL547" s="35" t="str">
        <f ca="1">IF(NOTA[[#This Row],[ID]]="","",COUNTIF(NOTA[ID_H],NOTA[[#This Row],[ID_H]]))</f>
        <v/>
      </c>
      <c r="AM547" s="35" t="str">
        <f ca="1">IF(NOTA[[#This Row],[TGL.NOTA]]="",IF(NOTA[[#This Row],[SUPPLIER_H]]="","",AM546),MONTH(NOTA[[#This Row],[TGL.NOTA]]))</f>
        <v/>
      </c>
      <c r="AN5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7" s="35" t="str">
        <f>IF(NOTA[[#This Row],[CONCAT1]]="","",MATCH(NOTA[[#This Row],[CONCAT1]],[3]!db[NB NOTA_C],0))</f>
        <v/>
      </c>
      <c r="AS547" s="35" t="str">
        <f>IF(NOTA[[#This Row],[Column5]]="","",TRUE)</f>
        <v/>
      </c>
      <c r="AT547" s="35" t="str">
        <f ca="1">IF(NOTA[[#This Row],[ID_H]]="","",IF(NOTA[[#This Row],[Column3]]=TRUE,NOTA[[#This Row],[Column5]],INDEX([3]!db[QTY/ CTN],NOTA[[#This Row],[//DB]])))</f>
        <v/>
      </c>
      <c r="AU5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7" s="35" t="str">
        <f ca="1">IF(NOTA[[#This Row],[ID_H]]="","",MATCH(NOTA[[#This Row],[NB NOTA_C_QTY]],[3]!db[NB NOTA_C_QTY+F],0))</f>
        <v/>
      </c>
      <c r="AW547" s="43" t="str">
        <f ca="1">IF(NOTA[[#This Row],[NB NOTA_C_QTY]]="","",ROW()-2)</f>
        <v/>
      </c>
    </row>
    <row r="548" spans="1:49" ht="20.100000000000001" customHeight="1">
      <c r="A5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5" t="str">
        <f ca="1">IF(NOTA[[#This Row],[NAMA BARANG]]="","",INDEX(NOTA[ID],MATCH(,INDIRECT(ADDRESS(ROW(NOTA[ID]),COLUMN(NOTA[ID]))&amp;":"&amp;ADDRESS(ROW(),COLUMN(NOTA[ID]))),-1)))</f>
        <v/>
      </c>
      <c r="C548" s="45"/>
      <c r="F548" s="46"/>
      <c r="G548" s="35"/>
      <c r="H548" s="36"/>
      <c r="I548" s="35"/>
      <c r="K548" s="37"/>
      <c r="L548" s="35"/>
      <c r="N548" s="38"/>
      <c r="O548" s="39"/>
      <c r="P548" s="47"/>
      <c r="Q548" s="48"/>
      <c r="R548" s="41"/>
      <c r="T548" s="42"/>
      <c r="U548" s="44"/>
      <c r="V548" s="42" t="str">
        <f>IF(NOTA[[#This Row],[HARGA/ CTN]]="",NOTA[[#This Row],[JUMLAH_H]],NOTA[[#This Row],[HARGA/ CTN]]*IF(NOTA[[#This Row],[C]]="",0,NOTA[[#This Row],[C]]))</f>
        <v/>
      </c>
      <c r="W548" s="42" t="str">
        <f>IF(NOTA[[#This Row],[JUMLAH]]="","",NOTA[[#This Row],[JUMLAH]]*NOTA[[#This Row],[Column6]])</f>
        <v/>
      </c>
      <c r="X548" s="42" t="str">
        <f>IF(NOTA[[#This Row],[JUMLAH]]="","",(NOTA[[#This Row],[JUMLAH]]-NOTA[[#This Row],[DISC 1-]])*NOTA[[#This Row],[Column7]])</f>
        <v/>
      </c>
      <c r="Y548" s="42" t="str">
        <f>IF(NOTA[[#This Row],[JUMLAH]]="","",(NOTA[[#This Row],[JUMLAH]]-NOTA[[#This Row],[DISC 1-]]-NOTA[[#This Row],[DISC 2-]])*NOTA[[#This Row],[Column8]])</f>
        <v/>
      </c>
      <c r="Z548" s="42" t="str">
        <f>IF(NOTA[[#This Row],[JUMLAH]]="","",NOTA[[#This Row],[DISC 1-]]+NOTA[[#This Row],[DISC 2-]]+NOTA[[#This Row],[DISC 3-]])</f>
        <v/>
      </c>
      <c r="AA548" s="42" t="str">
        <f>IF(NOTA[[#This Row],[JUMLAH]]="","",NOTA[[#This Row],[JUMLAH]]-NOTA[[#This Row],[DISC]])</f>
        <v/>
      </c>
      <c r="AB548" s="42"/>
      <c r="AC5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42" t="str">
        <f>IF(OR(NOTA[[#This Row],[QTY]]="",NOTA[[#This Row],[HARGA SATUAN]]="",),"",NOTA[[#This Row],[QTY]]*NOTA[[#This Row],[HARGA SATUAN]])</f>
        <v/>
      </c>
      <c r="AG548" s="36" t="str">
        <f ca="1">IF(NOTA[[#This Row],[ID_H]]="","",INDEX(NOTA[TANGGAL],MATCH(,INDIRECT(ADDRESS(ROW(NOTA[TANGGAL]),COLUMN(NOTA[TANGGAL]))&amp;":"&amp;ADDRESS(ROW(),COLUMN(NOTA[TANGGAL]))),-1)))</f>
        <v/>
      </c>
      <c r="AH548" s="36" t="str">
        <f ca="1">IF(NOTA[[#This Row],[ID_H]]="","",INDEX(NOTA[TGL.NOTA],MATCH(,INDIRECT(ADDRESS(ROW(NOTA[TGL.NOTA]),COLUMN(NOTA[TGL.NOTA]))&amp;":"&amp;ADDRESS(ROW(),COLUMN(NOTA[TGL.NOTA]))),-1)))</f>
        <v/>
      </c>
      <c r="AI548" s="36" t="str">
        <f ca="1">IF(NOTA[[#This Row],[ID_H]]="","",INDEX(NOTA[NO.NOTA],MATCH(NOTA[[#This Row],[ID_H]],NOTA[ID_H],0)))</f>
        <v/>
      </c>
      <c r="AJ548" s="38" t="str">
        <f ca="1">IF(NOTA[[#This Row],[NAMA BARANG]]="","",INDEX(NOTA[SUPPLIER],MATCH(,INDIRECT(ADDRESS(ROW(NOTA[ID]),COLUMN(NOTA[ID]))&amp;":"&amp;ADDRESS(ROW(),COLUMN(NOTA[ID]))),-1)))</f>
        <v/>
      </c>
      <c r="AK548" s="38" t="str">
        <f ca="1">IF(NOTA[[#This Row],[ID_H]]="","",IF(NOTA[[#This Row],[FAKTUR]]="",INDIRECT(ADDRESS(ROW()-1,COLUMN())),NOTA[[#This Row],[FAKTUR]]))</f>
        <v/>
      </c>
      <c r="AL548" s="35" t="str">
        <f ca="1">IF(NOTA[[#This Row],[ID]]="","",COUNTIF(NOTA[ID_H],NOTA[[#This Row],[ID_H]]))</f>
        <v/>
      </c>
      <c r="AM548" s="35" t="str">
        <f ca="1">IF(NOTA[[#This Row],[TGL.NOTA]]="",IF(NOTA[[#This Row],[SUPPLIER_H]]="","",AM547),MONTH(NOTA[[#This Row],[TGL.NOTA]]))</f>
        <v/>
      </c>
      <c r="AN5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8" s="35" t="str">
        <f>IF(NOTA[[#This Row],[CONCAT1]]="","",MATCH(NOTA[[#This Row],[CONCAT1]],[3]!db[NB NOTA_C],0))</f>
        <v/>
      </c>
      <c r="AS548" s="35" t="str">
        <f>IF(NOTA[[#This Row],[Column5]]="","",TRUE)</f>
        <v/>
      </c>
      <c r="AT548" s="35" t="str">
        <f ca="1">IF(NOTA[[#This Row],[ID_H]]="","",IF(NOTA[[#This Row],[Column3]]=TRUE,NOTA[[#This Row],[Column5]],INDEX([3]!db[QTY/ CTN],NOTA[[#This Row],[//DB]])))</f>
        <v/>
      </c>
      <c r="AU5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8" s="35" t="str">
        <f ca="1">IF(NOTA[[#This Row],[ID_H]]="","",MATCH(NOTA[[#This Row],[NB NOTA_C_QTY]],[3]!db[NB NOTA_C_QTY+F],0))</f>
        <v/>
      </c>
      <c r="AW548" s="43" t="str">
        <f ca="1">IF(NOTA[[#This Row],[NB NOTA_C_QTY]]="","",ROW()-2)</f>
        <v/>
      </c>
    </row>
    <row r="549" spans="1:49" ht="20.100000000000001" customHeight="1">
      <c r="A5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5" t="str">
        <f ca="1">IF(NOTA[[#This Row],[NAMA BARANG]]="","",INDEX(NOTA[ID],MATCH(,INDIRECT(ADDRESS(ROW(NOTA[ID]),COLUMN(NOTA[ID]))&amp;":"&amp;ADDRESS(ROW(),COLUMN(NOTA[ID]))),-1)))</f>
        <v/>
      </c>
      <c r="C549" s="45"/>
      <c r="F549" s="46"/>
      <c r="G549" s="35"/>
      <c r="H549" s="36"/>
      <c r="I549" s="35"/>
      <c r="K549" s="37"/>
      <c r="L549" s="35"/>
      <c r="N549" s="38"/>
      <c r="O549" s="39"/>
      <c r="P549" s="47"/>
      <c r="Q549" s="48"/>
      <c r="R549" s="41"/>
      <c r="T549" s="42"/>
      <c r="U549" s="44"/>
      <c r="V549" s="42" t="str">
        <f>IF(NOTA[[#This Row],[HARGA/ CTN]]="",NOTA[[#This Row],[JUMLAH_H]],NOTA[[#This Row],[HARGA/ CTN]]*IF(NOTA[[#This Row],[C]]="",0,NOTA[[#This Row],[C]]))</f>
        <v/>
      </c>
      <c r="W549" s="42" t="str">
        <f>IF(NOTA[[#This Row],[JUMLAH]]="","",NOTA[[#This Row],[JUMLAH]]*NOTA[[#This Row],[Column6]])</f>
        <v/>
      </c>
      <c r="X549" s="42" t="str">
        <f>IF(NOTA[[#This Row],[JUMLAH]]="","",(NOTA[[#This Row],[JUMLAH]]-NOTA[[#This Row],[DISC 1-]])*NOTA[[#This Row],[Column7]])</f>
        <v/>
      </c>
      <c r="Y549" s="42" t="str">
        <f>IF(NOTA[[#This Row],[JUMLAH]]="","",(NOTA[[#This Row],[JUMLAH]]-NOTA[[#This Row],[DISC 1-]]-NOTA[[#This Row],[DISC 2-]])*NOTA[[#This Row],[Column8]])</f>
        <v/>
      </c>
      <c r="Z549" s="42" t="str">
        <f>IF(NOTA[[#This Row],[JUMLAH]]="","",NOTA[[#This Row],[DISC 1-]]+NOTA[[#This Row],[DISC 2-]]+NOTA[[#This Row],[DISC 3-]])</f>
        <v/>
      </c>
      <c r="AA549" s="42" t="str">
        <f>IF(NOTA[[#This Row],[JUMLAH]]="","",NOTA[[#This Row],[JUMLAH]]-NOTA[[#This Row],[DISC]])</f>
        <v/>
      </c>
      <c r="AB549" s="42"/>
      <c r="AC5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42" t="str">
        <f>IF(OR(NOTA[[#This Row],[QTY]]="",NOTA[[#This Row],[HARGA SATUAN]]="",),"",NOTA[[#This Row],[QTY]]*NOTA[[#This Row],[HARGA SATUAN]])</f>
        <v/>
      </c>
      <c r="AG549" s="36" t="str">
        <f ca="1">IF(NOTA[[#This Row],[ID_H]]="","",INDEX(NOTA[TANGGAL],MATCH(,INDIRECT(ADDRESS(ROW(NOTA[TANGGAL]),COLUMN(NOTA[TANGGAL]))&amp;":"&amp;ADDRESS(ROW(),COLUMN(NOTA[TANGGAL]))),-1)))</f>
        <v/>
      </c>
      <c r="AH549" s="36" t="str">
        <f ca="1">IF(NOTA[[#This Row],[ID_H]]="","",INDEX(NOTA[TGL.NOTA],MATCH(,INDIRECT(ADDRESS(ROW(NOTA[TGL.NOTA]),COLUMN(NOTA[TGL.NOTA]))&amp;":"&amp;ADDRESS(ROW(),COLUMN(NOTA[TGL.NOTA]))),-1)))</f>
        <v/>
      </c>
      <c r="AI549" s="36" t="str">
        <f ca="1">IF(NOTA[[#This Row],[ID_H]]="","",INDEX(NOTA[NO.NOTA],MATCH(NOTA[[#This Row],[ID_H]],NOTA[ID_H],0)))</f>
        <v/>
      </c>
      <c r="AJ549" s="38" t="str">
        <f ca="1">IF(NOTA[[#This Row],[NAMA BARANG]]="","",INDEX(NOTA[SUPPLIER],MATCH(,INDIRECT(ADDRESS(ROW(NOTA[ID]),COLUMN(NOTA[ID]))&amp;":"&amp;ADDRESS(ROW(),COLUMN(NOTA[ID]))),-1)))</f>
        <v/>
      </c>
      <c r="AK549" s="38" t="str">
        <f ca="1">IF(NOTA[[#This Row],[ID_H]]="","",IF(NOTA[[#This Row],[FAKTUR]]="",INDIRECT(ADDRESS(ROW()-1,COLUMN())),NOTA[[#This Row],[FAKTUR]]))</f>
        <v/>
      </c>
      <c r="AL549" s="35" t="str">
        <f ca="1">IF(NOTA[[#This Row],[ID]]="","",COUNTIF(NOTA[ID_H],NOTA[[#This Row],[ID_H]]))</f>
        <v/>
      </c>
      <c r="AM549" s="35" t="str">
        <f ca="1">IF(NOTA[[#This Row],[TGL.NOTA]]="",IF(NOTA[[#This Row],[SUPPLIER_H]]="","",AM548),MONTH(NOTA[[#This Row],[TGL.NOTA]]))</f>
        <v/>
      </c>
      <c r="AN5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9" s="35" t="str">
        <f>IF(NOTA[[#This Row],[CONCAT1]]="","",MATCH(NOTA[[#This Row],[CONCAT1]],[3]!db[NB NOTA_C],0))</f>
        <v/>
      </c>
      <c r="AS549" s="35" t="str">
        <f>IF(NOTA[[#This Row],[Column5]]="","",TRUE)</f>
        <v/>
      </c>
      <c r="AT549" s="35" t="str">
        <f ca="1">IF(NOTA[[#This Row],[ID_H]]="","",IF(NOTA[[#This Row],[Column3]]=TRUE,NOTA[[#This Row],[Column5]],INDEX([3]!db[QTY/ CTN],NOTA[[#This Row],[//DB]])))</f>
        <v/>
      </c>
      <c r="AU5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49" s="35" t="str">
        <f ca="1">IF(NOTA[[#This Row],[ID_H]]="","",MATCH(NOTA[[#This Row],[NB NOTA_C_QTY]],[3]!db[NB NOTA_C_QTY+F],0))</f>
        <v/>
      </c>
      <c r="AW549" s="43" t="str">
        <f ca="1">IF(NOTA[[#This Row],[NB NOTA_C_QTY]]="","",ROW()-2)</f>
        <v/>
      </c>
    </row>
    <row r="550" spans="1:49" ht="20.100000000000001" customHeight="1">
      <c r="A5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5" t="str">
        <f ca="1">IF(NOTA[[#This Row],[NAMA BARANG]]="","",INDEX(NOTA[ID],MATCH(,INDIRECT(ADDRESS(ROW(NOTA[ID]),COLUMN(NOTA[ID]))&amp;":"&amp;ADDRESS(ROW(),COLUMN(NOTA[ID]))),-1)))</f>
        <v/>
      </c>
      <c r="C550" s="45"/>
      <c r="F550" s="46"/>
      <c r="G550" s="35"/>
      <c r="H550" s="36"/>
      <c r="I550" s="35"/>
      <c r="K550" s="37"/>
      <c r="L550" s="35"/>
      <c r="N550" s="38"/>
      <c r="O550" s="39"/>
      <c r="P550" s="47"/>
      <c r="Q550" s="48"/>
      <c r="R550" s="41"/>
      <c r="T550" s="42"/>
      <c r="U550" s="44"/>
      <c r="V550" s="42" t="str">
        <f>IF(NOTA[[#This Row],[HARGA/ CTN]]="",NOTA[[#This Row],[JUMLAH_H]],NOTA[[#This Row],[HARGA/ CTN]]*IF(NOTA[[#This Row],[C]]="",0,NOTA[[#This Row],[C]]))</f>
        <v/>
      </c>
      <c r="W550" s="42" t="str">
        <f>IF(NOTA[[#This Row],[JUMLAH]]="","",NOTA[[#This Row],[JUMLAH]]*NOTA[[#This Row],[Column6]])</f>
        <v/>
      </c>
      <c r="X550" s="42" t="str">
        <f>IF(NOTA[[#This Row],[JUMLAH]]="","",(NOTA[[#This Row],[JUMLAH]]-NOTA[[#This Row],[DISC 1-]])*NOTA[[#This Row],[Column7]])</f>
        <v/>
      </c>
      <c r="Y550" s="42" t="str">
        <f>IF(NOTA[[#This Row],[JUMLAH]]="","",(NOTA[[#This Row],[JUMLAH]]-NOTA[[#This Row],[DISC 1-]]-NOTA[[#This Row],[DISC 2-]])*NOTA[[#This Row],[Column8]])</f>
        <v/>
      </c>
      <c r="Z550" s="42" t="str">
        <f>IF(NOTA[[#This Row],[JUMLAH]]="","",NOTA[[#This Row],[DISC 1-]]+NOTA[[#This Row],[DISC 2-]]+NOTA[[#This Row],[DISC 3-]])</f>
        <v/>
      </c>
      <c r="AA550" s="42" t="str">
        <f>IF(NOTA[[#This Row],[JUMLAH]]="","",NOTA[[#This Row],[JUMLAH]]-NOTA[[#This Row],[DISC]])</f>
        <v/>
      </c>
      <c r="AB550" s="42"/>
      <c r="AC5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42" t="str">
        <f>IF(OR(NOTA[[#This Row],[QTY]]="",NOTA[[#This Row],[HARGA SATUAN]]="",),"",NOTA[[#This Row],[QTY]]*NOTA[[#This Row],[HARGA SATUAN]])</f>
        <v/>
      </c>
      <c r="AG550" s="36" t="str">
        <f ca="1">IF(NOTA[[#This Row],[ID_H]]="","",INDEX(NOTA[TANGGAL],MATCH(,INDIRECT(ADDRESS(ROW(NOTA[TANGGAL]),COLUMN(NOTA[TANGGAL]))&amp;":"&amp;ADDRESS(ROW(),COLUMN(NOTA[TANGGAL]))),-1)))</f>
        <v/>
      </c>
      <c r="AH550" s="36" t="str">
        <f ca="1">IF(NOTA[[#This Row],[ID_H]]="","",INDEX(NOTA[TGL.NOTA],MATCH(,INDIRECT(ADDRESS(ROW(NOTA[TGL.NOTA]),COLUMN(NOTA[TGL.NOTA]))&amp;":"&amp;ADDRESS(ROW(),COLUMN(NOTA[TGL.NOTA]))),-1)))</f>
        <v/>
      </c>
      <c r="AI550" s="36" t="str">
        <f ca="1">IF(NOTA[[#This Row],[ID_H]]="","",INDEX(NOTA[NO.NOTA],MATCH(NOTA[[#This Row],[ID_H]],NOTA[ID_H],0)))</f>
        <v/>
      </c>
      <c r="AJ550" s="38" t="str">
        <f ca="1">IF(NOTA[[#This Row],[NAMA BARANG]]="","",INDEX(NOTA[SUPPLIER],MATCH(,INDIRECT(ADDRESS(ROW(NOTA[ID]),COLUMN(NOTA[ID]))&amp;":"&amp;ADDRESS(ROW(),COLUMN(NOTA[ID]))),-1)))</f>
        <v/>
      </c>
      <c r="AK550" s="38" t="str">
        <f ca="1">IF(NOTA[[#This Row],[ID_H]]="","",IF(NOTA[[#This Row],[FAKTUR]]="",INDIRECT(ADDRESS(ROW()-1,COLUMN())),NOTA[[#This Row],[FAKTUR]]))</f>
        <v/>
      </c>
      <c r="AL550" s="35" t="str">
        <f ca="1">IF(NOTA[[#This Row],[ID]]="","",COUNTIF(NOTA[ID_H],NOTA[[#This Row],[ID_H]]))</f>
        <v/>
      </c>
      <c r="AM550" s="35" t="str">
        <f ca="1">IF(NOTA[[#This Row],[TGL.NOTA]]="",IF(NOTA[[#This Row],[SUPPLIER_H]]="","",AM549),MONTH(NOTA[[#This Row],[TGL.NOTA]]))</f>
        <v/>
      </c>
      <c r="AN5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0" s="35" t="str">
        <f>IF(NOTA[[#This Row],[CONCAT1]]="","",MATCH(NOTA[[#This Row],[CONCAT1]],[3]!db[NB NOTA_C],0))</f>
        <v/>
      </c>
      <c r="AS550" s="35" t="str">
        <f>IF(NOTA[[#This Row],[Column5]]="","",TRUE)</f>
        <v/>
      </c>
      <c r="AT550" s="35" t="str">
        <f ca="1">IF(NOTA[[#This Row],[ID_H]]="","",IF(NOTA[[#This Row],[Column3]]=TRUE,NOTA[[#This Row],[Column5]],INDEX([3]!db[QTY/ CTN],NOTA[[#This Row],[//DB]])))</f>
        <v/>
      </c>
      <c r="AU5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0" s="35" t="str">
        <f ca="1">IF(NOTA[[#This Row],[ID_H]]="","",MATCH(NOTA[[#This Row],[NB NOTA_C_QTY]],[3]!db[NB NOTA_C_QTY+F],0))</f>
        <v/>
      </c>
      <c r="AW550" s="43" t="str">
        <f ca="1">IF(NOTA[[#This Row],[NB NOTA_C_QTY]]="","",ROW()-2)</f>
        <v/>
      </c>
    </row>
    <row r="551" spans="1:49" ht="20.100000000000001" customHeight="1">
      <c r="A5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5" t="str">
        <f ca="1">IF(NOTA[[#This Row],[NAMA BARANG]]="","",INDEX(NOTA[ID],MATCH(,INDIRECT(ADDRESS(ROW(NOTA[ID]),COLUMN(NOTA[ID]))&amp;":"&amp;ADDRESS(ROW(),COLUMN(NOTA[ID]))),-1)))</f>
        <v/>
      </c>
      <c r="C551" s="45"/>
      <c r="F551" s="46"/>
      <c r="G551" s="35"/>
      <c r="H551" s="36"/>
      <c r="I551" s="35"/>
      <c r="K551" s="37"/>
      <c r="L551" s="35"/>
      <c r="N551" s="38"/>
      <c r="O551" s="39"/>
      <c r="P551" s="47"/>
      <c r="Q551" s="48"/>
      <c r="R551" s="41"/>
      <c r="T551" s="42"/>
      <c r="U551" s="44"/>
      <c r="V551" s="42" t="str">
        <f>IF(NOTA[[#This Row],[HARGA/ CTN]]="",NOTA[[#This Row],[JUMLAH_H]],NOTA[[#This Row],[HARGA/ CTN]]*IF(NOTA[[#This Row],[C]]="",0,NOTA[[#This Row],[C]]))</f>
        <v/>
      </c>
      <c r="W551" s="42" t="str">
        <f>IF(NOTA[[#This Row],[JUMLAH]]="","",NOTA[[#This Row],[JUMLAH]]*NOTA[[#This Row],[Column6]])</f>
        <v/>
      </c>
      <c r="X551" s="42" t="str">
        <f>IF(NOTA[[#This Row],[JUMLAH]]="","",(NOTA[[#This Row],[JUMLAH]]-NOTA[[#This Row],[DISC 1-]])*NOTA[[#This Row],[Column7]])</f>
        <v/>
      </c>
      <c r="Y551" s="42" t="str">
        <f>IF(NOTA[[#This Row],[JUMLAH]]="","",(NOTA[[#This Row],[JUMLAH]]-NOTA[[#This Row],[DISC 1-]]-NOTA[[#This Row],[DISC 2-]])*NOTA[[#This Row],[Column8]])</f>
        <v/>
      </c>
      <c r="Z551" s="42" t="str">
        <f>IF(NOTA[[#This Row],[JUMLAH]]="","",NOTA[[#This Row],[DISC 1-]]+NOTA[[#This Row],[DISC 2-]]+NOTA[[#This Row],[DISC 3-]])</f>
        <v/>
      </c>
      <c r="AA551" s="42" t="str">
        <f>IF(NOTA[[#This Row],[JUMLAH]]="","",NOTA[[#This Row],[JUMLAH]]-NOTA[[#This Row],[DISC]])</f>
        <v/>
      </c>
      <c r="AB551" s="42"/>
      <c r="AC5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42" t="str">
        <f>IF(OR(NOTA[[#This Row],[QTY]]="",NOTA[[#This Row],[HARGA SATUAN]]="",),"",NOTA[[#This Row],[QTY]]*NOTA[[#This Row],[HARGA SATUAN]])</f>
        <v/>
      </c>
      <c r="AG551" s="36" t="str">
        <f ca="1">IF(NOTA[[#This Row],[ID_H]]="","",INDEX(NOTA[TANGGAL],MATCH(,INDIRECT(ADDRESS(ROW(NOTA[TANGGAL]),COLUMN(NOTA[TANGGAL]))&amp;":"&amp;ADDRESS(ROW(),COLUMN(NOTA[TANGGAL]))),-1)))</f>
        <v/>
      </c>
      <c r="AH551" s="36" t="str">
        <f ca="1">IF(NOTA[[#This Row],[ID_H]]="","",INDEX(NOTA[TGL.NOTA],MATCH(,INDIRECT(ADDRESS(ROW(NOTA[TGL.NOTA]),COLUMN(NOTA[TGL.NOTA]))&amp;":"&amp;ADDRESS(ROW(),COLUMN(NOTA[TGL.NOTA]))),-1)))</f>
        <v/>
      </c>
      <c r="AI551" s="36" t="str">
        <f ca="1">IF(NOTA[[#This Row],[ID_H]]="","",INDEX(NOTA[NO.NOTA],MATCH(NOTA[[#This Row],[ID_H]],NOTA[ID_H],0)))</f>
        <v/>
      </c>
      <c r="AJ551" s="38" t="str">
        <f ca="1">IF(NOTA[[#This Row],[NAMA BARANG]]="","",INDEX(NOTA[SUPPLIER],MATCH(,INDIRECT(ADDRESS(ROW(NOTA[ID]),COLUMN(NOTA[ID]))&amp;":"&amp;ADDRESS(ROW(),COLUMN(NOTA[ID]))),-1)))</f>
        <v/>
      </c>
      <c r="AK551" s="38" t="str">
        <f ca="1">IF(NOTA[[#This Row],[ID_H]]="","",IF(NOTA[[#This Row],[FAKTUR]]="",INDIRECT(ADDRESS(ROW()-1,COLUMN())),NOTA[[#This Row],[FAKTUR]]))</f>
        <v/>
      </c>
      <c r="AL551" s="35" t="str">
        <f ca="1">IF(NOTA[[#This Row],[ID]]="","",COUNTIF(NOTA[ID_H],NOTA[[#This Row],[ID_H]]))</f>
        <v/>
      </c>
      <c r="AM551" s="35" t="str">
        <f ca="1">IF(NOTA[[#This Row],[TGL.NOTA]]="",IF(NOTA[[#This Row],[SUPPLIER_H]]="","",AM550),MONTH(NOTA[[#This Row],[TGL.NOTA]]))</f>
        <v/>
      </c>
      <c r="AN5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1" s="35" t="str">
        <f>IF(NOTA[[#This Row],[CONCAT1]]="","",MATCH(NOTA[[#This Row],[CONCAT1]],[3]!db[NB NOTA_C],0))</f>
        <v/>
      </c>
      <c r="AS551" s="35" t="str">
        <f>IF(NOTA[[#This Row],[Column5]]="","",TRUE)</f>
        <v/>
      </c>
      <c r="AT551" s="35" t="str">
        <f ca="1">IF(NOTA[[#This Row],[ID_H]]="","",IF(NOTA[[#This Row],[Column3]]=TRUE,NOTA[[#This Row],[Column5]],INDEX([3]!db[QTY/ CTN],NOTA[[#This Row],[//DB]])))</f>
        <v/>
      </c>
      <c r="AU5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1" s="35" t="str">
        <f ca="1">IF(NOTA[[#This Row],[ID_H]]="","",MATCH(NOTA[[#This Row],[NB NOTA_C_QTY]],[3]!db[NB NOTA_C_QTY+F],0))</f>
        <v/>
      </c>
      <c r="AW551" s="43" t="str">
        <f ca="1">IF(NOTA[[#This Row],[NB NOTA_C_QTY]]="","",ROW()-2)</f>
        <v/>
      </c>
    </row>
    <row r="552" spans="1:49" ht="20.100000000000001" customHeight="1">
      <c r="A5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5" t="str">
        <f ca="1">IF(NOTA[[#This Row],[NAMA BARANG]]="","",INDEX(NOTA[ID],MATCH(,INDIRECT(ADDRESS(ROW(NOTA[ID]),COLUMN(NOTA[ID]))&amp;":"&amp;ADDRESS(ROW(),COLUMN(NOTA[ID]))),-1)))</f>
        <v/>
      </c>
      <c r="C552" s="45"/>
      <c r="F552" s="46"/>
      <c r="G552" s="35"/>
      <c r="H552" s="36"/>
      <c r="I552" s="35"/>
      <c r="K552" s="37"/>
      <c r="L552" s="35"/>
      <c r="N552" s="38"/>
      <c r="O552" s="39"/>
      <c r="P552" s="47"/>
      <c r="Q552" s="48"/>
      <c r="R552" s="41"/>
      <c r="T552" s="42"/>
      <c r="U552" s="44"/>
      <c r="V552" s="42" t="str">
        <f>IF(NOTA[[#This Row],[HARGA/ CTN]]="",NOTA[[#This Row],[JUMLAH_H]],NOTA[[#This Row],[HARGA/ CTN]]*IF(NOTA[[#This Row],[C]]="",0,NOTA[[#This Row],[C]]))</f>
        <v/>
      </c>
      <c r="W552" s="42" t="str">
        <f>IF(NOTA[[#This Row],[JUMLAH]]="","",NOTA[[#This Row],[JUMLAH]]*NOTA[[#This Row],[Column6]])</f>
        <v/>
      </c>
      <c r="X552" s="42" t="str">
        <f>IF(NOTA[[#This Row],[JUMLAH]]="","",(NOTA[[#This Row],[JUMLAH]]-NOTA[[#This Row],[DISC 1-]])*NOTA[[#This Row],[Column7]])</f>
        <v/>
      </c>
      <c r="Y552" s="42" t="str">
        <f>IF(NOTA[[#This Row],[JUMLAH]]="","",(NOTA[[#This Row],[JUMLAH]]-NOTA[[#This Row],[DISC 1-]]-NOTA[[#This Row],[DISC 2-]])*NOTA[[#This Row],[Column8]])</f>
        <v/>
      </c>
      <c r="Z552" s="42" t="str">
        <f>IF(NOTA[[#This Row],[JUMLAH]]="","",NOTA[[#This Row],[DISC 1-]]+NOTA[[#This Row],[DISC 2-]]+NOTA[[#This Row],[DISC 3-]])</f>
        <v/>
      </c>
      <c r="AA552" s="42" t="str">
        <f>IF(NOTA[[#This Row],[JUMLAH]]="","",NOTA[[#This Row],[JUMLAH]]-NOTA[[#This Row],[DISC]])</f>
        <v/>
      </c>
      <c r="AB552" s="42"/>
      <c r="AC5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42" t="str">
        <f>IF(OR(NOTA[[#This Row],[QTY]]="",NOTA[[#This Row],[HARGA SATUAN]]="",),"",NOTA[[#This Row],[QTY]]*NOTA[[#This Row],[HARGA SATUAN]])</f>
        <v/>
      </c>
      <c r="AG552" s="36" t="str">
        <f ca="1">IF(NOTA[[#This Row],[ID_H]]="","",INDEX(NOTA[TANGGAL],MATCH(,INDIRECT(ADDRESS(ROW(NOTA[TANGGAL]),COLUMN(NOTA[TANGGAL]))&amp;":"&amp;ADDRESS(ROW(),COLUMN(NOTA[TANGGAL]))),-1)))</f>
        <v/>
      </c>
      <c r="AH552" s="36" t="str">
        <f ca="1">IF(NOTA[[#This Row],[ID_H]]="","",INDEX(NOTA[TGL.NOTA],MATCH(,INDIRECT(ADDRESS(ROW(NOTA[TGL.NOTA]),COLUMN(NOTA[TGL.NOTA]))&amp;":"&amp;ADDRESS(ROW(),COLUMN(NOTA[TGL.NOTA]))),-1)))</f>
        <v/>
      </c>
      <c r="AI552" s="36" t="str">
        <f ca="1">IF(NOTA[[#This Row],[ID_H]]="","",INDEX(NOTA[NO.NOTA],MATCH(NOTA[[#This Row],[ID_H]],NOTA[ID_H],0)))</f>
        <v/>
      </c>
      <c r="AJ552" s="38" t="str">
        <f ca="1">IF(NOTA[[#This Row],[NAMA BARANG]]="","",INDEX(NOTA[SUPPLIER],MATCH(,INDIRECT(ADDRESS(ROW(NOTA[ID]),COLUMN(NOTA[ID]))&amp;":"&amp;ADDRESS(ROW(),COLUMN(NOTA[ID]))),-1)))</f>
        <v/>
      </c>
      <c r="AK552" s="38" t="str">
        <f ca="1">IF(NOTA[[#This Row],[ID_H]]="","",IF(NOTA[[#This Row],[FAKTUR]]="",INDIRECT(ADDRESS(ROW()-1,COLUMN())),NOTA[[#This Row],[FAKTUR]]))</f>
        <v/>
      </c>
      <c r="AL552" s="35" t="str">
        <f ca="1">IF(NOTA[[#This Row],[ID]]="","",COUNTIF(NOTA[ID_H],NOTA[[#This Row],[ID_H]]))</f>
        <v/>
      </c>
      <c r="AM552" s="35" t="str">
        <f ca="1">IF(NOTA[[#This Row],[TGL.NOTA]]="",IF(NOTA[[#This Row],[SUPPLIER_H]]="","",AM551),MONTH(NOTA[[#This Row],[TGL.NOTA]]))</f>
        <v/>
      </c>
      <c r="AN5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2" s="35" t="str">
        <f>IF(NOTA[[#This Row],[CONCAT1]]="","",MATCH(NOTA[[#This Row],[CONCAT1]],[3]!db[NB NOTA_C],0))</f>
        <v/>
      </c>
      <c r="AS552" s="35" t="str">
        <f>IF(NOTA[[#This Row],[Column5]]="","",TRUE)</f>
        <v/>
      </c>
      <c r="AT552" s="35" t="str">
        <f ca="1">IF(NOTA[[#This Row],[ID_H]]="","",IF(NOTA[[#This Row],[Column3]]=TRUE,NOTA[[#This Row],[Column5]],INDEX([3]!db[QTY/ CTN],NOTA[[#This Row],[//DB]])))</f>
        <v/>
      </c>
      <c r="AU5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2" s="35" t="str">
        <f ca="1">IF(NOTA[[#This Row],[ID_H]]="","",MATCH(NOTA[[#This Row],[NB NOTA_C_QTY]],[3]!db[NB NOTA_C_QTY+F],0))</f>
        <v/>
      </c>
      <c r="AW552" s="43" t="str">
        <f ca="1">IF(NOTA[[#This Row],[NB NOTA_C_QTY]]="","",ROW()-2)</f>
        <v/>
      </c>
    </row>
    <row r="553" spans="1:49" ht="20.100000000000001" customHeight="1">
      <c r="A5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5" t="str">
        <f ca="1">IF(NOTA[[#This Row],[NAMA BARANG]]="","",INDEX(NOTA[ID],MATCH(,INDIRECT(ADDRESS(ROW(NOTA[ID]),COLUMN(NOTA[ID]))&amp;":"&amp;ADDRESS(ROW(),COLUMN(NOTA[ID]))),-1)))</f>
        <v/>
      </c>
      <c r="C553" s="45"/>
      <c r="F553" s="46"/>
      <c r="G553" s="35"/>
      <c r="H553" s="36"/>
      <c r="I553" s="35"/>
      <c r="K553" s="37"/>
      <c r="L553" s="35"/>
      <c r="N553" s="38"/>
      <c r="O553" s="39"/>
      <c r="P553" s="47"/>
      <c r="Q553" s="48"/>
      <c r="R553" s="41"/>
      <c r="T553" s="42"/>
      <c r="U553" s="44"/>
      <c r="V553" s="42" t="str">
        <f>IF(NOTA[[#This Row],[HARGA/ CTN]]="",NOTA[[#This Row],[JUMLAH_H]],NOTA[[#This Row],[HARGA/ CTN]]*IF(NOTA[[#This Row],[C]]="",0,NOTA[[#This Row],[C]]))</f>
        <v/>
      </c>
      <c r="W553" s="42" t="str">
        <f>IF(NOTA[[#This Row],[JUMLAH]]="","",NOTA[[#This Row],[JUMLAH]]*NOTA[[#This Row],[Column6]])</f>
        <v/>
      </c>
      <c r="X553" s="42" t="str">
        <f>IF(NOTA[[#This Row],[JUMLAH]]="","",(NOTA[[#This Row],[JUMLAH]]-NOTA[[#This Row],[DISC 1-]])*NOTA[[#This Row],[Column7]])</f>
        <v/>
      </c>
      <c r="Y553" s="42" t="str">
        <f>IF(NOTA[[#This Row],[JUMLAH]]="","",(NOTA[[#This Row],[JUMLAH]]-NOTA[[#This Row],[DISC 1-]]-NOTA[[#This Row],[DISC 2-]])*NOTA[[#This Row],[Column8]])</f>
        <v/>
      </c>
      <c r="Z553" s="42" t="str">
        <f>IF(NOTA[[#This Row],[JUMLAH]]="","",NOTA[[#This Row],[DISC 1-]]+NOTA[[#This Row],[DISC 2-]]+NOTA[[#This Row],[DISC 3-]])</f>
        <v/>
      </c>
      <c r="AA553" s="42" t="str">
        <f>IF(NOTA[[#This Row],[JUMLAH]]="","",NOTA[[#This Row],[JUMLAH]]-NOTA[[#This Row],[DISC]])</f>
        <v/>
      </c>
      <c r="AB553" s="42"/>
      <c r="AC5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42" t="str">
        <f>IF(OR(NOTA[[#This Row],[QTY]]="",NOTA[[#This Row],[HARGA SATUAN]]="",),"",NOTA[[#This Row],[QTY]]*NOTA[[#This Row],[HARGA SATUAN]])</f>
        <v/>
      </c>
      <c r="AG553" s="36" t="str">
        <f ca="1">IF(NOTA[[#This Row],[ID_H]]="","",INDEX(NOTA[TANGGAL],MATCH(,INDIRECT(ADDRESS(ROW(NOTA[TANGGAL]),COLUMN(NOTA[TANGGAL]))&amp;":"&amp;ADDRESS(ROW(),COLUMN(NOTA[TANGGAL]))),-1)))</f>
        <v/>
      </c>
      <c r="AH553" s="36" t="str">
        <f ca="1">IF(NOTA[[#This Row],[ID_H]]="","",INDEX(NOTA[TGL.NOTA],MATCH(,INDIRECT(ADDRESS(ROW(NOTA[TGL.NOTA]),COLUMN(NOTA[TGL.NOTA]))&amp;":"&amp;ADDRESS(ROW(),COLUMN(NOTA[TGL.NOTA]))),-1)))</f>
        <v/>
      </c>
      <c r="AI553" s="36" t="str">
        <f ca="1">IF(NOTA[[#This Row],[ID_H]]="","",INDEX(NOTA[NO.NOTA],MATCH(NOTA[[#This Row],[ID_H]],NOTA[ID_H],0)))</f>
        <v/>
      </c>
      <c r="AJ553" s="38" t="str">
        <f ca="1">IF(NOTA[[#This Row],[NAMA BARANG]]="","",INDEX(NOTA[SUPPLIER],MATCH(,INDIRECT(ADDRESS(ROW(NOTA[ID]),COLUMN(NOTA[ID]))&amp;":"&amp;ADDRESS(ROW(),COLUMN(NOTA[ID]))),-1)))</f>
        <v/>
      </c>
      <c r="AK553" s="38" t="str">
        <f ca="1">IF(NOTA[[#This Row],[ID_H]]="","",IF(NOTA[[#This Row],[FAKTUR]]="",INDIRECT(ADDRESS(ROW()-1,COLUMN())),NOTA[[#This Row],[FAKTUR]]))</f>
        <v/>
      </c>
      <c r="AL553" s="35" t="str">
        <f ca="1">IF(NOTA[[#This Row],[ID]]="","",COUNTIF(NOTA[ID_H],NOTA[[#This Row],[ID_H]]))</f>
        <v/>
      </c>
      <c r="AM553" s="35" t="str">
        <f ca="1">IF(NOTA[[#This Row],[TGL.NOTA]]="",IF(NOTA[[#This Row],[SUPPLIER_H]]="","",AM552),MONTH(NOTA[[#This Row],[TGL.NOTA]]))</f>
        <v/>
      </c>
      <c r="AN5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3" s="35" t="str">
        <f>IF(NOTA[[#This Row],[CONCAT1]]="","",MATCH(NOTA[[#This Row],[CONCAT1]],[3]!db[NB NOTA_C],0))</f>
        <v/>
      </c>
      <c r="AS553" s="35" t="str">
        <f>IF(NOTA[[#This Row],[Column5]]="","",TRUE)</f>
        <v/>
      </c>
      <c r="AT553" s="35" t="str">
        <f ca="1">IF(NOTA[[#This Row],[ID_H]]="","",IF(NOTA[[#This Row],[Column3]]=TRUE,NOTA[[#This Row],[Column5]],INDEX([3]!db[QTY/ CTN],NOTA[[#This Row],[//DB]])))</f>
        <v/>
      </c>
      <c r="AU5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3" s="35" t="str">
        <f ca="1">IF(NOTA[[#This Row],[ID_H]]="","",MATCH(NOTA[[#This Row],[NB NOTA_C_QTY]],[3]!db[NB NOTA_C_QTY+F],0))</f>
        <v/>
      </c>
      <c r="AW553" s="43" t="str">
        <f ca="1">IF(NOTA[[#This Row],[NB NOTA_C_QTY]]="","",ROW()-2)</f>
        <v/>
      </c>
    </row>
    <row r="554" spans="1:49" ht="20.100000000000001" customHeight="1">
      <c r="A5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5" t="str">
        <f ca="1">IF(NOTA[[#This Row],[NAMA BARANG]]="","",INDEX(NOTA[ID],MATCH(,INDIRECT(ADDRESS(ROW(NOTA[ID]),COLUMN(NOTA[ID]))&amp;":"&amp;ADDRESS(ROW(),COLUMN(NOTA[ID]))),-1)))</f>
        <v/>
      </c>
      <c r="C554" s="45"/>
      <c r="F554" s="46"/>
      <c r="G554" s="35"/>
      <c r="H554" s="36"/>
      <c r="I554" s="35"/>
      <c r="K554" s="37"/>
      <c r="L554" s="35"/>
      <c r="N554" s="38"/>
      <c r="O554" s="39"/>
      <c r="P554" s="47"/>
      <c r="Q554" s="48"/>
      <c r="R554" s="41"/>
      <c r="T554" s="42"/>
      <c r="U554" s="44"/>
      <c r="V554" s="42" t="str">
        <f>IF(NOTA[[#This Row],[HARGA/ CTN]]="",NOTA[[#This Row],[JUMLAH_H]],NOTA[[#This Row],[HARGA/ CTN]]*IF(NOTA[[#This Row],[C]]="",0,NOTA[[#This Row],[C]]))</f>
        <v/>
      </c>
      <c r="W554" s="42" t="str">
        <f>IF(NOTA[[#This Row],[JUMLAH]]="","",NOTA[[#This Row],[JUMLAH]]*NOTA[[#This Row],[Column6]])</f>
        <v/>
      </c>
      <c r="X554" s="42" t="str">
        <f>IF(NOTA[[#This Row],[JUMLAH]]="","",(NOTA[[#This Row],[JUMLAH]]-NOTA[[#This Row],[DISC 1-]])*NOTA[[#This Row],[Column7]])</f>
        <v/>
      </c>
      <c r="Y554" s="42" t="str">
        <f>IF(NOTA[[#This Row],[JUMLAH]]="","",(NOTA[[#This Row],[JUMLAH]]-NOTA[[#This Row],[DISC 1-]]-NOTA[[#This Row],[DISC 2-]])*NOTA[[#This Row],[Column8]])</f>
        <v/>
      </c>
      <c r="Z554" s="42" t="str">
        <f>IF(NOTA[[#This Row],[JUMLAH]]="","",NOTA[[#This Row],[DISC 1-]]+NOTA[[#This Row],[DISC 2-]]+NOTA[[#This Row],[DISC 3-]])</f>
        <v/>
      </c>
      <c r="AA554" s="42" t="str">
        <f>IF(NOTA[[#This Row],[JUMLAH]]="","",NOTA[[#This Row],[JUMLAH]]-NOTA[[#This Row],[DISC]])</f>
        <v/>
      </c>
      <c r="AB554" s="42"/>
      <c r="AC5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42" t="str">
        <f>IF(OR(NOTA[[#This Row],[QTY]]="",NOTA[[#This Row],[HARGA SATUAN]]="",),"",NOTA[[#This Row],[QTY]]*NOTA[[#This Row],[HARGA SATUAN]])</f>
        <v/>
      </c>
      <c r="AG554" s="36" t="str">
        <f ca="1">IF(NOTA[[#This Row],[ID_H]]="","",INDEX(NOTA[TANGGAL],MATCH(,INDIRECT(ADDRESS(ROW(NOTA[TANGGAL]),COLUMN(NOTA[TANGGAL]))&amp;":"&amp;ADDRESS(ROW(),COLUMN(NOTA[TANGGAL]))),-1)))</f>
        <v/>
      </c>
      <c r="AH554" s="36" t="str">
        <f ca="1">IF(NOTA[[#This Row],[ID_H]]="","",INDEX(NOTA[TGL.NOTA],MATCH(,INDIRECT(ADDRESS(ROW(NOTA[TGL.NOTA]),COLUMN(NOTA[TGL.NOTA]))&amp;":"&amp;ADDRESS(ROW(),COLUMN(NOTA[TGL.NOTA]))),-1)))</f>
        <v/>
      </c>
      <c r="AI554" s="36" t="str">
        <f ca="1">IF(NOTA[[#This Row],[ID_H]]="","",INDEX(NOTA[NO.NOTA],MATCH(NOTA[[#This Row],[ID_H]],NOTA[ID_H],0)))</f>
        <v/>
      </c>
      <c r="AJ554" s="38" t="str">
        <f ca="1">IF(NOTA[[#This Row],[NAMA BARANG]]="","",INDEX(NOTA[SUPPLIER],MATCH(,INDIRECT(ADDRESS(ROW(NOTA[ID]),COLUMN(NOTA[ID]))&amp;":"&amp;ADDRESS(ROW(),COLUMN(NOTA[ID]))),-1)))</f>
        <v/>
      </c>
      <c r="AK554" s="38" t="str">
        <f ca="1">IF(NOTA[[#This Row],[ID_H]]="","",IF(NOTA[[#This Row],[FAKTUR]]="",INDIRECT(ADDRESS(ROW()-1,COLUMN())),NOTA[[#This Row],[FAKTUR]]))</f>
        <v/>
      </c>
      <c r="AL554" s="35" t="str">
        <f ca="1">IF(NOTA[[#This Row],[ID]]="","",COUNTIF(NOTA[ID_H],NOTA[[#This Row],[ID_H]]))</f>
        <v/>
      </c>
      <c r="AM554" s="35" t="str">
        <f ca="1">IF(NOTA[[#This Row],[TGL.NOTA]]="",IF(NOTA[[#This Row],[SUPPLIER_H]]="","",AM553),MONTH(NOTA[[#This Row],[TGL.NOTA]]))</f>
        <v/>
      </c>
      <c r="AN5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4" s="35" t="str">
        <f>IF(NOTA[[#This Row],[CONCAT1]]="","",MATCH(NOTA[[#This Row],[CONCAT1]],[3]!db[NB NOTA_C],0))</f>
        <v/>
      </c>
      <c r="AS554" s="35" t="str">
        <f>IF(NOTA[[#This Row],[Column5]]="","",TRUE)</f>
        <v/>
      </c>
      <c r="AT554" s="35" t="str">
        <f ca="1">IF(NOTA[[#This Row],[ID_H]]="","",IF(NOTA[[#This Row],[Column3]]=TRUE,NOTA[[#This Row],[Column5]],INDEX([3]!db[QTY/ CTN],NOTA[[#This Row],[//DB]])))</f>
        <v/>
      </c>
      <c r="AU5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4" s="35" t="str">
        <f ca="1">IF(NOTA[[#This Row],[ID_H]]="","",MATCH(NOTA[[#This Row],[NB NOTA_C_QTY]],[3]!db[NB NOTA_C_QTY+F],0))</f>
        <v/>
      </c>
      <c r="AW554" s="43" t="str">
        <f ca="1">IF(NOTA[[#This Row],[NB NOTA_C_QTY]]="","",ROW()-2)</f>
        <v/>
      </c>
    </row>
    <row r="555" spans="1:49" ht="20.100000000000001" customHeight="1">
      <c r="A5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5" t="str">
        <f ca="1">IF(NOTA[[#This Row],[NAMA BARANG]]="","",INDEX(NOTA[ID],MATCH(,INDIRECT(ADDRESS(ROW(NOTA[ID]),COLUMN(NOTA[ID]))&amp;":"&amp;ADDRESS(ROW(),COLUMN(NOTA[ID]))),-1)))</f>
        <v/>
      </c>
      <c r="C555" s="45"/>
      <c r="F555" s="46"/>
      <c r="G555" s="35"/>
      <c r="H555" s="36"/>
      <c r="I555" s="35"/>
      <c r="K555" s="37"/>
      <c r="L555" s="35"/>
      <c r="N555" s="38"/>
      <c r="O555" s="39"/>
      <c r="P555" s="47"/>
      <c r="Q555" s="48"/>
      <c r="R555" s="41"/>
      <c r="T555" s="42"/>
      <c r="U555" s="44"/>
      <c r="V555" s="42" t="str">
        <f>IF(NOTA[[#This Row],[HARGA/ CTN]]="",NOTA[[#This Row],[JUMLAH_H]],NOTA[[#This Row],[HARGA/ CTN]]*IF(NOTA[[#This Row],[C]]="",0,NOTA[[#This Row],[C]]))</f>
        <v/>
      </c>
      <c r="W555" s="42" t="str">
        <f>IF(NOTA[[#This Row],[JUMLAH]]="","",NOTA[[#This Row],[JUMLAH]]*NOTA[[#This Row],[Column6]])</f>
        <v/>
      </c>
      <c r="X555" s="42" t="str">
        <f>IF(NOTA[[#This Row],[JUMLAH]]="","",(NOTA[[#This Row],[JUMLAH]]-NOTA[[#This Row],[DISC 1-]])*NOTA[[#This Row],[Column7]])</f>
        <v/>
      </c>
      <c r="Y555" s="42" t="str">
        <f>IF(NOTA[[#This Row],[JUMLAH]]="","",(NOTA[[#This Row],[JUMLAH]]-NOTA[[#This Row],[DISC 1-]]-NOTA[[#This Row],[DISC 2-]])*NOTA[[#This Row],[Column8]])</f>
        <v/>
      </c>
      <c r="Z555" s="42" t="str">
        <f>IF(NOTA[[#This Row],[JUMLAH]]="","",NOTA[[#This Row],[DISC 1-]]+NOTA[[#This Row],[DISC 2-]]+NOTA[[#This Row],[DISC 3-]])</f>
        <v/>
      </c>
      <c r="AA555" s="42" t="str">
        <f>IF(NOTA[[#This Row],[JUMLAH]]="","",NOTA[[#This Row],[JUMLAH]]-NOTA[[#This Row],[DISC]])</f>
        <v/>
      </c>
      <c r="AB555" s="42"/>
      <c r="AC5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42" t="str">
        <f>IF(OR(NOTA[[#This Row],[QTY]]="",NOTA[[#This Row],[HARGA SATUAN]]="",),"",NOTA[[#This Row],[QTY]]*NOTA[[#This Row],[HARGA SATUAN]])</f>
        <v/>
      </c>
      <c r="AG555" s="36" t="str">
        <f ca="1">IF(NOTA[[#This Row],[ID_H]]="","",INDEX(NOTA[TANGGAL],MATCH(,INDIRECT(ADDRESS(ROW(NOTA[TANGGAL]),COLUMN(NOTA[TANGGAL]))&amp;":"&amp;ADDRESS(ROW(),COLUMN(NOTA[TANGGAL]))),-1)))</f>
        <v/>
      </c>
      <c r="AH555" s="36" t="str">
        <f ca="1">IF(NOTA[[#This Row],[ID_H]]="","",INDEX(NOTA[TGL.NOTA],MATCH(,INDIRECT(ADDRESS(ROW(NOTA[TGL.NOTA]),COLUMN(NOTA[TGL.NOTA]))&amp;":"&amp;ADDRESS(ROW(),COLUMN(NOTA[TGL.NOTA]))),-1)))</f>
        <v/>
      </c>
      <c r="AI555" s="36" t="str">
        <f ca="1">IF(NOTA[[#This Row],[ID_H]]="","",INDEX(NOTA[NO.NOTA],MATCH(NOTA[[#This Row],[ID_H]],NOTA[ID_H],0)))</f>
        <v/>
      </c>
      <c r="AJ555" s="38" t="str">
        <f ca="1">IF(NOTA[[#This Row],[NAMA BARANG]]="","",INDEX(NOTA[SUPPLIER],MATCH(,INDIRECT(ADDRESS(ROW(NOTA[ID]),COLUMN(NOTA[ID]))&amp;":"&amp;ADDRESS(ROW(),COLUMN(NOTA[ID]))),-1)))</f>
        <v/>
      </c>
      <c r="AK555" s="38" t="str">
        <f ca="1">IF(NOTA[[#This Row],[ID_H]]="","",IF(NOTA[[#This Row],[FAKTUR]]="",INDIRECT(ADDRESS(ROW()-1,COLUMN())),NOTA[[#This Row],[FAKTUR]]))</f>
        <v/>
      </c>
      <c r="AL555" s="35" t="str">
        <f ca="1">IF(NOTA[[#This Row],[ID]]="","",COUNTIF(NOTA[ID_H],NOTA[[#This Row],[ID_H]]))</f>
        <v/>
      </c>
      <c r="AM555" s="35" t="str">
        <f ca="1">IF(NOTA[[#This Row],[TGL.NOTA]]="",IF(NOTA[[#This Row],[SUPPLIER_H]]="","",AM554),MONTH(NOTA[[#This Row],[TGL.NOTA]]))</f>
        <v/>
      </c>
      <c r="AN5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5" s="35" t="str">
        <f>IF(NOTA[[#This Row],[CONCAT1]]="","",MATCH(NOTA[[#This Row],[CONCAT1]],[3]!db[NB NOTA_C],0))</f>
        <v/>
      </c>
      <c r="AS555" s="35" t="str">
        <f>IF(NOTA[[#This Row],[Column5]]="","",TRUE)</f>
        <v/>
      </c>
      <c r="AT555" s="35" t="str">
        <f ca="1">IF(NOTA[[#This Row],[ID_H]]="","",IF(NOTA[[#This Row],[Column3]]=TRUE,NOTA[[#This Row],[Column5]],INDEX([3]!db[QTY/ CTN],NOTA[[#This Row],[//DB]])))</f>
        <v/>
      </c>
      <c r="AU5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5" s="35" t="str">
        <f ca="1">IF(NOTA[[#This Row],[ID_H]]="","",MATCH(NOTA[[#This Row],[NB NOTA_C_QTY]],[3]!db[NB NOTA_C_QTY+F],0))</f>
        <v/>
      </c>
      <c r="AW555" s="43" t="str">
        <f ca="1">IF(NOTA[[#This Row],[NB NOTA_C_QTY]]="","",ROW()-2)</f>
        <v/>
      </c>
    </row>
    <row r="556" spans="1:49" ht="20.100000000000001" customHeight="1">
      <c r="A5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5" t="str">
        <f ca="1">IF(NOTA[[#This Row],[NAMA BARANG]]="","",INDEX(NOTA[ID],MATCH(,INDIRECT(ADDRESS(ROW(NOTA[ID]),COLUMN(NOTA[ID]))&amp;":"&amp;ADDRESS(ROW(),COLUMN(NOTA[ID]))),-1)))</f>
        <v/>
      </c>
      <c r="C556" s="45"/>
      <c r="F556" s="46"/>
      <c r="G556" s="35"/>
      <c r="H556" s="36"/>
      <c r="I556" s="35"/>
      <c r="K556" s="37"/>
      <c r="L556" s="35"/>
      <c r="N556" s="38"/>
      <c r="O556" s="39"/>
      <c r="P556" s="47"/>
      <c r="Q556" s="48"/>
      <c r="R556" s="41"/>
      <c r="T556" s="42"/>
      <c r="U556" s="44"/>
      <c r="V556" s="42" t="str">
        <f>IF(NOTA[[#This Row],[HARGA/ CTN]]="",NOTA[[#This Row],[JUMLAH_H]],NOTA[[#This Row],[HARGA/ CTN]]*IF(NOTA[[#This Row],[C]]="",0,NOTA[[#This Row],[C]]))</f>
        <v/>
      </c>
      <c r="W556" s="42" t="str">
        <f>IF(NOTA[[#This Row],[JUMLAH]]="","",NOTA[[#This Row],[JUMLAH]]*NOTA[[#This Row],[Column6]])</f>
        <v/>
      </c>
      <c r="X556" s="42" t="str">
        <f>IF(NOTA[[#This Row],[JUMLAH]]="","",(NOTA[[#This Row],[JUMLAH]]-NOTA[[#This Row],[DISC 1-]])*NOTA[[#This Row],[Column7]])</f>
        <v/>
      </c>
      <c r="Y556" s="42" t="str">
        <f>IF(NOTA[[#This Row],[JUMLAH]]="","",(NOTA[[#This Row],[JUMLAH]]-NOTA[[#This Row],[DISC 1-]]-NOTA[[#This Row],[DISC 2-]])*NOTA[[#This Row],[Column8]])</f>
        <v/>
      </c>
      <c r="Z556" s="42" t="str">
        <f>IF(NOTA[[#This Row],[JUMLAH]]="","",NOTA[[#This Row],[DISC 1-]]+NOTA[[#This Row],[DISC 2-]]+NOTA[[#This Row],[DISC 3-]])</f>
        <v/>
      </c>
      <c r="AA556" s="42" t="str">
        <f>IF(NOTA[[#This Row],[JUMLAH]]="","",NOTA[[#This Row],[JUMLAH]]-NOTA[[#This Row],[DISC]])</f>
        <v/>
      </c>
      <c r="AB556" s="42"/>
      <c r="AC5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42" t="str">
        <f>IF(OR(NOTA[[#This Row],[QTY]]="",NOTA[[#This Row],[HARGA SATUAN]]="",),"",NOTA[[#This Row],[QTY]]*NOTA[[#This Row],[HARGA SATUAN]])</f>
        <v/>
      </c>
      <c r="AG556" s="36" t="str">
        <f ca="1">IF(NOTA[[#This Row],[ID_H]]="","",INDEX(NOTA[TANGGAL],MATCH(,INDIRECT(ADDRESS(ROW(NOTA[TANGGAL]),COLUMN(NOTA[TANGGAL]))&amp;":"&amp;ADDRESS(ROW(),COLUMN(NOTA[TANGGAL]))),-1)))</f>
        <v/>
      </c>
      <c r="AH556" s="36" t="str">
        <f ca="1">IF(NOTA[[#This Row],[ID_H]]="","",INDEX(NOTA[TGL.NOTA],MATCH(,INDIRECT(ADDRESS(ROW(NOTA[TGL.NOTA]),COLUMN(NOTA[TGL.NOTA]))&amp;":"&amp;ADDRESS(ROW(),COLUMN(NOTA[TGL.NOTA]))),-1)))</f>
        <v/>
      </c>
      <c r="AI556" s="36" t="str">
        <f ca="1">IF(NOTA[[#This Row],[ID_H]]="","",INDEX(NOTA[NO.NOTA],MATCH(NOTA[[#This Row],[ID_H]],NOTA[ID_H],0)))</f>
        <v/>
      </c>
      <c r="AJ556" s="38" t="str">
        <f ca="1">IF(NOTA[[#This Row],[NAMA BARANG]]="","",INDEX(NOTA[SUPPLIER],MATCH(,INDIRECT(ADDRESS(ROW(NOTA[ID]),COLUMN(NOTA[ID]))&amp;":"&amp;ADDRESS(ROW(),COLUMN(NOTA[ID]))),-1)))</f>
        <v/>
      </c>
      <c r="AK556" s="38" t="str">
        <f ca="1">IF(NOTA[[#This Row],[ID_H]]="","",IF(NOTA[[#This Row],[FAKTUR]]="",INDIRECT(ADDRESS(ROW()-1,COLUMN())),NOTA[[#This Row],[FAKTUR]]))</f>
        <v/>
      </c>
      <c r="AL556" s="35" t="str">
        <f ca="1">IF(NOTA[[#This Row],[ID]]="","",COUNTIF(NOTA[ID_H],NOTA[[#This Row],[ID_H]]))</f>
        <v/>
      </c>
      <c r="AM556" s="35" t="str">
        <f ca="1">IF(NOTA[[#This Row],[TGL.NOTA]]="",IF(NOTA[[#This Row],[SUPPLIER_H]]="","",AM555),MONTH(NOTA[[#This Row],[TGL.NOTA]]))</f>
        <v/>
      </c>
      <c r="AN5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6" s="35" t="str">
        <f>IF(NOTA[[#This Row],[CONCAT1]]="","",MATCH(NOTA[[#This Row],[CONCAT1]],[3]!db[NB NOTA_C],0))</f>
        <v/>
      </c>
      <c r="AS556" s="35" t="str">
        <f>IF(NOTA[[#This Row],[Column5]]="","",TRUE)</f>
        <v/>
      </c>
      <c r="AT556" s="35" t="str">
        <f ca="1">IF(NOTA[[#This Row],[ID_H]]="","",IF(NOTA[[#This Row],[Column3]]=TRUE,NOTA[[#This Row],[Column5]],INDEX([3]!db[QTY/ CTN],NOTA[[#This Row],[//DB]])))</f>
        <v/>
      </c>
      <c r="AU5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6" s="35" t="str">
        <f ca="1">IF(NOTA[[#This Row],[ID_H]]="","",MATCH(NOTA[[#This Row],[NB NOTA_C_QTY]],[3]!db[NB NOTA_C_QTY+F],0))</f>
        <v/>
      </c>
      <c r="AW556" s="43" t="str">
        <f ca="1">IF(NOTA[[#This Row],[NB NOTA_C_QTY]]="","",ROW()-2)</f>
        <v/>
      </c>
    </row>
    <row r="557" spans="1:49" ht="20.100000000000001" customHeight="1">
      <c r="A5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35" t="str">
        <f ca="1">IF(NOTA[[#This Row],[NAMA BARANG]]="","",INDEX(NOTA[ID],MATCH(,INDIRECT(ADDRESS(ROW(NOTA[ID]),COLUMN(NOTA[ID]))&amp;":"&amp;ADDRESS(ROW(),COLUMN(NOTA[ID]))),-1)))</f>
        <v/>
      </c>
      <c r="C557" s="45"/>
      <c r="F557" s="46"/>
      <c r="G557" s="35"/>
      <c r="H557" s="36"/>
      <c r="I557" s="35"/>
      <c r="K557" s="37"/>
      <c r="L557" s="35"/>
      <c r="N557" s="38"/>
      <c r="O557" s="39"/>
      <c r="P557" s="47"/>
      <c r="Q557" s="48"/>
      <c r="R557" s="41"/>
      <c r="T557" s="42"/>
      <c r="U557" s="44"/>
      <c r="V557" s="42" t="str">
        <f>IF(NOTA[[#This Row],[HARGA/ CTN]]="",NOTA[[#This Row],[JUMLAH_H]],NOTA[[#This Row],[HARGA/ CTN]]*IF(NOTA[[#This Row],[C]]="",0,NOTA[[#This Row],[C]]))</f>
        <v/>
      </c>
      <c r="W557" s="42" t="str">
        <f>IF(NOTA[[#This Row],[JUMLAH]]="","",NOTA[[#This Row],[JUMLAH]]*NOTA[[#This Row],[Column6]])</f>
        <v/>
      </c>
      <c r="X557" s="42" t="str">
        <f>IF(NOTA[[#This Row],[JUMLAH]]="","",(NOTA[[#This Row],[JUMLAH]]-NOTA[[#This Row],[DISC 1-]])*NOTA[[#This Row],[Column7]])</f>
        <v/>
      </c>
      <c r="Y557" s="42" t="str">
        <f>IF(NOTA[[#This Row],[JUMLAH]]="","",(NOTA[[#This Row],[JUMLAH]]-NOTA[[#This Row],[DISC 1-]]-NOTA[[#This Row],[DISC 2-]])*NOTA[[#This Row],[Column8]])</f>
        <v/>
      </c>
      <c r="Z557" s="42" t="str">
        <f>IF(NOTA[[#This Row],[JUMLAH]]="","",NOTA[[#This Row],[DISC 1-]]+NOTA[[#This Row],[DISC 2-]]+NOTA[[#This Row],[DISC 3-]])</f>
        <v/>
      </c>
      <c r="AA557" s="42" t="str">
        <f>IF(NOTA[[#This Row],[JUMLAH]]="","",NOTA[[#This Row],[JUMLAH]]-NOTA[[#This Row],[DISC]])</f>
        <v/>
      </c>
      <c r="AB557" s="42"/>
      <c r="AC5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42" t="str">
        <f>IF(OR(NOTA[[#This Row],[QTY]]="",NOTA[[#This Row],[HARGA SATUAN]]="",),"",NOTA[[#This Row],[QTY]]*NOTA[[#This Row],[HARGA SATUAN]])</f>
        <v/>
      </c>
      <c r="AG557" s="36" t="str">
        <f ca="1">IF(NOTA[[#This Row],[ID_H]]="","",INDEX(NOTA[TANGGAL],MATCH(,INDIRECT(ADDRESS(ROW(NOTA[TANGGAL]),COLUMN(NOTA[TANGGAL]))&amp;":"&amp;ADDRESS(ROW(),COLUMN(NOTA[TANGGAL]))),-1)))</f>
        <v/>
      </c>
      <c r="AH557" s="36" t="str">
        <f ca="1">IF(NOTA[[#This Row],[ID_H]]="","",INDEX(NOTA[TGL.NOTA],MATCH(,INDIRECT(ADDRESS(ROW(NOTA[TGL.NOTA]),COLUMN(NOTA[TGL.NOTA]))&amp;":"&amp;ADDRESS(ROW(),COLUMN(NOTA[TGL.NOTA]))),-1)))</f>
        <v/>
      </c>
      <c r="AI557" s="36" t="str">
        <f ca="1">IF(NOTA[[#This Row],[ID_H]]="","",INDEX(NOTA[NO.NOTA],MATCH(NOTA[[#This Row],[ID_H]],NOTA[ID_H],0)))</f>
        <v/>
      </c>
      <c r="AJ557" s="38" t="str">
        <f ca="1">IF(NOTA[[#This Row],[NAMA BARANG]]="","",INDEX(NOTA[SUPPLIER],MATCH(,INDIRECT(ADDRESS(ROW(NOTA[ID]),COLUMN(NOTA[ID]))&amp;":"&amp;ADDRESS(ROW(),COLUMN(NOTA[ID]))),-1)))</f>
        <v/>
      </c>
      <c r="AK557" s="38" t="str">
        <f ca="1">IF(NOTA[[#This Row],[ID_H]]="","",IF(NOTA[[#This Row],[FAKTUR]]="",INDIRECT(ADDRESS(ROW()-1,COLUMN())),NOTA[[#This Row],[FAKTUR]]))</f>
        <v/>
      </c>
      <c r="AL557" s="35" t="str">
        <f ca="1">IF(NOTA[[#This Row],[ID]]="","",COUNTIF(NOTA[ID_H],NOTA[[#This Row],[ID_H]]))</f>
        <v/>
      </c>
      <c r="AM557" s="35" t="str">
        <f ca="1">IF(NOTA[[#This Row],[TGL.NOTA]]="",IF(NOTA[[#This Row],[SUPPLIER_H]]="","",AM556),MONTH(NOTA[[#This Row],[TGL.NOTA]]))</f>
        <v/>
      </c>
      <c r="AN5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7" s="35" t="str">
        <f>IF(NOTA[[#This Row],[CONCAT1]]="","",MATCH(NOTA[[#This Row],[CONCAT1]],[3]!db[NB NOTA_C],0))</f>
        <v/>
      </c>
      <c r="AS557" s="35" t="str">
        <f>IF(NOTA[[#This Row],[Column5]]="","",TRUE)</f>
        <v/>
      </c>
      <c r="AT557" s="35" t="str">
        <f ca="1">IF(NOTA[[#This Row],[ID_H]]="","",IF(NOTA[[#This Row],[Column3]]=TRUE,NOTA[[#This Row],[Column5]],INDEX([3]!db[QTY/ CTN],NOTA[[#This Row],[//DB]])))</f>
        <v/>
      </c>
      <c r="AU5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7" s="35" t="str">
        <f ca="1">IF(NOTA[[#This Row],[ID_H]]="","",MATCH(NOTA[[#This Row],[NB NOTA_C_QTY]],[3]!db[NB NOTA_C_QTY+F],0))</f>
        <v/>
      </c>
      <c r="AW557" s="43" t="str">
        <f ca="1">IF(NOTA[[#This Row],[NB NOTA_C_QTY]]="","",ROW()-2)</f>
        <v/>
      </c>
    </row>
    <row r="558" spans="1:49" ht="20.100000000000001" customHeight="1">
      <c r="A5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5" t="str">
        <f ca="1">IF(NOTA[[#This Row],[NAMA BARANG]]="","",INDEX(NOTA[ID],MATCH(,INDIRECT(ADDRESS(ROW(NOTA[ID]),COLUMN(NOTA[ID]))&amp;":"&amp;ADDRESS(ROW(),COLUMN(NOTA[ID]))),-1)))</f>
        <v/>
      </c>
      <c r="C558" s="45"/>
      <c r="F558" s="46"/>
      <c r="G558" s="35"/>
      <c r="H558" s="36"/>
      <c r="I558" s="35"/>
      <c r="K558" s="37"/>
      <c r="L558" s="35"/>
      <c r="N558" s="38"/>
      <c r="O558" s="39"/>
      <c r="P558" s="47"/>
      <c r="Q558" s="48"/>
      <c r="R558" s="41"/>
      <c r="T558" s="42"/>
      <c r="U558" s="44"/>
      <c r="V558" s="42" t="str">
        <f>IF(NOTA[[#This Row],[HARGA/ CTN]]="",NOTA[[#This Row],[JUMLAH_H]],NOTA[[#This Row],[HARGA/ CTN]]*IF(NOTA[[#This Row],[C]]="",0,NOTA[[#This Row],[C]]))</f>
        <v/>
      </c>
      <c r="W558" s="42" t="str">
        <f>IF(NOTA[[#This Row],[JUMLAH]]="","",NOTA[[#This Row],[JUMLAH]]*NOTA[[#This Row],[Column6]])</f>
        <v/>
      </c>
      <c r="X558" s="42" t="str">
        <f>IF(NOTA[[#This Row],[JUMLAH]]="","",(NOTA[[#This Row],[JUMLAH]]-NOTA[[#This Row],[DISC 1-]])*NOTA[[#This Row],[Column7]])</f>
        <v/>
      </c>
      <c r="Y558" s="42" t="str">
        <f>IF(NOTA[[#This Row],[JUMLAH]]="","",(NOTA[[#This Row],[JUMLAH]]-NOTA[[#This Row],[DISC 1-]]-NOTA[[#This Row],[DISC 2-]])*NOTA[[#This Row],[Column8]])</f>
        <v/>
      </c>
      <c r="Z558" s="42" t="str">
        <f>IF(NOTA[[#This Row],[JUMLAH]]="","",NOTA[[#This Row],[DISC 1-]]+NOTA[[#This Row],[DISC 2-]]+NOTA[[#This Row],[DISC 3-]])</f>
        <v/>
      </c>
      <c r="AA558" s="42" t="str">
        <f>IF(NOTA[[#This Row],[JUMLAH]]="","",NOTA[[#This Row],[JUMLAH]]-NOTA[[#This Row],[DISC]])</f>
        <v/>
      </c>
      <c r="AB558" s="42"/>
      <c r="AC5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42" t="str">
        <f>IF(OR(NOTA[[#This Row],[QTY]]="",NOTA[[#This Row],[HARGA SATUAN]]="",),"",NOTA[[#This Row],[QTY]]*NOTA[[#This Row],[HARGA SATUAN]])</f>
        <v/>
      </c>
      <c r="AG558" s="36" t="str">
        <f ca="1">IF(NOTA[[#This Row],[ID_H]]="","",INDEX(NOTA[TANGGAL],MATCH(,INDIRECT(ADDRESS(ROW(NOTA[TANGGAL]),COLUMN(NOTA[TANGGAL]))&amp;":"&amp;ADDRESS(ROW(),COLUMN(NOTA[TANGGAL]))),-1)))</f>
        <v/>
      </c>
      <c r="AH558" s="36" t="str">
        <f ca="1">IF(NOTA[[#This Row],[ID_H]]="","",INDEX(NOTA[TGL.NOTA],MATCH(,INDIRECT(ADDRESS(ROW(NOTA[TGL.NOTA]),COLUMN(NOTA[TGL.NOTA]))&amp;":"&amp;ADDRESS(ROW(),COLUMN(NOTA[TGL.NOTA]))),-1)))</f>
        <v/>
      </c>
      <c r="AI558" s="36" t="str">
        <f ca="1">IF(NOTA[[#This Row],[ID_H]]="","",INDEX(NOTA[NO.NOTA],MATCH(NOTA[[#This Row],[ID_H]],NOTA[ID_H],0)))</f>
        <v/>
      </c>
      <c r="AJ558" s="38" t="str">
        <f ca="1">IF(NOTA[[#This Row],[NAMA BARANG]]="","",INDEX(NOTA[SUPPLIER],MATCH(,INDIRECT(ADDRESS(ROW(NOTA[ID]),COLUMN(NOTA[ID]))&amp;":"&amp;ADDRESS(ROW(),COLUMN(NOTA[ID]))),-1)))</f>
        <v/>
      </c>
      <c r="AK558" s="38" t="str">
        <f ca="1">IF(NOTA[[#This Row],[ID_H]]="","",IF(NOTA[[#This Row],[FAKTUR]]="",INDIRECT(ADDRESS(ROW()-1,COLUMN())),NOTA[[#This Row],[FAKTUR]]))</f>
        <v/>
      </c>
      <c r="AL558" s="35" t="str">
        <f ca="1">IF(NOTA[[#This Row],[ID]]="","",COUNTIF(NOTA[ID_H],NOTA[[#This Row],[ID_H]]))</f>
        <v/>
      </c>
      <c r="AM558" s="35" t="str">
        <f ca="1">IF(NOTA[[#This Row],[TGL.NOTA]]="",IF(NOTA[[#This Row],[SUPPLIER_H]]="","",AM557),MONTH(NOTA[[#This Row],[TGL.NOTA]]))</f>
        <v/>
      </c>
      <c r="AN5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8" s="35" t="str">
        <f>IF(NOTA[[#This Row],[CONCAT1]]="","",MATCH(NOTA[[#This Row],[CONCAT1]],[3]!db[NB NOTA_C],0))</f>
        <v/>
      </c>
      <c r="AS558" s="35" t="str">
        <f>IF(NOTA[[#This Row],[Column5]]="","",TRUE)</f>
        <v/>
      </c>
      <c r="AT558" s="35" t="str">
        <f ca="1">IF(NOTA[[#This Row],[ID_H]]="","",IF(NOTA[[#This Row],[Column3]]=TRUE,NOTA[[#This Row],[Column5]],INDEX([3]!db[QTY/ CTN],NOTA[[#This Row],[//DB]])))</f>
        <v/>
      </c>
      <c r="AU5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8" s="35" t="str">
        <f ca="1">IF(NOTA[[#This Row],[ID_H]]="","",MATCH(NOTA[[#This Row],[NB NOTA_C_QTY]],[3]!db[NB NOTA_C_QTY+F],0))</f>
        <v/>
      </c>
      <c r="AW558" s="43" t="str">
        <f ca="1">IF(NOTA[[#This Row],[NB NOTA_C_QTY]]="","",ROW()-2)</f>
        <v/>
      </c>
    </row>
    <row r="559" spans="1:49" ht="20.100000000000001" customHeight="1">
      <c r="A5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5" t="str">
        <f ca="1">IF(NOTA[[#This Row],[NAMA BARANG]]="","",INDEX(NOTA[ID],MATCH(,INDIRECT(ADDRESS(ROW(NOTA[ID]),COLUMN(NOTA[ID]))&amp;":"&amp;ADDRESS(ROW(),COLUMN(NOTA[ID]))),-1)))</f>
        <v/>
      </c>
      <c r="C559" s="45"/>
      <c r="F559" s="46"/>
      <c r="G559" s="35"/>
      <c r="H559" s="36"/>
      <c r="I559" s="35"/>
      <c r="K559" s="37"/>
      <c r="L559" s="35"/>
      <c r="N559" s="38"/>
      <c r="O559" s="39"/>
      <c r="P559" s="47"/>
      <c r="Q559" s="48"/>
      <c r="R559" s="41"/>
      <c r="T559" s="42"/>
      <c r="U559" s="44"/>
      <c r="V559" s="42" t="str">
        <f>IF(NOTA[[#This Row],[HARGA/ CTN]]="",NOTA[[#This Row],[JUMLAH_H]],NOTA[[#This Row],[HARGA/ CTN]]*IF(NOTA[[#This Row],[C]]="",0,NOTA[[#This Row],[C]]))</f>
        <v/>
      </c>
      <c r="W559" s="42" t="str">
        <f>IF(NOTA[[#This Row],[JUMLAH]]="","",NOTA[[#This Row],[JUMLAH]]*NOTA[[#This Row],[Column6]])</f>
        <v/>
      </c>
      <c r="X559" s="42" t="str">
        <f>IF(NOTA[[#This Row],[JUMLAH]]="","",(NOTA[[#This Row],[JUMLAH]]-NOTA[[#This Row],[DISC 1-]])*NOTA[[#This Row],[Column7]])</f>
        <v/>
      </c>
      <c r="Y559" s="42" t="str">
        <f>IF(NOTA[[#This Row],[JUMLAH]]="","",(NOTA[[#This Row],[JUMLAH]]-NOTA[[#This Row],[DISC 1-]]-NOTA[[#This Row],[DISC 2-]])*NOTA[[#This Row],[Column8]])</f>
        <v/>
      </c>
      <c r="Z559" s="42" t="str">
        <f>IF(NOTA[[#This Row],[JUMLAH]]="","",NOTA[[#This Row],[DISC 1-]]+NOTA[[#This Row],[DISC 2-]]+NOTA[[#This Row],[DISC 3-]])</f>
        <v/>
      </c>
      <c r="AA559" s="42" t="str">
        <f>IF(NOTA[[#This Row],[JUMLAH]]="","",NOTA[[#This Row],[JUMLAH]]-NOTA[[#This Row],[DISC]])</f>
        <v/>
      </c>
      <c r="AB559" s="42"/>
      <c r="AC5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42" t="str">
        <f>IF(OR(NOTA[[#This Row],[QTY]]="",NOTA[[#This Row],[HARGA SATUAN]]="",),"",NOTA[[#This Row],[QTY]]*NOTA[[#This Row],[HARGA SATUAN]])</f>
        <v/>
      </c>
      <c r="AG559" s="36" t="str">
        <f ca="1">IF(NOTA[[#This Row],[ID_H]]="","",INDEX(NOTA[TANGGAL],MATCH(,INDIRECT(ADDRESS(ROW(NOTA[TANGGAL]),COLUMN(NOTA[TANGGAL]))&amp;":"&amp;ADDRESS(ROW(),COLUMN(NOTA[TANGGAL]))),-1)))</f>
        <v/>
      </c>
      <c r="AH559" s="36" t="str">
        <f ca="1">IF(NOTA[[#This Row],[ID_H]]="","",INDEX(NOTA[TGL.NOTA],MATCH(,INDIRECT(ADDRESS(ROW(NOTA[TGL.NOTA]),COLUMN(NOTA[TGL.NOTA]))&amp;":"&amp;ADDRESS(ROW(),COLUMN(NOTA[TGL.NOTA]))),-1)))</f>
        <v/>
      </c>
      <c r="AI559" s="36" t="str">
        <f ca="1">IF(NOTA[[#This Row],[ID_H]]="","",INDEX(NOTA[NO.NOTA],MATCH(NOTA[[#This Row],[ID_H]],NOTA[ID_H],0)))</f>
        <v/>
      </c>
      <c r="AJ559" s="38" t="str">
        <f ca="1">IF(NOTA[[#This Row],[NAMA BARANG]]="","",INDEX(NOTA[SUPPLIER],MATCH(,INDIRECT(ADDRESS(ROW(NOTA[ID]),COLUMN(NOTA[ID]))&amp;":"&amp;ADDRESS(ROW(),COLUMN(NOTA[ID]))),-1)))</f>
        <v/>
      </c>
      <c r="AK559" s="38" t="str">
        <f ca="1">IF(NOTA[[#This Row],[ID_H]]="","",IF(NOTA[[#This Row],[FAKTUR]]="",INDIRECT(ADDRESS(ROW()-1,COLUMN())),NOTA[[#This Row],[FAKTUR]]))</f>
        <v/>
      </c>
      <c r="AL559" s="35" t="str">
        <f ca="1">IF(NOTA[[#This Row],[ID]]="","",COUNTIF(NOTA[ID_H],NOTA[[#This Row],[ID_H]]))</f>
        <v/>
      </c>
      <c r="AM559" s="35" t="str">
        <f ca="1">IF(NOTA[[#This Row],[TGL.NOTA]]="",IF(NOTA[[#This Row],[SUPPLIER_H]]="","",AM558),MONTH(NOTA[[#This Row],[TGL.NOTA]]))</f>
        <v/>
      </c>
      <c r="AN5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9" s="35" t="str">
        <f>IF(NOTA[[#This Row],[CONCAT1]]="","",MATCH(NOTA[[#This Row],[CONCAT1]],[3]!db[NB NOTA_C],0))</f>
        <v/>
      </c>
      <c r="AS559" s="35" t="str">
        <f>IF(NOTA[[#This Row],[Column5]]="","",TRUE)</f>
        <v/>
      </c>
      <c r="AT559" s="35" t="str">
        <f ca="1">IF(NOTA[[#This Row],[ID_H]]="","",IF(NOTA[[#This Row],[Column3]]=TRUE,NOTA[[#This Row],[Column5]],INDEX([3]!db[QTY/ CTN],NOTA[[#This Row],[//DB]])))</f>
        <v/>
      </c>
      <c r="AU5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59" s="35" t="str">
        <f ca="1">IF(NOTA[[#This Row],[ID_H]]="","",MATCH(NOTA[[#This Row],[NB NOTA_C_QTY]],[3]!db[NB NOTA_C_QTY+F],0))</f>
        <v/>
      </c>
      <c r="AW559" s="43" t="str">
        <f ca="1">IF(NOTA[[#This Row],[NB NOTA_C_QTY]]="","",ROW()-2)</f>
        <v/>
      </c>
    </row>
    <row r="560" spans="1:49" ht="20.100000000000001" customHeight="1">
      <c r="A5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5" t="str">
        <f ca="1">IF(NOTA[[#This Row],[NAMA BARANG]]="","",INDEX(NOTA[ID],MATCH(,INDIRECT(ADDRESS(ROW(NOTA[ID]),COLUMN(NOTA[ID]))&amp;":"&amp;ADDRESS(ROW(),COLUMN(NOTA[ID]))),-1)))</f>
        <v/>
      </c>
      <c r="C560" s="45"/>
      <c r="F560" s="46"/>
      <c r="G560" s="35"/>
      <c r="H560" s="36"/>
      <c r="I560" s="35"/>
      <c r="K560" s="37"/>
      <c r="L560" s="35"/>
      <c r="N560" s="38"/>
      <c r="O560" s="39"/>
      <c r="P560" s="47"/>
      <c r="Q560" s="48"/>
      <c r="R560" s="41"/>
      <c r="T560" s="42"/>
      <c r="U560" s="44"/>
      <c r="V560" s="42" t="str">
        <f>IF(NOTA[[#This Row],[HARGA/ CTN]]="",NOTA[[#This Row],[JUMLAH_H]],NOTA[[#This Row],[HARGA/ CTN]]*IF(NOTA[[#This Row],[C]]="",0,NOTA[[#This Row],[C]]))</f>
        <v/>
      </c>
      <c r="W560" s="42" t="str">
        <f>IF(NOTA[[#This Row],[JUMLAH]]="","",NOTA[[#This Row],[JUMLAH]]*NOTA[[#This Row],[Column6]])</f>
        <v/>
      </c>
      <c r="X560" s="42" t="str">
        <f>IF(NOTA[[#This Row],[JUMLAH]]="","",(NOTA[[#This Row],[JUMLAH]]-NOTA[[#This Row],[DISC 1-]])*NOTA[[#This Row],[Column7]])</f>
        <v/>
      </c>
      <c r="Y560" s="42" t="str">
        <f>IF(NOTA[[#This Row],[JUMLAH]]="","",(NOTA[[#This Row],[JUMLAH]]-NOTA[[#This Row],[DISC 1-]]-NOTA[[#This Row],[DISC 2-]])*NOTA[[#This Row],[Column8]])</f>
        <v/>
      </c>
      <c r="Z560" s="42" t="str">
        <f>IF(NOTA[[#This Row],[JUMLAH]]="","",NOTA[[#This Row],[DISC 1-]]+NOTA[[#This Row],[DISC 2-]]+NOTA[[#This Row],[DISC 3-]])</f>
        <v/>
      </c>
      <c r="AA560" s="42" t="str">
        <f>IF(NOTA[[#This Row],[JUMLAH]]="","",NOTA[[#This Row],[JUMLAH]]-NOTA[[#This Row],[DISC]])</f>
        <v/>
      </c>
      <c r="AB560" s="42"/>
      <c r="AC5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42" t="str">
        <f>IF(OR(NOTA[[#This Row],[QTY]]="",NOTA[[#This Row],[HARGA SATUAN]]="",),"",NOTA[[#This Row],[QTY]]*NOTA[[#This Row],[HARGA SATUAN]])</f>
        <v/>
      </c>
      <c r="AG560" s="36" t="str">
        <f ca="1">IF(NOTA[[#This Row],[ID_H]]="","",INDEX(NOTA[TANGGAL],MATCH(,INDIRECT(ADDRESS(ROW(NOTA[TANGGAL]),COLUMN(NOTA[TANGGAL]))&amp;":"&amp;ADDRESS(ROW(),COLUMN(NOTA[TANGGAL]))),-1)))</f>
        <v/>
      </c>
      <c r="AH560" s="36" t="str">
        <f ca="1">IF(NOTA[[#This Row],[ID_H]]="","",INDEX(NOTA[TGL.NOTA],MATCH(,INDIRECT(ADDRESS(ROW(NOTA[TGL.NOTA]),COLUMN(NOTA[TGL.NOTA]))&amp;":"&amp;ADDRESS(ROW(),COLUMN(NOTA[TGL.NOTA]))),-1)))</f>
        <v/>
      </c>
      <c r="AI560" s="36" t="str">
        <f ca="1">IF(NOTA[[#This Row],[ID_H]]="","",INDEX(NOTA[NO.NOTA],MATCH(NOTA[[#This Row],[ID_H]],NOTA[ID_H],0)))</f>
        <v/>
      </c>
      <c r="AJ560" s="38" t="str">
        <f ca="1">IF(NOTA[[#This Row],[NAMA BARANG]]="","",INDEX(NOTA[SUPPLIER],MATCH(,INDIRECT(ADDRESS(ROW(NOTA[ID]),COLUMN(NOTA[ID]))&amp;":"&amp;ADDRESS(ROW(),COLUMN(NOTA[ID]))),-1)))</f>
        <v/>
      </c>
      <c r="AK560" s="38" t="str">
        <f ca="1">IF(NOTA[[#This Row],[ID_H]]="","",IF(NOTA[[#This Row],[FAKTUR]]="",INDIRECT(ADDRESS(ROW()-1,COLUMN())),NOTA[[#This Row],[FAKTUR]]))</f>
        <v/>
      </c>
      <c r="AL560" s="35" t="str">
        <f ca="1">IF(NOTA[[#This Row],[ID]]="","",COUNTIF(NOTA[ID_H],NOTA[[#This Row],[ID_H]]))</f>
        <v/>
      </c>
      <c r="AM560" s="35" t="str">
        <f ca="1">IF(NOTA[[#This Row],[TGL.NOTA]]="",IF(NOTA[[#This Row],[SUPPLIER_H]]="","",AM559),MONTH(NOTA[[#This Row],[TGL.NOTA]]))</f>
        <v/>
      </c>
      <c r="AN5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0" s="35" t="str">
        <f>IF(NOTA[[#This Row],[CONCAT1]]="","",MATCH(NOTA[[#This Row],[CONCAT1]],[3]!db[NB NOTA_C],0))</f>
        <v/>
      </c>
      <c r="AS560" s="35" t="str">
        <f>IF(NOTA[[#This Row],[Column5]]="","",TRUE)</f>
        <v/>
      </c>
      <c r="AT560" s="35" t="str">
        <f ca="1">IF(NOTA[[#This Row],[ID_H]]="","",IF(NOTA[[#This Row],[Column3]]=TRUE,NOTA[[#This Row],[Column5]],INDEX([3]!db[QTY/ CTN],NOTA[[#This Row],[//DB]])))</f>
        <v/>
      </c>
      <c r="AU5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0" s="35" t="str">
        <f ca="1">IF(NOTA[[#This Row],[ID_H]]="","",MATCH(NOTA[[#This Row],[NB NOTA_C_QTY]],[3]!db[NB NOTA_C_QTY+F],0))</f>
        <v/>
      </c>
      <c r="AW560" s="43" t="str">
        <f ca="1">IF(NOTA[[#This Row],[NB NOTA_C_QTY]]="","",ROW()-2)</f>
        <v/>
      </c>
    </row>
    <row r="561" spans="1:49" ht="20.100000000000001" customHeight="1">
      <c r="A5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5" t="str">
        <f ca="1">IF(NOTA[[#This Row],[NAMA BARANG]]="","",INDEX(NOTA[ID],MATCH(,INDIRECT(ADDRESS(ROW(NOTA[ID]),COLUMN(NOTA[ID]))&amp;":"&amp;ADDRESS(ROW(),COLUMN(NOTA[ID]))),-1)))</f>
        <v/>
      </c>
      <c r="C561" s="45"/>
      <c r="F561" s="46"/>
      <c r="G561" s="35"/>
      <c r="H561" s="36"/>
      <c r="I561" s="35"/>
      <c r="K561" s="37"/>
      <c r="L561" s="35"/>
      <c r="N561" s="38"/>
      <c r="O561" s="39"/>
      <c r="P561" s="47"/>
      <c r="Q561" s="48"/>
      <c r="R561" s="41"/>
      <c r="T561" s="42"/>
      <c r="U561" s="44"/>
      <c r="V561" s="42" t="str">
        <f>IF(NOTA[[#This Row],[HARGA/ CTN]]="",NOTA[[#This Row],[JUMLAH_H]],NOTA[[#This Row],[HARGA/ CTN]]*IF(NOTA[[#This Row],[C]]="",0,NOTA[[#This Row],[C]]))</f>
        <v/>
      </c>
      <c r="W561" s="42" t="str">
        <f>IF(NOTA[[#This Row],[JUMLAH]]="","",NOTA[[#This Row],[JUMLAH]]*NOTA[[#This Row],[Column6]])</f>
        <v/>
      </c>
      <c r="X561" s="42" t="str">
        <f>IF(NOTA[[#This Row],[JUMLAH]]="","",(NOTA[[#This Row],[JUMLAH]]-NOTA[[#This Row],[DISC 1-]])*NOTA[[#This Row],[Column7]])</f>
        <v/>
      </c>
      <c r="Y561" s="42" t="str">
        <f>IF(NOTA[[#This Row],[JUMLAH]]="","",(NOTA[[#This Row],[JUMLAH]]-NOTA[[#This Row],[DISC 1-]]-NOTA[[#This Row],[DISC 2-]])*NOTA[[#This Row],[Column8]])</f>
        <v/>
      </c>
      <c r="Z561" s="42" t="str">
        <f>IF(NOTA[[#This Row],[JUMLAH]]="","",NOTA[[#This Row],[DISC 1-]]+NOTA[[#This Row],[DISC 2-]]+NOTA[[#This Row],[DISC 3-]])</f>
        <v/>
      </c>
      <c r="AA561" s="42" t="str">
        <f>IF(NOTA[[#This Row],[JUMLAH]]="","",NOTA[[#This Row],[JUMLAH]]-NOTA[[#This Row],[DISC]])</f>
        <v/>
      </c>
      <c r="AB561" s="42"/>
      <c r="AC5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42" t="str">
        <f>IF(OR(NOTA[[#This Row],[QTY]]="",NOTA[[#This Row],[HARGA SATUAN]]="",),"",NOTA[[#This Row],[QTY]]*NOTA[[#This Row],[HARGA SATUAN]])</f>
        <v/>
      </c>
      <c r="AG561" s="36" t="str">
        <f ca="1">IF(NOTA[[#This Row],[ID_H]]="","",INDEX(NOTA[TANGGAL],MATCH(,INDIRECT(ADDRESS(ROW(NOTA[TANGGAL]),COLUMN(NOTA[TANGGAL]))&amp;":"&amp;ADDRESS(ROW(),COLUMN(NOTA[TANGGAL]))),-1)))</f>
        <v/>
      </c>
      <c r="AH561" s="36" t="str">
        <f ca="1">IF(NOTA[[#This Row],[ID_H]]="","",INDEX(NOTA[TGL.NOTA],MATCH(,INDIRECT(ADDRESS(ROW(NOTA[TGL.NOTA]),COLUMN(NOTA[TGL.NOTA]))&amp;":"&amp;ADDRESS(ROW(),COLUMN(NOTA[TGL.NOTA]))),-1)))</f>
        <v/>
      </c>
      <c r="AI561" s="36" t="str">
        <f ca="1">IF(NOTA[[#This Row],[ID_H]]="","",INDEX(NOTA[NO.NOTA],MATCH(NOTA[[#This Row],[ID_H]],NOTA[ID_H],0)))</f>
        <v/>
      </c>
      <c r="AJ561" s="38" t="str">
        <f ca="1">IF(NOTA[[#This Row],[NAMA BARANG]]="","",INDEX(NOTA[SUPPLIER],MATCH(,INDIRECT(ADDRESS(ROW(NOTA[ID]),COLUMN(NOTA[ID]))&amp;":"&amp;ADDRESS(ROW(),COLUMN(NOTA[ID]))),-1)))</f>
        <v/>
      </c>
      <c r="AK561" s="38" t="str">
        <f ca="1">IF(NOTA[[#This Row],[ID_H]]="","",IF(NOTA[[#This Row],[FAKTUR]]="",INDIRECT(ADDRESS(ROW()-1,COLUMN())),NOTA[[#This Row],[FAKTUR]]))</f>
        <v/>
      </c>
      <c r="AL561" s="35" t="str">
        <f ca="1">IF(NOTA[[#This Row],[ID]]="","",COUNTIF(NOTA[ID_H],NOTA[[#This Row],[ID_H]]))</f>
        <v/>
      </c>
      <c r="AM561" s="35" t="str">
        <f ca="1">IF(NOTA[[#This Row],[TGL.NOTA]]="",IF(NOTA[[#This Row],[SUPPLIER_H]]="","",AM560),MONTH(NOTA[[#This Row],[TGL.NOTA]]))</f>
        <v/>
      </c>
      <c r="AN5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1" s="35" t="str">
        <f>IF(NOTA[[#This Row],[CONCAT1]]="","",MATCH(NOTA[[#This Row],[CONCAT1]],[3]!db[NB NOTA_C],0))</f>
        <v/>
      </c>
      <c r="AS561" s="35" t="str">
        <f>IF(NOTA[[#This Row],[Column5]]="","",TRUE)</f>
        <v/>
      </c>
      <c r="AT561" s="35" t="str">
        <f ca="1">IF(NOTA[[#This Row],[ID_H]]="","",IF(NOTA[[#This Row],[Column3]]=TRUE,NOTA[[#This Row],[Column5]],INDEX([3]!db[QTY/ CTN],NOTA[[#This Row],[//DB]])))</f>
        <v/>
      </c>
      <c r="AU5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1" s="35" t="str">
        <f ca="1">IF(NOTA[[#This Row],[ID_H]]="","",MATCH(NOTA[[#This Row],[NB NOTA_C_QTY]],[3]!db[NB NOTA_C_QTY+F],0))</f>
        <v/>
      </c>
      <c r="AW561" s="43" t="str">
        <f ca="1">IF(NOTA[[#This Row],[NB NOTA_C_QTY]]="","",ROW()-2)</f>
        <v/>
      </c>
    </row>
    <row r="562" spans="1:49" ht="20.100000000000001" customHeight="1">
      <c r="A5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5" t="str">
        <f ca="1">IF(NOTA[[#This Row],[NAMA BARANG]]="","",INDEX(NOTA[ID],MATCH(,INDIRECT(ADDRESS(ROW(NOTA[ID]),COLUMN(NOTA[ID]))&amp;":"&amp;ADDRESS(ROW(),COLUMN(NOTA[ID]))),-1)))</f>
        <v/>
      </c>
      <c r="C562" s="45"/>
      <c r="F562" s="46"/>
      <c r="G562" s="35"/>
      <c r="H562" s="36"/>
      <c r="I562" s="35"/>
      <c r="K562" s="37"/>
      <c r="L562" s="35"/>
      <c r="N562" s="38"/>
      <c r="O562" s="39"/>
      <c r="P562" s="47"/>
      <c r="Q562" s="48"/>
      <c r="R562" s="41"/>
      <c r="T562" s="42"/>
      <c r="U562" s="44"/>
      <c r="V562" s="42" t="str">
        <f>IF(NOTA[[#This Row],[HARGA/ CTN]]="",NOTA[[#This Row],[JUMLAH_H]],NOTA[[#This Row],[HARGA/ CTN]]*IF(NOTA[[#This Row],[C]]="",0,NOTA[[#This Row],[C]]))</f>
        <v/>
      </c>
      <c r="W562" s="42" t="str">
        <f>IF(NOTA[[#This Row],[JUMLAH]]="","",NOTA[[#This Row],[JUMLAH]]*NOTA[[#This Row],[Column6]])</f>
        <v/>
      </c>
      <c r="X562" s="42" t="str">
        <f>IF(NOTA[[#This Row],[JUMLAH]]="","",(NOTA[[#This Row],[JUMLAH]]-NOTA[[#This Row],[DISC 1-]])*NOTA[[#This Row],[Column7]])</f>
        <v/>
      </c>
      <c r="Y562" s="42" t="str">
        <f>IF(NOTA[[#This Row],[JUMLAH]]="","",(NOTA[[#This Row],[JUMLAH]]-NOTA[[#This Row],[DISC 1-]]-NOTA[[#This Row],[DISC 2-]])*NOTA[[#This Row],[Column8]])</f>
        <v/>
      </c>
      <c r="Z562" s="42" t="str">
        <f>IF(NOTA[[#This Row],[JUMLAH]]="","",NOTA[[#This Row],[DISC 1-]]+NOTA[[#This Row],[DISC 2-]]+NOTA[[#This Row],[DISC 3-]])</f>
        <v/>
      </c>
      <c r="AA562" s="42" t="str">
        <f>IF(NOTA[[#This Row],[JUMLAH]]="","",NOTA[[#This Row],[JUMLAH]]-NOTA[[#This Row],[DISC]])</f>
        <v/>
      </c>
      <c r="AB562" s="42"/>
      <c r="AC5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42" t="str">
        <f>IF(OR(NOTA[[#This Row],[QTY]]="",NOTA[[#This Row],[HARGA SATUAN]]="",),"",NOTA[[#This Row],[QTY]]*NOTA[[#This Row],[HARGA SATUAN]])</f>
        <v/>
      </c>
      <c r="AG562" s="36" t="str">
        <f ca="1">IF(NOTA[[#This Row],[ID_H]]="","",INDEX(NOTA[TANGGAL],MATCH(,INDIRECT(ADDRESS(ROW(NOTA[TANGGAL]),COLUMN(NOTA[TANGGAL]))&amp;":"&amp;ADDRESS(ROW(),COLUMN(NOTA[TANGGAL]))),-1)))</f>
        <v/>
      </c>
      <c r="AH562" s="36" t="str">
        <f ca="1">IF(NOTA[[#This Row],[ID_H]]="","",INDEX(NOTA[TGL.NOTA],MATCH(,INDIRECT(ADDRESS(ROW(NOTA[TGL.NOTA]),COLUMN(NOTA[TGL.NOTA]))&amp;":"&amp;ADDRESS(ROW(),COLUMN(NOTA[TGL.NOTA]))),-1)))</f>
        <v/>
      </c>
      <c r="AI562" s="36" t="str">
        <f ca="1">IF(NOTA[[#This Row],[ID_H]]="","",INDEX(NOTA[NO.NOTA],MATCH(NOTA[[#This Row],[ID_H]],NOTA[ID_H],0)))</f>
        <v/>
      </c>
      <c r="AJ562" s="38" t="str">
        <f ca="1">IF(NOTA[[#This Row],[NAMA BARANG]]="","",INDEX(NOTA[SUPPLIER],MATCH(,INDIRECT(ADDRESS(ROW(NOTA[ID]),COLUMN(NOTA[ID]))&amp;":"&amp;ADDRESS(ROW(),COLUMN(NOTA[ID]))),-1)))</f>
        <v/>
      </c>
      <c r="AK562" s="38" t="str">
        <f ca="1">IF(NOTA[[#This Row],[ID_H]]="","",IF(NOTA[[#This Row],[FAKTUR]]="",INDIRECT(ADDRESS(ROW()-1,COLUMN())),NOTA[[#This Row],[FAKTUR]]))</f>
        <v/>
      </c>
      <c r="AL562" s="35" t="str">
        <f ca="1">IF(NOTA[[#This Row],[ID]]="","",COUNTIF(NOTA[ID_H],NOTA[[#This Row],[ID_H]]))</f>
        <v/>
      </c>
      <c r="AM562" s="35" t="str">
        <f ca="1">IF(NOTA[[#This Row],[TGL.NOTA]]="",IF(NOTA[[#This Row],[SUPPLIER_H]]="","",AM561),MONTH(NOTA[[#This Row],[TGL.NOTA]]))</f>
        <v/>
      </c>
      <c r="AN5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2" s="35" t="str">
        <f>IF(NOTA[[#This Row],[CONCAT1]]="","",MATCH(NOTA[[#This Row],[CONCAT1]],[3]!db[NB NOTA_C],0))</f>
        <v/>
      </c>
      <c r="AS562" s="35" t="str">
        <f>IF(NOTA[[#This Row],[Column5]]="","",TRUE)</f>
        <v/>
      </c>
      <c r="AT562" s="35" t="str">
        <f ca="1">IF(NOTA[[#This Row],[ID_H]]="","",IF(NOTA[[#This Row],[Column3]]=TRUE,NOTA[[#This Row],[Column5]],INDEX([3]!db[QTY/ CTN],NOTA[[#This Row],[//DB]])))</f>
        <v/>
      </c>
      <c r="AU5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2" s="35" t="str">
        <f ca="1">IF(NOTA[[#This Row],[ID_H]]="","",MATCH(NOTA[[#This Row],[NB NOTA_C_QTY]],[3]!db[NB NOTA_C_QTY+F],0))</f>
        <v/>
      </c>
      <c r="AW562" s="43" t="str">
        <f ca="1">IF(NOTA[[#This Row],[NB NOTA_C_QTY]]="","",ROW()-2)</f>
        <v/>
      </c>
    </row>
    <row r="563" spans="1:49" ht="20.100000000000001" customHeight="1">
      <c r="A5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5" t="str">
        <f ca="1">IF(NOTA[[#This Row],[NAMA BARANG]]="","",INDEX(NOTA[ID],MATCH(,INDIRECT(ADDRESS(ROW(NOTA[ID]),COLUMN(NOTA[ID]))&amp;":"&amp;ADDRESS(ROW(),COLUMN(NOTA[ID]))),-1)))</f>
        <v/>
      </c>
      <c r="C563" s="45"/>
      <c r="F563" s="46"/>
      <c r="G563" s="35"/>
      <c r="H563" s="36"/>
      <c r="I563" s="35"/>
      <c r="K563" s="37"/>
      <c r="L563" s="35"/>
      <c r="N563" s="38"/>
      <c r="O563" s="39"/>
      <c r="P563" s="47"/>
      <c r="Q563" s="48"/>
      <c r="R563" s="41"/>
      <c r="T563" s="42"/>
      <c r="U563" s="44"/>
      <c r="V563" s="42" t="str">
        <f>IF(NOTA[[#This Row],[HARGA/ CTN]]="",NOTA[[#This Row],[JUMLAH_H]],NOTA[[#This Row],[HARGA/ CTN]]*IF(NOTA[[#This Row],[C]]="",0,NOTA[[#This Row],[C]]))</f>
        <v/>
      </c>
      <c r="W563" s="42" t="str">
        <f>IF(NOTA[[#This Row],[JUMLAH]]="","",NOTA[[#This Row],[JUMLAH]]*NOTA[[#This Row],[Column6]])</f>
        <v/>
      </c>
      <c r="X563" s="42" t="str">
        <f>IF(NOTA[[#This Row],[JUMLAH]]="","",(NOTA[[#This Row],[JUMLAH]]-NOTA[[#This Row],[DISC 1-]])*NOTA[[#This Row],[Column7]])</f>
        <v/>
      </c>
      <c r="Y563" s="42" t="str">
        <f>IF(NOTA[[#This Row],[JUMLAH]]="","",(NOTA[[#This Row],[JUMLAH]]-NOTA[[#This Row],[DISC 1-]]-NOTA[[#This Row],[DISC 2-]])*NOTA[[#This Row],[Column8]])</f>
        <v/>
      </c>
      <c r="Z563" s="42" t="str">
        <f>IF(NOTA[[#This Row],[JUMLAH]]="","",NOTA[[#This Row],[DISC 1-]]+NOTA[[#This Row],[DISC 2-]]+NOTA[[#This Row],[DISC 3-]])</f>
        <v/>
      </c>
      <c r="AA563" s="42" t="str">
        <f>IF(NOTA[[#This Row],[JUMLAH]]="","",NOTA[[#This Row],[JUMLAH]]-NOTA[[#This Row],[DISC]])</f>
        <v/>
      </c>
      <c r="AB563" s="42"/>
      <c r="AC5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42" t="str">
        <f>IF(OR(NOTA[[#This Row],[QTY]]="",NOTA[[#This Row],[HARGA SATUAN]]="",),"",NOTA[[#This Row],[QTY]]*NOTA[[#This Row],[HARGA SATUAN]])</f>
        <v/>
      </c>
      <c r="AG563" s="36" t="str">
        <f ca="1">IF(NOTA[[#This Row],[ID_H]]="","",INDEX(NOTA[TANGGAL],MATCH(,INDIRECT(ADDRESS(ROW(NOTA[TANGGAL]),COLUMN(NOTA[TANGGAL]))&amp;":"&amp;ADDRESS(ROW(),COLUMN(NOTA[TANGGAL]))),-1)))</f>
        <v/>
      </c>
      <c r="AH563" s="36" t="str">
        <f ca="1">IF(NOTA[[#This Row],[ID_H]]="","",INDEX(NOTA[TGL.NOTA],MATCH(,INDIRECT(ADDRESS(ROW(NOTA[TGL.NOTA]),COLUMN(NOTA[TGL.NOTA]))&amp;":"&amp;ADDRESS(ROW(),COLUMN(NOTA[TGL.NOTA]))),-1)))</f>
        <v/>
      </c>
      <c r="AI563" s="36" t="str">
        <f ca="1">IF(NOTA[[#This Row],[ID_H]]="","",INDEX(NOTA[NO.NOTA],MATCH(NOTA[[#This Row],[ID_H]],NOTA[ID_H],0)))</f>
        <v/>
      </c>
      <c r="AJ563" s="38" t="str">
        <f ca="1">IF(NOTA[[#This Row],[NAMA BARANG]]="","",INDEX(NOTA[SUPPLIER],MATCH(,INDIRECT(ADDRESS(ROW(NOTA[ID]),COLUMN(NOTA[ID]))&amp;":"&amp;ADDRESS(ROW(),COLUMN(NOTA[ID]))),-1)))</f>
        <v/>
      </c>
      <c r="AK563" s="38" t="str">
        <f ca="1">IF(NOTA[[#This Row],[ID_H]]="","",IF(NOTA[[#This Row],[FAKTUR]]="",INDIRECT(ADDRESS(ROW()-1,COLUMN())),NOTA[[#This Row],[FAKTUR]]))</f>
        <v/>
      </c>
      <c r="AL563" s="35" t="str">
        <f ca="1">IF(NOTA[[#This Row],[ID]]="","",COUNTIF(NOTA[ID_H],NOTA[[#This Row],[ID_H]]))</f>
        <v/>
      </c>
      <c r="AM563" s="35" t="str">
        <f ca="1">IF(NOTA[[#This Row],[TGL.NOTA]]="",IF(NOTA[[#This Row],[SUPPLIER_H]]="","",AM562),MONTH(NOTA[[#This Row],[TGL.NOTA]]))</f>
        <v/>
      </c>
      <c r="AN5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3" s="35" t="str">
        <f>IF(NOTA[[#This Row],[CONCAT1]]="","",MATCH(NOTA[[#This Row],[CONCAT1]],[3]!db[NB NOTA_C],0))</f>
        <v/>
      </c>
      <c r="AS563" s="35" t="str">
        <f>IF(NOTA[[#This Row],[Column5]]="","",TRUE)</f>
        <v/>
      </c>
      <c r="AT563" s="35" t="str">
        <f ca="1">IF(NOTA[[#This Row],[ID_H]]="","",IF(NOTA[[#This Row],[Column3]]=TRUE,NOTA[[#This Row],[Column5]],INDEX([3]!db[QTY/ CTN],NOTA[[#This Row],[//DB]])))</f>
        <v/>
      </c>
      <c r="AU5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3" s="35" t="str">
        <f ca="1">IF(NOTA[[#This Row],[ID_H]]="","",MATCH(NOTA[[#This Row],[NB NOTA_C_QTY]],[3]!db[NB NOTA_C_QTY+F],0))</f>
        <v/>
      </c>
      <c r="AW563" s="43" t="str">
        <f ca="1">IF(NOTA[[#This Row],[NB NOTA_C_QTY]]="","",ROW()-2)</f>
        <v/>
      </c>
    </row>
    <row r="564" spans="1:49" ht="20.100000000000001" customHeight="1">
      <c r="A5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5" t="str">
        <f ca="1">IF(NOTA[[#This Row],[NAMA BARANG]]="","",INDEX(NOTA[ID],MATCH(,INDIRECT(ADDRESS(ROW(NOTA[ID]),COLUMN(NOTA[ID]))&amp;":"&amp;ADDRESS(ROW(),COLUMN(NOTA[ID]))),-1)))</f>
        <v/>
      </c>
      <c r="C564" s="45"/>
      <c r="F564" s="46"/>
      <c r="G564" s="35"/>
      <c r="H564" s="36"/>
      <c r="I564" s="35"/>
      <c r="K564" s="37"/>
      <c r="L564" s="35"/>
      <c r="N564" s="38"/>
      <c r="O564" s="39"/>
      <c r="P564" s="47"/>
      <c r="Q564" s="48"/>
      <c r="R564" s="41"/>
      <c r="T564" s="42"/>
      <c r="U564" s="44"/>
      <c r="V564" s="42" t="str">
        <f>IF(NOTA[[#This Row],[HARGA/ CTN]]="",NOTA[[#This Row],[JUMLAH_H]],NOTA[[#This Row],[HARGA/ CTN]]*IF(NOTA[[#This Row],[C]]="",0,NOTA[[#This Row],[C]]))</f>
        <v/>
      </c>
      <c r="W564" s="42" t="str">
        <f>IF(NOTA[[#This Row],[JUMLAH]]="","",NOTA[[#This Row],[JUMLAH]]*NOTA[[#This Row],[Column6]])</f>
        <v/>
      </c>
      <c r="X564" s="42" t="str">
        <f>IF(NOTA[[#This Row],[JUMLAH]]="","",(NOTA[[#This Row],[JUMLAH]]-NOTA[[#This Row],[DISC 1-]])*NOTA[[#This Row],[Column7]])</f>
        <v/>
      </c>
      <c r="Y564" s="42" t="str">
        <f>IF(NOTA[[#This Row],[JUMLAH]]="","",(NOTA[[#This Row],[JUMLAH]]-NOTA[[#This Row],[DISC 1-]]-NOTA[[#This Row],[DISC 2-]])*NOTA[[#This Row],[Column8]])</f>
        <v/>
      </c>
      <c r="Z564" s="42" t="str">
        <f>IF(NOTA[[#This Row],[JUMLAH]]="","",NOTA[[#This Row],[DISC 1-]]+NOTA[[#This Row],[DISC 2-]]+NOTA[[#This Row],[DISC 3-]])</f>
        <v/>
      </c>
      <c r="AA564" s="42" t="str">
        <f>IF(NOTA[[#This Row],[JUMLAH]]="","",NOTA[[#This Row],[JUMLAH]]-NOTA[[#This Row],[DISC]])</f>
        <v/>
      </c>
      <c r="AB564" s="42"/>
      <c r="AC5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42" t="str">
        <f>IF(OR(NOTA[[#This Row],[QTY]]="",NOTA[[#This Row],[HARGA SATUAN]]="",),"",NOTA[[#This Row],[QTY]]*NOTA[[#This Row],[HARGA SATUAN]])</f>
        <v/>
      </c>
      <c r="AG564" s="36" t="str">
        <f ca="1">IF(NOTA[[#This Row],[ID_H]]="","",INDEX(NOTA[TANGGAL],MATCH(,INDIRECT(ADDRESS(ROW(NOTA[TANGGAL]),COLUMN(NOTA[TANGGAL]))&amp;":"&amp;ADDRESS(ROW(),COLUMN(NOTA[TANGGAL]))),-1)))</f>
        <v/>
      </c>
      <c r="AH564" s="36" t="str">
        <f ca="1">IF(NOTA[[#This Row],[ID_H]]="","",INDEX(NOTA[TGL.NOTA],MATCH(,INDIRECT(ADDRESS(ROW(NOTA[TGL.NOTA]),COLUMN(NOTA[TGL.NOTA]))&amp;":"&amp;ADDRESS(ROW(),COLUMN(NOTA[TGL.NOTA]))),-1)))</f>
        <v/>
      </c>
      <c r="AI564" s="36" t="str">
        <f ca="1">IF(NOTA[[#This Row],[ID_H]]="","",INDEX(NOTA[NO.NOTA],MATCH(NOTA[[#This Row],[ID_H]],NOTA[ID_H],0)))</f>
        <v/>
      </c>
      <c r="AJ564" s="38" t="str">
        <f ca="1">IF(NOTA[[#This Row],[NAMA BARANG]]="","",INDEX(NOTA[SUPPLIER],MATCH(,INDIRECT(ADDRESS(ROW(NOTA[ID]),COLUMN(NOTA[ID]))&amp;":"&amp;ADDRESS(ROW(),COLUMN(NOTA[ID]))),-1)))</f>
        <v/>
      </c>
      <c r="AK564" s="38" t="str">
        <f ca="1">IF(NOTA[[#This Row],[ID_H]]="","",IF(NOTA[[#This Row],[FAKTUR]]="",INDIRECT(ADDRESS(ROW()-1,COLUMN())),NOTA[[#This Row],[FAKTUR]]))</f>
        <v/>
      </c>
      <c r="AL564" s="35" t="str">
        <f ca="1">IF(NOTA[[#This Row],[ID]]="","",COUNTIF(NOTA[ID_H],NOTA[[#This Row],[ID_H]]))</f>
        <v/>
      </c>
      <c r="AM564" s="35" t="str">
        <f ca="1">IF(NOTA[[#This Row],[TGL.NOTA]]="",IF(NOTA[[#This Row],[SUPPLIER_H]]="","",AM563),MONTH(NOTA[[#This Row],[TGL.NOTA]]))</f>
        <v/>
      </c>
      <c r="AN5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4" s="35" t="str">
        <f>IF(NOTA[[#This Row],[CONCAT1]]="","",MATCH(NOTA[[#This Row],[CONCAT1]],[3]!db[NB NOTA_C],0))</f>
        <v/>
      </c>
      <c r="AS564" s="35" t="str">
        <f>IF(NOTA[[#This Row],[Column5]]="","",TRUE)</f>
        <v/>
      </c>
      <c r="AT564" s="35" t="str">
        <f ca="1">IF(NOTA[[#This Row],[ID_H]]="","",IF(NOTA[[#This Row],[Column3]]=TRUE,NOTA[[#This Row],[Column5]],INDEX([3]!db[QTY/ CTN],NOTA[[#This Row],[//DB]])))</f>
        <v/>
      </c>
      <c r="AU5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4" s="35" t="str">
        <f ca="1">IF(NOTA[[#This Row],[ID_H]]="","",MATCH(NOTA[[#This Row],[NB NOTA_C_QTY]],[3]!db[NB NOTA_C_QTY+F],0))</f>
        <v/>
      </c>
      <c r="AW564" s="43" t="str">
        <f ca="1">IF(NOTA[[#This Row],[NB NOTA_C_QTY]]="","",ROW()-2)</f>
        <v/>
      </c>
    </row>
    <row r="565" spans="1:49" ht="20.100000000000001" customHeight="1">
      <c r="A5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35" t="str">
        <f ca="1">IF(NOTA[[#This Row],[NAMA BARANG]]="","",INDEX(NOTA[ID],MATCH(,INDIRECT(ADDRESS(ROW(NOTA[ID]),COLUMN(NOTA[ID]))&amp;":"&amp;ADDRESS(ROW(),COLUMN(NOTA[ID]))),-1)))</f>
        <v/>
      </c>
      <c r="C565" s="45"/>
      <c r="F565" s="46"/>
      <c r="G565" s="35"/>
      <c r="H565" s="36"/>
      <c r="I565" s="35"/>
      <c r="K565" s="37"/>
      <c r="L565" s="35"/>
      <c r="N565" s="38"/>
      <c r="O565" s="39"/>
      <c r="P565" s="47"/>
      <c r="Q565" s="48"/>
      <c r="R565" s="41"/>
      <c r="T565" s="42"/>
      <c r="U565" s="44"/>
      <c r="V565" s="42" t="str">
        <f>IF(NOTA[[#This Row],[HARGA/ CTN]]="",NOTA[[#This Row],[JUMLAH_H]],NOTA[[#This Row],[HARGA/ CTN]]*IF(NOTA[[#This Row],[C]]="",0,NOTA[[#This Row],[C]]))</f>
        <v/>
      </c>
      <c r="W565" s="42" t="str">
        <f>IF(NOTA[[#This Row],[JUMLAH]]="","",NOTA[[#This Row],[JUMLAH]]*NOTA[[#This Row],[Column6]])</f>
        <v/>
      </c>
      <c r="X565" s="42" t="str">
        <f>IF(NOTA[[#This Row],[JUMLAH]]="","",(NOTA[[#This Row],[JUMLAH]]-NOTA[[#This Row],[DISC 1-]])*NOTA[[#This Row],[Column7]])</f>
        <v/>
      </c>
      <c r="Y565" s="42" t="str">
        <f>IF(NOTA[[#This Row],[JUMLAH]]="","",(NOTA[[#This Row],[JUMLAH]]-NOTA[[#This Row],[DISC 1-]]-NOTA[[#This Row],[DISC 2-]])*NOTA[[#This Row],[Column8]])</f>
        <v/>
      </c>
      <c r="Z565" s="42" t="str">
        <f>IF(NOTA[[#This Row],[JUMLAH]]="","",NOTA[[#This Row],[DISC 1-]]+NOTA[[#This Row],[DISC 2-]]+NOTA[[#This Row],[DISC 3-]])</f>
        <v/>
      </c>
      <c r="AA565" s="42" t="str">
        <f>IF(NOTA[[#This Row],[JUMLAH]]="","",NOTA[[#This Row],[JUMLAH]]-NOTA[[#This Row],[DISC]])</f>
        <v/>
      </c>
      <c r="AB565" s="42"/>
      <c r="AC5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42" t="str">
        <f>IF(OR(NOTA[[#This Row],[QTY]]="",NOTA[[#This Row],[HARGA SATUAN]]="",),"",NOTA[[#This Row],[QTY]]*NOTA[[#This Row],[HARGA SATUAN]])</f>
        <v/>
      </c>
      <c r="AG565" s="36" t="str">
        <f ca="1">IF(NOTA[[#This Row],[ID_H]]="","",INDEX(NOTA[TANGGAL],MATCH(,INDIRECT(ADDRESS(ROW(NOTA[TANGGAL]),COLUMN(NOTA[TANGGAL]))&amp;":"&amp;ADDRESS(ROW(),COLUMN(NOTA[TANGGAL]))),-1)))</f>
        <v/>
      </c>
      <c r="AH565" s="36" t="str">
        <f ca="1">IF(NOTA[[#This Row],[ID_H]]="","",INDEX(NOTA[TGL.NOTA],MATCH(,INDIRECT(ADDRESS(ROW(NOTA[TGL.NOTA]),COLUMN(NOTA[TGL.NOTA]))&amp;":"&amp;ADDRESS(ROW(),COLUMN(NOTA[TGL.NOTA]))),-1)))</f>
        <v/>
      </c>
      <c r="AI565" s="36" t="str">
        <f ca="1">IF(NOTA[[#This Row],[ID_H]]="","",INDEX(NOTA[NO.NOTA],MATCH(NOTA[[#This Row],[ID_H]],NOTA[ID_H],0)))</f>
        <v/>
      </c>
      <c r="AJ565" s="38" t="str">
        <f ca="1">IF(NOTA[[#This Row],[NAMA BARANG]]="","",INDEX(NOTA[SUPPLIER],MATCH(,INDIRECT(ADDRESS(ROW(NOTA[ID]),COLUMN(NOTA[ID]))&amp;":"&amp;ADDRESS(ROW(),COLUMN(NOTA[ID]))),-1)))</f>
        <v/>
      </c>
      <c r="AK565" s="38" t="str">
        <f ca="1">IF(NOTA[[#This Row],[ID_H]]="","",IF(NOTA[[#This Row],[FAKTUR]]="",INDIRECT(ADDRESS(ROW()-1,COLUMN())),NOTA[[#This Row],[FAKTUR]]))</f>
        <v/>
      </c>
      <c r="AL565" s="35" t="str">
        <f ca="1">IF(NOTA[[#This Row],[ID]]="","",COUNTIF(NOTA[ID_H],NOTA[[#This Row],[ID_H]]))</f>
        <v/>
      </c>
      <c r="AM565" s="35" t="str">
        <f ca="1">IF(NOTA[[#This Row],[TGL.NOTA]]="",IF(NOTA[[#This Row],[SUPPLIER_H]]="","",AM564),MONTH(NOTA[[#This Row],[TGL.NOTA]]))</f>
        <v/>
      </c>
      <c r="AN5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5" s="35" t="str">
        <f>IF(NOTA[[#This Row],[CONCAT1]]="","",MATCH(NOTA[[#This Row],[CONCAT1]],[3]!db[NB NOTA_C],0))</f>
        <v/>
      </c>
      <c r="AS565" s="35" t="str">
        <f>IF(NOTA[[#This Row],[Column5]]="","",TRUE)</f>
        <v/>
      </c>
      <c r="AT565" s="35" t="str">
        <f ca="1">IF(NOTA[[#This Row],[ID_H]]="","",IF(NOTA[[#This Row],[Column3]]=TRUE,NOTA[[#This Row],[Column5]],INDEX([3]!db[QTY/ CTN],NOTA[[#This Row],[//DB]])))</f>
        <v/>
      </c>
      <c r="AU5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5" s="35" t="str">
        <f ca="1">IF(NOTA[[#This Row],[ID_H]]="","",MATCH(NOTA[[#This Row],[NB NOTA_C_QTY]],[3]!db[NB NOTA_C_QTY+F],0))</f>
        <v/>
      </c>
      <c r="AW565" s="43" t="str">
        <f ca="1">IF(NOTA[[#This Row],[NB NOTA_C_QTY]]="","",ROW()-2)</f>
        <v/>
      </c>
    </row>
    <row r="566" spans="1:49" ht="20.100000000000001" customHeight="1">
      <c r="A5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5" t="str">
        <f ca="1">IF(NOTA[[#This Row],[NAMA BARANG]]="","",INDEX(NOTA[ID],MATCH(,INDIRECT(ADDRESS(ROW(NOTA[ID]),COLUMN(NOTA[ID]))&amp;":"&amp;ADDRESS(ROW(),COLUMN(NOTA[ID]))),-1)))</f>
        <v/>
      </c>
      <c r="C566" s="45"/>
      <c r="F566" s="46"/>
      <c r="G566" s="35"/>
      <c r="H566" s="36"/>
      <c r="I566" s="35"/>
      <c r="K566" s="37"/>
      <c r="L566" s="35"/>
      <c r="N566" s="38"/>
      <c r="O566" s="39"/>
      <c r="P566" s="47"/>
      <c r="Q566" s="48"/>
      <c r="R566" s="41"/>
      <c r="T566" s="42"/>
      <c r="U566" s="44"/>
      <c r="V566" s="42" t="str">
        <f>IF(NOTA[[#This Row],[HARGA/ CTN]]="",NOTA[[#This Row],[JUMLAH_H]],NOTA[[#This Row],[HARGA/ CTN]]*IF(NOTA[[#This Row],[C]]="",0,NOTA[[#This Row],[C]]))</f>
        <v/>
      </c>
      <c r="W566" s="42" t="str">
        <f>IF(NOTA[[#This Row],[JUMLAH]]="","",NOTA[[#This Row],[JUMLAH]]*NOTA[[#This Row],[Column6]])</f>
        <v/>
      </c>
      <c r="X566" s="42" t="str">
        <f>IF(NOTA[[#This Row],[JUMLAH]]="","",(NOTA[[#This Row],[JUMLAH]]-NOTA[[#This Row],[DISC 1-]])*NOTA[[#This Row],[Column7]])</f>
        <v/>
      </c>
      <c r="Y566" s="42" t="str">
        <f>IF(NOTA[[#This Row],[JUMLAH]]="","",(NOTA[[#This Row],[JUMLAH]]-NOTA[[#This Row],[DISC 1-]]-NOTA[[#This Row],[DISC 2-]])*NOTA[[#This Row],[Column8]])</f>
        <v/>
      </c>
      <c r="Z566" s="42" t="str">
        <f>IF(NOTA[[#This Row],[JUMLAH]]="","",NOTA[[#This Row],[DISC 1-]]+NOTA[[#This Row],[DISC 2-]]+NOTA[[#This Row],[DISC 3-]])</f>
        <v/>
      </c>
      <c r="AA566" s="42" t="str">
        <f>IF(NOTA[[#This Row],[JUMLAH]]="","",NOTA[[#This Row],[JUMLAH]]-NOTA[[#This Row],[DISC]])</f>
        <v/>
      </c>
      <c r="AB566" s="42"/>
      <c r="AC5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42" t="str">
        <f>IF(OR(NOTA[[#This Row],[QTY]]="",NOTA[[#This Row],[HARGA SATUAN]]="",),"",NOTA[[#This Row],[QTY]]*NOTA[[#This Row],[HARGA SATUAN]])</f>
        <v/>
      </c>
      <c r="AG566" s="36" t="str">
        <f ca="1">IF(NOTA[[#This Row],[ID_H]]="","",INDEX(NOTA[TANGGAL],MATCH(,INDIRECT(ADDRESS(ROW(NOTA[TANGGAL]),COLUMN(NOTA[TANGGAL]))&amp;":"&amp;ADDRESS(ROW(),COLUMN(NOTA[TANGGAL]))),-1)))</f>
        <v/>
      </c>
      <c r="AH566" s="36" t="str">
        <f ca="1">IF(NOTA[[#This Row],[ID_H]]="","",INDEX(NOTA[TGL.NOTA],MATCH(,INDIRECT(ADDRESS(ROW(NOTA[TGL.NOTA]),COLUMN(NOTA[TGL.NOTA]))&amp;":"&amp;ADDRESS(ROW(),COLUMN(NOTA[TGL.NOTA]))),-1)))</f>
        <v/>
      </c>
      <c r="AI566" s="36" t="str">
        <f ca="1">IF(NOTA[[#This Row],[ID_H]]="","",INDEX(NOTA[NO.NOTA],MATCH(NOTA[[#This Row],[ID_H]],NOTA[ID_H],0)))</f>
        <v/>
      </c>
      <c r="AJ566" s="38" t="str">
        <f ca="1">IF(NOTA[[#This Row],[NAMA BARANG]]="","",INDEX(NOTA[SUPPLIER],MATCH(,INDIRECT(ADDRESS(ROW(NOTA[ID]),COLUMN(NOTA[ID]))&amp;":"&amp;ADDRESS(ROW(),COLUMN(NOTA[ID]))),-1)))</f>
        <v/>
      </c>
      <c r="AK566" s="38" t="str">
        <f ca="1">IF(NOTA[[#This Row],[ID_H]]="","",IF(NOTA[[#This Row],[FAKTUR]]="",INDIRECT(ADDRESS(ROW()-1,COLUMN())),NOTA[[#This Row],[FAKTUR]]))</f>
        <v/>
      </c>
      <c r="AL566" s="35" t="str">
        <f ca="1">IF(NOTA[[#This Row],[ID]]="","",COUNTIF(NOTA[ID_H],NOTA[[#This Row],[ID_H]]))</f>
        <v/>
      </c>
      <c r="AM566" s="35" t="str">
        <f ca="1">IF(NOTA[[#This Row],[TGL.NOTA]]="",IF(NOTA[[#This Row],[SUPPLIER_H]]="","",AM565),MONTH(NOTA[[#This Row],[TGL.NOTA]]))</f>
        <v/>
      </c>
      <c r="AN5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6" s="35" t="str">
        <f>IF(NOTA[[#This Row],[CONCAT1]]="","",MATCH(NOTA[[#This Row],[CONCAT1]],[3]!db[NB NOTA_C],0))</f>
        <v/>
      </c>
      <c r="AS566" s="35" t="str">
        <f>IF(NOTA[[#This Row],[Column5]]="","",TRUE)</f>
        <v/>
      </c>
      <c r="AT566" s="35" t="str">
        <f ca="1">IF(NOTA[[#This Row],[ID_H]]="","",IF(NOTA[[#This Row],[Column3]]=TRUE,NOTA[[#This Row],[Column5]],INDEX([3]!db[QTY/ CTN],NOTA[[#This Row],[//DB]])))</f>
        <v/>
      </c>
      <c r="AU5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6" s="35" t="str">
        <f ca="1">IF(NOTA[[#This Row],[ID_H]]="","",MATCH(NOTA[[#This Row],[NB NOTA_C_QTY]],[3]!db[NB NOTA_C_QTY+F],0))</f>
        <v/>
      </c>
      <c r="AW566" s="43" t="str">
        <f ca="1">IF(NOTA[[#This Row],[NB NOTA_C_QTY]]="","",ROW()-2)</f>
        <v/>
      </c>
    </row>
    <row r="567" spans="1:49" ht="20.100000000000001" customHeight="1">
      <c r="A5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5" t="str">
        <f ca="1">IF(NOTA[[#This Row],[NAMA BARANG]]="","",INDEX(NOTA[ID],MATCH(,INDIRECT(ADDRESS(ROW(NOTA[ID]),COLUMN(NOTA[ID]))&amp;":"&amp;ADDRESS(ROW(),COLUMN(NOTA[ID]))),-1)))</f>
        <v/>
      </c>
      <c r="C567" s="45"/>
      <c r="F567" s="46"/>
      <c r="G567" s="35"/>
      <c r="H567" s="36"/>
      <c r="I567" s="35"/>
      <c r="K567" s="37"/>
      <c r="L567" s="35"/>
      <c r="N567" s="38"/>
      <c r="O567" s="39"/>
      <c r="P567" s="47"/>
      <c r="Q567" s="48"/>
      <c r="R567" s="41"/>
      <c r="T567" s="42"/>
      <c r="U567" s="44"/>
      <c r="V567" s="42" t="str">
        <f>IF(NOTA[[#This Row],[HARGA/ CTN]]="",NOTA[[#This Row],[JUMLAH_H]],NOTA[[#This Row],[HARGA/ CTN]]*IF(NOTA[[#This Row],[C]]="",0,NOTA[[#This Row],[C]]))</f>
        <v/>
      </c>
      <c r="W567" s="42" t="str">
        <f>IF(NOTA[[#This Row],[JUMLAH]]="","",NOTA[[#This Row],[JUMLAH]]*NOTA[[#This Row],[Column6]])</f>
        <v/>
      </c>
      <c r="X567" s="42" t="str">
        <f>IF(NOTA[[#This Row],[JUMLAH]]="","",(NOTA[[#This Row],[JUMLAH]]-NOTA[[#This Row],[DISC 1-]])*NOTA[[#This Row],[Column7]])</f>
        <v/>
      </c>
      <c r="Y567" s="42" t="str">
        <f>IF(NOTA[[#This Row],[JUMLAH]]="","",(NOTA[[#This Row],[JUMLAH]]-NOTA[[#This Row],[DISC 1-]]-NOTA[[#This Row],[DISC 2-]])*NOTA[[#This Row],[Column8]])</f>
        <v/>
      </c>
      <c r="Z567" s="42" t="str">
        <f>IF(NOTA[[#This Row],[JUMLAH]]="","",NOTA[[#This Row],[DISC 1-]]+NOTA[[#This Row],[DISC 2-]]+NOTA[[#This Row],[DISC 3-]])</f>
        <v/>
      </c>
      <c r="AA567" s="42" t="str">
        <f>IF(NOTA[[#This Row],[JUMLAH]]="","",NOTA[[#This Row],[JUMLAH]]-NOTA[[#This Row],[DISC]])</f>
        <v/>
      </c>
      <c r="AB567" s="42"/>
      <c r="AC5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42" t="str">
        <f>IF(OR(NOTA[[#This Row],[QTY]]="",NOTA[[#This Row],[HARGA SATUAN]]="",),"",NOTA[[#This Row],[QTY]]*NOTA[[#This Row],[HARGA SATUAN]])</f>
        <v/>
      </c>
      <c r="AG567" s="36" t="str">
        <f ca="1">IF(NOTA[[#This Row],[ID_H]]="","",INDEX(NOTA[TANGGAL],MATCH(,INDIRECT(ADDRESS(ROW(NOTA[TANGGAL]),COLUMN(NOTA[TANGGAL]))&amp;":"&amp;ADDRESS(ROW(),COLUMN(NOTA[TANGGAL]))),-1)))</f>
        <v/>
      </c>
      <c r="AH567" s="36" t="str">
        <f ca="1">IF(NOTA[[#This Row],[ID_H]]="","",INDEX(NOTA[TGL.NOTA],MATCH(,INDIRECT(ADDRESS(ROW(NOTA[TGL.NOTA]),COLUMN(NOTA[TGL.NOTA]))&amp;":"&amp;ADDRESS(ROW(),COLUMN(NOTA[TGL.NOTA]))),-1)))</f>
        <v/>
      </c>
      <c r="AI567" s="36" t="str">
        <f ca="1">IF(NOTA[[#This Row],[ID_H]]="","",INDEX(NOTA[NO.NOTA],MATCH(NOTA[[#This Row],[ID_H]],NOTA[ID_H],0)))</f>
        <v/>
      </c>
      <c r="AJ567" s="38" t="str">
        <f ca="1">IF(NOTA[[#This Row],[NAMA BARANG]]="","",INDEX(NOTA[SUPPLIER],MATCH(,INDIRECT(ADDRESS(ROW(NOTA[ID]),COLUMN(NOTA[ID]))&amp;":"&amp;ADDRESS(ROW(),COLUMN(NOTA[ID]))),-1)))</f>
        <v/>
      </c>
      <c r="AK567" s="38" t="str">
        <f ca="1">IF(NOTA[[#This Row],[ID_H]]="","",IF(NOTA[[#This Row],[FAKTUR]]="",INDIRECT(ADDRESS(ROW()-1,COLUMN())),NOTA[[#This Row],[FAKTUR]]))</f>
        <v/>
      </c>
      <c r="AL567" s="35" t="str">
        <f ca="1">IF(NOTA[[#This Row],[ID]]="","",COUNTIF(NOTA[ID_H],NOTA[[#This Row],[ID_H]]))</f>
        <v/>
      </c>
      <c r="AM567" s="35" t="str">
        <f ca="1">IF(NOTA[[#This Row],[TGL.NOTA]]="",IF(NOTA[[#This Row],[SUPPLIER_H]]="","",AM566),MONTH(NOTA[[#This Row],[TGL.NOTA]]))</f>
        <v/>
      </c>
      <c r="AN5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7" s="35" t="str">
        <f>IF(NOTA[[#This Row],[CONCAT1]]="","",MATCH(NOTA[[#This Row],[CONCAT1]],[3]!db[NB NOTA_C],0))</f>
        <v/>
      </c>
      <c r="AS567" s="35" t="str">
        <f>IF(NOTA[[#This Row],[Column5]]="","",TRUE)</f>
        <v/>
      </c>
      <c r="AT567" s="35" t="str">
        <f ca="1">IF(NOTA[[#This Row],[ID_H]]="","",IF(NOTA[[#This Row],[Column3]]=TRUE,NOTA[[#This Row],[Column5]],INDEX([3]!db[QTY/ CTN],NOTA[[#This Row],[//DB]])))</f>
        <v/>
      </c>
      <c r="AU5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7" s="35" t="str">
        <f ca="1">IF(NOTA[[#This Row],[ID_H]]="","",MATCH(NOTA[[#This Row],[NB NOTA_C_QTY]],[3]!db[NB NOTA_C_QTY+F],0))</f>
        <v/>
      </c>
      <c r="AW567" s="43" t="str">
        <f ca="1">IF(NOTA[[#This Row],[NB NOTA_C_QTY]]="","",ROW()-2)</f>
        <v/>
      </c>
    </row>
    <row r="568" spans="1:49" ht="20.100000000000001" customHeight="1">
      <c r="A5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5" t="str">
        <f ca="1">IF(NOTA[[#This Row],[NAMA BARANG]]="","",INDEX(NOTA[ID],MATCH(,INDIRECT(ADDRESS(ROW(NOTA[ID]),COLUMN(NOTA[ID]))&amp;":"&amp;ADDRESS(ROW(),COLUMN(NOTA[ID]))),-1)))</f>
        <v/>
      </c>
      <c r="C568" s="45"/>
      <c r="F568" s="46"/>
      <c r="G568" s="35"/>
      <c r="H568" s="36"/>
      <c r="I568" s="35"/>
      <c r="K568" s="37"/>
      <c r="L568" s="35"/>
      <c r="N568" s="38"/>
      <c r="O568" s="39"/>
      <c r="P568" s="47"/>
      <c r="Q568" s="48"/>
      <c r="R568" s="41"/>
      <c r="T568" s="42"/>
      <c r="U568" s="44"/>
      <c r="V568" s="42" t="str">
        <f>IF(NOTA[[#This Row],[HARGA/ CTN]]="",NOTA[[#This Row],[JUMLAH_H]],NOTA[[#This Row],[HARGA/ CTN]]*IF(NOTA[[#This Row],[C]]="",0,NOTA[[#This Row],[C]]))</f>
        <v/>
      </c>
      <c r="W568" s="42" t="str">
        <f>IF(NOTA[[#This Row],[JUMLAH]]="","",NOTA[[#This Row],[JUMLAH]]*NOTA[[#This Row],[Column6]])</f>
        <v/>
      </c>
      <c r="X568" s="42" t="str">
        <f>IF(NOTA[[#This Row],[JUMLAH]]="","",(NOTA[[#This Row],[JUMLAH]]-NOTA[[#This Row],[DISC 1-]])*NOTA[[#This Row],[Column7]])</f>
        <v/>
      </c>
      <c r="Y568" s="42" t="str">
        <f>IF(NOTA[[#This Row],[JUMLAH]]="","",(NOTA[[#This Row],[JUMLAH]]-NOTA[[#This Row],[DISC 1-]]-NOTA[[#This Row],[DISC 2-]])*NOTA[[#This Row],[Column8]])</f>
        <v/>
      </c>
      <c r="Z568" s="42" t="str">
        <f>IF(NOTA[[#This Row],[JUMLAH]]="","",NOTA[[#This Row],[DISC 1-]]+NOTA[[#This Row],[DISC 2-]]+NOTA[[#This Row],[DISC 3-]])</f>
        <v/>
      </c>
      <c r="AA568" s="42" t="str">
        <f>IF(NOTA[[#This Row],[JUMLAH]]="","",NOTA[[#This Row],[JUMLAH]]-NOTA[[#This Row],[DISC]])</f>
        <v/>
      </c>
      <c r="AB568" s="42"/>
      <c r="AC5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42" t="str">
        <f>IF(OR(NOTA[[#This Row],[QTY]]="",NOTA[[#This Row],[HARGA SATUAN]]="",),"",NOTA[[#This Row],[QTY]]*NOTA[[#This Row],[HARGA SATUAN]])</f>
        <v/>
      </c>
      <c r="AG568" s="36" t="str">
        <f ca="1">IF(NOTA[[#This Row],[ID_H]]="","",INDEX(NOTA[TANGGAL],MATCH(,INDIRECT(ADDRESS(ROW(NOTA[TANGGAL]),COLUMN(NOTA[TANGGAL]))&amp;":"&amp;ADDRESS(ROW(),COLUMN(NOTA[TANGGAL]))),-1)))</f>
        <v/>
      </c>
      <c r="AH568" s="36" t="str">
        <f ca="1">IF(NOTA[[#This Row],[ID_H]]="","",INDEX(NOTA[TGL.NOTA],MATCH(,INDIRECT(ADDRESS(ROW(NOTA[TGL.NOTA]),COLUMN(NOTA[TGL.NOTA]))&amp;":"&amp;ADDRESS(ROW(),COLUMN(NOTA[TGL.NOTA]))),-1)))</f>
        <v/>
      </c>
      <c r="AI568" s="36" t="str">
        <f ca="1">IF(NOTA[[#This Row],[ID_H]]="","",INDEX(NOTA[NO.NOTA],MATCH(NOTA[[#This Row],[ID_H]],NOTA[ID_H],0)))</f>
        <v/>
      </c>
      <c r="AJ568" s="38" t="str">
        <f ca="1">IF(NOTA[[#This Row],[NAMA BARANG]]="","",INDEX(NOTA[SUPPLIER],MATCH(,INDIRECT(ADDRESS(ROW(NOTA[ID]),COLUMN(NOTA[ID]))&amp;":"&amp;ADDRESS(ROW(),COLUMN(NOTA[ID]))),-1)))</f>
        <v/>
      </c>
      <c r="AK568" s="38" t="str">
        <f ca="1">IF(NOTA[[#This Row],[ID_H]]="","",IF(NOTA[[#This Row],[FAKTUR]]="",INDIRECT(ADDRESS(ROW()-1,COLUMN())),NOTA[[#This Row],[FAKTUR]]))</f>
        <v/>
      </c>
      <c r="AL568" s="35" t="str">
        <f ca="1">IF(NOTA[[#This Row],[ID]]="","",COUNTIF(NOTA[ID_H],NOTA[[#This Row],[ID_H]]))</f>
        <v/>
      </c>
      <c r="AM568" s="35" t="str">
        <f ca="1">IF(NOTA[[#This Row],[TGL.NOTA]]="",IF(NOTA[[#This Row],[SUPPLIER_H]]="","",AM567),MONTH(NOTA[[#This Row],[TGL.NOTA]]))</f>
        <v/>
      </c>
      <c r="AN5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8" s="35" t="str">
        <f>IF(NOTA[[#This Row],[CONCAT1]]="","",MATCH(NOTA[[#This Row],[CONCAT1]],[3]!db[NB NOTA_C],0))</f>
        <v/>
      </c>
      <c r="AS568" s="35" t="str">
        <f>IF(NOTA[[#This Row],[Column5]]="","",TRUE)</f>
        <v/>
      </c>
      <c r="AT568" s="35" t="str">
        <f ca="1">IF(NOTA[[#This Row],[ID_H]]="","",IF(NOTA[[#This Row],[Column3]]=TRUE,NOTA[[#This Row],[Column5]],INDEX([3]!db[QTY/ CTN],NOTA[[#This Row],[//DB]])))</f>
        <v/>
      </c>
      <c r="AU5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8" s="35" t="str">
        <f ca="1">IF(NOTA[[#This Row],[ID_H]]="","",MATCH(NOTA[[#This Row],[NB NOTA_C_QTY]],[3]!db[NB NOTA_C_QTY+F],0))</f>
        <v/>
      </c>
      <c r="AW568" s="43" t="str">
        <f ca="1">IF(NOTA[[#This Row],[NB NOTA_C_QTY]]="","",ROW()-2)</f>
        <v/>
      </c>
    </row>
    <row r="569" spans="1:49" ht="20.100000000000001" customHeight="1">
      <c r="A5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5" t="str">
        <f ca="1">IF(NOTA[[#This Row],[NAMA BARANG]]="","",INDEX(NOTA[ID],MATCH(,INDIRECT(ADDRESS(ROW(NOTA[ID]),COLUMN(NOTA[ID]))&amp;":"&amp;ADDRESS(ROW(),COLUMN(NOTA[ID]))),-1)))</f>
        <v/>
      </c>
      <c r="C569" s="45"/>
      <c r="F569" s="46"/>
      <c r="G569" s="35"/>
      <c r="H569" s="36"/>
      <c r="I569" s="35"/>
      <c r="K569" s="37"/>
      <c r="L569" s="35"/>
      <c r="N569" s="38"/>
      <c r="O569" s="39"/>
      <c r="P569" s="47"/>
      <c r="Q569" s="48"/>
      <c r="R569" s="41"/>
      <c r="T569" s="42"/>
      <c r="U569" s="44"/>
      <c r="V569" s="42" t="str">
        <f>IF(NOTA[[#This Row],[HARGA/ CTN]]="",NOTA[[#This Row],[JUMLAH_H]],NOTA[[#This Row],[HARGA/ CTN]]*IF(NOTA[[#This Row],[C]]="",0,NOTA[[#This Row],[C]]))</f>
        <v/>
      </c>
      <c r="W569" s="42" t="str">
        <f>IF(NOTA[[#This Row],[JUMLAH]]="","",NOTA[[#This Row],[JUMLAH]]*NOTA[[#This Row],[Column6]])</f>
        <v/>
      </c>
      <c r="X569" s="42" t="str">
        <f>IF(NOTA[[#This Row],[JUMLAH]]="","",(NOTA[[#This Row],[JUMLAH]]-NOTA[[#This Row],[DISC 1-]])*NOTA[[#This Row],[Column7]])</f>
        <v/>
      </c>
      <c r="Y569" s="42" t="str">
        <f>IF(NOTA[[#This Row],[JUMLAH]]="","",(NOTA[[#This Row],[JUMLAH]]-NOTA[[#This Row],[DISC 1-]]-NOTA[[#This Row],[DISC 2-]])*NOTA[[#This Row],[Column8]])</f>
        <v/>
      </c>
      <c r="Z569" s="42" t="str">
        <f>IF(NOTA[[#This Row],[JUMLAH]]="","",NOTA[[#This Row],[DISC 1-]]+NOTA[[#This Row],[DISC 2-]]+NOTA[[#This Row],[DISC 3-]])</f>
        <v/>
      </c>
      <c r="AA569" s="42" t="str">
        <f>IF(NOTA[[#This Row],[JUMLAH]]="","",NOTA[[#This Row],[JUMLAH]]-NOTA[[#This Row],[DISC]])</f>
        <v/>
      </c>
      <c r="AB569" s="42"/>
      <c r="AC5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42" t="str">
        <f>IF(OR(NOTA[[#This Row],[QTY]]="",NOTA[[#This Row],[HARGA SATUAN]]="",),"",NOTA[[#This Row],[QTY]]*NOTA[[#This Row],[HARGA SATUAN]])</f>
        <v/>
      </c>
      <c r="AG569" s="36" t="str">
        <f ca="1">IF(NOTA[[#This Row],[ID_H]]="","",INDEX(NOTA[TANGGAL],MATCH(,INDIRECT(ADDRESS(ROW(NOTA[TANGGAL]),COLUMN(NOTA[TANGGAL]))&amp;":"&amp;ADDRESS(ROW(),COLUMN(NOTA[TANGGAL]))),-1)))</f>
        <v/>
      </c>
      <c r="AH569" s="36" t="str">
        <f ca="1">IF(NOTA[[#This Row],[ID_H]]="","",INDEX(NOTA[TGL.NOTA],MATCH(,INDIRECT(ADDRESS(ROW(NOTA[TGL.NOTA]),COLUMN(NOTA[TGL.NOTA]))&amp;":"&amp;ADDRESS(ROW(),COLUMN(NOTA[TGL.NOTA]))),-1)))</f>
        <v/>
      </c>
      <c r="AI569" s="36" t="str">
        <f ca="1">IF(NOTA[[#This Row],[ID_H]]="","",INDEX(NOTA[NO.NOTA],MATCH(NOTA[[#This Row],[ID_H]],NOTA[ID_H],0)))</f>
        <v/>
      </c>
      <c r="AJ569" s="38" t="str">
        <f ca="1">IF(NOTA[[#This Row],[NAMA BARANG]]="","",INDEX(NOTA[SUPPLIER],MATCH(,INDIRECT(ADDRESS(ROW(NOTA[ID]),COLUMN(NOTA[ID]))&amp;":"&amp;ADDRESS(ROW(),COLUMN(NOTA[ID]))),-1)))</f>
        <v/>
      </c>
      <c r="AK569" s="38" t="str">
        <f ca="1">IF(NOTA[[#This Row],[ID_H]]="","",IF(NOTA[[#This Row],[FAKTUR]]="",INDIRECT(ADDRESS(ROW()-1,COLUMN())),NOTA[[#This Row],[FAKTUR]]))</f>
        <v/>
      </c>
      <c r="AL569" s="35" t="str">
        <f ca="1">IF(NOTA[[#This Row],[ID]]="","",COUNTIF(NOTA[ID_H],NOTA[[#This Row],[ID_H]]))</f>
        <v/>
      </c>
      <c r="AM569" s="35" t="str">
        <f ca="1">IF(NOTA[[#This Row],[TGL.NOTA]]="",IF(NOTA[[#This Row],[SUPPLIER_H]]="","",AM568),MONTH(NOTA[[#This Row],[TGL.NOTA]]))</f>
        <v/>
      </c>
      <c r="AN5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9" s="35" t="str">
        <f>IF(NOTA[[#This Row],[CONCAT1]]="","",MATCH(NOTA[[#This Row],[CONCAT1]],[3]!db[NB NOTA_C],0))</f>
        <v/>
      </c>
      <c r="AS569" s="35" t="str">
        <f>IF(NOTA[[#This Row],[Column5]]="","",TRUE)</f>
        <v/>
      </c>
      <c r="AT569" s="35" t="str">
        <f ca="1">IF(NOTA[[#This Row],[ID_H]]="","",IF(NOTA[[#This Row],[Column3]]=TRUE,NOTA[[#This Row],[Column5]],INDEX([3]!db[QTY/ CTN],NOTA[[#This Row],[//DB]])))</f>
        <v/>
      </c>
      <c r="AU5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69" s="35" t="str">
        <f ca="1">IF(NOTA[[#This Row],[ID_H]]="","",MATCH(NOTA[[#This Row],[NB NOTA_C_QTY]],[3]!db[NB NOTA_C_QTY+F],0))</f>
        <v/>
      </c>
      <c r="AW569" s="43" t="str">
        <f ca="1">IF(NOTA[[#This Row],[NB NOTA_C_QTY]]="","",ROW()-2)</f>
        <v/>
      </c>
    </row>
    <row r="570" spans="1:49" ht="20.100000000000001" customHeight="1">
      <c r="A5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5" t="str">
        <f ca="1">IF(NOTA[[#This Row],[NAMA BARANG]]="","",INDEX(NOTA[ID],MATCH(,INDIRECT(ADDRESS(ROW(NOTA[ID]),COLUMN(NOTA[ID]))&amp;":"&amp;ADDRESS(ROW(),COLUMN(NOTA[ID]))),-1)))</f>
        <v/>
      </c>
      <c r="C570" s="45"/>
      <c r="F570" s="46"/>
      <c r="G570" s="35"/>
      <c r="H570" s="36"/>
      <c r="I570" s="35"/>
      <c r="K570" s="37"/>
      <c r="L570" s="35"/>
      <c r="N570" s="38"/>
      <c r="O570" s="39"/>
      <c r="P570" s="47"/>
      <c r="Q570" s="48"/>
      <c r="R570" s="41"/>
      <c r="T570" s="42"/>
      <c r="U570" s="44"/>
      <c r="V570" s="42" t="str">
        <f>IF(NOTA[[#This Row],[HARGA/ CTN]]="",NOTA[[#This Row],[JUMLAH_H]],NOTA[[#This Row],[HARGA/ CTN]]*IF(NOTA[[#This Row],[C]]="",0,NOTA[[#This Row],[C]]))</f>
        <v/>
      </c>
      <c r="W570" s="42" t="str">
        <f>IF(NOTA[[#This Row],[JUMLAH]]="","",NOTA[[#This Row],[JUMLAH]]*NOTA[[#This Row],[Column6]])</f>
        <v/>
      </c>
      <c r="X570" s="42" t="str">
        <f>IF(NOTA[[#This Row],[JUMLAH]]="","",(NOTA[[#This Row],[JUMLAH]]-NOTA[[#This Row],[DISC 1-]])*NOTA[[#This Row],[Column7]])</f>
        <v/>
      </c>
      <c r="Y570" s="42" t="str">
        <f>IF(NOTA[[#This Row],[JUMLAH]]="","",(NOTA[[#This Row],[JUMLAH]]-NOTA[[#This Row],[DISC 1-]]-NOTA[[#This Row],[DISC 2-]])*NOTA[[#This Row],[Column8]])</f>
        <v/>
      </c>
      <c r="Z570" s="42" t="str">
        <f>IF(NOTA[[#This Row],[JUMLAH]]="","",NOTA[[#This Row],[DISC 1-]]+NOTA[[#This Row],[DISC 2-]]+NOTA[[#This Row],[DISC 3-]])</f>
        <v/>
      </c>
      <c r="AA570" s="42" t="str">
        <f>IF(NOTA[[#This Row],[JUMLAH]]="","",NOTA[[#This Row],[JUMLAH]]-NOTA[[#This Row],[DISC]])</f>
        <v/>
      </c>
      <c r="AB570" s="42"/>
      <c r="AC5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42" t="str">
        <f>IF(OR(NOTA[[#This Row],[QTY]]="",NOTA[[#This Row],[HARGA SATUAN]]="",),"",NOTA[[#This Row],[QTY]]*NOTA[[#This Row],[HARGA SATUAN]])</f>
        <v/>
      </c>
      <c r="AG570" s="36" t="str">
        <f ca="1">IF(NOTA[[#This Row],[ID_H]]="","",INDEX(NOTA[TANGGAL],MATCH(,INDIRECT(ADDRESS(ROW(NOTA[TANGGAL]),COLUMN(NOTA[TANGGAL]))&amp;":"&amp;ADDRESS(ROW(),COLUMN(NOTA[TANGGAL]))),-1)))</f>
        <v/>
      </c>
      <c r="AH570" s="36" t="str">
        <f ca="1">IF(NOTA[[#This Row],[ID_H]]="","",INDEX(NOTA[TGL.NOTA],MATCH(,INDIRECT(ADDRESS(ROW(NOTA[TGL.NOTA]),COLUMN(NOTA[TGL.NOTA]))&amp;":"&amp;ADDRESS(ROW(),COLUMN(NOTA[TGL.NOTA]))),-1)))</f>
        <v/>
      </c>
      <c r="AI570" s="36" t="str">
        <f ca="1">IF(NOTA[[#This Row],[ID_H]]="","",INDEX(NOTA[NO.NOTA],MATCH(NOTA[[#This Row],[ID_H]],NOTA[ID_H],0)))</f>
        <v/>
      </c>
      <c r="AJ570" s="38" t="str">
        <f ca="1">IF(NOTA[[#This Row],[NAMA BARANG]]="","",INDEX(NOTA[SUPPLIER],MATCH(,INDIRECT(ADDRESS(ROW(NOTA[ID]),COLUMN(NOTA[ID]))&amp;":"&amp;ADDRESS(ROW(),COLUMN(NOTA[ID]))),-1)))</f>
        <v/>
      </c>
      <c r="AK570" s="38" t="str">
        <f ca="1">IF(NOTA[[#This Row],[ID_H]]="","",IF(NOTA[[#This Row],[FAKTUR]]="",INDIRECT(ADDRESS(ROW()-1,COLUMN())),NOTA[[#This Row],[FAKTUR]]))</f>
        <v/>
      </c>
      <c r="AL570" s="35" t="str">
        <f ca="1">IF(NOTA[[#This Row],[ID]]="","",COUNTIF(NOTA[ID_H],NOTA[[#This Row],[ID_H]]))</f>
        <v/>
      </c>
      <c r="AM570" s="35" t="str">
        <f ca="1">IF(NOTA[[#This Row],[TGL.NOTA]]="",IF(NOTA[[#This Row],[SUPPLIER_H]]="","",AM569),MONTH(NOTA[[#This Row],[TGL.NOTA]]))</f>
        <v/>
      </c>
      <c r="AN5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0" s="35" t="str">
        <f>IF(NOTA[[#This Row],[CONCAT1]]="","",MATCH(NOTA[[#This Row],[CONCAT1]],[3]!db[NB NOTA_C],0))</f>
        <v/>
      </c>
      <c r="AS570" s="35" t="str">
        <f>IF(NOTA[[#This Row],[Column5]]="","",TRUE)</f>
        <v/>
      </c>
      <c r="AT570" s="35" t="str">
        <f ca="1">IF(NOTA[[#This Row],[ID_H]]="","",IF(NOTA[[#This Row],[Column3]]=TRUE,NOTA[[#This Row],[Column5]],INDEX([3]!db[QTY/ CTN],NOTA[[#This Row],[//DB]])))</f>
        <v/>
      </c>
      <c r="AU5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0" s="35" t="str">
        <f ca="1">IF(NOTA[[#This Row],[ID_H]]="","",MATCH(NOTA[[#This Row],[NB NOTA_C_QTY]],[3]!db[NB NOTA_C_QTY+F],0))</f>
        <v/>
      </c>
      <c r="AW570" s="43" t="str">
        <f ca="1">IF(NOTA[[#This Row],[NB NOTA_C_QTY]]="","",ROW()-2)</f>
        <v/>
      </c>
    </row>
    <row r="571" spans="1:49" ht="20.100000000000001" customHeight="1">
      <c r="A5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5" t="str">
        <f ca="1">IF(NOTA[[#This Row],[NAMA BARANG]]="","",INDEX(NOTA[ID],MATCH(,INDIRECT(ADDRESS(ROW(NOTA[ID]),COLUMN(NOTA[ID]))&amp;":"&amp;ADDRESS(ROW(),COLUMN(NOTA[ID]))),-1)))</f>
        <v/>
      </c>
      <c r="C571" s="45"/>
      <c r="F571" s="46"/>
      <c r="G571" s="35"/>
      <c r="H571" s="36"/>
      <c r="I571" s="35"/>
      <c r="K571" s="37"/>
      <c r="L571" s="35"/>
      <c r="N571" s="38"/>
      <c r="O571" s="39"/>
      <c r="P571" s="47"/>
      <c r="Q571" s="48"/>
      <c r="R571" s="41"/>
      <c r="T571" s="42"/>
      <c r="U571" s="44"/>
      <c r="V571" s="42" t="str">
        <f>IF(NOTA[[#This Row],[HARGA/ CTN]]="",NOTA[[#This Row],[JUMLAH_H]],NOTA[[#This Row],[HARGA/ CTN]]*IF(NOTA[[#This Row],[C]]="",0,NOTA[[#This Row],[C]]))</f>
        <v/>
      </c>
      <c r="W571" s="42" t="str">
        <f>IF(NOTA[[#This Row],[JUMLAH]]="","",NOTA[[#This Row],[JUMLAH]]*NOTA[[#This Row],[Column6]])</f>
        <v/>
      </c>
      <c r="X571" s="42" t="str">
        <f>IF(NOTA[[#This Row],[JUMLAH]]="","",(NOTA[[#This Row],[JUMLAH]]-NOTA[[#This Row],[DISC 1-]])*NOTA[[#This Row],[Column7]])</f>
        <v/>
      </c>
      <c r="Y571" s="42" t="str">
        <f>IF(NOTA[[#This Row],[JUMLAH]]="","",(NOTA[[#This Row],[JUMLAH]]-NOTA[[#This Row],[DISC 1-]]-NOTA[[#This Row],[DISC 2-]])*NOTA[[#This Row],[Column8]])</f>
        <v/>
      </c>
      <c r="Z571" s="42" t="str">
        <f>IF(NOTA[[#This Row],[JUMLAH]]="","",NOTA[[#This Row],[DISC 1-]]+NOTA[[#This Row],[DISC 2-]]+NOTA[[#This Row],[DISC 3-]])</f>
        <v/>
      </c>
      <c r="AA571" s="42" t="str">
        <f>IF(NOTA[[#This Row],[JUMLAH]]="","",NOTA[[#This Row],[JUMLAH]]-NOTA[[#This Row],[DISC]])</f>
        <v/>
      </c>
      <c r="AB571" s="42"/>
      <c r="AC5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42" t="str">
        <f>IF(OR(NOTA[[#This Row],[QTY]]="",NOTA[[#This Row],[HARGA SATUAN]]="",),"",NOTA[[#This Row],[QTY]]*NOTA[[#This Row],[HARGA SATUAN]])</f>
        <v/>
      </c>
      <c r="AG571" s="36" t="str">
        <f ca="1">IF(NOTA[[#This Row],[ID_H]]="","",INDEX(NOTA[TANGGAL],MATCH(,INDIRECT(ADDRESS(ROW(NOTA[TANGGAL]),COLUMN(NOTA[TANGGAL]))&amp;":"&amp;ADDRESS(ROW(),COLUMN(NOTA[TANGGAL]))),-1)))</f>
        <v/>
      </c>
      <c r="AH571" s="36" t="str">
        <f ca="1">IF(NOTA[[#This Row],[ID_H]]="","",INDEX(NOTA[TGL.NOTA],MATCH(,INDIRECT(ADDRESS(ROW(NOTA[TGL.NOTA]),COLUMN(NOTA[TGL.NOTA]))&amp;":"&amp;ADDRESS(ROW(),COLUMN(NOTA[TGL.NOTA]))),-1)))</f>
        <v/>
      </c>
      <c r="AI571" s="36" t="str">
        <f ca="1">IF(NOTA[[#This Row],[ID_H]]="","",INDEX(NOTA[NO.NOTA],MATCH(NOTA[[#This Row],[ID_H]],NOTA[ID_H],0)))</f>
        <v/>
      </c>
      <c r="AJ571" s="38" t="str">
        <f ca="1">IF(NOTA[[#This Row],[NAMA BARANG]]="","",INDEX(NOTA[SUPPLIER],MATCH(,INDIRECT(ADDRESS(ROW(NOTA[ID]),COLUMN(NOTA[ID]))&amp;":"&amp;ADDRESS(ROW(),COLUMN(NOTA[ID]))),-1)))</f>
        <v/>
      </c>
      <c r="AK571" s="38" t="str">
        <f ca="1">IF(NOTA[[#This Row],[ID_H]]="","",IF(NOTA[[#This Row],[FAKTUR]]="",INDIRECT(ADDRESS(ROW()-1,COLUMN())),NOTA[[#This Row],[FAKTUR]]))</f>
        <v/>
      </c>
      <c r="AL571" s="35" t="str">
        <f ca="1">IF(NOTA[[#This Row],[ID]]="","",COUNTIF(NOTA[ID_H],NOTA[[#This Row],[ID_H]]))</f>
        <v/>
      </c>
      <c r="AM571" s="35" t="str">
        <f ca="1">IF(NOTA[[#This Row],[TGL.NOTA]]="",IF(NOTA[[#This Row],[SUPPLIER_H]]="","",AM570),MONTH(NOTA[[#This Row],[TGL.NOTA]]))</f>
        <v/>
      </c>
      <c r="AN5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1" s="35" t="str">
        <f>IF(NOTA[[#This Row],[CONCAT1]]="","",MATCH(NOTA[[#This Row],[CONCAT1]],[3]!db[NB NOTA_C],0))</f>
        <v/>
      </c>
      <c r="AS571" s="35" t="str">
        <f>IF(NOTA[[#This Row],[Column5]]="","",TRUE)</f>
        <v/>
      </c>
      <c r="AT571" s="35" t="str">
        <f ca="1">IF(NOTA[[#This Row],[ID_H]]="","",IF(NOTA[[#This Row],[Column3]]=TRUE,NOTA[[#This Row],[Column5]],INDEX([3]!db[QTY/ CTN],NOTA[[#This Row],[//DB]])))</f>
        <v/>
      </c>
      <c r="AU5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1" s="35" t="str">
        <f ca="1">IF(NOTA[[#This Row],[ID_H]]="","",MATCH(NOTA[[#This Row],[NB NOTA_C_QTY]],[3]!db[NB NOTA_C_QTY+F],0))</f>
        <v/>
      </c>
      <c r="AW571" s="43" t="str">
        <f ca="1">IF(NOTA[[#This Row],[NB NOTA_C_QTY]]="","",ROW()-2)</f>
        <v/>
      </c>
    </row>
    <row r="572" spans="1:49" ht="20.100000000000001" customHeight="1">
      <c r="A5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5" t="str">
        <f ca="1">IF(NOTA[[#This Row],[NAMA BARANG]]="","",INDEX(NOTA[ID],MATCH(,INDIRECT(ADDRESS(ROW(NOTA[ID]),COLUMN(NOTA[ID]))&amp;":"&amp;ADDRESS(ROW(),COLUMN(NOTA[ID]))),-1)))</f>
        <v/>
      </c>
      <c r="C572" s="45"/>
      <c r="F572" s="46"/>
      <c r="G572" s="35"/>
      <c r="H572" s="36"/>
      <c r="I572" s="35"/>
      <c r="K572" s="37"/>
      <c r="L572" s="35"/>
      <c r="N572" s="38"/>
      <c r="O572" s="39"/>
      <c r="P572" s="47"/>
      <c r="Q572" s="48"/>
      <c r="R572" s="41"/>
      <c r="T572" s="42"/>
      <c r="U572" s="44"/>
      <c r="V572" s="42" t="str">
        <f>IF(NOTA[[#This Row],[HARGA/ CTN]]="",NOTA[[#This Row],[JUMLAH_H]],NOTA[[#This Row],[HARGA/ CTN]]*IF(NOTA[[#This Row],[C]]="",0,NOTA[[#This Row],[C]]))</f>
        <v/>
      </c>
      <c r="W572" s="42" t="str">
        <f>IF(NOTA[[#This Row],[JUMLAH]]="","",NOTA[[#This Row],[JUMLAH]]*NOTA[[#This Row],[Column6]])</f>
        <v/>
      </c>
      <c r="X572" s="42" t="str">
        <f>IF(NOTA[[#This Row],[JUMLAH]]="","",(NOTA[[#This Row],[JUMLAH]]-NOTA[[#This Row],[DISC 1-]])*NOTA[[#This Row],[Column7]])</f>
        <v/>
      </c>
      <c r="Y572" s="42" t="str">
        <f>IF(NOTA[[#This Row],[JUMLAH]]="","",(NOTA[[#This Row],[JUMLAH]]-NOTA[[#This Row],[DISC 1-]]-NOTA[[#This Row],[DISC 2-]])*NOTA[[#This Row],[Column8]])</f>
        <v/>
      </c>
      <c r="Z572" s="42" t="str">
        <f>IF(NOTA[[#This Row],[JUMLAH]]="","",NOTA[[#This Row],[DISC 1-]]+NOTA[[#This Row],[DISC 2-]]+NOTA[[#This Row],[DISC 3-]])</f>
        <v/>
      </c>
      <c r="AA572" s="42" t="str">
        <f>IF(NOTA[[#This Row],[JUMLAH]]="","",NOTA[[#This Row],[JUMLAH]]-NOTA[[#This Row],[DISC]])</f>
        <v/>
      </c>
      <c r="AB572" s="42"/>
      <c r="AC5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42" t="str">
        <f>IF(OR(NOTA[[#This Row],[QTY]]="",NOTA[[#This Row],[HARGA SATUAN]]="",),"",NOTA[[#This Row],[QTY]]*NOTA[[#This Row],[HARGA SATUAN]])</f>
        <v/>
      </c>
      <c r="AG572" s="36" t="str">
        <f ca="1">IF(NOTA[[#This Row],[ID_H]]="","",INDEX(NOTA[TANGGAL],MATCH(,INDIRECT(ADDRESS(ROW(NOTA[TANGGAL]),COLUMN(NOTA[TANGGAL]))&amp;":"&amp;ADDRESS(ROW(),COLUMN(NOTA[TANGGAL]))),-1)))</f>
        <v/>
      </c>
      <c r="AH572" s="36" t="str">
        <f ca="1">IF(NOTA[[#This Row],[ID_H]]="","",INDEX(NOTA[TGL.NOTA],MATCH(,INDIRECT(ADDRESS(ROW(NOTA[TGL.NOTA]),COLUMN(NOTA[TGL.NOTA]))&amp;":"&amp;ADDRESS(ROW(),COLUMN(NOTA[TGL.NOTA]))),-1)))</f>
        <v/>
      </c>
      <c r="AI572" s="36" t="str">
        <f ca="1">IF(NOTA[[#This Row],[ID_H]]="","",INDEX(NOTA[NO.NOTA],MATCH(NOTA[[#This Row],[ID_H]],NOTA[ID_H],0)))</f>
        <v/>
      </c>
      <c r="AJ572" s="38" t="str">
        <f ca="1">IF(NOTA[[#This Row],[NAMA BARANG]]="","",INDEX(NOTA[SUPPLIER],MATCH(,INDIRECT(ADDRESS(ROW(NOTA[ID]),COLUMN(NOTA[ID]))&amp;":"&amp;ADDRESS(ROW(),COLUMN(NOTA[ID]))),-1)))</f>
        <v/>
      </c>
      <c r="AK572" s="38" t="str">
        <f ca="1">IF(NOTA[[#This Row],[ID_H]]="","",IF(NOTA[[#This Row],[FAKTUR]]="",INDIRECT(ADDRESS(ROW()-1,COLUMN())),NOTA[[#This Row],[FAKTUR]]))</f>
        <v/>
      </c>
      <c r="AL572" s="35" t="str">
        <f ca="1">IF(NOTA[[#This Row],[ID]]="","",COUNTIF(NOTA[ID_H],NOTA[[#This Row],[ID_H]]))</f>
        <v/>
      </c>
      <c r="AM572" s="35" t="str">
        <f ca="1">IF(NOTA[[#This Row],[TGL.NOTA]]="",IF(NOTA[[#This Row],[SUPPLIER_H]]="","",AM571),MONTH(NOTA[[#This Row],[TGL.NOTA]]))</f>
        <v/>
      </c>
      <c r="AN5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2" s="35" t="str">
        <f>IF(NOTA[[#This Row],[CONCAT1]]="","",MATCH(NOTA[[#This Row],[CONCAT1]],[3]!db[NB NOTA_C],0))</f>
        <v/>
      </c>
      <c r="AS572" s="35" t="str">
        <f>IF(NOTA[[#This Row],[Column5]]="","",TRUE)</f>
        <v/>
      </c>
      <c r="AT572" s="35" t="str">
        <f ca="1">IF(NOTA[[#This Row],[ID_H]]="","",IF(NOTA[[#This Row],[Column3]]=TRUE,NOTA[[#This Row],[Column5]],INDEX([3]!db[QTY/ CTN],NOTA[[#This Row],[//DB]])))</f>
        <v/>
      </c>
      <c r="AU5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2" s="35" t="str">
        <f ca="1">IF(NOTA[[#This Row],[ID_H]]="","",MATCH(NOTA[[#This Row],[NB NOTA_C_QTY]],[3]!db[NB NOTA_C_QTY+F],0))</f>
        <v/>
      </c>
      <c r="AW572" s="43" t="str">
        <f ca="1">IF(NOTA[[#This Row],[NB NOTA_C_QTY]]="","",ROW()-2)</f>
        <v/>
      </c>
    </row>
    <row r="573" spans="1:49" ht="20.100000000000001" customHeight="1">
      <c r="A5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5" t="str">
        <f ca="1">IF(NOTA[[#This Row],[NAMA BARANG]]="","",INDEX(NOTA[ID],MATCH(,INDIRECT(ADDRESS(ROW(NOTA[ID]),COLUMN(NOTA[ID]))&amp;":"&amp;ADDRESS(ROW(),COLUMN(NOTA[ID]))),-1)))</f>
        <v/>
      </c>
      <c r="C573" s="45"/>
      <c r="F573" s="46"/>
      <c r="G573" s="35"/>
      <c r="H573" s="36"/>
      <c r="I573" s="35"/>
      <c r="K573" s="37"/>
      <c r="L573" s="35"/>
      <c r="N573" s="38"/>
      <c r="O573" s="39"/>
      <c r="P573" s="47"/>
      <c r="Q573" s="48"/>
      <c r="R573" s="41"/>
      <c r="T573" s="42"/>
      <c r="U573" s="44"/>
      <c r="V573" s="42" t="str">
        <f>IF(NOTA[[#This Row],[HARGA/ CTN]]="",NOTA[[#This Row],[JUMLAH_H]],NOTA[[#This Row],[HARGA/ CTN]]*IF(NOTA[[#This Row],[C]]="",0,NOTA[[#This Row],[C]]))</f>
        <v/>
      </c>
      <c r="W573" s="42" t="str">
        <f>IF(NOTA[[#This Row],[JUMLAH]]="","",NOTA[[#This Row],[JUMLAH]]*NOTA[[#This Row],[Column6]])</f>
        <v/>
      </c>
      <c r="X573" s="42" t="str">
        <f>IF(NOTA[[#This Row],[JUMLAH]]="","",(NOTA[[#This Row],[JUMLAH]]-NOTA[[#This Row],[DISC 1-]])*NOTA[[#This Row],[Column7]])</f>
        <v/>
      </c>
      <c r="Y573" s="42" t="str">
        <f>IF(NOTA[[#This Row],[JUMLAH]]="","",(NOTA[[#This Row],[JUMLAH]]-NOTA[[#This Row],[DISC 1-]]-NOTA[[#This Row],[DISC 2-]])*NOTA[[#This Row],[Column8]])</f>
        <v/>
      </c>
      <c r="Z573" s="42" t="str">
        <f>IF(NOTA[[#This Row],[JUMLAH]]="","",NOTA[[#This Row],[DISC 1-]]+NOTA[[#This Row],[DISC 2-]]+NOTA[[#This Row],[DISC 3-]])</f>
        <v/>
      </c>
      <c r="AA573" s="42" t="str">
        <f>IF(NOTA[[#This Row],[JUMLAH]]="","",NOTA[[#This Row],[JUMLAH]]-NOTA[[#This Row],[DISC]])</f>
        <v/>
      </c>
      <c r="AB573" s="42"/>
      <c r="AC5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42" t="str">
        <f>IF(OR(NOTA[[#This Row],[QTY]]="",NOTA[[#This Row],[HARGA SATUAN]]="",),"",NOTA[[#This Row],[QTY]]*NOTA[[#This Row],[HARGA SATUAN]])</f>
        <v/>
      </c>
      <c r="AG573" s="36" t="str">
        <f ca="1">IF(NOTA[[#This Row],[ID_H]]="","",INDEX(NOTA[TANGGAL],MATCH(,INDIRECT(ADDRESS(ROW(NOTA[TANGGAL]),COLUMN(NOTA[TANGGAL]))&amp;":"&amp;ADDRESS(ROW(),COLUMN(NOTA[TANGGAL]))),-1)))</f>
        <v/>
      </c>
      <c r="AH573" s="36" t="str">
        <f ca="1">IF(NOTA[[#This Row],[ID_H]]="","",INDEX(NOTA[TGL.NOTA],MATCH(,INDIRECT(ADDRESS(ROW(NOTA[TGL.NOTA]),COLUMN(NOTA[TGL.NOTA]))&amp;":"&amp;ADDRESS(ROW(),COLUMN(NOTA[TGL.NOTA]))),-1)))</f>
        <v/>
      </c>
      <c r="AI573" s="36" t="str">
        <f ca="1">IF(NOTA[[#This Row],[ID_H]]="","",INDEX(NOTA[NO.NOTA],MATCH(NOTA[[#This Row],[ID_H]],NOTA[ID_H],0)))</f>
        <v/>
      </c>
      <c r="AJ573" s="38" t="str">
        <f ca="1">IF(NOTA[[#This Row],[NAMA BARANG]]="","",INDEX(NOTA[SUPPLIER],MATCH(,INDIRECT(ADDRESS(ROW(NOTA[ID]),COLUMN(NOTA[ID]))&amp;":"&amp;ADDRESS(ROW(),COLUMN(NOTA[ID]))),-1)))</f>
        <v/>
      </c>
      <c r="AK573" s="38" t="str">
        <f ca="1">IF(NOTA[[#This Row],[ID_H]]="","",IF(NOTA[[#This Row],[FAKTUR]]="",INDIRECT(ADDRESS(ROW()-1,COLUMN())),NOTA[[#This Row],[FAKTUR]]))</f>
        <v/>
      </c>
      <c r="AL573" s="35" t="str">
        <f ca="1">IF(NOTA[[#This Row],[ID]]="","",COUNTIF(NOTA[ID_H],NOTA[[#This Row],[ID_H]]))</f>
        <v/>
      </c>
      <c r="AM573" s="35" t="str">
        <f ca="1">IF(NOTA[[#This Row],[TGL.NOTA]]="",IF(NOTA[[#This Row],[SUPPLIER_H]]="","",AM572),MONTH(NOTA[[#This Row],[TGL.NOTA]]))</f>
        <v/>
      </c>
      <c r="AN5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3" s="35" t="str">
        <f>IF(NOTA[[#This Row],[CONCAT1]]="","",MATCH(NOTA[[#This Row],[CONCAT1]],[3]!db[NB NOTA_C],0))</f>
        <v/>
      </c>
      <c r="AS573" s="35" t="str">
        <f>IF(NOTA[[#This Row],[Column5]]="","",TRUE)</f>
        <v/>
      </c>
      <c r="AT573" s="35" t="str">
        <f ca="1">IF(NOTA[[#This Row],[ID_H]]="","",IF(NOTA[[#This Row],[Column3]]=TRUE,NOTA[[#This Row],[Column5]],INDEX([3]!db[QTY/ CTN],NOTA[[#This Row],[//DB]])))</f>
        <v/>
      </c>
      <c r="AU5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3" s="35" t="str">
        <f ca="1">IF(NOTA[[#This Row],[ID_H]]="","",MATCH(NOTA[[#This Row],[NB NOTA_C_QTY]],[3]!db[NB NOTA_C_QTY+F],0))</f>
        <v/>
      </c>
      <c r="AW573" s="43" t="str">
        <f ca="1">IF(NOTA[[#This Row],[NB NOTA_C_QTY]]="","",ROW()-2)</f>
        <v/>
      </c>
    </row>
    <row r="574" spans="1:49" ht="20.100000000000001" customHeight="1">
      <c r="A5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5" t="str">
        <f ca="1">IF(NOTA[[#This Row],[NAMA BARANG]]="","",INDEX(NOTA[ID],MATCH(,INDIRECT(ADDRESS(ROW(NOTA[ID]),COLUMN(NOTA[ID]))&amp;":"&amp;ADDRESS(ROW(),COLUMN(NOTA[ID]))),-1)))</f>
        <v/>
      </c>
      <c r="C574" s="45"/>
      <c r="F574" s="46"/>
      <c r="G574" s="35"/>
      <c r="H574" s="36"/>
      <c r="I574" s="35"/>
      <c r="K574" s="37"/>
      <c r="L574" s="35"/>
      <c r="N574" s="38"/>
      <c r="O574" s="39"/>
      <c r="P574" s="47"/>
      <c r="Q574" s="48"/>
      <c r="R574" s="41"/>
      <c r="T574" s="42"/>
      <c r="U574" s="44"/>
      <c r="V574" s="42" t="str">
        <f>IF(NOTA[[#This Row],[HARGA/ CTN]]="",NOTA[[#This Row],[JUMLAH_H]],NOTA[[#This Row],[HARGA/ CTN]]*IF(NOTA[[#This Row],[C]]="",0,NOTA[[#This Row],[C]]))</f>
        <v/>
      </c>
      <c r="W574" s="42" t="str">
        <f>IF(NOTA[[#This Row],[JUMLAH]]="","",NOTA[[#This Row],[JUMLAH]]*NOTA[[#This Row],[Column6]])</f>
        <v/>
      </c>
      <c r="X574" s="42" t="str">
        <f>IF(NOTA[[#This Row],[JUMLAH]]="","",(NOTA[[#This Row],[JUMLAH]]-NOTA[[#This Row],[DISC 1-]])*NOTA[[#This Row],[Column7]])</f>
        <v/>
      </c>
      <c r="Y574" s="42" t="str">
        <f>IF(NOTA[[#This Row],[JUMLAH]]="","",(NOTA[[#This Row],[JUMLAH]]-NOTA[[#This Row],[DISC 1-]]-NOTA[[#This Row],[DISC 2-]])*NOTA[[#This Row],[Column8]])</f>
        <v/>
      </c>
      <c r="Z574" s="42" t="str">
        <f>IF(NOTA[[#This Row],[JUMLAH]]="","",NOTA[[#This Row],[DISC 1-]]+NOTA[[#This Row],[DISC 2-]]+NOTA[[#This Row],[DISC 3-]])</f>
        <v/>
      </c>
      <c r="AA574" s="42" t="str">
        <f>IF(NOTA[[#This Row],[JUMLAH]]="","",NOTA[[#This Row],[JUMLAH]]-NOTA[[#This Row],[DISC]])</f>
        <v/>
      </c>
      <c r="AB574" s="42"/>
      <c r="AC5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42" t="str">
        <f>IF(OR(NOTA[[#This Row],[QTY]]="",NOTA[[#This Row],[HARGA SATUAN]]="",),"",NOTA[[#This Row],[QTY]]*NOTA[[#This Row],[HARGA SATUAN]])</f>
        <v/>
      </c>
      <c r="AG574" s="36" t="str">
        <f ca="1">IF(NOTA[[#This Row],[ID_H]]="","",INDEX(NOTA[TANGGAL],MATCH(,INDIRECT(ADDRESS(ROW(NOTA[TANGGAL]),COLUMN(NOTA[TANGGAL]))&amp;":"&amp;ADDRESS(ROW(),COLUMN(NOTA[TANGGAL]))),-1)))</f>
        <v/>
      </c>
      <c r="AH574" s="36" t="str">
        <f ca="1">IF(NOTA[[#This Row],[ID_H]]="","",INDEX(NOTA[TGL.NOTA],MATCH(,INDIRECT(ADDRESS(ROW(NOTA[TGL.NOTA]),COLUMN(NOTA[TGL.NOTA]))&amp;":"&amp;ADDRESS(ROW(),COLUMN(NOTA[TGL.NOTA]))),-1)))</f>
        <v/>
      </c>
      <c r="AI574" s="36" t="str">
        <f ca="1">IF(NOTA[[#This Row],[ID_H]]="","",INDEX(NOTA[NO.NOTA],MATCH(NOTA[[#This Row],[ID_H]],NOTA[ID_H],0)))</f>
        <v/>
      </c>
      <c r="AJ574" s="38" t="str">
        <f ca="1">IF(NOTA[[#This Row],[NAMA BARANG]]="","",INDEX(NOTA[SUPPLIER],MATCH(,INDIRECT(ADDRESS(ROW(NOTA[ID]),COLUMN(NOTA[ID]))&amp;":"&amp;ADDRESS(ROW(),COLUMN(NOTA[ID]))),-1)))</f>
        <v/>
      </c>
      <c r="AK574" s="38" t="str">
        <f ca="1">IF(NOTA[[#This Row],[ID_H]]="","",IF(NOTA[[#This Row],[FAKTUR]]="",INDIRECT(ADDRESS(ROW()-1,COLUMN())),NOTA[[#This Row],[FAKTUR]]))</f>
        <v/>
      </c>
      <c r="AL574" s="35" t="str">
        <f ca="1">IF(NOTA[[#This Row],[ID]]="","",COUNTIF(NOTA[ID_H],NOTA[[#This Row],[ID_H]]))</f>
        <v/>
      </c>
      <c r="AM574" s="35" t="str">
        <f ca="1">IF(NOTA[[#This Row],[TGL.NOTA]]="",IF(NOTA[[#This Row],[SUPPLIER_H]]="","",AM573),MONTH(NOTA[[#This Row],[TGL.NOTA]]))</f>
        <v/>
      </c>
      <c r="AN5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4" s="35" t="str">
        <f>IF(NOTA[[#This Row],[CONCAT1]]="","",MATCH(NOTA[[#This Row],[CONCAT1]],[3]!db[NB NOTA_C],0))</f>
        <v/>
      </c>
      <c r="AS574" s="35" t="str">
        <f>IF(NOTA[[#This Row],[Column5]]="","",TRUE)</f>
        <v/>
      </c>
      <c r="AT574" s="35" t="str">
        <f ca="1">IF(NOTA[[#This Row],[ID_H]]="","",IF(NOTA[[#This Row],[Column3]]=TRUE,NOTA[[#This Row],[Column5]],INDEX([3]!db[QTY/ CTN],NOTA[[#This Row],[//DB]])))</f>
        <v/>
      </c>
      <c r="AU5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4" s="35" t="str">
        <f ca="1">IF(NOTA[[#This Row],[ID_H]]="","",MATCH(NOTA[[#This Row],[NB NOTA_C_QTY]],[3]!db[NB NOTA_C_QTY+F],0))</f>
        <v/>
      </c>
      <c r="AW574" s="43" t="str">
        <f ca="1">IF(NOTA[[#This Row],[NB NOTA_C_QTY]]="","",ROW()-2)</f>
        <v/>
      </c>
    </row>
    <row r="575" spans="1:49" ht="20.100000000000001" customHeight="1">
      <c r="A5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5" t="str">
        <f ca="1">IF(NOTA[[#This Row],[NAMA BARANG]]="","",INDEX(NOTA[ID],MATCH(,INDIRECT(ADDRESS(ROW(NOTA[ID]),COLUMN(NOTA[ID]))&amp;":"&amp;ADDRESS(ROW(),COLUMN(NOTA[ID]))),-1)))</f>
        <v/>
      </c>
      <c r="C575" s="45"/>
      <c r="F575" s="46"/>
      <c r="G575" s="35"/>
      <c r="H575" s="36"/>
      <c r="I575" s="35"/>
      <c r="K575" s="37"/>
      <c r="L575" s="35"/>
      <c r="N575" s="38"/>
      <c r="O575" s="39"/>
      <c r="P575" s="47"/>
      <c r="Q575" s="48"/>
      <c r="R575" s="41"/>
      <c r="T575" s="42"/>
      <c r="U575" s="44"/>
      <c r="V575" s="42" t="str">
        <f>IF(NOTA[[#This Row],[HARGA/ CTN]]="",NOTA[[#This Row],[JUMLAH_H]],NOTA[[#This Row],[HARGA/ CTN]]*IF(NOTA[[#This Row],[C]]="",0,NOTA[[#This Row],[C]]))</f>
        <v/>
      </c>
      <c r="W575" s="42" t="str">
        <f>IF(NOTA[[#This Row],[JUMLAH]]="","",NOTA[[#This Row],[JUMLAH]]*NOTA[[#This Row],[Column6]])</f>
        <v/>
      </c>
      <c r="X575" s="42" t="str">
        <f>IF(NOTA[[#This Row],[JUMLAH]]="","",(NOTA[[#This Row],[JUMLAH]]-NOTA[[#This Row],[DISC 1-]])*NOTA[[#This Row],[Column7]])</f>
        <v/>
      </c>
      <c r="Y575" s="42" t="str">
        <f>IF(NOTA[[#This Row],[JUMLAH]]="","",(NOTA[[#This Row],[JUMLAH]]-NOTA[[#This Row],[DISC 1-]]-NOTA[[#This Row],[DISC 2-]])*NOTA[[#This Row],[Column8]])</f>
        <v/>
      </c>
      <c r="Z575" s="42" t="str">
        <f>IF(NOTA[[#This Row],[JUMLAH]]="","",NOTA[[#This Row],[DISC 1-]]+NOTA[[#This Row],[DISC 2-]]+NOTA[[#This Row],[DISC 3-]])</f>
        <v/>
      </c>
      <c r="AA575" s="42" t="str">
        <f>IF(NOTA[[#This Row],[JUMLAH]]="","",NOTA[[#This Row],[JUMLAH]]-NOTA[[#This Row],[DISC]])</f>
        <v/>
      </c>
      <c r="AB575" s="42"/>
      <c r="AC5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42" t="str">
        <f>IF(OR(NOTA[[#This Row],[QTY]]="",NOTA[[#This Row],[HARGA SATUAN]]="",),"",NOTA[[#This Row],[QTY]]*NOTA[[#This Row],[HARGA SATUAN]])</f>
        <v/>
      </c>
      <c r="AG575" s="36" t="str">
        <f ca="1">IF(NOTA[[#This Row],[ID_H]]="","",INDEX(NOTA[TANGGAL],MATCH(,INDIRECT(ADDRESS(ROW(NOTA[TANGGAL]),COLUMN(NOTA[TANGGAL]))&amp;":"&amp;ADDRESS(ROW(),COLUMN(NOTA[TANGGAL]))),-1)))</f>
        <v/>
      </c>
      <c r="AH575" s="36" t="str">
        <f ca="1">IF(NOTA[[#This Row],[ID_H]]="","",INDEX(NOTA[TGL.NOTA],MATCH(,INDIRECT(ADDRESS(ROW(NOTA[TGL.NOTA]),COLUMN(NOTA[TGL.NOTA]))&amp;":"&amp;ADDRESS(ROW(),COLUMN(NOTA[TGL.NOTA]))),-1)))</f>
        <v/>
      </c>
      <c r="AI575" s="36" t="str">
        <f ca="1">IF(NOTA[[#This Row],[ID_H]]="","",INDEX(NOTA[NO.NOTA],MATCH(NOTA[[#This Row],[ID_H]],NOTA[ID_H],0)))</f>
        <v/>
      </c>
      <c r="AJ575" s="38" t="str">
        <f ca="1">IF(NOTA[[#This Row],[NAMA BARANG]]="","",INDEX(NOTA[SUPPLIER],MATCH(,INDIRECT(ADDRESS(ROW(NOTA[ID]),COLUMN(NOTA[ID]))&amp;":"&amp;ADDRESS(ROW(),COLUMN(NOTA[ID]))),-1)))</f>
        <v/>
      </c>
      <c r="AK575" s="38" t="str">
        <f ca="1">IF(NOTA[[#This Row],[ID_H]]="","",IF(NOTA[[#This Row],[FAKTUR]]="",INDIRECT(ADDRESS(ROW()-1,COLUMN())),NOTA[[#This Row],[FAKTUR]]))</f>
        <v/>
      </c>
      <c r="AL575" s="35" t="str">
        <f ca="1">IF(NOTA[[#This Row],[ID]]="","",COUNTIF(NOTA[ID_H],NOTA[[#This Row],[ID_H]]))</f>
        <v/>
      </c>
      <c r="AM575" s="35" t="str">
        <f ca="1">IF(NOTA[[#This Row],[TGL.NOTA]]="",IF(NOTA[[#This Row],[SUPPLIER_H]]="","",AM574),MONTH(NOTA[[#This Row],[TGL.NOTA]]))</f>
        <v/>
      </c>
      <c r="AN5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5" s="35" t="str">
        <f>IF(NOTA[[#This Row],[CONCAT1]]="","",MATCH(NOTA[[#This Row],[CONCAT1]],[3]!db[NB NOTA_C],0))</f>
        <v/>
      </c>
      <c r="AS575" s="35" t="str">
        <f>IF(NOTA[[#This Row],[Column5]]="","",TRUE)</f>
        <v/>
      </c>
      <c r="AT575" s="35" t="str">
        <f ca="1">IF(NOTA[[#This Row],[ID_H]]="","",IF(NOTA[[#This Row],[Column3]]=TRUE,NOTA[[#This Row],[Column5]],INDEX([3]!db[QTY/ CTN],NOTA[[#This Row],[//DB]])))</f>
        <v/>
      </c>
      <c r="AU5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5" s="35" t="str">
        <f ca="1">IF(NOTA[[#This Row],[ID_H]]="","",MATCH(NOTA[[#This Row],[NB NOTA_C_QTY]],[3]!db[NB NOTA_C_QTY+F],0))</f>
        <v/>
      </c>
      <c r="AW575" s="43" t="str">
        <f ca="1">IF(NOTA[[#This Row],[NB NOTA_C_QTY]]="","",ROW()-2)</f>
        <v/>
      </c>
    </row>
    <row r="576" spans="1:49" ht="20.100000000000001" customHeight="1">
      <c r="A5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35" t="str">
        <f ca="1">IF(NOTA[[#This Row],[NAMA BARANG]]="","",INDEX(NOTA[ID],MATCH(,INDIRECT(ADDRESS(ROW(NOTA[ID]),COLUMN(NOTA[ID]))&amp;":"&amp;ADDRESS(ROW(),COLUMN(NOTA[ID]))),-1)))</f>
        <v/>
      </c>
      <c r="C576" s="45"/>
      <c r="F576" s="46"/>
      <c r="G576" s="35"/>
      <c r="H576" s="36"/>
      <c r="I576" s="35"/>
      <c r="K576" s="37"/>
      <c r="L576" s="35"/>
      <c r="N576" s="38"/>
      <c r="O576" s="39"/>
      <c r="P576" s="47"/>
      <c r="Q576" s="48"/>
      <c r="R576" s="41"/>
      <c r="T576" s="42"/>
      <c r="U576" s="44"/>
      <c r="V576" s="42" t="str">
        <f>IF(NOTA[[#This Row],[HARGA/ CTN]]="",NOTA[[#This Row],[JUMLAH_H]],NOTA[[#This Row],[HARGA/ CTN]]*IF(NOTA[[#This Row],[C]]="",0,NOTA[[#This Row],[C]]))</f>
        <v/>
      </c>
      <c r="W576" s="42" t="str">
        <f>IF(NOTA[[#This Row],[JUMLAH]]="","",NOTA[[#This Row],[JUMLAH]]*NOTA[[#This Row],[Column6]])</f>
        <v/>
      </c>
      <c r="X576" s="42" t="str">
        <f>IF(NOTA[[#This Row],[JUMLAH]]="","",(NOTA[[#This Row],[JUMLAH]]-NOTA[[#This Row],[DISC 1-]])*NOTA[[#This Row],[Column7]])</f>
        <v/>
      </c>
      <c r="Y576" s="42" t="str">
        <f>IF(NOTA[[#This Row],[JUMLAH]]="","",(NOTA[[#This Row],[JUMLAH]]-NOTA[[#This Row],[DISC 1-]]-NOTA[[#This Row],[DISC 2-]])*NOTA[[#This Row],[Column8]])</f>
        <v/>
      </c>
      <c r="Z576" s="42" t="str">
        <f>IF(NOTA[[#This Row],[JUMLAH]]="","",NOTA[[#This Row],[DISC 1-]]+NOTA[[#This Row],[DISC 2-]]+NOTA[[#This Row],[DISC 3-]])</f>
        <v/>
      </c>
      <c r="AA576" s="42" t="str">
        <f>IF(NOTA[[#This Row],[JUMLAH]]="","",NOTA[[#This Row],[JUMLAH]]-NOTA[[#This Row],[DISC]])</f>
        <v/>
      </c>
      <c r="AB576" s="42"/>
      <c r="AC5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42" t="str">
        <f>IF(OR(NOTA[[#This Row],[QTY]]="",NOTA[[#This Row],[HARGA SATUAN]]="",),"",NOTA[[#This Row],[QTY]]*NOTA[[#This Row],[HARGA SATUAN]])</f>
        <v/>
      </c>
      <c r="AG576" s="36" t="str">
        <f ca="1">IF(NOTA[[#This Row],[ID_H]]="","",INDEX(NOTA[TANGGAL],MATCH(,INDIRECT(ADDRESS(ROW(NOTA[TANGGAL]),COLUMN(NOTA[TANGGAL]))&amp;":"&amp;ADDRESS(ROW(),COLUMN(NOTA[TANGGAL]))),-1)))</f>
        <v/>
      </c>
      <c r="AH576" s="36" t="str">
        <f ca="1">IF(NOTA[[#This Row],[ID_H]]="","",INDEX(NOTA[TGL.NOTA],MATCH(,INDIRECT(ADDRESS(ROW(NOTA[TGL.NOTA]),COLUMN(NOTA[TGL.NOTA]))&amp;":"&amp;ADDRESS(ROW(),COLUMN(NOTA[TGL.NOTA]))),-1)))</f>
        <v/>
      </c>
      <c r="AI576" s="36" t="str">
        <f ca="1">IF(NOTA[[#This Row],[ID_H]]="","",INDEX(NOTA[NO.NOTA],MATCH(NOTA[[#This Row],[ID_H]],NOTA[ID_H],0)))</f>
        <v/>
      </c>
      <c r="AJ576" s="38" t="str">
        <f ca="1">IF(NOTA[[#This Row],[NAMA BARANG]]="","",INDEX(NOTA[SUPPLIER],MATCH(,INDIRECT(ADDRESS(ROW(NOTA[ID]),COLUMN(NOTA[ID]))&amp;":"&amp;ADDRESS(ROW(),COLUMN(NOTA[ID]))),-1)))</f>
        <v/>
      </c>
      <c r="AK576" s="38" t="str">
        <f ca="1">IF(NOTA[[#This Row],[ID_H]]="","",IF(NOTA[[#This Row],[FAKTUR]]="",INDIRECT(ADDRESS(ROW()-1,COLUMN())),NOTA[[#This Row],[FAKTUR]]))</f>
        <v/>
      </c>
      <c r="AL576" s="35" t="str">
        <f ca="1">IF(NOTA[[#This Row],[ID]]="","",COUNTIF(NOTA[ID_H],NOTA[[#This Row],[ID_H]]))</f>
        <v/>
      </c>
      <c r="AM576" s="35" t="str">
        <f ca="1">IF(NOTA[[#This Row],[TGL.NOTA]]="",IF(NOTA[[#This Row],[SUPPLIER_H]]="","",AM575),MONTH(NOTA[[#This Row],[TGL.NOTA]]))</f>
        <v/>
      </c>
      <c r="AN5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6" s="35" t="str">
        <f>IF(NOTA[[#This Row],[CONCAT1]]="","",MATCH(NOTA[[#This Row],[CONCAT1]],[3]!db[NB NOTA_C],0))</f>
        <v/>
      </c>
      <c r="AS576" s="35" t="str">
        <f>IF(NOTA[[#This Row],[Column5]]="","",TRUE)</f>
        <v/>
      </c>
      <c r="AT576" s="35" t="str">
        <f ca="1">IF(NOTA[[#This Row],[ID_H]]="","",IF(NOTA[[#This Row],[Column3]]=TRUE,NOTA[[#This Row],[Column5]],INDEX([3]!db[QTY/ CTN],NOTA[[#This Row],[//DB]])))</f>
        <v/>
      </c>
      <c r="AU5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6" s="35" t="str">
        <f ca="1">IF(NOTA[[#This Row],[ID_H]]="","",MATCH(NOTA[[#This Row],[NB NOTA_C_QTY]],[3]!db[NB NOTA_C_QTY+F],0))</f>
        <v/>
      </c>
      <c r="AW576" s="43" t="str">
        <f ca="1">IF(NOTA[[#This Row],[NB NOTA_C_QTY]]="","",ROW()-2)</f>
        <v/>
      </c>
    </row>
    <row r="577" spans="1:49" ht="20.100000000000001" customHeight="1">
      <c r="A5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5" t="str">
        <f ca="1">IF(NOTA[[#This Row],[NAMA BARANG]]="","",INDEX(NOTA[ID],MATCH(,INDIRECT(ADDRESS(ROW(NOTA[ID]),COLUMN(NOTA[ID]))&amp;":"&amp;ADDRESS(ROW(),COLUMN(NOTA[ID]))),-1)))</f>
        <v/>
      </c>
      <c r="C577" s="45"/>
      <c r="F577" s="46"/>
      <c r="G577" s="35"/>
      <c r="H577" s="36"/>
      <c r="I577" s="35"/>
      <c r="K577" s="37"/>
      <c r="L577" s="35"/>
      <c r="N577" s="38"/>
      <c r="O577" s="39"/>
      <c r="P577" s="47"/>
      <c r="Q577" s="48"/>
      <c r="R577" s="41"/>
      <c r="T577" s="42"/>
      <c r="U577" s="44"/>
      <c r="V577" s="42" t="str">
        <f>IF(NOTA[[#This Row],[HARGA/ CTN]]="",NOTA[[#This Row],[JUMLAH_H]],NOTA[[#This Row],[HARGA/ CTN]]*IF(NOTA[[#This Row],[C]]="",0,NOTA[[#This Row],[C]]))</f>
        <v/>
      </c>
      <c r="W577" s="42" t="str">
        <f>IF(NOTA[[#This Row],[JUMLAH]]="","",NOTA[[#This Row],[JUMLAH]]*NOTA[[#This Row],[Column6]])</f>
        <v/>
      </c>
      <c r="X577" s="42" t="str">
        <f>IF(NOTA[[#This Row],[JUMLAH]]="","",(NOTA[[#This Row],[JUMLAH]]-NOTA[[#This Row],[DISC 1-]])*NOTA[[#This Row],[Column7]])</f>
        <v/>
      </c>
      <c r="Y577" s="42" t="str">
        <f>IF(NOTA[[#This Row],[JUMLAH]]="","",(NOTA[[#This Row],[JUMLAH]]-NOTA[[#This Row],[DISC 1-]]-NOTA[[#This Row],[DISC 2-]])*NOTA[[#This Row],[Column8]])</f>
        <v/>
      </c>
      <c r="Z577" s="42" t="str">
        <f>IF(NOTA[[#This Row],[JUMLAH]]="","",NOTA[[#This Row],[DISC 1-]]+NOTA[[#This Row],[DISC 2-]]+NOTA[[#This Row],[DISC 3-]])</f>
        <v/>
      </c>
      <c r="AA577" s="42" t="str">
        <f>IF(NOTA[[#This Row],[JUMLAH]]="","",NOTA[[#This Row],[JUMLAH]]-NOTA[[#This Row],[DISC]])</f>
        <v/>
      </c>
      <c r="AB577" s="42"/>
      <c r="AC5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42" t="str">
        <f>IF(OR(NOTA[[#This Row],[QTY]]="",NOTA[[#This Row],[HARGA SATUAN]]="",),"",NOTA[[#This Row],[QTY]]*NOTA[[#This Row],[HARGA SATUAN]])</f>
        <v/>
      </c>
      <c r="AG577" s="36" t="str">
        <f ca="1">IF(NOTA[[#This Row],[ID_H]]="","",INDEX(NOTA[TANGGAL],MATCH(,INDIRECT(ADDRESS(ROW(NOTA[TANGGAL]),COLUMN(NOTA[TANGGAL]))&amp;":"&amp;ADDRESS(ROW(),COLUMN(NOTA[TANGGAL]))),-1)))</f>
        <v/>
      </c>
      <c r="AH577" s="36" t="str">
        <f ca="1">IF(NOTA[[#This Row],[ID_H]]="","",INDEX(NOTA[TGL.NOTA],MATCH(,INDIRECT(ADDRESS(ROW(NOTA[TGL.NOTA]),COLUMN(NOTA[TGL.NOTA]))&amp;":"&amp;ADDRESS(ROW(),COLUMN(NOTA[TGL.NOTA]))),-1)))</f>
        <v/>
      </c>
      <c r="AI577" s="36" t="str">
        <f ca="1">IF(NOTA[[#This Row],[ID_H]]="","",INDEX(NOTA[NO.NOTA],MATCH(NOTA[[#This Row],[ID_H]],NOTA[ID_H],0)))</f>
        <v/>
      </c>
      <c r="AJ577" s="38" t="str">
        <f ca="1">IF(NOTA[[#This Row],[NAMA BARANG]]="","",INDEX(NOTA[SUPPLIER],MATCH(,INDIRECT(ADDRESS(ROW(NOTA[ID]),COLUMN(NOTA[ID]))&amp;":"&amp;ADDRESS(ROW(),COLUMN(NOTA[ID]))),-1)))</f>
        <v/>
      </c>
      <c r="AK577" s="38" t="str">
        <f ca="1">IF(NOTA[[#This Row],[ID_H]]="","",IF(NOTA[[#This Row],[FAKTUR]]="",INDIRECT(ADDRESS(ROW()-1,COLUMN())),NOTA[[#This Row],[FAKTUR]]))</f>
        <v/>
      </c>
      <c r="AL577" s="35" t="str">
        <f ca="1">IF(NOTA[[#This Row],[ID]]="","",COUNTIF(NOTA[ID_H],NOTA[[#This Row],[ID_H]]))</f>
        <v/>
      </c>
      <c r="AM577" s="35" t="str">
        <f ca="1">IF(NOTA[[#This Row],[TGL.NOTA]]="",IF(NOTA[[#This Row],[SUPPLIER_H]]="","",AM576),MONTH(NOTA[[#This Row],[TGL.NOTA]]))</f>
        <v/>
      </c>
      <c r="AN5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7" s="35" t="str">
        <f>IF(NOTA[[#This Row],[CONCAT1]]="","",MATCH(NOTA[[#This Row],[CONCAT1]],[3]!db[NB NOTA_C],0))</f>
        <v/>
      </c>
      <c r="AS577" s="35" t="str">
        <f>IF(NOTA[[#This Row],[Column5]]="","",TRUE)</f>
        <v/>
      </c>
      <c r="AT577" s="35" t="str">
        <f ca="1">IF(NOTA[[#This Row],[ID_H]]="","",IF(NOTA[[#This Row],[Column3]]=TRUE,NOTA[[#This Row],[Column5]],INDEX([3]!db[QTY/ CTN],NOTA[[#This Row],[//DB]])))</f>
        <v/>
      </c>
      <c r="AU5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7" s="35" t="str">
        <f ca="1">IF(NOTA[[#This Row],[ID_H]]="","",MATCH(NOTA[[#This Row],[NB NOTA_C_QTY]],[3]!db[NB NOTA_C_QTY+F],0))</f>
        <v/>
      </c>
      <c r="AW577" s="43" t="str">
        <f ca="1">IF(NOTA[[#This Row],[NB NOTA_C_QTY]]="","",ROW()-2)</f>
        <v/>
      </c>
    </row>
    <row r="578" spans="1:49" ht="20.100000000000001" customHeight="1">
      <c r="A5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5" t="str">
        <f ca="1">IF(NOTA[[#This Row],[NAMA BARANG]]="","",INDEX(NOTA[ID],MATCH(,INDIRECT(ADDRESS(ROW(NOTA[ID]),COLUMN(NOTA[ID]))&amp;":"&amp;ADDRESS(ROW(),COLUMN(NOTA[ID]))),-1)))</f>
        <v/>
      </c>
      <c r="C578" s="45"/>
      <c r="F578" s="46"/>
      <c r="G578" s="35"/>
      <c r="H578" s="36"/>
      <c r="I578" s="35"/>
      <c r="K578" s="37"/>
      <c r="L578" s="35"/>
      <c r="N578" s="38"/>
      <c r="O578" s="39"/>
      <c r="P578" s="47"/>
      <c r="Q578" s="48"/>
      <c r="R578" s="41"/>
      <c r="T578" s="42"/>
      <c r="U578" s="44"/>
      <c r="V578" s="42" t="str">
        <f>IF(NOTA[[#This Row],[HARGA/ CTN]]="",NOTA[[#This Row],[JUMLAH_H]],NOTA[[#This Row],[HARGA/ CTN]]*IF(NOTA[[#This Row],[C]]="",0,NOTA[[#This Row],[C]]))</f>
        <v/>
      </c>
      <c r="W578" s="42" t="str">
        <f>IF(NOTA[[#This Row],[JUMLAH]]="","",NOTA[[#This Row],[JUMLAH]]*NOTA[[#This Row],[Column6]])</f>
        <v/>
      </c>
      <c r="X578" s="42" t="str">
        <f>IF(NOTA[[#This Row],[JUMLAH]]="","",(NOTA[[#This Row],[JUMLAH]]-NOTA[[#This Row],[DISC 1-]])*NOTA[[#This Row],[Column7]])</f>
        <v/>
      </c>
      <c r="Y578" s="42" t="str">
        <f>IF(NOTA[[#This Row],[JUMLAH]]="","",(NOTA[[#This Row],[JUMLAH]]-NOTA[[#This Row],[DISC 1-]]-NOTA[[#This Row],[DISC 2-]])*NOTA[[#This Row],[Column8]])</f>
        <v/>
      </c>
      <c r="Z578" s="42" t="str">
        <f>IF(NOTA[[#This Row],[JUMLAH]]="","",NOTA[[#This Row],[DISC 1-]]+NOTA[[#This Row],[DISC 2-]]+NOTA[[#This Row],[DISC 3-]])</f>
        <v/>
      </c>
      <c r="AA578" s="42" t="str">
        <f>IF(NOTA[[#This Row],[JUMLAH]]="","",NOTA[[#This Row],[JUMLAH]]-NOTA[[#This Row],[DISC]])</f>
        <v/>
      </c>
      <c r="AB578" s="42"/>
      <c r="AC5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42" t="str">
        <f>IF(OR(NOTA[[#This Row],[QTY]]="",NOTA[[#This Row],[HARGA SATUAN]]="",),"",NOTA[[#This Row],[QTY]]*NOTA[[#This Row],[HARGA SATUAN]])</f>
        <v/>
      </c>
      <c r="AG578" s="36" t="str">
        <f ca="1">IF(NOTA[[#This Row],[ID_H]]="","",INDEX(NOTA[TANGGAL],MATCH(,INDIRECT(ADDRESS(ROW(NOTA[TANGGAL]),COLUMN(NOTA[TANGGAL]))&amp;":"&amp;ADDRESS(ROW(),COLUMN(NOTA[TANGGAL]))),-1)))</f>
        <v/>
      </c>
      <c r="AH578" s="36" t="str">
        <f ca="1">IF(NOTA[[#This Row],[ID_H]]="","",INDEX(NOTA[TGL.NOTA],MATCH(,INDIRECT(ADDRESS(ROW(NOTA[TGL.NOTA]),COLUMN(NOTA[TGL.NOTA]))&amp;":"&amp;ADDRESS(ROW(),COLUMN(NOTA[TGL.NOTA]))),-1)))</f>
        <v/>
      </c>
      <c r="AI578" s="36" t="str">
        <f ca="1">IF(NOTA[[#This Row],[ID_H]]="","",INDEX(NOTA[NO.NOTA],MATCH(NOTA[[#This Row],[ID_H]],NOTA[ID_H],0)))</f>
        <v/>
      </c>
      <c r="AJ578" s="38" t="str">
        <f ca="1">IF(NOTA[[#This Row],[NAMA BARANG]]="","",INDEX(NOTA[SUPPLIER],MATCH(,INDIRECT(ADDRESS(ROW(NOTA[ID]),COLUMN(NOTA[ID]))&amp;":"&amp;ADDRESS(ROW(),COLUMN(NOTA[ID]))),-1)))</f>
        <v/>
      </c>
      <c r="AK578" s="38" t="str">
        <f ca="1">IF(NOTA[[#This Row],[ID_H]]="","",IF(NOTA[[#This Row],[FAKTUR]]="",INDIRECT(ADDRESS(ROW()-1,COLUMN())),NOTA[[#This Row],[FAKTUR]]))</f>
        <v/>
      </c>
      <c r="AL578" s="35" t="str">
        <f ca="1">IF(NOTA[[#This Row],[ID]]="","",COUNTIF(NOTA[ID_H],NOTA[[#This Row],[ID_H]]))</f>
        <v/>
      </c>
      <c r="AM578" s="35" t="str">
        <f ca="1">IF(NOTA[[#This Row],[TGL.NOTA]]="",IF(NOTA[[#This Row],[SUPPLIER_H]]="","",AM577),MONTH(NOTA[[#This Row],[TGL.NOTA]]))</f>
        <v/>
      </c>
      <c r="AN5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8" s="35" t="str">
        <f>IF(NOTA[[#This Row],[CONCAT1]]="","",MATCH(NOTA[[#This Row],[CONCAT1]],[3]!db[NB NOTA_C],0))</f>
        <v/>
      </c>
      <c r="AS578" s="35" t="str">
        <f>IF(NOTA[[#This Row],[Column5]]="","",TRUE)</f>
        <v/>
      </c>
      <c r="AT578" s="35" t="str">
        <f ca="1">IF(NOTA[[#This Row],[ID_H]]="","",IF(NOTA[[#This Row],[Column3]]=TRUE,NOTA[[#This Row],[Column5]],INDEX([3]!db[QTY/ CTN],NOTA[[#This Row],[//DB]])))</f>
        <v/>
      </c>
      <c r="AU5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8" s="35" t="str">
        <f ca="1">IF(NOTA[[#This Row],[ID_H]]="","",MATCH(NOTA[[#This Row],[NB NOTA_C_QTY]],[3]!db[NB NOTA_C_QTY+F],0))</f>
        <v/>
      </c>
      <c r="AW578" s="43" t="str">
        <f ca="1">IF(NOTA[[#This Row],[NB NOTA_C_QTY]]="","",ROW()-2)</f>
        <v/>
      </c>
    </row>
    <row r="579" spans="1:49" ht="20.100000000000001" customHeight="1">
      <c r="A5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5" t="str">
        <f ca="1">IF(NOTA[[#This Row],[NAMA BARANG]]="","",INDEX(NOTA[ID],MATCH(,INDIRECT(ADDRESS(ROW(NOTA[ID]),COLUMN(NOTA[ID]))&amp;":"&amp;ADDRESS(ROW(),COLUMN(NOTA[ID]))),-1)))</f>
        <v/>
      </c>
      <c r="C579" s="45"/>
      <c r="F579" s="46"/>
      <c r="G579" s="35"/>
      <c r="H579" s="36"/>
      <c r="I579" s="35"/>
      <c r="K579" s="37"/>
      <c r="L579" s="35"/>
      <c r="N579" s="38"/>
      <c r="O579" s="39"/>
      <c r="P579" s="47"/>
      <c r="Q579" s="48"/>
      <c r="R579" s="41"/>
      <c r="T579" s="42"/>
      <c r="U579" s="44"/>
      <c r="V579" s="42" t="str">
        <f>IF(NOTA[[#This Row],[HARGA/ CTN]]="",NOTA[[#This Row],[JUMLAH_H]],NOTA[[#This Row],[HARGA/ CTN]]*IF(NOTA[[#This Row],[C]]="",0,NOTA[[#This Row],[C]]))</f>
        <v/>
      </c>
      <c r="W579" s="42" t="str">
        <f>IF(NOTA[[#This Row],[JUMLAH]]="","",NOTA[[#This Row],[JUMLAH]]*NOTA[[#This Row],[Column6]])</f>
        <v/>
      </c>
      <c r="X579" s="42" t="str">
        <f>IF(NOTA[[#This Row],[JUMLAH]]="","",(NOTA[[#This Row],[JUMLAH]]-NOTA[[#This Row],[DISC 1-]])*NOTA[[#This Row],[Column7]])</f>
        <v/>
      </c>
      <c r="Y579" s="42" t="str">
        <f>IF(NOTA[[#This Row],[JUMLAH]]="","",(NOTA[[#This Row],[JUMLAH]]-NOTA[[#This Row],[DISC 1-]]-NOTA[[#This Row],[DISC 2-]])*NOTA[[#This Row],[Column8]])</f>
        <v/>
      </c>
      <c r="Z579" s="42" t="str">
        <f>IF(NOTA[[#This Row],[JUMLAH]]="","",NOTA[[#This Row],[DISC 1-]]+NOTA[[#This Row],[DISC 2-]]+NOTA[[#This Row],[DISC 3-]])</f>
        <v/>
      </c>
      <c r="AA579" s="42" t="str">
        <f>IF(NOTA[[#This Row],[JUMLAH]]="","",NOTA[[#This Row],[JUMLAH]]-NOTA[[#This Row],[DISC]])</f>
        <v/>
      </c>
      <c r="AB579" s="42"/>
      <c r="AC5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42" t="str">
        <f>IF(OR(NOTA[[#This Row],[QTY]]="",NOTA[[#This Row],[HARGA SATUAN]]="",),"",NOTA[[#This Row],[QTY]]*NOTA[[#This Row],[HARGA SATUAN]])</f>
        <v/>
      </c>
      <c r="AG579" s="36" t="str">
        <f ca="1">IF(NOTA[[#This Row],[ID_H]]="","",INDEX(NOTA[TANGGAL],MATCH(,INDIRECT(ADDRESS(ROW(NOTA[TANGGAL]),COLUMN(NOTA[TANGGAL]))&amp;":"&amp;ADDRESS(ROW(),COLUMN(NOTA[TANGGAL]))),-1)))</f>
        <v/>
      </c>
      <c r="AH579" s="36" t="str">
        <f ca="1">IF(NOTA[[#This Row],[ID_H]]="","",INDEX(NOTA[TGL.NOTA],MATCH(,INDIRECT(ADDRESS(ROW(NOTA[TGL.NOTA]),COLUMN(NOTA[TGL.NOTA]))&amp;":"&amp;ADDRESS(ROW(),COLUMN(NOTA[TGL.NOTA]))),-1)))</f>
        <v/>
      </c>
      <c r="AI579" s="36" t="str">
        <f ca="1">IF(NOTA[[#This Row],[ID_H]]="","",INDEX(NOTA[NO.NOTA],MATCH(NOTA[[#This Row],[ID_H]],NOTA[ID_H],0)))</f>
        <v/>
      </c>
      <c r="AJ579" s="38" t="str">
        <f ca="1">IF(NOTA[[#This Row],[NAMA BARANG]]="","",INDEX(NOTA[SUPPLIER],MATCH(,INDIRECT(ADDRESS(ROW(NOTA[ID]),COLUMN(NOTA[ID]))&amp;":"&amp;ADDRESS(ROW(),COLUMN(NOTA[ID]))),-1)))</f>
        <v/>
      </c>
      <c r="AK579" s="38" t="str">
        <f ca="1">IF(NOTA[[#This Row],[ID_H]]="","",IF(NOTA[[#This Row],[FAKTUR]]="",INDIRECT(ADDRESS(ROW()-1,COLUMN())),NOTA[[#This Row],[FAKTUR]]))</f>
        <v/>
      </c>
      <c r="AL579" s="35" t="str">
        <f ca="1">IF(NOTA[[#This Row],[ID]]="","",COUNTIF(NOTA[ID_H],NOTA[[#This Row],[ID_H]]))</f>
        <v/>
      </c>
      <c r="AM579" s="35" t="str">
        <f ca="1">IF(NOTA[[#This Row],[TGL.NOTA]]="",IF(NOTA[[#This Row],[SUPPLIER_H]]="","",AM578),MONTH(NOTA[[#This Row],[TGL.NOTA]]))</f>
        <v/>
      </c>
      <c r="AN5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9" s="35" t="str">
        <f>IF(NOTA[[#This Row],[CONCAT1]]="","",MATCH(NOTA[[#This Row],[CONCAT1]],[3]!db[NB NOTA_C],0))</f>
        <v/>
      </c>
      <c r="AS579" s="35" t="str">
        <f>IF(NOTA[[#This Row],[Column5]]="","",TRUE)</f>
        <v/>
      </c>
      <c r="AT579" s="35" t="str">
        <f ca="1">IF(NOTA[[#This Row],[ID_H]]="","",IF(NOTA[[#This Row],[Column3]]=TRUE,NOTA[[#This Row],[Column5]],INDEX([3]!db[QTY/ CTN],NOTA[[#This Row],[//DB]])))</f>
        <v/>
      </c>
      <c r="AU5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79" s="35" t="str">
        <f ca="1">IF(NOTA[[#This Row],[ID_H]]="","",MATCH(NOTA[[#This Row],[NB NOTA_C_QTY]],[3]!db[NB NOTA_C_QTY+F],0))</f>
        <v/>
      </c>
      <c r="AW579" s="43" t="str">
        <f ca="1">IF(NOTA[[#This Row],[NB NOTA_C_QTY]]="","",ROW()-2)</f>
        <v/>
      </c>
    </row>
    <row r="580" spans="1:49" ht="20.100000000000001" customHeight="1">
      <c r="A5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5" t="str">
        <f ca="1">IF(NOTA[[#This Row],[NAMA BARANG]]="","",INDEX(NOTA[ID],MATCH(,INDIRECT(ADDRESS(ROW(NOTA[ID]),COLUMN(NOTA[ID]))&amp;":"&amp;ADDRESS(ROW(),COLUMN(NOTA[ID]))),-1)))</f>
        <v/>
      </c>
      <c r="C580" s="45"/>
      <c r="F580" s="46"/>
      <c r="G580" s="35"/>
      <c r="H580" s="36"/>
      <c r="I580" s="35"/>
      <c r="K580" s="37"/>
      <c r="L580" s="35"/>
      <c r="N580" s="38"/>
      <c r="O580" s="39"/>
      <c r="P580" s="47"/>
      <c r="Q580" s="48"/>
      <c r="R580" s="41"/>
      <c r="T580" s="42"/>
      <c r="U580" s="44"/>
      <c r="V580" s="42" t="str">
        <f>IF(NOTA[[#This Row],[HARGA/ CTN]]="",NOTA[[#This Row],[JUMLAH_H]],NOTA[[#This Row],[HARGA/ CTN]]*IF(NOTA[[#This Row],[C]]="",0,NOTA[[#This Row],[C]]))</f>
        <v/>
      </c>
      <c r="W580" s="42" t="str">
        <f>IF(NOTA[[#This Row],[JUMLAH]]="","",NOTA[[#This Row],[JUMLAH]]*NOTA[[#This Row],[Column6]])</f>
        <v/>
      </c>
      <c r="X580" s="42" t="str">
        <f>IF(NOTA[[#This Row],[JUMLAH]]="","",(NOTA[[#This Row],[JUMLAH]]-NOTA[[#This Row],[DISC 1-]])*NOTA[[#This Row],[Column7]])</f>
        <v/>
      </c>
      <c r="Y580" s="42" t="str">
        <f>IF(NOTA[[#This Row],[JUMLAH]]="","",(NOTA[[#This Row],[JUMLAH]]-NOTA[[#This Row],[DISC 1-]]-NOTA[[#This Row],[DISC 2-]])*NOTA[[#This Row],[Column8]])</f>
        <v/>
      </c>
      <c r="Z580" s="42" t="str">
        <f>IF(NOTA[[#This Row],[JUMLAH]]="","",NOTA[[#This Row],[DISC 1-]]+NOTA[[#This Row],[DISC 2-]]+NOTA[[#This Row],[DISC 3-]])</f>
        <v/>
      </c>
      <c r="AA580" s="42" t="str">
        <f>IF(NOTA[[#This Row],[JUMLAH]]="","",NOTA[[#This Row],[JUMLAH]]-NOTA[[#This Row],[DISC]])</f>
        <v/>
      </c>
      <c r="AB580" s="42"/>
      <c r="AC5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42" t="str">
        <f>IF(OR(NOTA[[#This Row],[QTY]]="",NOTA[[#This Row],[HARGA SATUAN]]="",),"",NOTA[[#This Row],[QTY]]*NOTA[[#This Row],[HARGA SATUAN]])</f>
        <v/>
      </c>
      <c r="AG580" s="36" t="str">
        <f ca="1">IF(NOTA[[#This Row],[ID_H]]="","",INDEX(NOTA[TANGGAL],MATCH(,INDIRECT(ADDRESS(ROW(NOTA[TANGGAL]),COLUMN(NOTA[TANGGAL]))&amp;":"&amp;ADDRESS(ROW(),COLUMN(NOTA[TANGGAL]))),-1)))</f>
        <v/>
      </c>
      <c r="AH580" s="36" t="str">
        <f ca="1">IF(NOTA[[#This Row],[ID_H]]="","",INDEX(NOTA[TGL.NOTA],MATCH(,INDIRECT(ADDRESS(ROW(NOTA[TGL.NOTA]),COLUMN(NOTA[TGL.NOTA]))&amp;":"&amp;ADDRESS(ROW(),COLUMN(NOTA[TGL.NOTA]))),-1)))</f>
        <v/>
      </c>
      <c r="AI580" s="36" t="str">
        <f ca="1">IF(NOTA[[#This Row],[ID_H]]="","",INDEX(NOTA[NO.NOTA],MATCH(NOTA[[#This Row],[ID_H]],NOTA[ID_H],0)))</f>
        <v/>
      </c>
      <c r="AJ580" s="38" t="str">
        <f ca="1">IF(NOTA[[#This Row],[NAMA BARANG]]="","",INDEX(NOTA[SUPPLIER],MATCH(,INDIRECT(ADDRESS(ROW(NOTA[ID]),COLUMN(NOTA[ID]))&amp;":"&amp;ADDRESS(ROW(),COLUMN(NOTA[ID]))),-1)))</f>
        <v/>
      </c>
      <c r="AK580" s="38" t="str">
        <f ca="1">IF(NOTA[[#This Row],[ID_H]]="","",IF(NOTA[[#This Row],[FAKTUR]]="",INDIRECT(ADDRESS(ROW()-1,COLUMN())),NOTA[[#This Row],[FAKTUR]]))</f>
        <v/>
      </c>
      <c r="AL580" s="35" t="str">
        <f ca="1">IF(NOTA[[#This Row],[ID]]="","",COUNTIF(NOTA[ID_H],NOTA[[#This Row],[ID_H]]))</f>
        <v/>
      </c>
      <c r="AM580" s="35" t="str">
        <f ca="1">IF(NOTA[[#This Row],[TGL.NOTA]]="",IF(NOTA[[#This Row],[SUPPLIER_H]]="","",AM579),MONTH(NOTA[[#This Row],[TGL.NOTA]]))</f>
        <v/>
      </c>
      <c r="AN5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0" s="35" t="str">
        <f>IF(NOTA[[#This Row],[CONCAT1]]="","",MATCH(NOTA[[#This Row],[CONCAT1]],[3]!db[NB NOTA_C],0))</f>
        <v/>
      </c>
      <c r="AS580" s="35" t="str">
        <f>IF(NOTA[[#This Row],[Column5]]="","",TRUE)</f>
        <v/>
      </c>
      <c r="AT580" s="35" t="str">
        <f ca="1">IF(NOTA[[#This Row],[ID_H]]="","",IF(NOTA[[#This Row],[Column3]]=TRUE,NOTA[[#This Row],[Column5]],INDEX([3]!db[QTY/ CTN],NOTA[[#This Row],[//DB]])))</f>
        <v/>
      </c>
      <c r="AU5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0" s="35" t="str">
        <f ca="1">IF(NOTA[[#This Row],[ID_H]]="","",MATCH(NOTA[[#This Row],[NB NOTA_C_QTY]],[3]!db[NB NOTA_C_QTY+F],0))</f>
        <v/>
      </c>
      <c r="AW580" s="43" t="str">
        <f ca="1">IF(NOTA[[#This Row],[NB NOTA_C_QTY]]="","",ROW()-2)</f>
        <v/>
      </c>
    </row>
    <row r="581" spans="1:49" ht="20.100000000000001" customHeight="1">
      <c r="A5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5" t="str">
        <f ca="1">IF(NOTA[[#This Row],[NAMA BARANG]]="","",INDEX(NOTA[ID],MATCH(,INDIRECT(ADDRESS(ROW(NOTA[ID]),COLUMN(NOTA[ID]))&amp;":"&amp;ADDRESS(ROW(),COLUMN(NOTA[ID]))),-1)))</f>
        <v/>
      </c>
      <c r="C581" s="45"/>
      <c r="F581" s="46"/>
      <c r="G581" s="35"/>
      <c r="H581" s="36"/>
      <c r="I581" s="35"/>
      <c r="K581" s="37"/>
      <c r="L581" s="35"/>
      <c r="N581" s="38"/>
      <c r="O581" s="39"/>
      <c r="P581" s="47"/>
      <c r="Q581" s="48"/>
      <c r="R581" s="41"/>
      <c r="T581" s="42"/>
      <c r="U581" s="44"/>
      <c r="V581" s="42" t="str">
        <f>IF(NOTA[[#This Row],[HARGA/ CTN]]="",NOTA[[#This Row],[JUMLAH_H]],NOTA[[#This Row],[HARGA/ CTN]]*IF(NOTA[[#This Row],[C]]="",0,NOTA[[#This Row],[C]]))</f>
        <v/>
      </c>
      <c r="W581" s="42" t="str">
        <f>IF(NOTA[[#This Row],[JUMLAH]]="","",NOTA[[#This Row],[JUMLAH]]*NOTA[[#This Row],[Column6]])</f>
        <v/>
      </c>
      <c r="X581" s="42" t="str">
        <f>IF(NOTA[[#This Row],[JUMLAH]]="","",(NOTA[[#This Row],[JUMLAH]]-NOTA[[#This Row],[DISC 1-]])*NOTA[[#This Row],[Column7]])</f>
        <v/>
      </c>
      <c r="Y581" s="42" t="str">
        <f>IF(NOTA[[#This Row],[JUMLAH]]="","",(NOTA[[#This Row],[JUMLAH]]-NOTA[[#This Row],[DISC 1-]]-NOTA[[#This Row],[DISC 2-]])*NOTA[[#This Row],[Column8]])</f>
        <v/>
      </c>
      <c r="Z581" s="42" t="str">
        <f>IF(NOTA[[#This Row],[JUMLAH]]="","",NOTA[[#This Row],[DISC 1-]]+NOTA[[#This Row],[DISC 2-]]+NOTA[[#This Row],[DISC 3-]])</f>
        <v/>
      </c>
      <c r="AA581" s="42" t="str">
        <f>IF(NOTA[[#This Row],[JUMLAH]]="","",NOTA[[#This Row],[JUMLAH]]-NOTA[[#This Row],[DISC]])</f>
        <v/>
      </c>
      <c r="AB581" s="42"/>
      <c r="AC5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42" t="str">
        <f>IF(OR(NOTA[[#This Row],[QTY]]="",NOTA[[#This Row],[HARGA SATUAN]]="",),"",NOTA[[#This Row],[QTY]]*NOTA[[#This Row],[HARGA SATUAN]])</f>
        <v/>
      </c>
      <c r="AG581" s="36" t="str">
        <f ca="1">IF(NOTA[[#This Row],[ID_H]]="","",INDEX(NOTA[TANGGAL],MATCH(,INDIRECT(ADDRESS(ROW(NOTA[TANGGAL]),COLUMN(NOTA[TANGGAL]))&amp;":"&amp;ADDRESS(ROW(),COLUMN(NOTA[TANGGAL]))),-1)))</f>
        <v/>
      </c>
      <c r="AH581" s="36" t="str">
        <f ca="1">IF(NOTA[[#This Row],[ID_H]]="","",INDEX(NOTA[TGL.NOTA],MATCH(,INDIRECT(ADDRESS(ROW(NOTA[TGL.NOTA]),COLUMN(NOTA[TGL.NOTA]))&amp;":"&amp;ADDRESS(ROW(),COLUMN(NOTA[TGL.NOTA]))),-1)))</f>
        <v/>
      </c>
      <c r="AI581" s="36" t="str">
        <f ca="1">IF(NOTA[[#This Row],[ID_H]]="","",INDEX(NOTA[NO.NOTA],MATCH(NOTA[[#This Row],[ID_H]],NOTA[ID_H],0)))</f>
        <v/>
      </c>
      <c r="AJ581" s="38" t="str">
        <f ca="1">IF(NOTA[[#This Row],[NAMA BARANG]]="","",INDEX(NOTA[SUPPLIER],MATCH(,INDIRECT(ADDRESS(ROW(NOTA[ID]),COLUMN(NOTA[ID]))&amp;":"&amp;ADDRESS(ROW(),COLUMN(NOTA[ID]))),-1)))</f>
        <v/>
      </c>
      <c r="AK581" s="38" t="str">
        <f ca="1">IF(NOTA[[#This Row],[ID_H]]="","",IF(NOTA[[#This Row],[FAKTUR]]="",INDIRECT(ADDRESS(ROW()-1,COLUMN())),NOTA[[#This Row],[FAKTUR]]))</f>
        <v/>
      </c>
      <c r="AL581" s="35" t="str">
        <f ca="1">IF(NOTA[[#This Row],[ID]]="","",COUNTIF(NOTA[ID_H],NOTA[[#This Row],[ID_H]]))</f>
        <v/>
      </c>
      <c r="AM581" s="35" t="str">
        <f ca="1">IF(NOTA[[#This Row],[TGL.NOTA]]="",IF(NOTA[[#This Row],[SUPPLIER_H]]="","",AM580),MONTH(NOTA[[#This Row],[TGL.NOTA]]))</f>
        <v/>
      </c>
      <c r="AN5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1" s="35" t="str">
        <f>IF(NOTA[[#This Row],[CONCAT1]]="","",MATCH(NOTA[[#This Row],[CONCAT1]],[3]!db[NB NOTA_C],0))</f>
        <v/>
      </c>
      <c r="AS581" s="35" t="str">
        <f>IF(NOTA[[#This Row],[Column5]]="","",TRUE)</f>
        <v/>
      </c>
      <c r="AT581" s="35" t="str">
        <f ca="1">IF(NOTA[[#This Row],[ID_H]]="","",IF(NOTA[[#This Row],[Column3]]=TRUE,NOTA[[#This Row],[Column5]],INDEX([3]!db[QTY/ CTN],NOTA[[#This Row],[//DB]])))</f>
        <v/>
      </c>
      <c r="AU5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1" s="35" t="str">
        <f ca="1">IF(NOTA[[#This Row],[ID_H]]="","",MATCH(NOTA[[#This Row],[NB NOTA_C_QTY]],[3]!db[NB NOTA_C_QTY+F],0))</f>
        <v/>
      </c>
      <c r="AW581" s="43" t="str">
        <f ca="1">IF(NOTA[[#This Row],[NB NOTA_C_QTY]]="","",ROW()-2)</f>
        <v/>
      </c>
    </row>
    <row r="582" spans="1:49" ht="20.100000000000001" customHeight="1">
      <c r="A5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5" t="str">
        <f ca="1">IF(NOTA[[#This Row],[NAMA BARANG]]="","",INDEX(NOTA[ID],MATCH(,INDIRECT(ADDRESS(ROW(NOTA[ID]),COLUMN(NOTA[ID]))&amp;":"&amp;ADDRESS(ROW(),COLUMN(NOTA[ID]))),-1)))</f>
        <v/>
      </c>
      <c r="C582" s="45"/>
      <c r="F582" s="46"/>
      <c r="G582" s="35"/>
      <c r="H582" s="36"/>
      <c r="I582" s="35"/>
      <c r="K582" s="37"/>
      <c r="L582" s="35"/>
      <c r="N582" s="38"/>
      <c r="O582" s="39"/>
      <c r="P582" s="47"/>
      <c r="Q582" s="48"/>
      <c r="R582" s="41"/>
      <c r="T582" s="42"/>
      <c r="U582" s="44"/>
      <c r="V582" s="42" t="str">
        <f>IF(NOTA[[#This Row],[HARGA/ CTN]]="",NOTA[[#This Row],[JUMLAH_H]],NOTA[[#This Row],[HARGA/ CTN]]*IF(NOTA[[#This Row],[C]]="",0,NOTA[[#This Row],[C]]))</f>
        <v/>
      </c>
      <c r="W582" s="42" t="str">
        <f>IF(NOTA[[#This Row],[JUMLAH]]="","",NOTA[[#This Row],[JUMLAH]]*NOTA[[#This Row],[Column6]])</f>
        <v/>
      </c>
      <c r="X582" s="42" t="str">
        <f>IF(NOTA[[#This Row],[JUMLAH]]="","",(NOTA[[#This Row],[JUMLAH]]-NOTA[[#This Row],[DISC 1-]])*NOTA[[#This Row],[Column7]])</f>
        <v/>
      </c>
      <c r="Y582" s="42" t="str">
        <f>IF(NOTA[[#This Row],[JUMLAH]]="","",(NOTA[[#This Row],[JUMLAH]]-NOTA[[#This Row],[DISC 1-]]-NOTA[[#This Row],[DISC 2-]])*NOTA[[#This Row],[Column8]])</f>
        <v/>
      </c>
      <c r="Z582" s="42" t="str">
        <f>IF(NOTA[[#This Row],[JUMLAH]]="","",NOTA[[#This Row],[DISC 1-]]+NOTA[[#This Row],[DISC 2-]]+NOTA[[#This Row],[DISC 3-]])</f>
        <v/>
      </c>
      <c r="AA582" s="42" t="str">
        <f>IF(NOTA[[#This Row],[JUMLAH]]="","",NOTA[[#This Row],[JUMLAH]]-NOTA[[#This Row],[DISC]])</f>
        <v/>
      </c>
      <c r="AB582" s="42"/>
      <c r="AC5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42" t="str">
        <f>IF(OR(NOTA[[#This Row],[QTY]]="",NOTA[[#This Row],[HARGA SATUAN]]="",),"",NOTA[[#This Row],[QTY]]*NOTA[[#This Row],[HARGA SATUAN]])</f>
        <v/>
      </c>
      <c r="AG582" s="36" t="str">
        <f ca="1">IF(NOTA[[#This Row],[ID_H]]="","",INDEX(NOTA[TANGGAL],MATCH(,INDIRECT(ADDRESS(ROW(NOTA[TANGGAL]),COLUMN(NOTA[TANGGAL]))&amp;":"&amp;ADDRESS(ROW(),COLUMN(NOTA[TANGGAL]))),-1)))</f>
        <v/>
      </c>
      <c r="AH582" s="36" t="str">
        <f ca="1">IF(NOTA[[#This Row],[ID_H]]="","",INDEX(NOTA[TGL.NOTA],MATCH(,INDIRECT(ADDRESS(ROW(NOTA[TGL.NOTA]),COLUMN(NOTA[TGL.NOTA]))&amp;":"&amp;ADDRESS(ROW(),COLUMN(NOTA[TGL.NOTA]))),-1)))</f>
        <v/>
      </c>
      <c r="AI582" s="36" t="str">
        <f ca="1">IF(NOTA[[#This Row],[ID_H]]="","",INDEX(NOTA[NO.NOTA],MATCH(NOTA[[#This Row],[ID_H]],NOTA[ID_H],0)))</f>
        <v/>
      </c>
      <c r="AJ582" s="38" t="str">
        <f ca="1">IF(NOTA[[#This Row],[NAMA BARANG]]="","",INDEX(NOTA[SUPPLIER],MATCH(,INDIRECT(ADDRESS(ROW(NOTA[ID]),COLUMN(NOTA[ID]))&amp;":"&amp;ADDRESS(ROW(),COLUMN(NOTA[ID]))),-1)))</f>
        <v/>
      </c>
      <c r="AK582" s="38" t="str">
        <f ca="1">IF(NOTA[[#This Row],[ID_H]]="","",IF(NOTA[[#This Row],[FAKTUR]]="",INDIRECT(ADDRESS(ROW()-1,COLUMN())),NOTA[[#This Row],[FAKTUR]]))</f>
        <v/>
      </c>
      <c r="AL582" s="35" t="str">
        <f ca="1">IF(NOTA[[#This Row],[ID]]="","",COUNTIF(NOTA[ID_H],NOTA[[#This Row],[ID_H]]))</f>
        <v/>
      </c>
      <c r="AM582" s="35" t="str">
        <f ca="1">IF(NOTA[[#This Row],[TGL.NOTA]]="",IF(NOTA[[#This Row],[SUPPLIER_H]]="","",AM581),MONTH(NOTA[[#This Row],[TGL.NOTA]]))</f>
        <v/>
      </c>
      <c r="AN5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2" s="35" t="str">
        <f>IF(NOTA[[#This Row],[CONCAT1]]="","",MATCH(NOTA[[#This Row],[CONCAT1]],[3]!db[NB NOTA_C],0))</f>
        <v/>
      </c>
      <c r="AS582" s="35" t="str">
        <f>IF(NOTA[[#This Row],[Column5]]="","",TRUE)</f>
        <v/>
      </c>
      <c r="AT582" s="35" t="str">
        <f ca="1">IF(NOTA[[#This Row],[ID_H]]="","",IF(NOTA[[#This Row],[Column3]]=TRUE,NOTA[[#This Row],[Column5]],INDEX([3]!db[QTY/ CTN],NOTA[[#This Row],[//DB]])))</f>
        <v/>
      </c>
      <c r="AU5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2" s="35" t="str">
        <f ca="1">IF(NOTA[[#This Row],[ID_H]]="","",MATCH(NOTA[[#This Row],[NB NOTA_C_QTY]],[3]!db[NB NOTA_C_QTY+F],0))</f>
        <v/>
      </c>
      <c r="AW582" s="43" t="str">
        <f ca="1">IF(NOTA[[#This Row],[NB NOTA_C_QTY]]="","",ROW()-2)</f>
        <v/>
      </c>
    </row>
    <row r="583" spans="1:49" ht="20.100000000000001" customHeight="1">
      <c r="A5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5" t="str">
        <f ca="1">IF(NOTA[[#This Row],[NAMA BARANG]]="","",INDEX(NOTA[ID],MATCH(,INDIRECT(ADDRESS(ROW(NOTA[ID]),COLUMN(NOTA[ID]))&amp;":"&amp;ADDRESS(ROW(),COLUMN(NOTA[ID]))),-1)))</f>
        <v/>
      </c>
      <c r="C583" s="45"/>
      <c r="F583" s="46"/>
      <c r="G583" s="35"/>
      <c r="H583" s="36"/>
      <c r="I583" s="35"/>
      <c r="K583" s="37"/>
      <c r="L583" s="35"/>
      <c r="N583" s="38"/>
      <c r="O583" s="39"/>
      <c r="P583" s="47"/>
      <c r="Q583" s="48"/>
      <c r="R583" s="41"/>
      <c r="T583" s="42"/>
      <c r="U583" s="44"/>
      <c r="V583" s="42" t="str">
        <f>IF(NOTA[[#This Row],[HARGA/ CTN]]="",NOTA[[#This Row],[JUMLAH_H]],NOTA[[#This Row],[HARGA/ CTN]]*IF(NOTA[[#This Row],[C]]="",0,NOTA[[#This Row],[C]]))</f>
        <v/>
      </c>
      <c r="W583" s="42" t="str">
        <f>IF(NOTA[[#This Row],[JUMLAH]]="","",NOTA[[#This Row],[JUMLAH]]*NOTA[[#This Row],[Column6]])</f>
        <v/>
      </c>
      <c r="X583" s="42" t="str">
        <f>IF(NOTA[[#This Row],[JUMLAH]]="","",(NOTA[[#This Row],[JUMLAH]]-NOTA[[#This Row],[DISC 1-]])*NOTA[[#This Row],[Column7]])</f>
        <v/>
      </c>
      <c r="Y583" s="42" t="str">
        <f>IF(NOTA[[#This Row],[JUMLAH]]="","",(NOTA[[#This Row],[JUMLAH]]-NOTA[[#This Row],[DISC 1-]]-NOTA[[#This Row],[DISC 2-]])*NOTA[[#This Row],[Column8]])</f>
        <v/>
      </c>
      <c r="Z583" s="42" t="str">
        <f>IF(NOTA[[#This Row],[JUMLAH]]="","",NOTA[[#This Row],[DISC 1-]]+NOTA[[#This Row],[DISC 2-]]+NOTA[[#This Row],[DISC 3-]])</f>
        <v/>
      </c>
      <c r="AA583" s="42" t="str">
        <f>IF(NOTA[[#This Row],[JUMLAH]]="","",NOTA[[#This Row],[JUMLAH]]-NOTA[[#This Row],[DISC]])</f>
        <v/>
      </c>
      <c r="AB583" s="42"/>
      <c r="AC5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42" t="str">
        <f>IF(OR(NOTA[[#This Row],[QTY]]="",NOTA[[#This Row],[HARGA SATUAN]]="",),"",NOTA[[#This Row],[QTY]]*NOTA[[#This Row],[HARGA SATUAN]])</f>
        <v/>
      </c>
      <c r="AG583" s="36" t="str">
        <f ca="1">IF(NOTA[[#This Row],[ID_H]]="","",INDEX(NOTA[TANGGAL],MATCH(,INDIRECT(ADDRESS(ROW(NOTA[TANGGAL]),COLUMN(NOTA[TANGGAL]))&amp;":"&amp;ADDRESS(ROW(),COLUMN(NOTA[TANGGAL]))),-1)))</f>
        <v/>
      </c>
      <c r="AH583" s="36" t="str">
        <f ca="1">IF(NOTA[[#This Row],[ID_H]]="","",INDEX(NOTA[TGL.NOTA],MATCH(,INDIRECT(ADDRESS(ROW(NOTA[TGL.NOTA]),COLUMN(NOTA[TGL.NOTA]))&amp;":"&amp;ADDRESS(ROW(),COLUMN(NOTA[TGL.NOTA]))),-1)))</f>
        <v/>
      </c>
      <c r="AI583" s="36" t="str">
        <f ca="1">IF(NOTA[[#This Row],[ID_H]]="","",INDEX(NOTA[NO.NOTA],MATCH(NOTA[[#This Row],[ID_H]],NOTA[ID_H],0)))</f>
        <v/>
      </c>
      <c r="AJ583" s="38" t="str">
        <f ca="1">IF(NOTA[[#This Row],[NAMA BARANG]]="","",INDEX(NOTA[SUPPLIER],MATCH(,INDIRECT(ADDRESS(ROW(NOTA[ID]),COLUMN(NOTA[ID]))&amp;":"&amp;ADDRESS(ROW(),COLUMN(NOTA[ID]))),-1)))</f>
        <v/>
      </c>
      <c r="AK583" s="38" t="str">
        <f ca="1">IF(NOTA[[#This Row],[ID_H]]="","",IF(NOTA[[#This Row],[FAKTUR]]="",INDIRECT(ADDRESS(ROW()-1,COLUMN())),NOTA[[#This Row],[FAKTUR]]))</f>
        <v/>
      </c>
      <c r="AL583" s="35" t="str">
        <f ca="1">IF(NOTA[[#This Row],[ID]]="","",COUNTIF(NOTA[ID_H],NOTA[[#This Row],[ID_H]]))</f>
        <v/>
      </c>
      <c r="AM583" s="35" t="str">
        <f ca="1">IF(NOTA[[#This Row],[TGL.NOTA]]="",IF(NOTA[[#This Row],[SUPPLIER_H]]="","",AM582),MONTH(NOTA[[#This Row],[TGL.NOTA]]))</f>
        <v/>
      </c>
      <c r="AN5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3" s="35" t="str">
        <f>IF(NOTA[[#This Row],[CONCAT1]]="","",MATCH(NOTA[[#This Row],[CONCAT1]],[3]!db[NB NOTA_C],0))</f>
        <v/>
      </c>
      <c r="AS583" s="35" t="str">
        <f>IF(NOTA[[#This Row],[Column5]]="","",TRUE)</f>
        <v/>
      </c>
      <c r="AT583" s="35" t="str">
        <f ca="1">IF(NOTA[[#This Row],[ID_H]]="","",IF(NOTA[[#This Row],[Column3]]=TRUE,NOTA[[#This Row],[Column5]],INDEX([3]!db[QTY/ CTN],NOTA[[#This Row],[//DB]])))</f>
        <v/>
      </c>
      <c r="AU5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3" s="35" t="str">
        <f ca="1">IF(NOTA[[#This Row],[ID_H]]="","",MATCH(NOTA[[#This Row],[NB NOTA_C_QTY]],[3]!db[NB NOTA_C_QTY+F],0))</f>
        <v/>
      </c>
      <c r="AW583" s="43" t="str">
        <f ca="1">IF(NOTA[[#This Row],[NB NOTA_C_QTY]]="","",ROW()-2)</f>
        <v/>
      </c>
    </row>
    <row r="584" spans="1:49" ht="20.100000000000001" customHeight="1">
      <c r="A5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5" t="str">
        <f ca="1">IF(NOTA[[#This Row],[NAMA BARANG]]="","",INDEX(NOTA[ID],MATCH(,INDIRECT(ADDRESS(ROW(NOTA[ID]),COLUMN(NOTA[ID]))&amp;":"&amp;ADDRESS(ROW(),COLUMN(NOTA[ID]))),-1)))</f>
        <v/>
      </c>
      <c r="C584" s="45"/>
      <c r="F584" s="46"/>
      <c r="G584" s="35"/>
      <c r="H584" s="36"/>
      <c r="I584" s="35"/>
      <c r="K584" s="37"/>
      <c r="L584" s="35"/>
      <c r="N584" s="38"/>
      <c r="O584" s="39"/>
      <c r="P584" s="47"/>
      <c r="Q584" s="48"/>
      <c r="R584" s="41"/>
      <c r="T584" s="42"/>
      <c r="U584" s="44"/>
      <c r="V584" s="42" t="str">
        <f>IF(NOTA[[#This Row],[HARGA/ CTN]]="",NOTA[[#This Row],[JUMLAH_H]],NOTA[[#This Row],[HARGA/ CTN]]*IF(NOTA[[#This Row],[C]]="",0,NOTA[[#This Row],[C]]))</f>
        <v/>
      </c>
      <c r="W584" s="42" t="str">
        <f>IF(NOTA[[#This Row],[JUMLAH]]="","",NOTA[[#This Row],[JUMLAH]]*NOTA[[#This Row],[Column6]])</f>
        <v/>
      </c>
      <c r="X584" s="42" t="str">
        <f>IF(NOTA[[#This Row],[JUMLAH]]="","",(NOTA[[#This Row],[JUMLAH]]-NOTA[[#This Row],[DISC 1-]])*NOTA[[#This Row],[Column7]])</f>
        <v/>
      </c>
      <c r="Y584" s="42" t="str">
        <f>IF(NOTA[[#This Row],[JUMLAH]]="","",(NOTA[[#This Row],[JUMLAH]]-NOTA[[#This Row],[DISC 1-]]-NOTA[[#This Row],[DISC 2-]])*NOTA[[#This Row],[Column8]])</f>
        <v/>
      </c>
      <c r="Z584" s="42" t="str">
        <f>IF(NOTA[[#This Row],[JUMLAH]]="","",NOTA[[#This Row],[DISC 1-]]+NOTA[[#This Row],[DISC 2-]]+NOTA[[#This Row],[DISC 3-]])</f>
        <v/>
      </c>
      <c r="AA584" s="42" t="str">
        <f>IF(NOTA[[#This Row],[JUMLAH]]="","",NOTA[[#This Row],[JUMLAH]]-NOTA[[#This Row],[DISC]])</f>
        <v/>
      </c>
      <c r="AB584" s="42"/>
      <c r="AC5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42" t="str">
        <f>IF(OR(NOTA[[#This Row],[QTY]]="",NOTA[[#This Row],[HARGA SATUAN]]="",),"",NOTA[[#This Row],[QTY]]*NOTA[[#This Row],[HARGA SATUAN]])</f>
        <v/>
      </c>
      <c r="AG584" s="36" t="str">
        <f ca="1">IF(NOTA[[#This Row],[ID_H]]="","",INDEX(NOTA[TANGGAL],MATCH(,INDIRECT(ADDRESS(ROW(NOTA[TANGGAL]),COLUMN(NOTA[TANGGAL]))&amp;":"&amp;ADDRESS(ROW(),COLUMN(NOTA[TANGGAL]))),-1)))</f>
        <v/>
      </c>
      <c r="AH584" s="36" t="str">
        <f ca="1">IF(NOTA[[#This Row],[ID_H]]="","",INDEX(NOTA[TGL.NOTA],MATCH(,INDIRECT(ADDRESS(ROW(NOTA[TGL.NOTA]),COLUMN(NOTA[TGL.NOTA]))&amp;":"&amp;ADDRESS(ROW(),COLUMN(NOTA[TGL.NOTA]))),-1)))</f>
        <v/>
      </c>
      <c r="AI584" s="36" t="str">
        <f ca="1">IF(NOTA[[#This Row],[ID_H]]="","",INDEX(NOTA[NO.NOTA],MATCH(NOTA[[#This Row],[ID_H]],NOTA[ID_H],0)))</f>
        <v/>
      </c>
      <c r="AJ584" s="38" t="str">
        <f ca="1">IF(NOTA[[#This Row],[NAMA BARANG]]="","",INDEX(NOTA[SUPPLIER],MATCH(,INDIRECT(ADDRESS(ROW(NOTA[ID]),COLUMN(NOTA[ID]))&amp;":"&amp;ADDRESS(ROW(),COLUMN(NOTA[ID]))),-1)))</f>
        <v/>
      </c>
      <c r="AK584" s="38" t="str">
        <f ca="1">IF(NOTA[[#This Row],[ID_H]]="","",IF(NOTA[[#This Row],[FAKTUR]]="",INDIRECT(ADDRESS(ROW()-1,COLUMN())),NOTA[[#This Row],[FAKTUR]]))</f>
        <v/>
      </c>
      <c r="AL584" s="35" t="str">
        <f ca="1">IF(NOTA[[#This Row],[ID]]="","",COUNTIF(NOTA[ID_H],NOTA[[#This Row],[ID_H]]))</f>
        <v/>
      </c>
      <c r="AM584" s="35" t="str">
        <f ca="1">IF(NOTA[[#This Row],[TGL.NOTA]]="",IF(NOTA[[#This Row],[SUPPLIER_H]]="","",AM583),MONTH(NOTA[[#This Row],[TGL.NOTA]]))</f>
        <v/>
      </c>
      <c r="AN5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4" s="35" t="str">
        <f>IF(NOTA[[#This Row],[CONCAT1]]="","",MATCH(NOTA[[#This Row],[CONCAT1]],[3]!db[NB NOTA_C],0))</f>
        <v/>
      </c>
      <c r="AS584" s="35" t="str">
        <f>IF(NOTA[[#This Row],[Column5]]="","",TRUE)</f>
        <v/>
      </c>
      <c r="AT584" s="35" t="str">
        <f ca="1">IF(NOTA[[#This Row],[ID_H]]="","",IF(NOTA[[#This Row],[Column3]]=TRUE,NOTA[[#This Row],[Column5]],INDEX([3]!db[QTY/ CTN],NOTA[[#This Row],[//DB]])))</f>
        <v/>
      </c>
      <c r="AU5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4" s="35" t="str">
        <f ca="1">IF(NOTA[[#This Row],[ID_H]]="","",MATCH(NOTA[[#This Row],[NB NOTA_C_QTY]],[3]!db[NB NOTA_C_QTY+F],0))</f>
        <v/>
      </c>
      <c r="AW584" s="43" t="str">
        <f ca="1">IF(NOTA[[#This Row],[NB NOTA_C_QTY]]="","",ROW()-2)</f>
        <v/>
      </c>
    </row>
    <row r="585" spans="1:49" ht="20.100000000000001" customHeight="1">
      <c r="A5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5" t="str">
        <f ca="1">IF(NOTA[[#This Row],[NAMA BARANG]]="","",INDEX(NOTA[ID],MATCH(,INDIRECT(ADDRESS(ROW(NOTA[ID]),COLUMN(NOTA[ID]))&amp;":"&amp;ADDRESS(ROW(),COLUMN(NOTA[ID]))),-1)))</f>
        <v/>
      </c>
      <c r="C585" s="45"/>
      <c r="F585" s="46"/>
      <c r="G585" s="35"/>
      <c r="H585" s="36"/>
      <c r="I585" s="35"/>
      <c r="K585" s="37"/>
      <c r="L585" s="35"/>
      <c r="N585" s="38"/>
      <c r="O585" s="39"/>
      <c r="P585" s="47"/>
      <c r="Q585" s="48"/>
      <c r="R585" s="41"/>
      <c r="T585" s="42"/>
      <c r="U585" s="44"/>
      <c r="V585" s="42" t="str">
        <f>IF(NOTA[[#This Row],[HARGA/ CTN]]="",NOTA[[#This Row],[JUMLAH_H]],NOTA[[#This Row],[HARGA/ CTN]]*IF(NOTA[[#This Row],[C]]="",0,NOTA[[#This Row],[C]]))</f>
        <v/>
      </c>
      <c r="W585" s="42" t="str">
        <f>IF(NOTA[[#This Row],[JUMLAH]]="","",NOTA[[#This Row],[JUMLAH]]*NOTA[[#This Row],[Column6]])</f>
        <v/>
      </c>
      <c r="X585" s="42" t="str">
        <f>IF(NOTA[[#This Row],[JUMLAH]]="","",(NOTA[[#This Row],[JUMLAH]]-NOTA[[#This Row],[DISC 1-]])*NOTA[[#This Row],[Column7]])</f>
        <v/>
      </c>
      <c r="Y585" s="42" t="str">
        <f>IF(NOTA[[#This Row],[JUMLAH]]="","",(NOTA[[#This Row],[JUMLAH]]-NOTA[[#This Row],[DISC 1-]]-NOTA[[#This Row],[DISC 2-]])*NOTA[[#This Row],[Column8]])</f>
        <v/>
      </c>
      <c r="Z585" s="42" t="str">
        <f>IF(NOTA[[#This Row],[JUMLAH]]="","",NOTA[[#This Row],[DISC 1-]]+NOTA[[#This Row],[DISC 2-]]+NOTA[[#This Row],[DISC 3-]])</f>
        <v/>
      </c>
      <c r="AA585" s="42" t="str">
        <f>IF(NOTA[[#This Row],[JUMLAH]]="","",NOTA[[#This Row],[JUMLAH]]-NOTA[[#This Row],[DISC]])</f>
        <v/>
      </c>
      <c r="AB585" s="42"/>
      <c r="AC5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42" t="str">
        <f>IF(OR(NOTA[[#This Row],[QTY]]="",NOTA[[#This Row],[HARGA SATUAN]]="",),"",NOTA[[#This Row],[QTY]]*NOTA[[#This Row],[HARGA SATUAN]])</f>
        <v/>
      </c>
      <c r="AG585" s="36" t="str">
        <f ca="1">IF(NOTA[[#This Row],[ID_H]]="","",INDEX(NOTA[TANGGAL],MATCH(,INDIRECT(ADDRESS(ROW(NOTA[TANGGAL]),COLUMN(NOTA[TANGGAL]))&amp;":"&amp;ADDRESS(ROW(),COLUMN(NOTA[TANGGAL]))),-1)))</f>
        <v/>
      </c>
      <c r="AH585" s="36" t="str">
        <f ca="1">IF(NOTA[[#This Row],[ID_H]]="","",INDEX(NOTA[TGL.NOTA],MATCH(,INDIRECT(ADDRESS(ROW(NOTA[TGL.NOTA]),COLUMN(NOTA[TGL.NOTA]))&amp;":"&amp;ADDRESS(ROW(),COLUMN(NOTA[TGL.NOTA]))),-1)))</f>
        <v/>
      </c>
      <c r="AI585" s="36" t="str">
        <f ca="1">IF(NOTA[[#This Row],[ID_H]]="","",INDEX(NOTA[NO.NOTA],MATCH(NOTA[[#This Row],[ID_H]],NOTA[ID_H],0)))</f>
        <v/>
      </c>
      <c r="AJ585" s="38" t="str">
        <f ca="1">IF(NOTA[[#This Row],[NAMA BARANG]]="","",INDEX(NOTA[SUPPLIER],MATCH(,INDIRECT(ADDRESS(ROW(NOTA[ID]),COLUMN(NOTA[ID]))&amp;":"&amp;ADDRESS(ROW(),COLUMN(NOTA[ID]))),-1)))</f>
        <v/>
      </c>
      <c r="AK585" s="38" t="str">
        <f ca="1">IF(NOTA[[#This Row],[ID_H]]="","",IF(NOTA[[#This Row],[FAKTUR]]="",INDIRECT(ADDRESS(ROW()-1,COLUMN())),NOTA[[#This Row],[FAKTUR]]))</f>
        <v/>
      </c>
      <c r="AL585" s="35" t="str">
        <f ca="1">IF(NOTA[[#This Row],[ID]]="","",COUNTIF(NOTA[ID_H],NOTA[[#This Row],[ID_H]]))</f>
        <v/>
      </c>
      <c r="AM585" s="35" t="str">
        <f ca="1">IF(NOTA[[#This Row],[TGL.NOTA]]="",IF(NOTA[[#This Row],[SUPPLIER_H]]="","",AM584),MONTH(NOTA[[#This Row],[TGL.NOTA]]))</f>
        <v/>
      </c>
      <c r="AN5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5" s="35" t="str">
        <f>IF(NOTA[[#This Row],[CONCAT1]]="","",MATCH(NOTA[[#This Row],[CONCAT1]],[3]!db[NB NOTA_C],0))</f>
        <v/>
      </c>
      <c r="AS585" s="35" t="str">
        <f>IF(NOTA[[#This Row],[Column5]]="","",TRUE)</f>
        <v/>
      </c>
      <c r="AT585" s="35" t="str">
        <f ca="1">IF(NOTA[[#This Row],[ID_H]]="","",IF(NOTA[[#This Row],[Column3]]=TRUE,NOTA[[#This Row],[Column5]],INDEX([3]!db[QTY/ CTN],NOTA[[#This Row],[//DB]])))</f>
        <v/>
      </c>
      <c r="AU5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5" s="35" t="str">
        <f ca="1">IF(NOTA[[#This Row],[ID_H]]="","",MATCH(NOTA[[#This Row],[NB NOTA_C_QTY]],[3]!db[NB NOTA_C_QTY+F],0))</f>
        <v/>
      </c>
      <c r="AW585" s="43" t="str">
        <f ca="1">IF(NOTA[[#This Row],[NB NOTA_C_QTY]]="","",ROW()-2)</f>
        <v/>
      </c>
    </row>
    <row r="586" spans="1:49" ht="20.100000000000001" customHeight="1">
      <c r="A5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5" t="str">
        <f ca="1">IF(NOTA[[#This Row],[NAMA BARANG]]="","",INDEX(NOTA[ID],MATCH(,INDIRECT(ADDRESS(ROW(NOTA[ID]),COLUMN(NOTA[ID]))&amp;":"&amp;ADDRESS(ROW(),COLUMN(NOTA[ID]))),-1)))</f>
        <v/>
      </c>
      <c r="C586" s="45"/>
      <c r="F586" s="46"/>
      <c r="G586" s="35"/>
      <c r="H586" s="36"/>
      <c r="I586" s="35"/>
      <c r="K586" s="37"/>
      <c r="L586" s="35"/>
      <c r="N586" s="38"/>
      <c r="O586" s="39"/>
      <c r="P586" s="47"/>
      <c r="Q586" s="48"/>
      <c r="R586" s="41"/>
      <c r="T586" s="42"/>
      <c r="U586" s="44"/>
      <c r="V586" s="42" t="str">
        <f>IF(NOTA[[#This Row],[HARGA/ CTN]]="",NOTA[[#This Row],[JUMLAH_H]],NOTA[[#This Row],[HARGA/ CTN]]*IF(NOTA[[#This Row],[C]]="",0,NOTA[[#This Row],[C]]))</f>
        <v/>
      </c>
      <c r="W586" s="42" t="str">
        <f>IF(NOTA[[#This Row],[JUMLAH]]="","",NOTA[[#This Row],[JUMLAH]]*NOTA[[#This Row],[Column6]])</f>
        <v/>
      </c>
      <c r="X586" s="42" t="str">
        <f>IF(NOTA[[#This Row],[JUMLAH]]="","",(NOTA[[#This Row],[JUMLAH]]-NOTA[[#This Row],[DISC 1-]])*NOTA[[#This Row],[Column7]])</f>
        <v/>
      </c>
      <c r="Y586" s="42" t="str">
        <f>IF(NOTA[[#This Row],[JUMLAH]]="","",(NOTA[[#This Row],[JUMLAH]]-NOTA[[#This Row],[DISC 1-]]-NOTA[[#This Row],[DISC 2-]])*NOTA[[#This Row],[Column8]])</f>
        <v/>
      </c>
      <c r="Z586" s="42" t="str">
        <f>IF(NOTA[[#This Row],[JUMLAH]]="","",NOTA[[#This Row],[DISC 1-]]+NOTA[[#This Row],[DISC 2-]]+NOTA[[#This Row],[DISC 3-]])</f>
        <v/>
      </c>
      <c r="AA586" s="42" t="str">
        <f>IF(NOTA[[#This Row],[JUMLAH]]="","",NOTA[[#This Row],[JUMLAH]]-NOTA[[#This Row],[DISC]])</f>
        <v/>
      </c>
      <c r="AB586" s="42"/>
      <c r="AC5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42" t="str">
        <f>IF(OR(NOTA[[#This Row],[QTY]]="",NOTA[[#This Row],[HARGA SATUAN]]="",),"",NOTA[[#This Row],[QTY]]*NOTA[[#This Row],[HARGA SATUAN]])</f>
        <v/>
      </c>
      <c r="AG586" s="36" t="str">
        <f ca="1">IF(NOTA[[#This Row],[ID_H]]="","",INDEX(NOTA[TANGGAL],MATCH(,INDIRECT(ADDRESS(ROW(NOTA[TANGGAL]),COLUMN(NOTA[TANGGAL]))&amp;":"&amp;ADDRESS(ROW(),COLUMN(NOTA[TANGGAL]))),-1)))</f>
        <v/>
      </c>
      <c r="AH586" s="36" t="str">
        <f ca="1">IF(NOTA[[#This Row],[ID_H]]="","",INDEX(NOTA[TGL.NOTA],MATCH(,INDIRECT(ADDRESS(ROW(NOTA[TGL.NOTA]),COLUMN(NOTA[TGL.NOTA]))&amp;":"&amp;ADDRESS(ROW(),COLUMN(NOTA[TGL.NOTA]))),-1)))</f>
        <v/>
      </c>
      <c r="AI586" s="36" t="str">
        <f ca="1">IF(NOTA[[#This Row],[ID_H]]="","",INDEX(NOTA[NO.NOTA],MATCH(NOTA[[#This Row],[ID_H]],NOTA[ID_H],0)))</f>
        <v/>
      </c>
      <c r="AJ586" s="38" t="str">
        <f ca="1">IF(NOTA[[#This Row],[NAMA BARANG]]="","",INDEX(NOTA[SUPPLIER],MATCH(,INDIRECT(ADDRESS(ROW(NOTA[ID]),COLUMN(NOTA[ID]))&amp;":"&amp;ADDRESS(ROW(),COLUMN(NOTA[ID]))),-1)))</f>
        <v/>
      </c>
      <c r="AK586" s="38" t="str">
        <f ca="1">IF(NOTA[[#This Row],[ID_H]]="","",IF(NOTA[[#This Row],[FAKTUR]]="",INDIRECT(ADDRESS(ROW()-1,COLUMN())),NOTA[[#This Row],[FAKTUR]]))</f>
        <v/>
      </c>
      <c r="AL586" s="35" t="str">
        <f ca="1">IF(NOTA[[#This Row],[ID]]="","",COUNTIF(NOTA[ID_H],NOTA[[#This Row],[ID_H]]))</f>
        <v/>
      </c>
      <c r="AM586" s="35" t="str">
        <f ca="1">IF(NOTA[[#This Row],[TGL.NOTA]]="",IF(NOTA[[#This Row],[SUPPLIER_H]]="","",AM585),MONTH(NOTA[[#This Row],[TGL.NOTA]]))</f>
        <v/>
      </c>
      <c r="AN5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6" s="35" t="str">
        <f>IF(NOTA[[#This Row],[CONCAT1]]="","",MATCH(NOTA[[#This Row],[CONCAT1]],[3]!db[NB NOTA_C],0))</f>
        <v/>
      </c>
      <c r="AS586" s="35" t="str">
        <f>IF(NOTA[[#This Row],[Column5]]="","",TRUE)</f>
        <v/>
      </c>
      <c r="AT586" s="35" t="str">
        <f ca="1">IF(NOTA[[#This Row],[ID_H]]="","",IF(NOTA[[#This Row],[Column3]]=TRUE,NOTA[[#This Row],[Column5]],INDEX([3]!db[QTY/ CTN],NOTA[[#This Row],[//DB]])))</f>
        <v/>
      </c>
      <c r="AU5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6" s="35" t="str">
        <f ca="1">IF(NOTA[[#This Row],[ID_H]]="","",MATCH(NOTA[[#This Row],[NB NOTA_C_QTY]],[3]!db[NB NOTA_C_QTY+F],0))</f>
        <v/>
      </c>
      <c r="AW586" s="43" t="str">
        <f ca="1">IF(NOTA[[#This Row],[NB NOTA_C_QTY]]="","",ROW()-2)</f>
        <v/>
      </c>
    </row>
    <row r="587" spans="1:49" ht="20.100000000000001" customHeight="1">
      <c r="A5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5" t="str">
        <f ca="1">IF(NOTA[[#This Row],[NAMA BARANG]]="","",INDEX(NOTA[ID],MATCH(,INDIRECT(ADDRESS(ROW(NOTA[ID]),COLUMN(NOTA[ID]))&amp;":"&amp;ADDRESS(ROW(),COLUMN(NOTA[ID]))),-1)))</f>
        <v/>
      </c>
      <c r="C587" s="45"/>
      <c r="F587" s="46"/>
      <c r="G587" s="35"/>
      <c r="H587" s="36"/>
      <c r="I587" s="35"/>
      <c r="K587" s="37"/>
      <c r="L587" s="35"/>
      <c r="N587" s="38"/>
      <c r="O587" s="39"/>
      <c r="P587" s="47"/>
      <c r="Q587" s="48"/>
      <c r="R587" s="41"/>
      <c r="T587" s="42"/>
      <c r="U587" s="44"/>
      <c r="V587" s="42" t="str">
        <f>IF(NOTA[[#This Row],[HARGA/ CTN]]="",NOTA[[#This Row],[JUMLAH_H]],NOTA[[#This Row],[HARGA/ CTN]]*IF(NOTA[[#This Row],[C]]="",0,NOTA[[#This Row],[C]]))</f>
        <v/>
      </c>
      <c r="W587" s="42" t="str">
        <f>IF(NOTA[[#This Row],[JUMLAH]]="","",NOTA[[#This Row],[JUMLAH]]*NOTA[[#This Row],[Column6]])</f>
        <v/>
      </c>
      <c r="X587" s="42" t="str">
        <f>IF(NOTA[[#This Row],[JUMLAH]]="","",(NOTA[[#This Row],[JUMLAH]]-NOTA[[#This Row],[DISC 1-]])*NOTA[[#This Row],[Column7]])</f>
        <v/>
      </c>
      <c r="Y587" s="42" t="str">
        <f>IF(NOTA[[#This Row],[JUMLAH]]="","",(NOTA[[#This Row],[JUMLAH]]-NOTA[[#This Row],[DISC 1-]]-NOTA[[#This Row],[DISC 2-]])*NOTA[[#This Row],[Column8]])</f>
        <v/>
      </c>
      <c r="Z587" s="42" t="str">
        <f>IF(NOTA[[#This Row],[JUMLAH]]="","",NOTA[[#This Row],[DISC 1-]]+NOTA[[#This Row],[DISC 2-]]+NOTA[[#This Row],[DISC 3-]])</f>
        <v/>
      </c>
      <c r="AA587" s="42" t="str">
        <f>IF(NOTA[[#This Row],[JUMLAH]]="","",NOTA[[#This Row],[JUMLAH]]-NOTA[[#This Row],[DISC]])</f>
        <v/>
      </c>
      <c r="AB587" s="42"/>
      <c r="AC5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42" t="str">
        <f>IF(OR(NOTA[[#This Row],[QTY]]="",NOTA[[#This Row],[HARGA SATUAN]]="",),"",NOTA[[#This Row],[QTY]]*NOTA[[#This Row],[HARGA SATUAN]])</f>
        <v/>
      </c>
      <c r="AG587" s="36" t="str">
        <f ca="1">IF(NOTA[[#This Row],[ID_H]]="","",INDEX(NOTA[TANGGAL],MATCH(,INDIRECT(ADDRESS(ROW(NOTA[TANGGAL]),COLUMN(NOTA[TANGGAL]))&amp;":"&amp;ADDRESS(ROW(),COLUMN(NOTA[TANGGAL]))),-1)))</f>
        <v/>
      </c>
      <c r="AH587" s="36" t="str">
        <f ca="1">IF(NOTA[[#This Row],[ID_H]]="","",INDEX(NOTA[TGL.NOTA],MATCH(,INDIRECT(ADDRESS(ROW(NOTA[TGL.NOTA]),COLUMN(NOTA[TGL.NOTA]))&amp;":"&amp;ADDRESS(ROW(),COLUMN(NOTA[TGL.NOTA]))),-1)))</f>
        <v/>
      </c>
      <c r="AI587" s="36" t="str">
        <f ca="1">IF(NOTA[[#This Row],[ID_H]]="","",INDEX(NOTA[NO.NOTA],MATCH(NOTA[[#This Row],[ID_H]],NOTA[ID_H],0)))</f>
        <v/>
      </c>
      <c r="AJ587" s="38" t="str">
        <f ca="1">IF(NOTA[[#This Row],[NAMA BARANG]]="","",INDEX(NOTA[SUPPLIER],MATCH(,INDIRECT(ADDRESS(ROW(NOTA[ID]),COLUMN(NOTA[ID]))&amp;":"&amp;ADDRESS(ROW(),COLUMN(NOTA[ID]))),-1)))</f>
        <v/>
      </c>
      <c r="AK587" s="38" t="str">
        <f ca="1">IF(NOTA[[#This Row],[ID_H]]="","",IF(NOTA[[#This Row],[FAKTUR]]="",INDIRECT(ADDRESS(ROW()-1,COLUMN())),NOTA[[#This Row],[FAKTUR]]))</f>
        <v/>
      </c>
      <c r="AL587" s="35" t="str">
        <f ca="1">IF(NOTA[[#This Row],[ID]]="","",COUNTIF(NOTA[ID_H],NOTA[[#This Row],[ID_H]]))</f>
        <v/>
      </c>
      <c r="AM587" s="35" t="str">
        <f ca="1">IF(NOTA[[#This Row],[TGL.NOTA]]="",IF(NOTA[[#This Row],[SUPPLIER_H]]="","",AM586),MONTH(NOTA[[#This Row],[TGL.NOTA]]))</f>
        <v/>
      </c>
      <c r="AN5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7" s="35" t="str">
        <f>IF(NOTA[[#This Row],[CONCAT1]]="","",MATCH(NOTA[[#This Row],[CONCAT1]],[3]!db[NB NOTA_C],0))</f>
        <v/>
      </c>
      <c r="AS587" s="35" t="str">
        <f>IF(NOTA[[#This Row],[Column5]]="","",TRUE)</f>
        <v/>
      </c>
      <c r="AT587" s="35" t="str">
        <f ca="1">IF(NOTA[[#This Row],[ID_H]]="","",IF(NOTA[[#This Row],[Column3]]=TRUE,NOTA[[#This Row],[Column5]],INDEX([3]!db[QTY/ CTN],NOTA[[#This Row],[//DB]])))</f>
        <v/>
      </c>
      <c r="AU5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7" s="35" t="str">
        <f ca="1">IF(NOTA[[#This Row],[ID_H]]="","",MATCH(NOTA[[#This Row],[NB NOTA_C_QTY]],[3]!db[NB NOTA_C_QTY+F],0))</f>
        <v/>
      </c>
      <c r="AW587" s="43" t="str">
        <f ca="1">IF(NOTA[[#This Row],[NB NOTA_C_QTY]]="","",ROW()-2)</f>
        <v/>
      </c>
    </row>
    <row r="588" spans="1:49" ht="20.100000000000001" customHeight="1">
      <c r="A5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5" t="str">
        <f ca="1">IF(NOTA[[#This Row],[NAMA BARANG]]="","",INDEX(NOTA[ID],MATCH(,INDIRECT(ADDRESS(ROW(NOTA[ID]),COLUMN(NOTA[ID]))&amp;":"&amp;ADDRESS(ROW(),COLUMN(NOTA[ID]))),-1)))</f>
        <v/>
      </c>
      <c r="C588" s="45"/>
      <c r="F588" s="46"/>
      <c r="G588" s="35"/>
      <c r="H588" s="36"/>
      <c r="I588" s="35"/>
      <c r="K588" s="37"/>
      <c r="L588" s="35"/>
      <c r="N588" s="38"/>
      <c r="O588" s="39"/>
      <c r="P588" s="47"/>
      <c r="Q588" s="48"/>
      <c r="R588" s="41"/>
      <c r="T588" s="42"/>
      <c r="U588" s="44"/>
      <c r="V588" s="42" t="str">
        <f>IF(NOTA[[#This Row],[HARGA/ CTN]]="",NOTA[[#This Row],[JUMLAH_H]],NOTA[[#This Row],[HARGA/ CTN]]*IF(NOTA[[#This Row],[C]]="",0,NOTA[[#This Row],[C]]))</f>
        <v/>
      </c>
      <c r="W588" s="42" t="str">
        <f>IF(NOTA[[#This Row],[JUMLAH]]="","",NOTA[[#This Row],[JUMLAH]]*NOTA[[#This Row],[Column6]])</f>
        <v/>
      </c>
      <c r="X588" s="42" t="str">
        <f>IF(NOTA[[#This Row],[JUMLAH]]="","",(NOTA[[#This Row],[JUMLAH]]-NOTA[[#This Row],[DISC 1-]])*NOTA[[#This Row],[Column7]])</f>
        <v/>
      </c>
      <c r="Y588" s="42" t="str">
        <f>IF(NOTA[[#This Row],[JUMLAH]]="","",(NOTA[[#This Row],[JUMLAH]]-NOTA[[#This Row],[DISC 1-]]-NOTA[[#This Row],[DISC 2-]])*NOTA[[#This Row],[Column8]])</f>
        <v/>
      </c>
      <c r="Z588" s="42" t="str">
        <f>IF(NOTA[[#This Row],[JUMLAH]]="","",NOTA[[#This Row],[DISC 1-]]+NOTA[[#This Row],[DISC 2-]]+NOTA[[#This Row],[DISC 3-]])</f>
        <v/>
      </c>
      <c r="AA588" s="42" t="str">
        <f>IF(NOTA[[#This Row],[JUMLAH]]="","",NOTA[[#This Row],[JUMLAH]]-NOTA[[#This Row],[DISC]])</f>
        <v/>
      </c>
      <c r="AB588" s="42"/>
      <c r="AC5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42" t="str">
        <f>IF(OR(NOTA[[#This Row],[QTY]]="",NOTA[[#This Row],[HARGA SATUAN]]="",),"",NOTA[[#This Row],[QTY]]*NOTA[[#This Row],[HARGA SATUAN]])</f>
        <v/>
      </c>
      <c r="AG588" s="36" t="str">
        <f ca="1">IF(NOTA[[#This Row],[ID_H]]="","",INDEX(NOTA[TANGGAL],MATCH(,INDIRECT(ADDRESS(ROW(NOTA[TANGGAL]),COLUMN(NOTA[TANGGAL]))&amp;":"&amp;ADDRESS(ROW(),COLUMN(NOTA[TANGGAL]))),-1)))</f>
        <v/>
      </c>
      <c r="AH588" s="36" t="str">
        <f ca="1">IF(NOTA[[#This Row],[ID_H]]="","",INDEX(NOTA[TGL.NOTA],MATCH(,INDIRECT(ADDRESS(ROW(NOTA[TGL.NOTA]),COLUMN(NOTA[TGL.NOTA]))&amp;":"&amp;ADDRESS(ROW(),COLUMN(NOTA[TGL.NOTA]))),-1)))</f>
        <v/>
      </c>
      <c r="AI588" s="36" t="str">
        <f ca="1">IF(NOTA[[#This Row],[ID_H]]="","",INDEX(NOTA[NO.NOTA],MATCH(NOTA[[#This Row],[ID_H]],NOTA[ID_H],0)))</f>
        <v/>
      </c>
      <c r="AJ588" s="38" t="str">
        <f ca="1">IF(NOTA[[#This Row],[NAMA BARANG]]="","",INDEX(NOTA[SUPPLIER],MATCH(,INDIRECT(ADDRESS(ROW(NOTA[ID]),COLUMN(NOTA[ID]))&amp;":"&amp;ADDRESS(ROW(),COLUMN(NOTA[ID]))),-1)))</f>
        <v/>
      </c>
      <c r="AK588" s="38" t="str">
        <f ca="1">IF(NOTA[[#This Row],[ID_H]]="","",IF(NOTA[[#This Row],[FAKTUR]]="",INDIRECT(ADDRESS(ROW()-1,COLUMN())),NOTA[[#This Row],[FAKTUR]]))</f>
        <v/>
      </c>
      <c r="AL588" s="35" t="str">
        <f ca="1">IF(NOTA[[#This Row],[ID]]="","",COUNTIF(NOTA[ID_H],NOTA[[#This Row],[ID_H]]))</f>
        <v/>
      </c>
      <c r="AM588" s="35" t="str">
        <f ca="1">IF(NOTA[[#This Row],[TGL.NOTA]]="",IF(NOTA[[#This Row],[SUPPLIER_H]]="","",AM587),MONTH(NOTA[[#This Row],[TGL.NOTA]]))</f>
        <v/>
      </c>
      <c r="AN5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8" s="35" t="str">
        <f>IF(NOTA[[#This Row],[CONCAT1]]="","",MATCH(NOTA[[#This Row],[CONCAT1]],[3]!db[NB NOTA_C],0))</f>
        <v/>
      </c>
      <c r="AS588" s="35" t="str">
        <f>IF(NOTA[[#This Row],[Column5]]="","",TRUE)</f>
        <v/>
      </c>
      <c r="AT588" s="35" t="str">
        <f ca="1">IF(NOTA[[#This Row],[ID_H]]="","",IF(NOTA[[#This Row],[Column3]]=TRUE,NOTA[[#This Row],[Column5]],INDEX([3]!db[QTY/ CTN],NOTA[[#This Row],[//DB]])))</f>
        <v/>
      </c>
      <c r="AU5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8" s="35" t="str">
        <f ca="1">IF(NOTA[[#This Row],[ID_H]]="","",MATCH(NOTA[[#This Row],[NB NOTA_C_QTY]],[3]!db[NB NOTA_C_QTY+F],0))</f>
        <v/>
      </c>
      <c r="AW588" s="43" t="str">
        <f ca="1">IF(NOTA[[#This Row],[NB NOTA_C_QTY]]="","",ROW()-2)</f>
        <v/>
      </c>
    </row>
    <row r="589" spans="1:49" ht="20.100000000000001" customHeight="1">
      <c r="A5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5" t="str">
        <f ca="1">IF(NOTA[[#This Row],[NAMA BARANG]]="","",INDEX(NOTA[ID],MATCH(,INDIRECT(ADDRESS(ROW(NOTA[ID]),COLUMN(NOTA[ID]))&amp;":"&amp;ADDRESS(ROW(),COLUMN(NOTA[ID]))),-1)))</f>
        <v/>
      </c>
      <c r="C589" s="45"/>
      <c r="F589" s="46"/>
      <c r="G589" s="35"/>
      <c r="H589" s="36"/>
      <c r="I589" s="35"/>
      <c r="K589" s="37"/>
      <c r="L589" s="35"/>
      <c r="N589" s="38"/>
      <c r="O589" s="39"/>
      <c r="P589" s="47"/>
      <c r="Q589" s="48"/>
      <c r="R589" s="41"/>
      <c r="T589" s="42"/>
      <c r="U589" s="44"/>
      <c r="V589" s="42" t="str">
        <f>IF(NOTA[[#This Row],[HARGA/ CTN]]="",NOTA[[#This Row],[JUMLAH_H]],NOTA[[#This Row],[HARGA/ CTN]]*IF(NOTA[[#This Row],[C]]="",0,NOTA[[#This Row],[C]]))</f>
        <v/>
      </c>
      <c r="W589" s="42" t="str">
        <f>IF(NOTA[[#This Row],[JUMLAH]]="","",NOTA[[#This Row],[JUMLAH]]*NOTA[[#This Row],[Column6]])</f>
        <v/>
      </c>
      <c r="X589" s="42" t="str">
        <f>IF(NOTA[[#This Row],[JUMLAH]]="","",(NOTA[[#This Row],[JUMLAH]]-NOTA[[#This Row],[DISC 1-]])*NOTA[[#This Row],[Column7]])</f>
        <v/>
      </c>
      <c r="Y589" s="42" t="str">
        <f>IF(NOTA[[#This Row],[JUMLAH]]="","",(NOTA[[#This Row],[JUMLAH]]-NOTA[[#This Row],[DISC 1-]]-NOTA[[#This Row],[DISC 2-]])*NOTA[[#This Row],[Column8]])</f>
        <v/>
      </c>
      <c r="Z589" s="42" t="str">
        <f>IF(NOTA[[#This Row],[JUMLAH]]="","",NOTA[[#This Row],[DISC 1-]]+NOTA[[#This Row],[DISC 2-]]+NOTA[[#This Row],[DISC 3-]])</f>
        <v/>
      </c>
      <c r="AA589" s="42" t="str">
        <f>IF(NOTA[[#This Row],[JUMLAH]]="","",NOTA[[#This Row],[JUMLAH]]-NOTA[[#This Row],[DISC]])</f>
        <v/>
      </c>
      <c r="AB589" s="42"/>
      <c r="AC5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42" t="str">
        <f>IF(OR(NOTA[[#This Row],[QTY]]="",NOTA[[#This Row],[HARGA SATUAN]]="",),"",NOTA[[#This Row],[QTY]]*NOTA[[#This Row],[HARGA SATUAN]])</f>
        <v/>
      </c>
      <c r="AG589" s="36" t="str">
        <f ca="1">IF(NOTA[[#This Row],[ID_H]]="","",INDEX(NOTA[TANGGAL],MATCH(,INDIRECT(ADDRESS(ROW(NOTA[TANGGAL]),COLUMN(NOTA[TANGGAL]))&amp;":"&amp;ADDRESS(ROW(),COLUMN(NOTA[TANGGAL]))),-1)))</f>
        <v/>
      </c>
      <c r="AH589" s="36" t="str">
        <f ca="1">IF(NOTA[[#This Row],[ID_H]]="","",INDEX(NOTA[TGL.NOTA],MATCH(,INDIRECT(ADDRESS(ROW(NOTA[TGL.NOTA]),COLUMN(NOTA[TGL.NOTA]))&amp;":"&amp;ADDRESS(ROW(),COLUMN(NOTA[TGL.NOTA]))),-1)))</f>
        <v/>
      </c>
      <c r="AI589" s="36" t="str">
        <f ca="1">IF(NOTA[[#This Row],[ID_H]]="","",INDEX(NOTA[NO.NOTA],MATCH(NOTA[[#This Row],[ID_H]],NOTA[ID_H],0)))</f>
        <v/>
      </c>
      <c r="AJ589" s="38" t="str">
        <f ca="1">IF(NOTA[[#This Row],[NAMA BARANG]]="","",INDEX(NOTA[SUPPLIER],MATCH(,INDIRECT(ADDRESS(ROW(NOTA[ID]),COLUMN(NOTA[ID]))&amp;":"&amp;ADDRESS(ROW(),COLUMN(NOTA[ID]))),-1)))</f>
        <v/>
      </c>
      <c r="AK589" s="38" t="str">
        <f ca="1">IF(NOTA[[#This Row],[ID_H]]="","",IF(NOTA[[#This Row],[FAKTUR]]="",INDIRECT(ADDRESS(ROW()-1,COLUMN())),NOTA[[#This Row],[FAKTUR]]))</f>
        <v/>
      </c>
      <c r="AL589" s="35" t="str">
        <f ca="1">IF(NOTA[[#This Row],[ID]]="","",COUNTIF(NOTA[ID_H],NOTA[[#This Row],[ID_H]]))</f>
        <v/>
      </c>
      <c r="AM589" s="35" t="str">
        <f ca="1">IF(NOTA[[#This Row],[TGL.NOTA]]="",IF(NOTA[[#This Row],[SUPPLIER_H]]="","",AM588),MONTH(NOTA[[#This Row],[TGL.NOTA]]))</f>
        <v/>
      </c>
      <c r="AN5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9" s="35" t="str">
        <f>IF(NOTA[[#This Row],[CONCAT1]]="","",MATCH(NOTA[[#This Row],[CONCAT1]],[3]!db[NB NOTA_C],0))</f>
        <v/>
      </c>
      <c r="AS589" s="35" t="str">
        <f>IF(NOTA[[#This Row],[Column5]]="","",TRUE)</f>
        <v/>
      </c>
      <c r="AT589" s="35" t="str">
        <f ca="1">IF(NOTA[[#This Row],[ID_H]]="","",IF(NOTA[[#This Row],[Column3]]=TRUE,NOTA[[#This Row],[Column5]],INDEX([3]!db[QTY/ CTN],NOTA[[#This Row],[//DB]])))</f>
        <v/>
      </c>
      <c r="AU5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89" s="35" t="str">
        <f ca="1">IF(NOTA[[#This Row],[ID_H]]="","",MATCH(NOTA[[#This Row],[NB NOTA_C_QTY]],[3]!db[NB NOTA_C_QTY+F],0))</f>
        <v/>
      </c>
      <c r="AW589" s="43" t="str">
        <f ca="1">IF(NOTA[[#This Row],[NB NOTA_C_QTY]]="","",ROW()-2)</f>
        <v/>
      </c>
    </row>
    <row r="590" spans="1:49" ht="20.100000000000001" customHeight="1">
      <c r="A5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5" t="str">
        <f ca="1">IF(NOTA[[#This Row],[NAMA BARANG]]="","",INDEX(NOTA[ID],MATCH(,INDIRECT(ADDRESS(ROW(NOTA[ID]),COLUMN(NOTA[ID]))&amp;":"&amp;ADDRESS(ROW(),COLUMN(NOTA[ID]))),-1)))</f>
        <v/>
      </c>
      <c r="C590" s="45"/>
      <c r="F590" s="46"/>
      <c r="G590" s="35"/>
      <c r="H590" s="36"/>
      <c r="I590" s="35"/>
      <c r="K590" s="37"/>
      <c r="L590" s="35"/>
      <c r="N590" s="38"/>
      <c r="O590" s="39"/>
      <c r="P590" s="47"/>
      <c r="Q590" s="48"/>
      <c r="R590" s="41"/>
      <c r="T590" s="42"/>
      <c r="U590" s="44"/>
      <c r="V590" s="42" t="str">
        <f>IF(NOTA[[#This Row],[HARGA/ CTN]]="",NOTA[[#This Row],[JUMLAH_H]],NOTA[[#This Row],[HARGA/ CTN]]*IF(NOTA[[#This Row],[C]]="",0,NOTA[[#This Row],[C]]))</f>
        <v/>
      </c>
      <c r="W590" s="42" t="str">
        <f>IF(NOTA[[#This Row],[JUMLAH]]="","",NOTA[[#This Row],[JUMLAH]]*NOTA[[#This Row],[Column6]])</f>
        <v/>
      </c>
      <c r="X590" s="42" t="str">
        <f>IF(NOTA[[#This Row],[JUMLAH]]="","",(NOTA[[#This Row],[JUMLAH]]-NOTA[[#This Row],[DISC 1-]])*NOTA[[#This Row],[Column7]])</f>
        <v/>
      </c>
      <c r="Y590" s="42" t="str">
        <f>IF(NOTA[[#This Row],[JUMLAH]]="","",(NOTA[[#This Row],[JUMLAH]]-NOTA[[#This Row],[DISC 1-]]-NOTA[[#This Row],[DISC 2-]])*NOTA[[#This Row],[Column8]])</f>
        <v/>
      </c>
      <c r="Z590" s="42" t="str">
        <f>IF(NOTA[[#This Row],[JUMLAH]]="","",NOTA[[#This Row],[DISC 1-]]+NOTA[[#This Row],[DISC 2-]]+NOTA[[#This Row],[DISC 3-]])</f>
        <v/>
      </c>
      <c r="AA590" s="42" t="str">
        <f>IF(NOTA[[#This Row],[JUMLAH]]="","",NOTA[[#This Row],[JUMLAH]]-NOTA[[#This Row],[DISC]])</f>
        <v/>
      </c>
      <c r="AB590" s="42"/>
      <c r="AC5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42" t="str">
        <f>IF(OR(NOTA[[#This Row],[QTY]]="",NOTA[[#This Row],[HARGA SATUAN]]="",),"",NOTA[[#This Row],[QTY]]*NOTA[[#This Row],[HARGA SATUAN]])</f>
        <v/>
      </c>
      <c r="AG590" s="36" t="str">
        <f ca="1">IF(NOTA[[#This Row],[ID_H]]="","",INDEX(NOTA[TANGGAL],MATCH(,INDIRECT(ADDRESS(ROW(NOTA[TANGGAL]),COLUMN(NOTA[TANGGAL]))&amp;":"&amp;ADDRESS(ROW(),COLUMN(NOTA[TANGGAL]))),-1)))</f>
        <v/>
      </c>
      <c r="AH590" s="36" t="str">
        <f ca="1">IF(NOTA[[#This Row],[ID_H]]="","",INDEX(NOTA[TGL.NOTA],MATCH(,INDIRECT(ADDRESS(ROW(NOTA[TGL.NOTA]),COLUMN(NOTA[TGL.NOTA]))&amp;":"&amp;ADDRESS(ROW(),COLUMN(NOTA[TGL.NOTA]))),-1)))</f>
        <v/>
      </c>
      <c r="AI590" s="36" t="str">
        <f ca="1">IF(NOTA[[#This Row],[ID_H]]="","",INDEX(NOTA[NO.NOTA],MATCH(NOTA[[#This Row],[ID_H]],NOTA[ID_H],0)))</f>
        <v/>
      </c>
      <c r="AJ590" s="38" t="str">
        <f ca="1">IF(NOTA[[#This Row],[NAMA BARANG]]="","",INDEX(NOTA[SUPPLIER],MATCH(,INDIRECT(ADDRESS(ROW(NOTA[ID]),COLUMN(NOTA[ID]))&amp;":"&amp;ADDRESS(ROW(),COLUMN(NOTA[ID]))),-1)))</f>
        <v/>
      </c>
      <c r="AK590" s="38" t="str">
        <f ca="1">IF(NOTA[[#This Row],[ID_H]]="","",IF(NOTA[[#This Row],[FAKTUR]]="",INDIRECT(ADDRESS(ROW()-1,COLUMN())),NOTA[[#This Row],[FAKTUR]]))</f>
        <v/>
      </c>
      <c r="AL590" s="35" t="str">
        <f ca="1">IF(NOTA[[#This Row],[ID]]="","",COUNTIF(NOTA[ID_H],NOTA[[#This Row],[ID_H]]))</f>
        <v/>
      </c>
      <c r="AM590" s="35" t="str">
        <f ca="1">IF(NOTA[[#This Row],[TGL.NOTA]]="",IF(NOTA[[#This Row],[SUPPLIER_H]]="","",AM589),MONTH(NOTA[[#This Row],[TGL.NOTA]]))</f>
        <v/>
      </c>
      <c r="AN5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0" s="35" t="str">
        <f>IF(NOTA[[#This Row],[CONCAT1]]="","",MATCH(NOTA[[#This Row],[CONCAT1]],[3]!db[NB NOTA_C],0))</f>
        <v/>
      </c>
      <c r="AS590" s="35" t="str">
        <f>IF(NOTA[[#This Row],[Column5]]="","",TRUE)</f>
        <v/>
      </c>
      <c r="AT590" s="35" t="str">
        <f ca="1">IF(NOTA[[#This Row],[ID_H]]="","",IF(NOTA[[#This Row],[Column3]]=TRUE,NOTA[[#This Row],[Column5]],INDEX([3]!db[QTY/ CTN],NOTA[[#This Row],[//DB]])))</f>
        <v/>
      </c>
      <c r="AU5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0" s="35" t="str">
        <f ca="1">IF(NOTA[[#This Row],[ID_H]]="","",MATCH(NOTA[[#This Row],[NB NOTA_C_QTY]],[3]!db[NB NOTA_C_QTY+F],0))</f>
        <v/>
      </c>
      <c r="AW590" s="43" t="str">
        <f ca="1">IF(NOTA[[#This Row],[NB NOTA_C_QTY]]="","",ROW()-2)</f>
        <v/>
      </c>
    </row>
    <row r="591" spans="1:49" ht="20.100000000000001" customHeight="1">
      <c r="A5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5" t="str">
        <f ca="1">IF(NOTA[[#This Row],[NAMA BARANG]]="","",INDEX(NOTA[ID],MATCH(,INDIRECT(ADDRESS(ROW(NOTA[ID]),COLUMN(NOTA[ID]))&amp;":"&amp;ADDRESS(ROW(),COLUMN(NOTA[ID]))),-1)))</f>
        <v/>
      </c>
      <c r="C591" s="45"/>
      <c r="F591" s="46"/>
      <c r="G591" s="35"/>
      <c r="H591" s="36"/>
      <c r="I591" s="35"/>
      <c r="K591" s="37"/>
      <c r="L591" s="35"/>
      <c r="N591" s="38"/>
      <c r="O591" s="39"/>
      <c r="P591" s="47"/>
      <c r="Q591" s="48"/>
      <c r="R591" s="41"/>
      <c r="T591" s="42"/>
      <c r="U591" s="44"/>
      <c r="V591" s="42" t="str">
        <f>IF(NOTA[[#This Row],[HARGA/ CTN]]="",NOTA[[#This Row],[JUMLAH_H]],NOTA[[#This Row],[HARGA/ CTN]]*IF(NOTA[[#This Row],[C]]="",0,NOTA[[#This Row],[C]]))</f>
        <v/>
      </c>
      <c r="W591" s="42" t="str">
        <f>IF(NOTA[[#This Row],[JUMLAH]]="","",NOTA[[#This Row],[JUMLAH]]*NOTA[[#This Row],[Column6]])</f>
        <v/>
      </c>
      <c r="X591" s="42" t="str">
        <f>IF(NOTA[[#This Row],[JUMLAH]]="","",(NOTA[[#This Row],[JUMLAH]]-NOTA[[#This Row],[DISC 1-]])*NOTA[[#This Row],[Column7]])</f>
        <v/>
      </c>
      <c r="Y591" s="42" t="str">
        <f>IF(NOTA[[#This Row],[JUMLAH]]="","",(NOTA[[#This Row],[JUMLAH]]-NOTA[[#This Row],[DISC 1-]]-NOTA[[#This Row],[DISC 2-]])*NOTA[[#This Row],[Column8]])</f>
        <v/>
      </c>
      <c r="Z591" s="42" t="str">
        <f>IF(NOTA[[#This Row],[JUMLAH]]="","",NOTA[[#This Row],[DISC 1-]]+NOTA[[#This Row],[DISC 2-]]+NOTA[[#This Row],[DISC 3-]])</f>
        <v/>
      </c>
      <c r="AA591" s="42" t="str">
        <f>IF(NOTA[[#This Row],[JUMLAH]]="","",NOTA[[#This Row],[JUMLAH]]-NOTA[[#This Row],[DISC]])</f>
        <v/>
      </c>
      <c r="AB591" s="42"/>
      <c r="AC5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42" t="str">
        <f>IF(OR(NOTA[[#This Row],[QTY]]="",NOTA[[#This Row],[HARGA SATUAN]]="",),"",NOTA[[#This Row],[QTY]]*NOTA[[#This Row],[HARGA SATUAN]])</f>
        <v/>
      </c>
      <c r="AG591" s="36" t="str">
        <f ca="1">IF(NOTA[[#This Row],[ID_H]]="","",INDEX(NOTA[TANGGAL],MATCH(,INDIRECT(ADDRESS(ROW(NOTA[TANGGAL]),COLUMN(NOTA[TANGGAL]))&amp;":"&amp;ADDRESS(ROW(),COLUMN(NOTA[TANGGAL]))),-1)))</f>
        <v/>
      </c>
      <c r="AH591" s="36" t="str">
        <f ca="1">IF(NOTA[[#This Row],[ID_H]]="","",INDEX(NOTA[TGL.NOTA],MATCH(,INDIRECT(ADDRESS(ROW(NOTA[TGL.NOTA]),COLUMN(NOTA[TGL.NOTA]))&amp;":"&amp;ADDRESS(ROW(),COLUMN(NOTA[TGL.NOTA]))),-1)))</f>
        <v/>
      </c>
      <c r="AI591" s="36" t="str">
        <f ca="1">IF(NOTA[[#This Row],[ID_H]]="","",INDEX(NOTA[NO.NOTA],MATCH(NOTA[[#This Row],[ID_H]],NOTA[ID_H],0)))</f>
        <v/>
      </c>
      <c r="AJ591" s="38" t="str">
        <f ca="1">IF(NOTA[[#This Row],[NAMA BARANG]]="","",INDEX(NOTA[SUPPLIER],MATCH(,INDIRECT(ADDRESS(ROW(NOTA[ID]),COLUMN(NOTA[ID]))&amp;":"&amp;ADDRESS(ROW(),COLUMN(NOTA[ID]))),-1)))</f>
        <v/>
      </c>
      <c r="AK591" s="38" t="str">
        <f ca="1">IF(NOTA[[#This Row],[ID_H]]="","",IF(NOTA[[#This Row],[FAKTUR]]="",INDIRECT(ADDRESS(ROW()-1,COLUMN())),NOTA[[#This Row],[FAKTUR]]))</f>
        <v/>
      </c>
      <c r="AL591" s="35" t="str">
        <f ca="1">IF(NOTA[[#This Row],[ID]]="","",COUNTIF(NOTA[ID_H],NOTA[[#This Row],[ID_H]]))</f>
        <v/>
      </c>
      <c r="AM591" s="35" t="str">
        <f ca="1">IF(NOTA[[#This Row],[TGL.NOTA]]="",IF(NOTA[[#This Row],[SUPPLIER_H]]="","",AM590),MONTH(NOTA[[#This Row],[TGL.NOTA]]))</f>
        <v/>
      </c>
      <c r="AN5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1" s="35" t="str">
        <f>IF(NOTA[[#This Row],[CONCAT1]]="","",MATCH(NOTA[[#This Row],[CONCAT1]],[3]!db[NB NOTA_C],0))</f>
        <v/>
      </c>
      <c r="AS591" s="35" t="str">
        <f>IF(NOTA[[#This Row],[Column5]]="","",TRUE)</f>
        <v/>
      </c>
      <c r="AT591" s="35" t="str">
        <f ca="1">IF(NOTA[[#This Row],[ID_H]]="","",IF(NOTA[[#This Row],[Column3]]=TRUE,NOTA[[#This Row],[Column5]],INDEX([3]!db[QTY/ CTN],NOTA[[#This Row],[//DB]])))</f>
        <v/>
      </c>
      <c r="AU5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1" s="35" t="str">
        <f ca="1">IF(NOTA[[#This Row],[ID_H]]="","",MATCH(NOTA[[#This Row],[NB NOTA_C_QTY]],[3]!db[NB NOTA_C_QTY+F],0))</f>
        <v/>
      </c>
      <c r="AW591" s="43" t="str">
        <f ca="1">IF(NOTA[[#This Row],[NB NOTA_C_QTY]]="","",ROW()-2)</f>
        <v/>
      </c>
    </row>
    <row r="592" spans="1:49" ht="20.100000000000001" customHeight="1">
      <c r="A5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5" t="str">
        <f ca="1">IF(NOTA[[#This Row],[NAMA BARANG]]="","",INDEX(NOTA[ID],MATCH(,INDIRECT(ADDRESS(ROW(NOTA[ID]),COLUMN(NOTA[ID]))&amp;":"&amp;ADDRESS(ROW(),COLUMN(NOTA[ID]))),-1)))</f>
        <v/>
      </c>
      <c r="C592" s="45"/>
      <c r="F592" s="46"/>
      <c r="G592" s="35"/>
      <c r="H592" s="36"/>
      <c r="I592" s="35"/>
      <c r="K592" s="37"/>
      <c r="L592" s="35"/>
      <c r="N592" s="38"/>
      <c r="O592" s="39"/>
      <c r="P592" s="47"/>
      <c r="Q592" s="48"/>
      <c r="R592" s="41"/>
      <c r="T592" s="42"/>
      <c r="U592" s="44"/>
      <c r="V592" s="42" t="str">
        <f>IF(NOTA[[#This Row],[HARGA/ CTN]]="",NOTA[[#This Row],[JUMLAH_H]],NOTA[[#This Row],[HARGA/ CTN]]*IF(NOTA[[#This Row],[C]]="",0,NOTA[[#This Row],[C]]))</f>
        <v/>
      </c>
      <c r="W592" s="42" t="str">
        <f>IF(NOTA[[#This Row],[JUMLAH]]="","",NOTA[[#This Row],[JUMLAH]]*NOTA[[#This Row],[Column6]])</f>
        <v/>
      </c>
      <c r="X592" s="42" t="str">
        <f>IF(NOTA[[#This Row],[JUMLAH]]="","",(NOTA[[#This Row],[JUMLAH]]-NOTA[[#This Row],[DISC 1-]])*NOTA[[#This Row],[Column7]])</f>
        <v/>
      </c>
      <c r="Y592" s="42" t="str">
        <f>IF(NOTA[[#This Row],[JUMLAH]]="","",(NOTA[[#This Row],[JUMLAH]]-NOTA[[#This Row],[DISC 1-]]-NOTA[[#This Row],[DISC 2-]])*NOTA[[#This Row],[Column8]])</f>
        <v/>
      </c>
      <c r="Z592" s="42" t="str">
        <f>IF(NOTA[[#This Row],[JUMLAH]]="","",NOTA[[#This Row],[DISC 1-]]+NOTA[[#This Row],[DISC 2-]]+NOTA[[#This Row],[DISC 3-]])</f>
        <v/>
      </c>
      <c r="AA592" s="42" t="str">
        <f>IF(NOTA[[#This Row],[JUMLAH]]="","",NOTA[[#This Row],[JUMLAH]]-NOTA[[#This Row],[DISC]])</f>
        <v/>
      </c>
      <c r="AB592" s="42"/>
      <c r="AC5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42" t="str">
        <f>IF(OR(NOTA[[#This Row],[QTY]]="",NOTA[[#This Row],[HARGA SATUAN]]="",),"",NOTA[[#This Row],[QTY]]*NOTA[[#This Row],[HARGA SATUAN]])</f>
        <v/>
      </c>
      <c r="AG592" s="36" t="str">
        <f ca="1">IF(NOTA[[#This Row],[ID_H]]="","",INDEX(NOTA[TANGGAL],MATCH(,INDIRECT(ADDRESS(ROW(NOTA[TANGGAL]),COLUMN(NOTA[TANGGAL]))&amp;":"&amp;ADDRESS(ROW(),COLUMN(NOTA[TANGGAL]))),-1)))</f>
        <v/>
      </c>
      <c r="AH592" s="36" t="str">
        <f ca="1">IF(NOTA[[#This Row],[ID_H]]="","",INDEX(NOTA[TGL.NOTA],MATCH(,INDIRECT(ADDRESS(ROW(NOTA[TGL.NOTA]),COLUMN(NOTA[TGL.NOTA]))&amp;":"&amp;ADDRESS(ROW(),COLUMN(NOTA[TGL.NOTA]))),-1)))</f>
        <v/>
      </c>
      <c r="AI592" s="36" t="str">
        <f ca="1">IF(NOTA[[#This Row],[ID_H]]="","",INDEX(NOTA[NO.NOTA],MATCH(NOTA[[#This Row],[ID_H]],NOTA[ID_H],0)))</f>
        <v/>
      </c>
      <c r="AJ592" s="38" t="str">
        <f ca="1">IF(NOTA[[#This Row],[NAMA BARANG]]="","",INDEX(NOTA[SUPPLIER],MATCH(,INDIRECT(ADDRESS(ROW(NOTA[ID]),COLUMN(NOTA[ID]))&amp;":"&amp;ADDRESS(ROW(),COLUMN(NOTA[ID]))),-1)))</f>
        <v/>
      </c>
      <c r="AK592" s="38" t="str">
        <f ca="1">IF(NOTA[[#This Row],[ID_H]]="","",IF(NOTA[[#This Row],[FAKTUR]]="",INDIRECT(ADDRESS(ROW()-1,COLUMN())),NOTA[[#This Row],[FAKTUR]]))</f>
        <v/>
      </c>
      <c r="AL592" s="35" t="str">
        <f ca="1">IF(NOTA[[#This Row],[ID]]="","",COUNTIF(NOTA[ID_H],NOTA[[#This Row],[ID_H]]))</f>
        <v/>
      </c>
      <c r="AM592" s="35" t="str">
        <f ca="1">IF(NOTA[[#This Row],[TGL.NOTA]]="",IF(NOTA[[#This Row],[SUPPLIER_H]]="","",AM591),MONTH(NOTA[[#This Row],[TGL.NOTA]]))</f>
        <v/>
      </c>
      <c r="AN5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2" s="35" t="str">
        <f>IF(NOTA[[#This Row],[CONCAT1]]="","",MATCH(NOTA[[#This Row],[CONCAT1]],[3]!db[NB NOTA_C],0))</f>
        <v/>
      </c>
      <c r="AS592" s="35" t="str">
        <f>IF(NOTA[[#This Row],[Column5]]="","",TRUE)</f>
        <v/>
      </c>
      <c r="AT592" s="35" t="str">
        <f ca="1">IF(NOTA[[#This Row],[ID_H]]="","",IF(NOTA[[#This Row],[Column3]]=TRUE,NOTA[[#This Row],[Column5]],INDEX([3]!db[QTY/ CTN],NOTA[[#This Row],[//DB]])))</f>
        <v/>
      </c>
      <c r="AU5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2" s="35" t="str">
        <f ca="1">IF(NOTA[[#This Row],[ID_H]]="","",MATCH(NOTA[[#This Row],[NB NOTA_C_QTY]],[3]!db[NB NOTA_C_QTY+F],0))</f>
        <v/>
      </c>
      <c r="AW592" s="43" t="str">
        <f ca="1">IF(NOTA[[#This Row],[NB NOTA_C_QTY]]="","",ROW()-2)</f>
        <v/>
      </c>
    </row>
    <row r="593" spans="1:49" ht="20.100000000000001" customHeight="1">
      <c r="A5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5" t="str">
        <f ca="1">IF(NOTA[[#This Row],[NAMA BARANG]]="","",INDEX(NOTA[ID],MATCH(,INDIRECT(ADDRESS(ROW(NOTA[ID]),COLUMN(NOTA[ID]))&amp;":"&amp;ADDRESS(ROW(),COLUMN(NOTA[ID]))),-1)))</f>
        <v/>
      </c>
      <c r="C593" s="45"/>
      <c r="F593" s="46"/>
      <c r="G593" s="35"/>
      <c r="H593" s="36"/>
      <c r="I593" s="35"/>
      <c r="K593" s="37"/>
      <c r="L593" s="35"/>
      <c r="N593" s="38"/>
      <c r="O593" s="39"/>
      <c r="P593" s="47"/>
      <c r="Q593" s="48"/>
      <c r="R593" s="41"/>
      <c r="T593" s="42"/>
      <c r="U593" s="44"/>
      <c r="V593" s="42" t="str">
        <f>IF(NOTA[[#This Row],[HARGA/ CTN]]="",NOTA[[#This Row],[JUMLAH_H]],NOTA[[#This Row],[HARGA/ CTN]]*IF(NOTA[[#This Row],[C]]="",0,NOTA[[#This Row],[C]]))</f>
        <v/>
      </c>
      <c r="W593" s="42" t="str">
        <f>IF(NOTA[[#This Row],[JUMLAH]]="","",NOTA[[#This Row],[JUMLAH]]*NOTA[[#This Row],[Column6]])</f>
        <v/>
      </c>
      <c r="X593" s="42" t="str">
        <f>IF(NOTA[[#This Row],[JUMLAH]]="","",(NOTA[[#This Row],[JUMLAH]]-NOTA[[#This Row],[DISC 1-]])*NOTA[[#This Row],[Column7]])</f>
        <v/>
      </c>
      <c r="Y593" s="42" t="str">
        <f>IF(NOTA[[#This Row],[JUMLAH]]="","",(NOTA[[#This Row],[JUMLAH]]-NOTA[[#This Row],[DISC 1-]]-NOTA[[#This Row],[DISC 2-]])*NOTA[[#This Row],[Column8]])</f>
        <v/>
      </c>
      <c r="Z593" s="42" t="str">
        <f>IF(NOTA[[#This Row],[JUMLAH]]="","",NOTA[[#This Row],[DISC 1-]]+NOTA[[#This Row],[DISC 2-]]+NOTA[[#This Row],[DISC 3-]])</f>
        <v/>
      </c>
      <c r="AA593" s="42" t="str">
        <f>IF(NOTA[[#This Row],[JUMLAH]]="","",NOTA[[#This Row],[JUMLAH]]-NOTA[[#This Row],[DISC]])</f>
        <v/>
      </c>
      <c r="AB593" s="42"/>
      <c r="AC5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42" t="str">
        <f>IF(OR(NOTA[[#This Row],[QTY]]="",NOTA[[#This Row],[HARGA SATUAN]]="",),"",NOTA[[#This Row],[QTY]]*NOTA[[#This Row],[HARGA SATUAN]])</f>
        <v/>
      </c>
      <c r="AG593" s="36" t="str">
        <f ca="1">IF(NOTA[[#This Row],[ID_H]]="","",INDEX(NOTA[TANGGAL],MATCH(,INDIRECT(ADDRESS(ROW(NOTA[TANGGAL]),COLUMN(NOTA[TANGGAL]))&amp;":"&amp;ADDRESS(ROW(),COLUMN(NOTA[TANGGAL]))),-1)))</f>
        <v/>
      </c>
      <c r="AH593" s="36" t="str">
        <f ca="1">IF(NOTA[[#This Row],[ID_H]]="","",INDEX(NOTA[TGL.NOTA],MATCH(,INDIRECT(ADDRESS(ROW(NOTA[TGL.NOTA]),COLUMN(NOTA[TGL.NOTA]))&amp;":"&amp;ADDRESS(ROW(),COLUMN(NOTA[TGL.NOTA]))),-1)))</f>
        <v/>
      </c>
      <c r="AI593" s="36" t="str">
        <f ca="1">IF(NOTA[[#This Row],[ID_H]]="","",INDEX(NOTA[NO.NOTA],MATCH(NOTA[[#This Row],[ID_H]],NOTA[ID_H],0)))</f>
        <v/>
      </c>
      <c r="AJ593" s="38" t="str">
        <f ca="1">IF(NOTA[[#This Row],[NAMA BARANG]]="","",INDEX(NOTA[SUPPLIER],MATCH(,INDIRECT(ADDRESS(ROW(NOTA[ID]),COLUMN(NOTA[ID]))&amp;":"&amp;ADDRESS(ROW(),COLUMN(NOTA[ID]))),-1)))</f>
        <v/>
      </c>
      <c r="AK593" s="38" t="str">
        <f ca="1">IF(NOTA[[#This Row],[ID_H]]="","",IF(NOTA[[#This Row],[FAKTUR]]="",INDIRECT(ADDRESS(ROW()-1,COLUMN())),NOTA[[#This Row],[FAKTUR]]))</f>
        <v/>
      </c>
      <c r="AL593" s="35" t="str">
        <f ca="1">IF(NOTA[[#This Row],[ID]]="","",COUNTIF(NOTA[ID_H],NOTA[[#This Row],[ID_H]]))</f>
        <v/>
      </c>
      <c r="AM593" s="35" t="str">
        <f ca="1">IF(NOTA[[#This Row],[TGL.NOTA]]="",IF(NOTA[[#This Row],[SUPPLIER_H]]="","",AM592),MONTH(NOTA[[#This Row],[TGL.NOTA]]))</f>
        <v/>
      </c>
      <c r="AN5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3" s="35" t="str">
        <f>IF(NOTA[[#This Row],[CONCAT1]]="","",MATCH(NOTA[[#This Row],[CONCAT1]],[3]!db[NB NOTA_C],0))</f>
        <v/>
      </c>
      <c r="AS593" s="35" t="str">
        <f>IF(NOTA[[#This Row],[Column5]]="","",TRUE)</f>
        <v/>
      </c>
      <c r="AT593" s="35" t="str">
        <f ca="1">IF(NOTA[[#This Row],[ID_H]]="","",IF(NOTA[[#This Row],[Column3]]=TRUE,NOTA[[#This Row],[Column5]],INDEX([3]!db[QTY/ CTN],NOTA[[#This Row],[//DB]])))</f>
        <v/>
      </c>
      <c r="AU5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3" s="35" t="str">
        <f ca="1">IF(NOTA[[#This Row],[ID_H]]="","",MATCH(NOTA[[#This Row],[NB NOTA_C_QTY]],[3]!db[NB NOTA_C_QTY+F],0))</f>
        <v/>
      </c>
      <c r="AW593" s="43" t="str">
        <f ca="1">IF(NOTA[[#This Row],[NB NOTA_C_QTY]]="","",ROW()-2)</f>
        <v/>
      </c>
    </row>
    <row r="594" spans="1:49" ht="20.100000000000001" customHeight="1">
      <c r="A5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5" t="str">
        <f ca="1">IF(NOTA[[#This Row],[NAMA BARANG]]="","",INDEX(NOTA[ID],MATCH(,INDIRECT(ADDRESS(ROW(NOTA[ID]),COLUMN(NOTA[ID]))&amp;":"&amp;ADDRESS(ROW(),COLUMN(NOTA[ID]))),-1)))</f>
        <v/>
      </c>
      <c r="C594" s="45"/>
      <c r="F594" s="46"/>
      <c r="G594" s="35"/>
      <c r="H594" s="36"/>
      <c r="I594" s="35"/>
      <c r="K594" s="37"/>
      <c r="L594" s="35"/>
      <c r="N594" s="38"/>
      <c r="O594" s="39"/>
      <c r="P594" s="47"/>
      <c r="Q594" s="48"/>
      <c r="R594" s="41"/>
      <c r="T594" s="42"/>
      <c r="U594" s="44"/>
      <c r="V594" s="42" t="str">
        <f>IF(NOTA[[#This Row],[HARGA/ CTN]]="",NOTA[[#This Row],[JUMLAH_H]],NOTA[[#This Row],[HARGA/ CTN]]*IF(NOTA[[#This Row],[C]]="",0,NOTA[[#This Row],[C]]))</f>
        <v/>
      </c>
      <c r="W594" s="42" t="str">
        <f>IF(NOTA[[#This Row],[JUMLAH]]="","",NOTA[[#This Row],[JUMLAH]]*NOTA[[#This Row],[Column6]])</f>
        <v/>
      </c>
      <c r="X594" s="42" t="str">
        <f>IF(NOTA[[#This Row],[JUMLAH]]="","",(NOTA[[#This Row],[JUMLAH]]-NOTA[[#This Row],[DISC 1-]])*NOTA[[#This Row],[Column7]])</f>
        <v/>
      </c>
      <c r="Y594" s="42" t="str">
        <f>IF(NOTA[[#This Row],[JUMLAH]]="","",(NOTA[[#This Row],[JUMLAH]]-NOTA[[#This Row],[DISC 1-]]-NOTA[[#This Row],[DISC 2-]])*NOTA[[#This Row],[Column8]])</f>
        <v/>
      </c>
      <c r="Z594" s="42" t="str">
        <f>IF(NOTA[[#This Row],[JUMLAH]]="","",NOTA[[#This Row],[DISC 1-]]+NOTA[[#This Row],[DISC 2-]]+NOTA[[#This Row],[DISC 3-]])</f>
        <v/>
      </c>
      <c r="AA594" s="42" t="str">
        <f>IF(NOTA[[#This Row],[JUMLAH]]="","",NOTA[[#This Row],[JUMLAH]]-NOTA[[#This Row],[DISC]])</f>
        <v/>
      </c>
      <c r="AB594" s="42"/>
      <c r="AC5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42" t="str">
        <f>IF(OR(NOTA[[#This Row],[QTY]]="",NOTA[[#This Row],[HARGA SATUAN]]="",),"",NOTA[[#This Row],[QTY]]*NOTA[[#This Row],[HARGA SATUAN]])</f>
        <v/>
      </c>
      <c r="AG594" s="36" t="str">
        <f ca="1">IF(NOTA[[#This Row],[ID_H]]="","",INDEX(NOTA[TANGGAL],MATCH(,INDIRECT(ADDRESS(ROW(NOTA[TANGGAL]),COLUMN(NOTA[TANGGAL]))&amp;":"&amp;ADDRESS(ROW(),COLUMN(NOTA[TANGGAL]))),-1)))</f>
        <v/>
      </c>
      <c r="AH594" s="36" t="str">
        <f ca="1">IF(NOTA[[#This Row],[ID_H]]="","",INDEX(NOTA[TGL.NOTA],MATCH(,INDIRECT(ADDRESS(ROW(NOTA[TGL.NOTA]),COLUMN(NOTA[TGL.NOTA]))&amp;":"&amp;ADDRESS(ROW(),COLUMN(NOTA[TGL.NOTA]))),-1)))</f>
        <v/>
      </c>
      <c r="AI594" s="36" t="str">
        <f ca="1">IF(NOTA[[#This Row],[ID_H]]="","",INDEX(NOTA[NO.NOTA],MATCH(NOTA[[#This Row],[ID_H]],NOTA[ID_H],0)))</f>
        <v/>
      </c>
      <c r="AJ594" s="38" t="str">
        <f ca="1">IF(NOTA[[#This Row],[NAMA BARANG]]="","",INDEX(NOTA[SUPPLIER],MATCH(,INDIRECT(ADDRESS(ROW(NOTA[ID]),COLUMN(NOTA[ID]))&amp;":"&amp;ADDRESS(ROW(),COLUMN(NOTA[ID]))),-1)))</f>
        <v/>
      </c>
      <c r="AK594" s="38" t="str">
        <f ca="1">IF(NOTA[[#This Row],[ID_H]]="","",IF(NOTA[[#This Row],[FAKTUR]]="",INDIRECT(ADDRESS(ROW()-1,COLUMN())),NOTA[[#This Row],[FAKTUR]]))</f>
        <v/>
      </c>
      <c r="AL594" s="35" t="str">
        <f ca="1">IF(NOTA[[#This Row],[ID]]="","",COUNTIF(NOTA[ID_H],NOTA[[#This Row],[ID_H]]))</f>
        <v/>
      </c>
      <c r="AM594" s="35" t="str">
        <f ca="1">IF(NOTA[[#This Row],[TGL.NOTA]]="",IF(NOTA[[#This Row],[SUPPLIER_H]]="","",AM593),MONTH(NOTA[[#This Row],[TGL.NOTA]]))</f>
        <v/>
      </c>
      <c r="AN5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4" s="35" t="str">
        <f>IF(NOTA[[#This Row],[CONCAT1]]="","",MATCH(NOTA[[#This Row],[CONCAT1]],[3]!db[NB NOTA_C],0))</f>
        <v/>
      </c>
      <c r="AS594" s="35" t="str">
        <f>IF(NOTA[[#This Row],[Column5]]="","",TRUE)</f>
        <v/>
      </c>
      <c r="AT594" s="35" t="str">
        <f ca="1">IF(NOTA[[#This Row],[ID_H]]="","",IF(NOTA[[#This Row],[Column3]]=TRUE,NOTA[[#This Row],[Column5]],INDEX([3]!db[QTY/ CTN],NOTA[[#This Row],[//DB]])))</f>
        <v/>
      </c>
      <c r="AU5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4" s="35" t="str">
        <f ca="1">IF(NOTA[[#This Row],[ID_H]]="","",MATCH(NOTA[[#This Row],[NB NOTA_C_QTY]],[3]!db[NB NOTA_C_QTY+F],0))</f>
        <v/>
      </c>
      <c r="AW594" s="43" t="str">
        <f ca="1">IF(NOTA[[#This Row],[NB NOTA_C_QTY]]="","",ROW()-2)</f>
        <v/>
      </c>
    </row>
    <row r="595" spans="1:49" ht="20.100000000000001" customHeight="1">
      <c r="A5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5" t="str">
        <f ca="1">IF(NOTA[[#This Row],[NAMA BARANG]]="","",INDEX(NOTA[ID],MATCH(,INDIRECT(ADDRESS(ROW(NOTA[ID]),COLUMN(NOTA[ID]))&amp;":"&amp;ADDRESS(ROW(),COLUMN(NOTA[ID]))),-1)))</f>
        <v/>
      </c>
      <c r="C595" s="45"/>
      <c r="F595" s="46"/>
      <c r="G595" s="35"/>
      <c r="H595" s="36"/>
      <c r="I595" s="35"/>
      <c r="K595" s="37"/>
      <c r="L595" s="35"/>
      <c r="N595" s="38"/>
      <c r="O595" s="39"/>
      <c r="P595" s="47"/>
      <c r="Q595" s="48"/>
      <c r="R595" s="41"/>
      <c r="T595" s="42"/>
      <c r="U595" s="44"/>
      <c r="V595" s="42" t="str">
        <f>IF(NOTA[[#This Row],[HARGA/ CTN]]="",NOTA[[#This Row],[JUMLAH_H]],NOTA[[#This Row],[HARGA/ CTN]]*IF(NOTA[[#This Row],[C]]="",0,NOTA[[#This Row],[C]]))</f>
        <v/>
      </c>
      <c r="W595" s="42" t="str">
        <f>IF(NOTA[[#This Row],[JUMLAH]]="","",NOTA[[#This Row],[JUMLAH]]*NOTA[[#This Row],[Column6]])</f>
        <v/>
      </c>
      <c r="X595" s="42" t="str">
        <f>IF(NOTA[[#This Row],[JUMLAH]]="","",(NOTA[[#This Row],[JUMLAH]]-NOTA[[#This Row],[DISC 1-]])*NOTA[[#This Row],[Column7]])</f>
        <v/>
      </c>
      <c r="Y595" s="42" t="str">
        <f>IF(NOTA[[#This Row],[JUMLAH]]="","",(NOTA[[#This Row],[JUMLAH]]-NOTA[[#This Row],[DISC 1-]]-NOTA[[#This Row],[DISC 2-]])*NOTA[[#This Row],[Column8]])</f>
        <v/>
      </c>
      <c r="Z595" s="42" t="str">
        <f>IF(NOTA[[#This Row],[JUMLAH]]="","",NOTA[[#This Row],[DISC 1-]]+NOTA[[#This Row],[DISC 2-]]+NOTA[[#This Row],[DISC 3-]])</f>
        <v/>
      </c>
      <c r="AA595" s="42" t="str">
        <f>IF(NOTA[[#This Row],[JUMLAH]]="","",NOTA[[#This Row],[JUMLAH]]-NOTA[[#This Row],[DISC]])</f>
        <v/>
      </c>
      <c r="AB595" s="42"/>
      <c r="AC5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42" t="str">
        <f>IF(OR(NOTA[[#This Row],[QTY]]="",NOTA[[#This Row],[HARGA SATUAN]]="",),"",NOTA[[#This Row],[QTY]]*NOTA[[#This Row],[HARGA SATUAN]])</f>
        <v/>
      </c>
      <c r="AG595" s="36" t="str">
        <f ca="1">IF(NOTA[[#This Row],[ID_H]]="","",INDEX(NOTA[TANGGAL],MATCH(,INDIRECT(ADDRESS(ROW(NOTA[TANGGAL]),COLUMN(NOTA[TANGGAL]))&amp;":"&amp;ADDRESS(ROW(),COLUMN(NOTA[TANGGAL]))),-1)))</f>
        <v/>
      </c>
      <c r="AH595" s="36" t="str">
        <f ca="1">IF(NOTA[[#This Row],[ID_H]]="","",INDEX(NOTA[TGL.NOTA],MATCH(,INDIRECT(ADDRESS(ROW(NOTA[TGL.NOTA]),COLUMN(NOTA[TGL.NOTA]))&amp;":"&amp;ADDRESS(ROW(),COLUMN(NOTA[TGL.NOTA]))),-1)))</f>
        <v/>
      </c>
      <c r="AI595" s="36" t="str">
        <f ca="1">IF(NOTA[[#This Row],[ID_H]]="","",INDEX(NOTA[NO.NOTA],MATCH(NOTA[[#This Row],[ID_H]],NOTA[ID_H],0)))</f>
        <v/>
      </c>
      <c r="AJ595" s="38" t="str">
        <f ca="1">IF(NOTA[[#This Row],[NAMA BARANG]]="","",INDEX(NOTA[SUPPLIER],MATCH(,INDIRECT(ADDRESS(ROW(NOTA[ID]),COLUMN(NOTA[ID]))&amp;":"&amp;ADDRESS(ROW(),COLUMN(NOTA[ID]))),-1)))</f>
        <v/>
      </c>
      <c r="AK595" s="38" t="str">
        <f ca="1">IF(NOTA[[#This Row],[ID_H]]="","",IF(NOTA[[#This Row],[FAKTUR]]="",INDIRECT(ADDRESS(ROW()-1,COLUMN())),NOTA[[#This Row],[FAKTUR]]))</f>
        <v/>
      </c>
      <c r="AL595" s="35" t="str">
        <f ca="1">IF(NOTA[[#This Row],[ID]]="","",COUNTIF(NOTA[ID_H],NOTA[[#This Row],[ID_H]]))</f>
        <v/>
      </c>
      <c r="AM595" s="35" t="str">
        <f ca="1">IF(NOTA[[#This Row],[TGL.NOTA]]="",IF(NOTA[[#This Row],[SUPPLIER_H]]="","",AM594),MONTH(NOTA[[#This Row],[TGL.NOTA]]))</f>
        <v/>
      </c>
      <c r="AN5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5" s="35" t="str">
        <f>IF(NOTA[[#This Row],[CONCAT1]]="","",MATCH(NOTA[[#This Row],[CONCAT1]],[3]!db[NB NOTA_C],0))</f>
        <v/>
      </c>
      <c r="AS595" s="35" t="str">
        <f>IF(NOTA[[#This Row],[Column5]]="","",TRUE)</f>
        <v/>
      </c>
      <c r="AT595" s="35" t="str">
        <f ca="1">IF(NOTA[[#This Row],[ID_H]]="","",IF(NOTA[[#This Row],[Column3]]=TRUE,NOTA[[#This Row],[Column5]],INDEX([3]!db[QTY/ CTN],NOTA[[#This Row],[//DB]])))</f>
        <v/>
      </c>
      <c r="AU5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5" s="35" t="str">
        <f ca="1">IF(NOTA[[#This Row],[ID_H]]="","",MATCH(NOTA[[#This Row],[NB NOTA_C_QTY]],[3]!db[NB NOTA_C_QTY+F],0))</f>
        <v/>
      </c>
      <c r="AW595" s="43" t="str">
        <f ca="1">IF(NOTA[[#This Row],[NB NOTA_C_QTY]]="","",ROW()-2)</f>
        <v/>
      </c>
    </row>
    <row r="596" spans="1:49" ht="20.100000000000001" customHeight="1">
      <c r="A5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5" t="str">
        <f ca="1">IF(NOTA[[#This Row],[NAMA BARANG]]="","",INDEX(NOTA[ID],MATCH(,INDIRECT(ADDRESS(ROW(NOTA[ID]),COLUMN(NOTA[ID]))&amp;":"&amp;ADDRESS(ROW(),COLUMN(NOTA[ID]))),-1)))</f>
        <v/>
      </c>
      <c r="C596" s="45"/>
      <c r="F596" s="46"/>
      <c r="G596" s="35"/>
      <c r="H596" s="36"/>
      <c r="I596" s="35"/>
      <c r="K596" s="37"/>
      <c r="L596" s="35"/>
      <c r="N596" s="38"/>
      <c r="O596" s="39"/>
      <c r="P596" s="47"/>
      <c r="Q596" s="48"/>
      <c r="R596" s="41"/>
      <c r="T596" s="42"/>
      <c r="U596" s="44"/>
      <c r="V596" s="42" t="str">
        <f>IF(NOTA[[#This Row],[HARGA/ CTN]]="",NOTA[[#This Row],[JUMLAH_H]],NOTA[[#This Row],[HARGA/ CTN]]*IF(NOTA[[#This Row],[C]]="",0,NOTA[[#This Row],[C]]))</f>
        <v/>
      </c>
      <c r="W596" s="42" t="str">
        <f>IF(NOTA[[#This Row],[JUMLAH]]="","",NOTA[[#This Row],[JUMLAH]]*NOTA[[#This Row],[Column6]])</f>
        <v/>
      </c>
      <c r="X596" s="42" t="str">
        <f>IF(NOTA[[#This Row],[JUMLAH]]="","",(NOTA[[#This Row],[JUMLAH]]-NOTA[[#This Row],[DISC 1-]])*NOTA[[#This Row],[Column7]])</f>
        <v/>
      </c>
      <c r="Y596" s="42" t="str">
        <f>IF(NOTA[[#This Row],[JUMLAH]]="","",(NOTA[[#This Row],[JUMLAH]]-NOTA[[#This Row],[DISC 1-]]-NOTA[[#This Row],[DISC 2-]])*NOTA[[#This Row],[Column8]])</f>
        <v/>
      </c>
      <c r="Z596" s="42" t="str">
        <f>IF(NOTA[[#This Row],[JUMLAH]]="","",NOTA[[#This Row],[DISC 1-]]+NOTA[[#This Row],[DISC 2-]]+NOTA[[#This Row],[DISC 3-]])</f>
        <v/>
      </c>
      <c r="AA596" s="42" t="str">
        <f>IF(NOTA[[#This Row],[JUMLAH]]="","",NOTA[[#This Row],[JUMLAH]]-NOTA[[#This Row],[DISC]])</f>
        <v/>
      </c>
      <c r="AB596" s="42"/>
      <c r="AC5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42" t="str">
        <f>IF(OR(NOTA[[#This Row],[QTY]]="",NOTA[[#This Row],[HARGA SATUAN]]="",),"",NOTA[[#This Row],[QTY]]*NOTA[[#This Row],[HARGA SATUAN]])</f>
        <v/>
      </c>
      <c r="AG596" s="36" t="str">
        <f ca="1">IF(NOTA[[#This Row],[ID_H]]="","",INDEX(NOTA[TANGGAL],MATCH(,INDIRECT(ADDRESS(ROW(NOTA[TANGGAL]),COLUMN(NOTA[TANGGAL]))&amp;":"&amp;ADDRESS(ROW(),COLUMN(NOTA[TANGGAL]))),-1)))</f>
        <v/>
      </c>
      <c r="AH596" s="36" t="str">
        <f ca="1">IF(NOTA[[#This Row],[ID_H]]="","",INDEX(NOTA[TGL.NOTA],MATCH(,INDIRECT(ADDRESS(ROW(NOTA[TGL.NOTA]),COLUMN(NOTA[TGL.NOTA]))&amp;":"&amp;ADDRESS(ROW(),COLUMN(NOTA[TGL.NOTA]))),-1)))</f>
        <v/>
      </c>
      <c r="AI596" s="36" t="str">
        <f ca="1">IF(NOTA[[#This Row],[ID_H]]="","",INDEX(NOTA[NO.NOTA],MATCH(NOTA[[#This Row],[ID_H]],NOTA[ID_H],0)))</f>
        <v/>
      </c>
      <c r="AJ596" s="38" t="str">
        <f ca="1">IF(NOTA[[#This Row],[NAMA BARANG]]="","",INDEX(NOTA[SUPPLIER],MATCH(,INDIRECT(ADDRESS(ROW(NOTA[ID]),COLUMN(NOTA[ID]))&amp;":"&amp;ADDRESS(ROW(),COLUMN(NOTA[ID]))),-1)))</f>
        <v/>
      </c>
      <c r="AK596" s="38" t="str">
        <f ca="1">IF(NOTA[[#This Row],[ID_H]]="","",IF(NOTA[[#This Row],[FAKTUR]]="",INDIRECT(ADDRESS(ROW()-1,COLUMN())),NOTA[[#This Row],[FAKTUR]]))</f>
        <v/>
      </c>
      <c r="AL596" s="35" t="str">
        <f ca="1">IF(NOTA[[#This Row],[ID]]="","",COUNTIF(NOTA[ID_H],NOTA[[#This Row],[ID_H]]))</f>
        <v/>
      </c>
      <c r="AM596" s="35" t="str">
        <f ca="1">IF(NOTA[[#This Row],[TGL.NOTA]]="",IF(NOTA[[#This Row],[SUPPLIER_H]]="","",AM595),MONTH(NOTA[[#This Row],[TGL.NOTA]]))</f>
        <v/>
      </c>
      <c r="AN5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6" s="35" t="str">
        <f>IF(NOTA[[#This Row],[CONCAT1]]="","",MATCH(NOTA[[#This Row],[CONCAT1]],[3]!db[NB NOTA_C],0))</f>
        <v/>
      </c>
      <c r="AS596" s="35" t="str">
        <f>IF(NOTA[[#This Row],[Column5]]="","",TRUE)</f>
        <v/>
      </c>
      <c r="AT596" s="35" t="str">
        <f ca="1">IF(NOTA[[#This Row],[ID_H]]="","",IF(NOTA[[#This Row],[Column3]]=TRUE,NOTA[[#This Row],[Column5]],INDEX([3]!db[QTY/ CTN],NOTA[[#This Row],[//DB]])))</f>
        <v/>
      </c>
      <c r="AU5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6" s="35" t="str">
        <f ca="1">IF(NOTA[[#This Row],[ID_H]]="","",MATCH(NOTA[[#This Row],[NB NOTA_C_QTY]],[3]!db[NB NOTA_C_QTY+F],0))</f>
        <v/>
      </c>
      <c r="AW596" s="43" t="str">
        <f ca="1">IF(NOTA[[#This Row],[NB NOTA_C_QTY]]="","",ROW()-2)</f>
        <v/>
      </c>
    </row>
    <row r="597" spans="1:49" ht="20.100000000000001" customHeight="1">
      <c r="A5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5" t="str">
        <f ca="1">IF(NOTA[[#This Row],[NAMA BARANG]]="","",INDEX(NOTA[ID],MATCH(,INDIRECT(ADDRESS(ROW(NOTA[ID]),COLUMN(NOTA[ID]))&amp;":"&amp;ADDRESS(ROW(),COLUMN(NOTA[ID]))),-1)))</f>
        <v/>
      </c>
      <c r="C597" s="45"/>
      <c r="F597" s="46"/>
      <c r="G597" s="35"/>
      <c r="H597" s="36"/>
      <c r="I597" s="35"/>
      <c r="K597" s="37"/>
      <c r="L597" s="35"/>
      <c r="N597" s="38"/>
      <c r="O597" s="39"/>
      <c r="P597" s="47"/>
      <c r="Q597" s="48"/>
      <c r="R597" s="41"/>
      <c r="T597" s="42"/>
      <c r="U597" s="44"/>
      <c r="V597" s="42" t="str">
        <f>IF(NOTA[[#This Row],[HARGA/ CTN]]="",NOTA[[#This Row],[JUMLAH_H]],NOTA[[#This Row],[HARGA/ CTN]]*IF(NOTA[[#This Row],[C]]="",0,NOTA[[#This Row],[C]]))</f>
        <v/>
      </c>
      <c r="W597" s="42" t="str">
        <f>IF(NOTA[[#This Row],[JUMLAH]]="","",NOTA[[#This Row],[JUMLAH]]*NOTA[[#This Row],[Column6]])</f>
        <v/>
      </c>
      <c r="X597" s="42" t="str">
        <f>IF(NOTA[[#This Row],[JUMLAH]]="","",(NOTA[[#This Row],[JUMLAH]]-NOTA[[#This Row],[DISC 1-]])*NOTA[[#This Row],[Column7]])</f>
        <v/>
      </c>
      <c r="Y597" s="42" t="str">
        <f>IF(NOTA[[#This Row],[JUMLAH]]="","",(NOTA[[#This Row],[JUMLAH]]-NOTA[[#This Row],[DISC 1-]]-NOTA[[#This Row],[DISC 2-]])*NOTA[[#This Row],[Column8]])</f>
        <v/>
      </c>
      <c r="Z597" s="42" t="str">
        <f>IF(NOTA[[#This Row],[JUMLAH]]="","",NOTA[[#This Row],[DISC 1-]]+NOTA[[#This Row],[DISC 2-]]+NOTA[[#This Row],[DISC 3-]])</f>
        <v/>
      </c>
      <c r="AA597" s="42" t="str">
        <f>IF(NOTA[[#This Row],[JUMLAH]]="","",NOTA[[#This Row],[JUMLAH]]-NOTA[[#This Row],[DISC]])</f>
        <v/>
      </c>
      <c r="AB597" s="42"/>
      <c r="AC5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42" t="str">
        <f>IF(OR(NOTA[[#This Row],[QTY]]="",NOTA[[#This Row],[HARGA SATUAN]]="",),"",NOTA[[#This Row],[QTY]]*NOTA[[#This Row],[HARGA SATUAN]])</f>
        <v/>
      </c>
      <c r="AG597" s="36" t="str">
        <f ca="1">IF(NOTA[[#This Row],[ID_H]]="","",INDEX(NOTA[TANGGAL],MATCH(,INDIRECT(ADDRESS(ROW(NOTA[TANGGAL]),COLUMN(NOTA[TANGGAL]))&amp;":"&amp;ADDRESS(ROW(),COLUMN(NOTA[TANGGAL]))),-1)))</f>
        <v/>
      </c>
      <c r="AH597" s="36" t="str">
        <f ca="1">IF(NOTA[[#This Row],[ID_H]]="","",INDEX(NOTA[TGL.NOTA],MATCH(,INDIRECT(ADDRESS(ROW(NOTA[TGL.NOTA]),COLUMN(NOTA[TGL.NOTA]))&amp;":"&amp;ADDRESS(ROW(),COLUMN(NOTA[TGL.NOTA]))),-1)))</f>
        <v/>
      </c>
      <c r="AI597" s="36" t="str">
        <f ca="1">IF(NOTA[[#This Row],[ID_H]]="","",INDEX(NOTA[NO.NOTA],MATCH(NOTA[[#This Row],[ID_H]],NOTA[ID_H],0)))</f>
        <v/>
      </c>
      <c r="AJ597" s="38" t="str">
        <f ca="1">IF(NOTA[[#This Row],[NAMA BARANG]]="","",INDEX(NOTA[SUPPLIER],MATCH(,INDIRECT(ADDRESS(ROW(NOTA[ID]),COLUMN(NOTA[ID]))&amp;":"&amp;ADDRESS(ROW(),COLUMN(NOTA[ID]))),-1)))</f>
        <v/>
      </c>
      <c r="AK597" s="38" t="str">
        <f ca="1">IF(NOTA[[#This Row],[ID_H]]="","",IF(NOTA[[#This Row],[FAKTUR]]="",INDIRECT(ADDRESS(ROW()-1,COLUMN())),NOTA[[#This Row],[FAKTUR]]))</f>
        <v/>
      </c>
      <c r="AL597" s="35" t="str">
        <f ca="1">IF(NOTA[[#This Row],[ID]]="","",COUNTIF(NOTA[ID_H],NOTA[[#This Row],[ID_H]]))</f>
        <v/>
      </c>
      <c r="AM597" s="35" t="str">
        <f ca="1">IF(NOTA[[#This Row],[TGL.NOTA]]="",IF(NOTA[[#This Row],[SUPPLIER_H]]="","",AM596),MONTH(NOTA[[#This Row],[TGL.NOTA]]))</f>
        <v/>
      </c>
      <c r="AN5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7" s="35" t="str">
        <f>IF(NOTA[[#This Row],[CONCAT1]]="","",MATCH(NOTA[[#This Row],[CONCAT1]],[3]!db[NB NOTA_C],0))</f>
        <v/>
      </c>
      <c r="AS597" s="35" t="str">
        <f>IF(NOTA[[#This Row],[Column5]]="","",TRUE)</f>
        <v/>
      </c>
      <c r="AT597" s="35" t="str">
        <f ca="1">IF(NOTA[[#This Row],[ID_H]]="","",IF(NOTA[[#This Row],[Column3]]=TRUE,NOTA[[#This Row],[Column5]],INDEX([3]!db[QTY/ CTN],NOTA[[#This Row],[//DB]])))</f>
        <v/>
      </c>
      <c r="AU5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7" s="35" t="str">
        <f ca="1">IF(NOTA[[#This Row],[ID_H]]="","",MATCH(NOTA[[#This Row],[NB NOTA_C_QTY]],[3]!db[NB NOTA_C_QTY+F],0))</f>
        <v/>
      </c>
      <c r="AW597" s="43" t="str">
        <f ca="1">IF(NOTA[[#This Row],[NB NOTA_C_QTY]]="","",ROW()-2)</f>
        <v/>
      </c>
    </row>
    <row r="598" spans="1:49" ht="20.100000000000001" customHeight="1">
      <c r="A5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5" t="str">
        <f ca="1">IF(NOTA[[#This Row],[NAMA BARANG]]="","",INDEX(NOTA[ID],MATCH(,INDIRECT(ADDRESS(ROW(NOTA[ID]),COLUMN(NOTA[ID]))&amp;":"&amp;ADDRESS(ROW(),COLUMN(NOTA[ID]))),-1)))</f>
        <v/>
      </c>
      <c r="C598" s="45"/>
      <c r="F598" s="46"/>
      <c r="G598" s="35"/>
      <c r="H598" s="36"/>
      <c r="I598" s="35"/>
      <c r="K598" s="37"/>
      <c r="L598" s="35"/>
      <c r="N598" s="38"/>
      <c r="O598" s="39"/>
      <c r="P598" s="47"/>
      <c r="Q598" s="48"/>
      <c r="R598" s="41"/>
      <c r="T598" s="42"/>
      <c r="U598" s="44"/>
      <c r="V598" s="42" t="str">
        <f>IF(NOTA[[#This Row],[HARGA/ CTN]]="",NOTA[[#This Row],[JUMLAH_H]],NOTA[[#This Row],[HARGA/ CTN]]*IF(NOTA[[#This Row],[C]]="",0,NOTA[[#This Row],[C]]))</f>
        <v/>
      </c>
      <c r="W598" s="42" t="str">
        <f>IF(NOTA[[#This Row],[JUMLAH]]="","",NOTA[[#This Row],[JUMLAH]]*NOTA[[#This Row],[Column6]])</f>
        <v/>
      </c>
      <c r="X598" s="42" t="str">
        <f>IF(NOTA[[#This Row],[JUMLAH]]="","",(NOTA[[#This Row],[JUMLAH]]-NOTA[[#This Row],[DISC 1-]])*NOTA[[#This Row],[Column7]])</f>
        <v/>
      </c>
      <c r="Y598" s="42" t="str">
        <f>IF(NOTA[[#This Row],[JUMLAH]]="","",(NOTA[[#This Row],[JUMLAH]]-NOTA[[#This Row],[DISC 1-]]-NOTA[[#This Row],[DISC 2-]])*NOTA[[#This Row],[Column8]])</f>
        <v/>
      </c>
      <c r="Z598" s="42" t="str">
        <f>IF(NOTA[[#This Row],[JUMLAH]]="","",NOTA[[#This Row],[DISC 1-]]+NOTA[[#This Row],[DISC 2-]]+NOTA[[#This Row],[DISC 3-]])</f>
        <v/>
      </c>
      <c r="AA598" s="42" t="str">
        <f>IF(NOTA[[#This Row],[JUMLAH]]="","",NOTA[[#This Row],[JUMLAH]]-NOTA[[#This Row],[DISC]])</f>
        <v/>
      </c>
      <c r="AB598" s="42"/>
      <c r="AC5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42" t="str">
        <f>IF(OR(NOTA[[#This Row],[QTY]]="",NOTA[[#This Row],[HARGA SATUAN]]="",),"",NOTA[[#This Row],[QTY]]*NOTA[[#This Row],[HARGA SATUAN]])</f>
        <v/>
      </c>
      <c r="AG598" s="36" t="str">
        <f ca="1">IF(NOTA[[#This Row],[ID_H]]="","",INDEX(NOTA[TANGGAL],MATCH(,INDIRECT(ADDRESS(ROW(NOTA[TANGGAL]),COLUMN(NOTA[TANGGAL]))&amp;":"&amp;ADDRESS(ROW(),COLUMN(NOTA[TANGGAL]))),-1)))</f>
        <v/>
      </c>
      <c r="AH598" s="36" t="str">
        <f ca="1">IF(NOTA[[#This Row],[ID_H]]="","",INDEX(NOTA[TGL.NOTA],MATCH(,INDIRECT(ADDRESS(ROW(NOTA[TGL.NOTA]),COLUMN(NOTA[TGL.NOTA]))&amp;":"&amp;ADDRESS(ROW(),COLUMN(NOTA[TGL.NOTA]))),-1)))</f>
        <v/>
      </c>
      <c r="AI598" s="36" t="str">
        <f ca="1">IF(NOTA[[#This Row],[ID_H]]="","",INDEX(NOTA[NO.NOTA],MATCH(NOTA[[#This Row],[ID_H]],NOTA[ID_H],0)))</f>
        <v/>
      </c>
      <c r="AJ598" s="38" t="str">
        <f ca="1">IF(NOTA[[#This Row],[NAMA BARANG]]="","",INDEX(NOTA[SUPPLIER],MATCH(,INDIRECT(ADDRESS(ROW(NOTA[ID]),COLUMN(NOTA[ID]))&amp;":"&amp;ADDRESS(ROW(),COLUMN(NOTA[ID]))),-1)))</f>
        <v/>
      </c>
      <c r="AK598" s="38" t="str">
        <f ca="1">IF(NOTA[[#This Row],[ID_H]]="","",IF(NOTA[[#This Row],[FAKTUR]]="",INDIRECT(ADDRESS(ROW()-1,COLUMN())),NOTA[[#This Row],[FAKTUR]]))</f>
        <v/>
      </c>
      <c r="AL598" s="35" t="str">
        <f ca="1">IF(NOTA[[#This Row],[ID]]="","",COUNTIF(NOTA[ID_H],NOTA[[#This Row],[ID_H]]))</f>
        <v/>
      </c>
      <c r="AM598" s="35" t="str">
        <f ca="1">IF(NOTA[[#This Row],[TGL.NOTA]]="",IF(NOTA[[#This Row],[SUPPLIER_H]]="","",AM597),MONTH(NOTA[[#This Row],[TGL.NOTA]]))</f>
        <v/>
      </c>
      <c r="AN5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8" s="35" t="str">
        <f>IF(NOTA[[#This Row],[CONCAT1]]="","",MATCH(NOTA[[#This Row],[CONCAT1]],[3]!db[NB NOTA_C],0))</f>
        <v/>
      </c>
      <c r="AS598" s="35" t="str">
        <f>IF(NOTA[[#This Row],[Column5]]="","",TRUE)</f>
        <v/>
      </c>
      <c r="AT598" s="35" t="str">
        <f ca="1">IF(NOTA[[#This Row],[ID_H]]="","",IF(NOTA[[#This Row],[Column3]]=TRUE,NOTA[[#This Row],[Column5]],INDEX([3]!db[QTY/ CTN],NOTA[[#This Row],[//DB]])))</f>
        <v/>
      </c>
      <c r="AU5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8" s="35" t="str">
        <f ca="1">IF(NOTA[[#This Row],[ID_H]]="","",MATCH(NOTA[[#This Row],[NB NOTA_C_QTY]],[3]!db[NB NOTA_C_QTY+F],0))</f>
        <v/>
      </c>
      <c r="AW598" s="43" t="str">
        <f ca="1">IF(NOTA[[#This Row],[NB NOTA_C_QTY]]="","",ROW()-2)</f>
        <v/>
      </c>
    </row>
    <row r="599" spans="1:49" ht="20.100000000000001" customHeight="1">
      <c r="A5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5" t="str">
        <f ca="1">IF(NOTA[[#This Row],[NAMA BARANG]]="","",INDEX(NOTA[ID],MATCH(,INDIRECT(ADDRESS(ROW(NOTA[ID]),COLUMN(NOTA[ID]))&amp;":"&amp;ADDRESS(ROW(),COLUMN(NOTA[ID]))),-1)))</f>
        <v/>
      </c>
      <c r="C599" s="45"/>
      <c r="F599" s="46"/>
      <c r="G599" s="35"/>
      <c r="H599" s="36"/>
      <c r="I599" s="35"/>
      <c r="K599" s="37"/>
      <c r="L599" s="35"/>
      <c r="N599" s="38"/>
      <c r="O599" s="39"/>
      <c r="P599" s="47"/>
      <c r="Q599" s="48"/>
      <c r="R599" s="41"/>
      <c r="T599" s="42"/>
      <c r="U599" s="44"/>
      <c r="V599" s="42" t="str">
        <f>IF(NOTA[[#This Row],[HARGA/ CTN]]="",NOTA[[#This Row],[JUMLAH_H]],NOTA[[#This Row],[HARGA/ CTN]]*IF(NOTA[[#This Row],[C]]="",0,NOTA[[#This Row],[C]]))</f>
        <v/>
      </c>
      <c r="W599" s="42" t="str">
        <f>IF(NOTA[[#This Row],[JUMLAH]]="","",NOTA[[#This Row],[JUMLAH]]*NOTA[[#This Row],[Column6]])</f>
        <v/>
      </c>
      <c r="X599" s="42" t="str">
        <f>IF(NOTA[[#This Row],[JUMLAH]]="","",(NOTA[[#This Row],[JUMLAH]]-NOTA[[#This Row],[DISC 1-]])*NOTA[[#This Row],[Column7]])</f>
        <v/>
      </c>
      <c r="Y599" s="42" t="str">
        <f>IF(NOTA[[#This Row],[JUMLAH]]="","",(NOTA[[#This Row],[JUMLAH]]-NOTA[[#This Row],[DISC 1-]]-NOTA[[#This Row],[DISC 2-]])*NOTA[[#This Row],[Column8]])</f>
        <v/>
      </c>
      <c r="Z599" s="42" t="str">
        <f>IF(NOTA[[#This Row],[JUMLAH]]="","",NOTA[[#This Row],[DISC 1-]]+NOTA[[#This Row],[DISC 2-]]+NOTA[[#This Row],[DISC 3-]])</f>
        <v/>
      </c>
      <c r="AA599" s="42" t="str">
        <f>IF(NOTA[[#This Row],[JUMLAH]]="","",NOTA[[#This Row],[JUMLAH]]-NOTA[[#This Row],[DISC]])</f>
        <v/>
      </c>
      <c r="AB599" s="42"/>
      <c r="AC5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5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5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42" t="str">
        <f>IF(OR(NOTA[[#This Row],[QTY]]="",NOTA[[#This Row],[HARGA SATUAN]]="",),"",NOTA[[#This Row],[QTY]]*NOTA[[#This Row],[HARGA SATUAN]])</f>
        <v/>
      </c>
      <c r="AG599" s="36" t="str">
        <f ca="1">IF(NOTA[[#This Row],[ID_H]]="","",INDEX(NOTA[TANGGAL],MATCH(,INDIRECT(ADDRESS(ROW(NOTA[TANGGAL]),COLUMN(NOTA[TANGGAL]))&amp;":"&amp;ADDRESS(ROW(),COLUMN(NOTA[TANGGAL]))),-1)))</f>
        <v/>
      </c>
      <c r="AH599" s="36" t="str">
        <f ca="1">IF(NOTA[[#This Row],[ID_H]]="","",INDEX(NOTA[TGL.NOTA],MATCH(,INDIRECT(ADDRESS(ROW(NOTA[TGL.NOTA]),COLUMN(NOTA[TGL.NOTA]))&amp;":"&amp;ADDRESS(ROW(),COLUMN(NOTA[TGL.NOTA]))),-1)))</f>
        <v/>
      </c>
      <c r="AI599" s="36" t="str">
        <f ca="1">IF(NOTA[[#This Row],[ID_H]]="","",INDEX(NOTA[NO.NOTA],MATCH(NOTA[[#This Row],[ID_H]],NOTA[ID_H],0)))</f>
        <v/>
      </c>
      <c r="AJ599" s="38" t="str">
        <f ca="1">IF(NOTA[[#This Row],[NAMA BARANG]]="","",INDEX(NOTA[SUPPLIER],MATCH(,INDIRECT(ADDRESS(ROW(NOTA[ID]),COLUMN(NOTA[ID]))&amp;":"&amp;ADDRESS(ROW(),COLUMN(NOTA[ID]))),-1)))</f>
        <v/>
      </c>
      <c r="AK599" s="38" t="str">
        <f ca="1">IF(NOTA[[#This Row],[ID_H]]="","",IF(NOTA[[#This Row],[FAKTUR]]="",INDIRECT(ADDRESS(ROW()-1,COLUMN())),NOTA[[#This Row],[FAKTUR]]))</f>
        <v/>
      </c>
      <c r="AL599" s="35" t="str">
        <f ca="1">IF(NOTA[[#This Row],[ID]]="","",COUNTIF(NOTA[ID_H],NOTA[[#This Row],[ID_H]]))</f>
        <v/>
      </c>
      <c r="AM599" s="35" t="str">
        <f ca="1">IF(NOTA[[#This Row],[TGL.NOTA]]="",IF(NOTA[[#This Row],[SUPPLIER_H]]="","",AM598),MONTH(NOTA[[#This Row],[TGL.NOTA]]))</f>
        <v/>
      </c>
      <c r="AN5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5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5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5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9" s="35" t="str">
        <f>IF(NOTA[[#This Row],[CONCAT1]]="","",MATCH(NOTA[[#This Row],[CONCAT1]],[3]!db[NB NOTA_C],0))</f>
        <v/>
      </c>
      <c r="AS599" s="35" t="str">
        <f>IF(NOTA[[#This Row],[Column5]]="","",TRUE)</f>
        <v/>
      </c>
      <c r="AT599" s="35" t="str">
        <f ca="1">IF(NOTA[[#This Row],[ID_H]]="","",IF(NOTA[[#This Row],[Column3]]=TRUE,NOTA[[#This Row],[Column5]],INDEX([3]!db[QTY/ CTN],NOTA[[#This Row],[//DB]])))</f>
        <v/>
      </c>
      <c r="AU5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599" s="35" t="str">
        <f ca="1">IF(NOTA[[#This Row],[ID_H]]="","",MATCH(NOTA[[#This Row],[NB NOTA_C_QTY]],[3]!db[NB NOTA_C_QTY+F],0))</f>
        <v/>
      </c>
      <c r="AW599" s="43" t="str">
        <f ca="1">IF(NOTA[[#This Row],[NB NOTA_C_QTY]]="","",ROW()-2)</f>
        <v/>
      </c>
    </row>
    <row r="600" spans="1:49" ht="20.100000000000001" customHeight="1">
      <c r="A6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5" t="str">
        <f ca="1">IF(NOTA[[#This Row],[NAMA BARANG]]="","",INDEX(NOTA[ID],MATCH(,INDIRECT(ADDRESS(ROW(NOTA[ID]),COLUMN(NOTA[ID]))&amp;":"&amp;ADDRESS(ROW(),COLUMN(NOTA[ID]))),-1)))</f>
        <v/>
      </c>
      <c r="C600" s="45"/>
      <c r="F600" s="46"/>
      <c r="G600" s="35"/>
      <c r="H600" s="36"/>
      <c r="I600" s="35"/>
      <c r="K600" s="37"/>
      <c r="L600" s="35"/>
      <c r="N600" s="38"/>
      <c r="O600" s="39"/>
      <c r="P600" s="47"/>
      <c r="Q600" s="48"/>
      <c r="R600" s="41"/>
      <c r="T600" s="42"/>
      <c r="U600" s="44"/>
      <c r="V600" s="42" t="str">
        <f>IF(NOTA[[#This Row],[HARGA/ CTN]]="",NOTA[[#This Row],[JUMLAH_H]],NOTA[[#This Row],[HARGA/ CTN]]*IF(NOTA[[#This Row],[C]]="",0,NOTA[[#This Row],[C]]))</f>
        <v/>
      </c>
      <c r="W600" s="42" t="str">
        <f>IF(NOTA[[#This Row],[JUMLAH]]="","",NOTA[[#This Row],[JUMLAH]]*NOTA[[#This Row],[Column6]])</f>
        <v/>
      </c>
      <c r="X600" s="42" t="str">
        <f>IF(NOTA[[#This Row],[JUMLAH]]="","",(NOTA[[#This Row],[JUMLAH]]-NOTA[[#This Row],[DISC 1-]])*NOTA[[#This Row],[Column7]])</f>
        <v/>
      </c>
      <c r="Y600" s="42" t="str">
        <f>IF(NOTA[[#This Row],[JUMLAH]]="","",(NOTA[[#This Row],[JUMLAH]]-NOTA[[#This Row],[DISC 1-]]-NOTA[[#This Row],[DISC 2-]])*NOTA[[#This Row],[Column8]])</f>
        <v/>
      </c>
      <c r="Z600" s="42" t="str">
        <f>IF(NOTA[[#This Row],[JUMLAH]]="","",NOTA[[#This Row],[DISC 1-]]+NOTA[[#This Row],[DISC 2-]]+NOTA[[#This Row],[DISC 3-]])</f>
        <v/>
      </c>
      <c r="AA600" s="42" t="str">
        <f>IF(NOTA[[#This Row],[JUMLAH]]="","",NOTA[[#This Row],[JUMLAH]]-NOTA[[#This Row],[DISC]])</f>
        <v/>
      </c>
      <c r="AB600" s="42"/>
      <c r="AC6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42" t="str">
        <f>IF(OR(NOTA[[#This Row],[QTY]]="",NOTA[[#This Row],[HARGA SATUAN]]="",),"",NOTA[[#This Row],[QTY]]*NOTA[[#This Row],[HARGA SATUAN]])</f>
        <v/>
      </c>
      <c r="AG600" s="36" t="str">
        <f ca="1">IF(NOTA[[#This Row],[ID_H]]="","",INDEX(NOTA[TANGGAL],MATCH(,INDIRECT(ADDRESS(ROW(NOTA[TANGGAL]),COLUMN(NOTA[TANGGAL]))&amp;":"&amp;ADDRESS(ROW(),COLUMN(NOTA[TANGGAL]))),-1)))</f>
        <v/>
      </c>
      <c r="AH600" s="36" t="str">
        <f ca="1">IF(NOTA[[#This Row],[ID_H]]="","",INDEX(NOTA[TGL.NOTA],MATCH(,INDIRECT(ADDRESS(ROW(NOTA[TGL.NOTA]),COLUMN(NOTA[TGL.NOTA]))&amp;":"&amp;ADDRESS(ROW(),COLUMN(NOTA[TGL.NOTA]))),-1)))</f>
        <v/>
      </c>
      <c r="AI600" s="36" t="str">
        <f ca="1">IF(NOTA[[#This Row],[ID_H]]="","",INDEX(NOTA[NO.NOTA],MATCH(NOTA[[#This Row],[ID_H]],NOTA[ID_H],0)))</f>
        <v/>
      </c>
      <c r="AJ600" s="38" t="str">
        <f ca="1">IF(NOTA[[#This Row],[NAMA BARANG]]="","",INDEX(NOTA[SUPPLIER],MATCH(,INDIRECT(ADDRESS(ROW(NOTA[ID]),COLUMN(NOTA[ID]))&amp;":"&amp;ADDRESS(ROW(),COLUMN(NOTA[ID]))),-1)))</f>
        <v/>
      </c>
      <c r="AK600" s="38" t="str">
        <f ca="1">IF(NOTA[[#This Row],[ID_H]]="","",IF(NOTA[[#This Row],[FAKTUR]]="",INDIRECT(ADDRESS(ROW()-1,COLUMN())),NOTA[[#This Row],[FAKTUR]]))</f>
        <v/>
      </c>
      <c r="AL600" s="35" t="str">
        <f ca="1">IF(NOTA[[#This Row],[ID]]="","",COUNTIF(NOTA[ID_H],NOTA[[#This Row],[ID_H]]))</f>
        <v/>
      </c>
      <c r="AM600" s="35" t="str">
        <f ca="1">IF(NOTA[[#This Row],[TGL.NOTA]]="",IF(NOTA[[#This Row],[SUPPLIER_H]]="","",AM599),MONTH(NOTA[[#This Row],[TGL.NOTA]]))</f>
        <v/>
      </c>
      <c r="AN6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0" s="35" t="str">
        <f>IF(NOTA[[#This Row],[CONCAT1]]="","",MATCH(NOTA[[#This Row],[CONCAT1]],[3]!db[NB NOTA_C],0))</f>
        <v/>
      </c>
      <c r="AS600" s="35" t="str">
        <f>IF(NOTA[[#This Row],[Column5]]="","",TRUE)</f>
        <v/>
      </c>
      <c r="AT600" s="35" t="str">
        <f ca="1">IF(NOTA[[#This Row],[ID_H]]="","",IF(NOTA[[#This Row],[Column3]]=TRUE,NOTA[[#This Row],[Column5]],INDEX([3]!db[QTY/ CTN],NOTA[[#This Row],[//DB]])))</f>
        <v/>
      </c>
      <c r="AU6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0" s="35" t="str">
        <f ca="1">IF(NOTA[[#This Row],[ID_H]]="","",MATCH(NOTA[[#This Row],[NB NOTA_C_QTY]],[3]!db[NB NOTA_C_QTY+F],0))</f>
        <v/>
      </c>
      <c r="AW600" s="43" t="str">
        <f ca="1">IF(NOTA[[#This Row],[NB NOTA_C_QTY]]="","",ROW()-2)</f>
        <v/>
      </c>
    </row>
    <row r="601" spans="1:49" ht="20.100000000000001" customHeight="1">
      <c r="A6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5" t="str">
        <f ca="1">IF(NOTA[[#This Row],[NAMA BARANG]]="","",INDEX(NOTA[ID],MATCH(,INDIRECT(ADDRESS(ROW(NOTA[ID]),COLUMN(NOTA[ID]))&amp;":"&amp;ADDRESS(ROW(),COLUMN(NOTA[ID]))),-1)))</f>
        <v/>
      </c>
      <c r="C601" s="45"/>
      <c r="F601" s="46"/>
      <c r="G601" s="35"/>
      <c r="H601" s="36"/>
      <c r="I601" s="35"/>
      <c r="K601" s="37"/>
      <c r="L601" s="35"/>
      <c r="N601" s="38"/>
      <c r="O601" s="39"/>
      <c r="P601" s="47"/>
      <c r="Q601" s="48"/>
      <c r="R601" s="41"/>
      <c r="T601" s="42"/>
      <c r="U601" s="44"/>
      <c r="V601" s="42" t="str">
        <f>IF(NOTA[[#This Row],[HARGA/ CTN]]="",NOTA[[#This Row],[JUMLAH_H]],NOTA[[#This Row],[HARGA/ CTN]]*IF(NOTA[[#This Row],[C]]="",0,NOTA[[#This Row],[C]]))</f>
        <v/>
      </c>
      <c r="W601" s="42" t="str">
        <f>IF(NOTA[[#This Row],[JUMLAH]]="","",NOTA[[#This Row],[JUMLAH]]*NOTA[[#This Row],[Column6]])</f>
        <v/>
      </c>
      <c r="X601" s="42" t="str">
        <f>IF(NOTA[[#This Row],[JUMLAH]]="","",(NOTA[[#This Row],[JUMLAH]]-NOTA[[#This Row],[DISC 1-]])*NOTA[[#This Row],[Column7]])</f>
        <v/>
      </c>
      <c r="Y601" s="42" t="str">
        <f>IF(NOTA[[#This Row],[JUMLAH]]="","",(NOTA[[#This Row],[JUMLAH]]-NOTA[[#This Row],[DISC 1-]]-NOTA[[#This Row],[DISC 2-]])*NOTA[[#This Row],[Column8]])</f>
        <v/>
      </c>
      <c r="Z601" s="42" t="str">
        <f>IF(NOTA[[#This Row],[JUMLAH]]="","",NOTA[[#This Row],[DISC 1-]]+NOTA[[#This Row],[DISC 2-]]+NOTA[[#This Row],[DISC 3-]])</f>
        <v/>
      </c>
      <c r="AA601" s="42" t="str">
        <f>IF(NOTA[[#This Row],[JUMLAH]]="","",NOTA[[#This Row],[JUMLAH]]-NOTA[[#This Row],[DISC]])</f>
        <v/>
      </c>
      <c r="AB601" s="42"/>
      <c r="AC6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42" t="str">
        <f>IF(OR(NOTA[[#This Row],[QTY]]="",NOTA[[#This Row],[HARGA SATUAN]]="",),"",NOTA[[#This Row],[QTY]]*NOTA[[#This Row],[HARGA SATUAN]])</f>
        <v/>
      </c>
      <c r="AG601" s="36" t="str">
        <f ca="1">IF(NOTA[[#This Row],[ID_H]]="","",INDEX(NOTA[TANGGAL],MATCH(,INDIRECT(ADDRESS(ROW(NOTA[TANGGAL]),COLUMN(NOTA[TANGGAL]))&amp;":"&amp;ADDRESS(ROW(),COLUMN(NOTA[TANGGAL]))),-1)))</f>
        <v/>
      </c>
      <c r="AH601" s="36" t="str">
        <f ca="1">IF(NOTA[[#This Row],[ID_H]]="","",INDEX(NOTA[TGL.NOTA],MATCH(,INDIRECT(ADDRESS(ROW(NOTA[TGL.NOTA]),COLUMN(NOTA[TGL.NOTA]))&amp;":"&amp;ADDRESS(ROW(),COLUMN(NOTA[TGL.NOTA]))),-1)))</f>
        <v/>
      </c>
      <c r="AI601" s="36" t="str">
        <f ca="1">IF(NOTA[[#This Row],[ID_H]]="","",INDEX(NOTA[NO.NOTA],MATCH(NOTA[[#This Row],[ID_H]],NOTA[ID_H],0)))</f>
        <v/>
      </c>
      <c r="AJ601" s="38" t="str">
        <f ca="1">IF(NOTA[[#This Row],[NAMA BARANG]]="","",INDEX(NOTA[SUPPLIER],MATCH(,INDIRECT(ADDRESS(ROW(NOTA[ID]),COLUMN(NOTA[ID]))&amp;":"&amp;ADDRESS(ROW(),COLUMN(NOTA[ID]))),-1)))</f>
        <v/>
      </c>
      <c r="AK601" s="38" t="str">
        <f ca="1">IF(NOTA[[#This Row],[ID_H]]="","",IF(NOTA[[#This Row],[FAKTUR]]="",INDIRECT(ADDRESS(ROW()-1,COLUMN())),NOTA[[#This Row],[FAKTUR]]))</f>
        <v/>
      </c>
      <c r="AL601" s="35" t="str">
        <f ca="1">IF(NOTA[[#This Row],[ID]]="","",COUNTIF(NOTA[ID_H],NOTA[[#This Row],[ID_H]]))</f>
        <v/>
      </c>
      <c r="AM601" s="35" t="str">
        <f ca="1">IF(NOTA[[#This Row],[TGL.NOTA]]="",IF(NOTA[[#This Row],[SUPPLIER_H]]="","",AM600),MONTH(NOTA[[#This Row],[TGL.NOTA]]))</f>
        <v/>
      </c>
      <c r="AN6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1" s="35" t="str">
        <f>IF(NOTA[[#This Row],[CONCAT1]]="","",MATCH(NOTA[[#This Row],[CONCAT1]],[3]!db[NB NOTA_C],0))</f>
        <v/>
      </c>
      <c r="AS601" s="35" t="str">
        <f>IF(NOTA[[#This Row],[Column5]]="","",TRUE)</f>
        <v/>
      </c>
      <c r="AT601" s="35" t="str">
        <f ca="1">IF(NOTA[[#This Row],[ID_H]]="","",IF(NOTA[[#This Row],[Column3]]=TRUE,NOTA[[#This Row],[Column5]],INDEX([3]!db[QTY/ CTN],NOTA[[#This Row],[//DB]])))</f>
        <v/>
      </c>
      <c r="AU6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1" s="35" t="str">
        <f ca="1">IF(NOTA[[#This Row],[ID_H]]="","",MATCH(NOTA[[#This Row],[NB NOTA_C_QTY]],[3]!db[NB NOTA_C_QTY+F],0))</f>
        <v/>
      </c>
      <c r="AW601" s="43" t="str">
        <f ca="1">IF(NOTA[[#This Row],[NB NOTA_C_QTY]]="","",ROW()-2)</f>
        <v/>
      </c>
    </row>
    <row r="602" spans="1:49" ht="20.100000000000001" customHeight="1">
      <c r="A6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5" t="str">
        <f ca="1">IF(NOTA[[#This Row],[NAMA BARANG]]="","",INDEX(NOTA[ID],MATCH(,INDIRECT(ADDRESS(ROW(NOTA[ID]),COLUMN(NOTA[ID]))&amp;":"&amp;ADDRESS(ROW(),COLUMN(NOTA[ID]))),-1)))</f>
        <v/>
      </c>
      <c r="C602" s="45"/>
      <c r="F602" s="46"/>
      <c r="G602" s="35"/>
      <c r="H602" s="36"/>
      <c r="I602" s="35"/>
      <c r="K602" s="37"/>
      <c r="L602" s="35"/>
      <c r="N602" s="38"/>
      <c r="O602" s="39"/>
      <c r="P602" s="47"/>
      <c r="Q602" s="48"/>
      <c r="R602" s="41"/>
      <c r="T602" s="42"/>
      <c r="U602" s="44"/>
      <c r="V602" s="42" t="str">
        <f>IF(NOTA[[#This Row],[HARGA/ CTN]]="",NOTA[[#This Row],[JUMLAH_H]],NOTA[[#This Row],[HARGA/ CTN]]*IF(NOTA[[#This Row],[C]]="",0,NOTA[[#This Row],[C]]))</f>
        <v/>
      </c>
      <c r="W602" s="42" t="str">
        <f>IF(NOTA[[#This Row],[JUMLAH]]="","",NOTA[[#This Row],[JUMLAH]]*NOTA[[#This Row],[Column6]])</f>
        <v/>
      </c>
      <c r="X602" s="42" t="str">
        <f>IF(NOTA[[#This Row],[JUMLAH]]="","",(NOTA[[#This Row],[JUMLAH]]-NOTA[[#This Row],[DISC 1-]])*NOTA[[#This Row],[Column7]])</f>
        <v/>
      </c>
      <c r="Y602" s="42" t="str">
        <f>IF(NOTA[[#This Row],[JUMLAH]]="","",(NOTA[[#This Row],[JUMLAH]]-NOTA[[#This Row],[DISC 1-]]-NOTA[[#This Row],[DISC 2-]])*NOTA[[#This Row],[Column8]])</f>
        <v/>
      </c>
      <c r="Z602" s="42" t="str">
        <f>IF(NOTA[[#This Row],[JUMLAH]]="","",NOTA[[#This Row],[DISC 1-]]+NOTA[[#This Row],[DISC 2-]]+NOTA[[#This Row],[DISC 3-]])</f>
        <v/>
      </c>
      <c r="AA602" s="42" t="str">
        <f>IF(NOTA[[#This Row],[JUMLAH]]="","",NOTA[[#This Row],[JUMLAH]]-NOTA[[#This Row],[DISC]])</f>
        <v/>
      </c>
      <c r="AB602" s="42"/>
      <c r="AC6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42" t="str">
        <f>IF(OR(NOTA[[#This Row],[QTY]]="",NOTA[[#This Row],[HARGA SATUAN]]="",),"",NOTA[[#This Row],[QTY]]*NOTA[[#This Row],[HARGA SATUAN]])</f>
        <v/>
      </c>
      <c r="AG602" s="36" t="str">
        <f ca="1">IF(NOTA[[#This Row],[ID_H]]="","",INDEX(NOTA[TANGGAL],MATCH(,INDIRECT(ADDRESS(ROW(NOTA[TANGGAL]),COLUMN(NOTA[TANGGAL]))&amp;":"&amp;ADDRESS(ROW(),COLUMN(NOTA[TANGGAL]))),-1)))</f>
        <v/>
      </c>
      <c r="AH602" s="36" t="str">
        <f ca="1">IF(NOTA[[#This Row],[ID_H]]="","",INDEX(NOTA[TGL.NOTA],MATCH(,INDIRECT(ADDRESS(ROW(NOTA[TGL.NOTA]),COLUMN(NOTA[TGL.NOTA]))&amp;":"&amp;ADDRESS(ROW(),COLUMN(NOTA[TGL.NOTA]))),-1)))</f>
        <v/>
      </c>
      <c r="AI602" s="36" t="str">
        <f ca="1">IF(NOTA[[#This Row],[ID_H]]="","",INDEX(NOTA[NO.NOTA],MATCH(NOTA[[#This Row],[ID_H]],NOTA[ID_H],0)))</f>
        <v/>
      </c>
      <c r="AJ602" s="38" t="str">
        <f ca="1">IF(NOTA[[#This Row],[NAMA BARANG]]="","",INDEX(NOTA[SUPPLIER],MATCH(,INDIRECT(ADDRESS(ROW(NOTA[ID]),COLUMN(NOTA[ID]))&amp;":"&amp;ADDRESS(ROW(),COLUMN(NOTA[ID]))),-1)))</f>
        <v/>
      </c>
      <c r="AK602" s="38" t="str">
        <f ca="1">IF(NOTA[[#This Row],[ID_H]]="","",IF(NOTA[[#This Row],[FAKTUR]]="",INDIRECT(ADDRESS(ROW()-1,COLUMN())),NOTA[[#This Row],[FAKTUR]]))</f>
        <v/>
      </c>
      <c r="AL602" s="35" t="str">
        <f ca="1">IF(NOTA[[#This Row],[ID]]="","",COUNTIF(NOTA[ID_H],NOTA[[#This Row],[ID_H]]))</f>
        <v/>
      </c>
      <c r="AM602" s="35" t="str">
        <f ca="1">IF(NOTA[[#This Row],[TGL.NOTA]]="",IF(NOTA[[#This Row],[SUPPLIER_H]]="","",AM601),MONTH(NOTA[[#This Row],[TGL.NOTA]]))</f>
        <v/>
      </c>
      <c r="AN6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2" s="35" t="str">
        <f>IF(NOTA[[#This Row],[CONCAT1]]="","",MATCH(NOTA[[#This Row],[CONCAT1]],[3]!db[NB NOTA_C],0))</f>
        <v/>
      </c>
      <c r="AS602" s="35" t="str">
        <f>IF(NOTA[[#This Row],[Column5]]="","",TRUE)</f>
        <v/>
      </c>
      <c r="AT602" s="35" t="str">
        <f ca="1">IF(NOTA[[#This Row],[ID_H]]="","",IF(NOTA[[#This Row],[Column3]]=TRUE,NOTA[[#This Row],[Column5]],INDEX([3]!db[QTY/ CTN],NOTA[[#This Row],[//DB]])))</f>
        <v/>
      </c>
      <c r="AU6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2" s="35" t="str">
        <f ca="1">IF(NOTA[[#This Row],[ID_H]]="","",MATCH(NOTA[[#This Row],[NB NOTA_C_QTY]],[3]!db[NB NOTA_C_QTY+F],0))</f>
        <v/>
      </c>
      <c r="AW602" s="43" t="str">
        <f ca="1">IF(NOTA[[#This Row],[NB NOTA_C_QTY]]="","",ROW()-2)</f>
        <v/>
      </c>
    </row>
    <row r="603" spans="1:49" ht="20.100000000000001" customHeight="1">
      <c r="A6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5" t="str">
        <f ca="1">IF(NOTA[[#This Row],[NAMA BARANG]]="","",INDEX(NOTA[ID],MATCH(,INDIRECT(ADDRESS(ROW(NOTA[ID]),COLUMN(NOTA[ID]))&amp;":"&amp;ADDRESS(ROW(),COLUMN(NOTA[ID]))),-1)))</f>
        <v/>
      </c>
      <c r="C603" s="45"/>
      <c r="F603" s="46"/>
      <c r="G603" s="35"/>
      <c r="H603" s="36"/>
      <c r="I603" s="35"/>
      <c r="K603" s="37"/>
      <c r="L603" s="35"/>
      <c r="N603" s="38"/>
      <c r="O603" s="39"/>
      <c r="P603" s="47"/>
      <c r="Q603" s="48"/>
      <c r="R603" s="41"/>
      <c r="T603" s="42"/>
      <c r="U603" s="44"/>
      <c r="V603" s="42" t="str">
        <f>IF(NOTA[[#This Row],[HARGA/ CTN]]="",NOTA[[#This Row],[JUMLAH_H]],NOTA[[#This Row],[HARGA/ CTN]]*IF(NOTA[[#This Row],[C]]="",0,NOTA[[#This Row],[C]]))</f>
        <v/>
      </c>
      <c r="W603" s="42" t="str">
        <f>IF(NOTA[[#This Row],[JUMLAH]]="","",NOTA[[#This Row],[JUMLAH]]*NOTA[[#This Row],[Column6]])</f>
        <v/>
      </c>
      <c r="X603" s="42" t="str">
        <f>IF(NOTA[[#This Row],[JUMLAH]]="","",(NOTA[[#This Row],[JUMLAH]]-NOTA[[#This Row],[DISC 1-]])*NOTA[[#This Row],[Column7]])</f>
        <v/>
      </c>
      <c r="Y603" s="42" t="str">
        <f>IF(NOTA[[#This Row],[JUMLAH]]="","",(NOTA[[#This Row],[JUMLAH]]-NOTA[[#This Row],[DISC 1-]]-NOTA[[#This Row],[DISC 2-]])*NOTA[[#This Row],[Column8]])</f>
        <v/>
      </c>
      <c r="Z603" s="42" t="str">
        <f>IF(NOTA[[#This Row],[JUMLAH]]="","",NOTA[[#This Row],[DISC 1-]]+NOTA[[#This Row],[DISC 2-]]+NOTA[[#This Row],[DISC 3-]])</f>
        <v/>
      </c>
      <c r="AA603" s="42" t="str">
        <f>IF(NOTA[[#This Row],[JUMLAH]]="","",NOTA[[#This Row],[JUMLAH]]-NOTA[[#This Row],[DISC]])</f>
        <v/>
      </c>
      <c r="AB603" s="42"/>
      <c r="AC6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42" t="str">
        <f>IF(OR(NOTA[[#This Row],[QTY]]="",NOTA[[#This Row],[HARGA SATUAN]]="",),"",NOTA[[#This Row],[QTY]]*NOTA[[#This Row],[HARGA SATUAN]])</f>
        <v/>
      </c>
      <c r="AG603" s="36" t="str">
        <f ca="1">IF(NOTA[[#This Row],[ID_H]]="","",INDEX(NOTA[TANGGAL],MATCH(,INDIRECT(ADDRESS(ROW(NOTA[TANGGAL]),COLUMN(NOTA[TANGGAL]))&amp;":"&amp;ADDRESS(ROW(),COLUMN(NOTA[TANGGAL]))),-1)))</f>
        <v/>
      </c>
      <c r="AH603" s="36" t="str">
        <f ca="1">IF(NOTA[[#This Row],[ID_H]]="","",INDEX(NOTA[TGL.NOTA],MATCH(,INDIRECT(ADDRESS(ROW(NOTA[TGL.NOTA]),COLUMN(NOTA[TGL.NOTA]))&amp;":"&amp;ADDRESS(ROW(),COLUMN(NOTA[TGL.NOTA]))),-1)))</f>
        <v/>
      </c>
      <c r="AI603" s="36" t="str">
        <f ca="1">IF(NOTA[[#This Row],[ID_H]]="","",INDEX(NOTA[NO.NOTA],MATCH(NOTA[[#This Row],[ID_H]],NOTA[ID_H],0)))</f>
        <v/>
      </c>
      <c r="AJ603" s="38" t="str">
        <f ca="1">IF(NOTA[[#This Row],[NAMA BARANG]]="","",INDEX(NOTA[SUPPLIER],MATCH(,INDIRECT(ADDRESS(ROW(NOTA[ID]),COLUMN(NOTA[ID]))&amp;":"&amp;ADDRESS(ROW(),COLUMN(NOTA[ID]))),-1)))</f>
        <v/>
      </c>
      <c r="AK603" s="38" t="str">
        <f ca="1">IF(NOTA[[#This Row],[ID_H]]="","",IF(NOTA[[#This Row],[FAKTUR]]="",INDIRECT(ADDRESS(ROW()-1,COLUMN())),NOTA[[#This Row],[FAKTUR]]))</f>
        <v/>
      </c>
      <c r="AL603" s="35" t="str">
        <f ca="1">IF(NOTA[[#This Row],[ID]]="","",COUNTIF(NOTA[ID_H],NOTA[[#This Row],[ID_H]]))</f>
        <v/>
      </c>
      <c r="AM603" s="35" t="str">
        <f ca="1">IF(NOTA[[#This Row],[TGL.NOTA]]="",IF(NOTA[[#This Row],[SUPPLIER_H]]="","",AM602),MONTH(NOTA[[#This Row],[TGL.NOTA]]))</f>
        <v/>
      </c>
      <c r="AN6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3" s="35" t="str">
        <f>IF(NOTA[[#This Row],[CONCAT1]]="","",MATCH(NOTA[[#This Row],[CONCAT1]],[3]!db[NB NOTA_C],0))</f>
        <v/>
      </c>
      <c r="AS603" s="35" t="str">
        <f>IF(NOTA[[#This Row],[Column5]]="","",TRUE)</f>
        <v/>
      </c>
      <c r="AT603" s="35" t="str">
        <f ca="1">IF(NOTA[[#This Row],[ID_H]]="","",IF(NOTA[[#This Row],[Column3]]=TRUE,NOTA[[#This Row],[Column5]],INDEX([3]!db[QTY/ CTN],NOTA[[#This Row],[//DB]])))</f>
        <v/>
      </c>
      <c r="AU6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3" s="35" t="str">
        <f ca="1">IF(NOTA[[#This Row],[ID_H]]="","",MATCH(NOTA[[#This Row],[NB NOTA_C_QTY]],[3]!db[NB NOTA_C_QTY+F],0))</f>
        <v/>
      </c>
      <c r="AW603" s="43" t="str">
        <f ca="1">IF(NOTA[[#This Row],[NB NOTA_C_QTY]]="","",ROW()-2)</f>
        <v/>
      </c>
    </row>
    <row r="604" spans="1:49" ht="20.100000000000001" customHeight="1">
      <c r="A6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5" t="str">
        <f ca="1">IF(NOTA[[#This Row],[NAMA BARANG]]="","",INDEX(NOTA[ID],MATCH(,INDIRECT(ADDRESS(ROW(NOTA[ID]),COLUMN(NOTA[ID]))&amp;":"&amp;ADDRESS(ROW(),COLUMN(NOTA[ID]))),-1)))</f>
        <v/>
      </c>
      <c r="C604" s="45"/>
      <c r="F604" s="46"/>
      <c r="G604" s="35"/>
      <c r="H604" s="36"/>
      <c r="I604" s="35"/>
      <c r="K604" s="37"/>
      <c r="L604" s="35"/>
      <c r="N604" s="38"/>
      <c r="O604" s="39"/>
      <c r="P604" s="47"/>
      <c r="Q604" s="48"/>
      <c r="R604" s="41"/>
      <c r="T604" s="42"/>
      <c r="U604" s="44"/>
      <c r="V604" s="42" t="str">
        <f>IF(NOTA[[#This Row],[HARGA/ CTN]]="",NOTA[[#This Row],[JUMLAH_H]],NOTA[[#This Row],[HARGA/ CTN]]*IF(NOTA[[#This Row],[C]]="",0,NOTA[[#This Row],[C]]))</f>
        <v/>
      </c>
      <c r="W604" s="42" t="str">
        <f>IF(NOTA[[#This Row],[JUMLAH]]="","",NOTA[[#This Row],[JUMLAH]]*NOTA[[#This Row],[Column6]])</f>
        <v/>
      </c>
      <c r="X604" s="42" t="str">
        <f>IF(NOTA[[#This Row],[JUMLAH]]="","",(NOTA[[#This Row],[JUMLAH]]-NOTA[[#This Row],[DISC 1-]])*NOTA[[#This Row],[Column7]])</f>
        <v/>
      </c>
      <c r="Y604" s="42" t="str">
        <f>IF(NOTA[[#This Row],[JUMLAH]]="","",(NOTA[[#This Row],[JUMLAH]]-NOTA[[#This Row],[DISC 1-]]-NOTA[[#This Row],[DISC 2-]])*NOTA[[#This Row],[Column8]])</f>
        <v/>
      </c>
      <c r="Z604" s="42" t="str">
        <f>IF(NOTA[[#This Row],[JUMLAH]]="","",NOTA[[#This Row],[DISC 1-]]+NOTA[[#This Row],[DISC 2-]]+NOTA[[#This Row],[DISC 3-]])</f>
        <v/>
      </c>
      <c r="AA604" s="42" t="str">
        <f>IF(NOTA[[#This Row],[JUMLAH]]="","",NOTA[[#This Row],[JUMLAH]]-NOTA[[#This Row],[DISC]])</f>
        <v/>
      </c>
      <c r="AB604" s="42"/>
      <c r="AC6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42" t="str">
        <f>IF(OR(NOTA[[#This Row],[QTY]]="",NOTA[[#This Row],[HARGA SATUAN]]="",),"",NOTA[[#This Row],[QTY]]*NOTA[[#This Row],[HARGA SATUAN]])</f>
        <v/>
      </c>
      <c r="AG604" s="36" t="str">
        <f ca="1">IF(NOTA[[#This Row],[ID_H]]="","",INDEX(NOTA[TANGGAL],MATCH(,INDIRECT(ADDRESS(ROW(NOTA[TANGGAL]),COLUMN(NOTA[TANGGAL]))&amp;":"&amp;ADDRESS(ROW(),COLUMN(NOTA[TANGGAL]))),-1)))</f>
        <v/>
      </c>
      <c r="AH604" s="36" t="str">
        <f ca="1">IF(NOTA[[#This Row],[ID_H]]="","",INDEX(NOTA[TGL.NOTA],MATCH(,INDIRECT(ADDRESS(ROW(NOTA[TGL.NOTA]),COLUMN(NOTA[TGL.NOTA]))&amp;":"&amp;ADDRESS(ROW(),COLUMN(NOTA[TGL.NOTA]))),-1)))</f>
        <v/>
      </c>
      <c r="AI604" s="36" t="str">
        <f ca="1">IF(NOTA[[#This Row],[ID_H]]="","",INDEX(NOTA[NO.NOTA],MATCH(NOTA[[#This Row],[ID_H]],NOTA[ID_H],0)))</f>
        <v/>
      </c>
      <c r="AJ604" s="38" t="str">
        <f ca="1">IF(NOTA[[#This Row],[NAMA BARANG]]="","",INDEX(NOTA[SUPPLIER],MATCH(,INDIRECT(ADDRESS(ROW(NOTA[ID]),COLUMN(NOTA[ID]))&amp;":"&amp;ADDRESS(ROW(),COLUMN(NOTA[ID]))),-1)))</f>
        <v/>
      </c>
      <c r="AK604" s="38" t="str">
        <f ca="1">IF(NOTA[[#This Row],[ID_H]]="","",IF(NOTA[[#This Row],[FAKTUR]]="",INDIRECT(ADDRESS(ROW()-1,COLUMN())),NOTA[[#This Row],[FAKTUR]]))</f>
        <v/>
      </c>
      <c r="AL604" s="35" t="str">
        <f ca="1">IF(NOTA[[#This Row],[ID]]="","",COUNTIF(NOTA[ID_H],NOTA[[#This Row],[ID_H]]))</f>
        <v/>
      </c>
      <c r="AM604" s="35" t="str">
        <f ca="1">IF(NOTA[[#This Row],[TGL.NOTA]]="",IF(NOTA[[#This Row],[SUPPLIER_H]]="","",AM603),MONTH(NOTA[[#This Row],[TGL.NOTA]]))</f>
        <v/>
      </c>
      <c r="AN6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4" s="35" t="str">
        <f>IF(NOTA[[#This Row],[CONCAT1]]="","",MATCH(NOTA[[#This Row],[CONCAT1]],[3]!db[NB NOTA_C],0))</f>
        <v/>
      </c>
      <c r="AS604" s="35" t="str">
        <f>IF(NOTA[[#This Row],[Column5]]="","",TRUE)</f>
        <v/>
      </c>
      <c r="AT604" s="35" t="str">
        <f ca="1">IF(NOTA[[#This Row],[ID_H]]="","",IF(NOTA[[#This Row],[Column3]]=TRUE,NOTA[[#This Row],[Column5]],INDEX([3]!db[QTY/ CTN],NOTA[[#This Row],[//DB]])))</f>
        <v/>
      </c>
      <c r="AU6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4" s="35" t="str">
        <f ca="1">IF(NOTA[[#This Row],[ID_H]]="","",MATCH(NOTA[[#This Row],[NB NOTA_C_QTY]],[3]!db[NB NOTA_C_QTY+F],0))</f>
        <v/>
      </c>
      <c r="AW604" s="43" t="str">
        <f ca="1">IF(NOTA[[#This Row],[NB NOTA_C_QTY]]="","",ROW()-2)</f>
        <v/>
      </c>
    </row>
    <row r="605" spans="1:49" ht="20.100000000000001" customHeight="1">
      <c r="A6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5" t="str">
        <f ca="1">IF(NOTA[[#This Row],[NAMA BARANG]]="","",INDEX(NOTA[ID],MATCH(,INDIRECT(ADDRESS(ROW(NOTA[ID]),COLUMN(NOTA[ID]))&amp;":"&amp;ADDRESS(ROW(),COLUMN(NOTA[ID]))),-1)))</f>
        <v/>
      </c>
      <c r="C605" s="45"/>
      <c r="F605" s="46"/>
      <c r="G605" s="35"/>
      <c r="H605" s="36"/>
      <c r="I605" s="35"/>
      <c r="K605" s="37"/>
      <c r="L605" s="35"/>
      <c r="N605" s="38"/>
      <c r="O605" s="39"/>
      <c r="P605" s="47"/>
      <c r="Q605" s="48"/>
      <c r="R605" s="41"/>
      <c r="T605" s="42"/>
      <c r="U605" s="44"/>
      <c r="V605" s="42" t="str">
        <f>IF(NOTA[[#This Row],[HARGA/ CTN]]="",NOTA[[#This Row],[JUMLAH_H]],NOTA[[#This Row],[HARGA/ CTN]]*IF(NOTA[[#This Row],[C]]="",0,NOTA[[#This Row],[C]]))</f>
        <v/>
      </c>
      <c r="W605" s="42" t="str">
        <f>IF(NOTA[[#This Row],[JUMLAH]]="","",NOTA[[#This Row],[JUMLAH]]*NOTA[[#This Row],[Column6]])</f>
        <v/>
      </c>
      <c r="X605" s="42" t="str">
        <f>IF(NOTA[[#This Row],[JUMLAH]]="","",(NOTA[[#This Row],[JUMLAH]]-NOTA[[#This Row],[DISC 1-]])*NOTA[[#This Row],[Column7]])</f>
        <v/>
      </c>
      <c r="Y605" s="42" t="str">
        <f>IF(NOTA[[#This Row],[JUMLAH]]="","",(NOTA[[#This Row],[JUMLAH]]-NOTA[[#This Row],[DISC 1-]]-NOTA[[#This Row],[DISC 2-]])*NOTA[[#This Row],[Column8]])</f>
        <v/>
      </c>
      <c r="Z605" s="42" t="str">
        <f>IF(NOTA[[#This Row],[JUMLAH]]="","",NOTA[[#This Row],[DISC 1-]]+NOTA[[#This Row],[DISC 2-]]+NOTA[[#This Row],[DISC 3-]])</f>
        <v/>
      </c>
      <c r="AA605" s="42" t="str">
        <f>IF(NOTA[[#This Row],[JUMLAH]]="","",NOTA[[#This Row],[JUMLAH]]-NOTA[[#This Row],[DISC]])</f>
        <v/>
      </c>
      <c r="AB605" s="42"/>
      <c r="AC6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42" t="str">
        <f>IF(OR(NOTA[[#This Row],[QTY]]="",NOTA[[#This Row],[HARGA SATUAN]]="",),"",NOTA[[#This Row],[QTY]]*NOTA[[#This Row],[HARGA SATUAN]])</f>
        <v/>
      </c>
      <c r="AG605" s="36" t="str">
        <f ca="1">IF(NOTA[[#This Row],[ID_H]]="","",INDEX(NOTA[TANGGAL],MATCH(,INDIRECT(ADDRESS(ROW(NOTA[TANGGAL]),COLUMN(NOTA[TANGGAL]))&amp;":"&amp;ADDRESS(ROW(),COLUMN(NOTA[TANGGAL]))),-1)))</f>
        <v/>
      </c>
      <c r="AH605" s="36" t="str">
        <f ca="1">IF(NOTA[[#This Row],[ID_H]]="","",INDEX(NOTA[TGL.NOTA],MATCH(,INDIRECT(ADDRESS(ROW(NOTA[TGL.NOTA]),COLUMN(NOTA[TGL.NOTA]))&amp;":"&amp;ADDRESS(ROW(),COLUMN(NOTA[TGL.NOTA]))),-1)))</f>
        <v/>
      </c>
      <c r="AI605" s="36" t="str">
        <f ca="1">IF(NOTA[[#This Row],[ID_H]]="","",INDEX(NOTA[NO.NOTA],MATCH(NOTA[[#This Row],[ID_H]],NOTA[ID_H],0)))</f>
        <v/>
      </c>
      <c r="AJ605" s="38" t="str">
        <f ca="1">IF(NOTA[[#This Row],[NAMA BARANG]]="","",INDEX(NOTA[SUPPLIER],MATCH(,INDIRECT(ADDRESS(ROW(NOTA[ID]),COLUMN(NOTA[ID]))&amp;":"&amp;ADDRESS(ROW(),COLUMN(NOTA[ID]))),-1)))</f>
        <v/>
      </c>
      <c r="AK605" s="38" t="str">
        <f ca="1">IF(NOTA[[#This Row],[ID_H]]="","",IF(NOTA[[#This Row],[FAKTUR]]="",INDIRECT(ADDRESS(ROW()-1,COLUMN())),NOTA[[#This Row],[FAKTUR]]))</f>
        <v/>
      </c>
      <c r="AL605" s="35" t="str">
        <f ca="1">IF(NOTA[[#This Row],[ID]]="","",COUNTIF(NOTA[ID_H],NOTA[[#This Row],[ID_H]]))</f>
        <v/>
      </c>
      <c r="AM605" s="35" t="str">
        <f ca="1">IF(NOTA[[#This Row],[TGL.NOTA]]="",IF(NOTA[[#This Row],[SUPPLIER_H]]="","",AM604),MONTH(NOTA[[#This Row],[TGL.NOTA]]))</f>
        <v/>
      </c>
      <c r="AN6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5" s="35" t="str">
        <f>IF(NOTA[[#This Row],[CONCAT1]]="","",MATCH(NOTA[[#This Row],[CONCAT1]],[3]!db[NB NOTA_C],0))</f>
        <v/>
      </c>
      <c r="AS605" s="35" t="str">
        <f>IF(NOTA[[#This Row],[Column5]]="","",TRUE)</f>
        <v/>
      </c>
      <c r="AT605" s="35" t="str">
        <f ca="1">IF(NOTA[[#This Row],[ID_H]]="","",IF(NOTA[[#This Row],[Column3]]=TRUE,NOTA[[#This Row],[Column5]],INDEX([3]!db[QTY/ CTN],NOTA[[#This Row],[//DB]])))</f>
        <v/>
      </c>
      <c r="AU6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5" s="35" t="str">
        <f ca="1">IF(NOTA[[#This Row],[ID_H]]="","",MATCH(NOTA[[#This Row],[NB NOTA_C_QTY]],[3]!db[NB NOTA_C_QTY+F],0))</f>
        <v/>
      </c>
      <c r="AW605" s="43" t="str">
        <f ca="1">IF(NOTA[[#This Row],[NB NOTA_C_QTY]]="","",ROW()-2)</f>
        <v/>
      </c>
    </row>
    <row r="606" spans="1:49" ht="20.100000000000001" customHeight="1">
      <c r="A6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5" t="str">
        <f ca="1">IF(NOTA[[#This Row],[NAMA BARANG]]="","",INDEX(NOTA[ID],MATCH(,INDIRECT(ADDRESS(ROW(NOTA[ID]),COLUMN(NOTA[ID]))&amp;":"&amp;ADDRESS(ROW(),COLUMN(NOTA[ID]))),-1)))</f>
        <v/>
      </c>
      <c r="C606" s="45"/>
      <c r="F606" s="46"/>
      <c r="G606" s="35"/>
      <c r="H606" s="36"/>
      <c r="I606" s="35"/>
      <c r="K606" s="37"/>
      <c r="L606" s="35"/>
      <c r="N606" s="38"/>
      <c r="O606" s="39"/>
      <c r="P606" s="47"/>
      <c r="Q606" s="48"/>
      <c r="R606" s="41"/>
      <c r="T606" s="42"/>
      <c r="U606" s="44"/>
      <c r="V606" s="42" t="str">
        <f>IF(NOTA[[#This Row],[HARGA/ CTN]]="",NOTA[[#This Row],[JUMLAH_H]],NOTA[[#This Row],[HARGA/ CTN]]*IF(NOTA[[#This Row],[C]]="",0,NOTA[[#This Row],[C]]))</f>
        <v/>
      </c>
      <c r="W606" s="42" t="str">
        <f>IF(NOTA[[#This Row],[JUMLAH]]="","",NOTA[[#This Row],[JUMLAH]]*NOTA[[#This Row],[Column6]])</f>
        <v/>
      </c>
      <c r="X606" s="42" t="str">
        <f>IF(NOTA[[#This Row],[JUMLAH]]="","",(NOTA[[#This Row],[JUMLAH]]-NOTA[[#This Row],[DISC 1-]])*NOTA[[#This Row],[Column7]])</f>
        <v/>
      </c>
      <c r="Y606" s="42" t="str">
        <f>IF(NOTA[[#This Row],[JUMLAH]]="","",(NOTA[[#This Row],[JUMLAH]]-NOTA[[#This Row],[DISC 1-]]-NOTA[[#This Row],[DISC 2-]])*NOTA[[#This Row],[Column8]])</f>
        <v/>
      </c>
      <c r="Z606" s="42" t="str">
        <f>IF(NOTA[[#This Row],[JUMLAH]]="","",NOTA[[#This Row],[DISC 1-]]+NOTA[[#This Row],[DISC 2-]]+NOTA[[#This Row],[DISC 3-]])</f>
        <v/>
      </c>
      <c r="AA606" s="42" t="str">
        <f>IF(NOTA[[#This Row],[JUMLAH]]="","",NOTA[[#This Row],[JUMLAH]]-NOTA[[#This Row],[DISC]])</f>
        <v/>
      </c>
      <c r="AB606" s="42"/>
      <c r="AC6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42" t="str">
        <f>IF(OR(NOTA[[#This Row],[QTY]]="",NOTA[[#This Row],[HARGA SATUAN]]="",),"",NOTA[[#This Row],[QTY]]*NOTA[[#This Row],[HARGA SATUAN]])</f>
        <v/>
      </c>
      <c r="AG606" s="36" t="str">
        <f ca="1">IF(NOTA[[#This Row],[ID_H]]="","",INDEX(NOTA[TANGGAL],MATCH(,INDIRECT(ADDRESS(ROW(NOTA[TANGGAL]),COLUMN(NOTA[TANGGAL]))&amp;":"&amp;ADDRESS(ROW(),COLUMN(NOTA[TANGGAL]))),-1)))</f>
        <v/>
      </c>
      <c r="AH606" s="36" t="str">
        <f ca="1">IF(NOTA[[#This Row],[ID_H]]="","",INDEX(NOTA[TGL.NOTA],MATCH(,INDIRECT(ADDRESS(ROW(NOTA[TGL.NOTA]),COLUMN(NOTA[TGL.NOTA]))&amp;":"&amp;ADDRESS(ROW(),COLUMN(NOTA[TGL.NOTA]))),-1)))</f>
        <v/>
      </c>
      <c r="AI606" s="36" t="str">
        <f ca="1">IF(NOTA[[#This Row],[ID_H]]="","",INDEX(NOTA[NO.NOTA],MATCH(NOTA[[#This Row],[ID_H]],NOTA[ID_H],0)))</f>
        <v/>
      </c>
      <c r="AJ606" s="38" t="str">
        <f ca="1">IF(NOTA[[#This Row],[NAMA BARANG]]="","",INDEX(NOTA[SUPPLIER],MATCH(,INDIRECT(ADDRESS(ROW(NOTA[ID]),COLUMN(NOTA[ID]))&amp;":"&amp;ADDRESS(ROW(),COLUMN(NOTA[ID]))),-1)))</f>
        <v/>
      </c>
      <c r="AK606" s="38" t="str">
        <f ca="1">IF(NOTA[[#This Row],[ID_H]]="","",IF(NOTA[[#This Row],[FAKTUR]]="",INDIRECT(ADDRESS(ROW()-1,COLUMN())),NOTA[[#This Row],[FAKTUR]]))</f>
        <v/>
      </c>
      <c r="AL606" s="35" t="str">
        <f ca="1">IF(NOTA[[#This Row],[ID]]="","",COUNTIF(NOTA[ID_H],NOTA[[#This Row],[ID_H]]))</f>
        <v/>
      </c>
      <c r="AM606" s="35" t="str">
        <f ca="1">IF(NOTA[[#This Row],[TGL.NOTA]]="",IF(NOTA[[#This Row],[SUPPLIER_H]]="","",AM605),MONTH(NOTA[[#This Row],[TGL.NOTA]]))</f>
        <v/>
      </c>
      <c r="AN6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6" s="35" t="str">
        <f>IF(NOTA[[#This Row],[CONCAT1]]="","",MATCH(NOTA[[#This Row],[CONCAT1]],[3]!db[NB NOTA_C],0))</f>
        <v/>
      </c>
      <c r="AS606" s="35" t="str">
        <f>IF(NOTA[[#This Row],[Column5]]="","",TRUE)</f>
        <v/>
      </c>
      <c r="AT606" s="35" t="str">
        <f ca="1">IF(NOTA[[#This Row],[ID_H]]="","",IF(NOTA[[#This Row],[Column3]]=TRUE,NOTA[[#This Row],[Column5]],INDEX([3]!db[QTY/ CTN],NOTA[[#This Row],[//DB]])))</f>
        <v/>
      </c>
      <c r="AU6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6" s="35" t="str">
        <f ca="1">IF(NOTA[[#This Row],[ID_H]]="","",MATCH(NOTA[[#This Row],[NB NOTA_C_QTY]],[3]!db[NB NOTA_C_QTY+F],0))</f>
        <v/>
      </c>
      <c r="AW606" s="43" t="str">
        <f ca="1">IF(NOTA[[#This Row],[NB NOTA_C_QTY]]="","",ROW()-2)</f>
        <v/>
      </c>
    </row>
    <row r="607" spans="1:49" ht="20.100000000000001" customHeight="1">
      <c r="A6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5" t="str">
        <f ca="1">IF(NOTA[[#This Row],[NAMA BARANG]]="","",INDEX(NOTA[ID],MATCH(,INDIRECT(ADDRESS(ROW(NOTA[ID]),COLUMN(NOTA[ID]))&amp;":"&amp;ADDRESS(ROW(),COLUMN(NOTA[ID]))),-1)))</f>
        <v/>
      </c>
      <c r="C607" s="45"/>
      <c r="F607" s="46"/>
      <c r="G607" s="35"/>
      <c r="H607" s="36"/>
      <c r="I607" s="35"/>
      <c r="K607" s="37"/>
      <c r="L607" s="35"/>
      <c r="N607" s="38"/>
      <c r="O607" s="39"/>
      <c r="P607" s="47"/>
      <c r="Q607" s="48"/>
      <c r="R607" s="41"/>
      <c r="T607" s="42"/>
      <c r="U607" s="44"/>
      <c r="V607" s="42" t="str">
        <f>IF(NOTA[[#This Row],[HARGA/ CTN]]="",NOTA[[#This Row],[JUMLAH_H]],NOTA[[#This Row],[HARGA/ CTN]]*IF(NOTA[[#This Row],[C]]="",0,NOTA[[#This Row],[C]]))</f>
        <v/>
      </c>
      <c r="W607" s="42" t="str">
        <f>IF(NOTA[[#This Row],[JUMLAH]]="","",NOTA[[#This Row],[JUMLAH]]*NOTA[[#This Row],[Column6]])</f>
        <v/>
      </c>
      <c r="X607" s="42" t="str">
        <f>IF(NOTA[[#This Row],[JUMLAH]]="","",(NOTA[[#This Row],[JUMLAH]]-NOTA[[#This Row],[DISC 1-]])*NOTA[[#This Row],[Column7]])</f>
        <v/>
      </c>
      <c r="Y607" s="42" t="str">
        <f>IF(NOTA[[#This Row],[JUMLAH]]="","",(NOTA[[#This Row],[JUMLAH]]-NOTA[[#This Row],[DISC 1-]]-NOTA[[#This Row],[DISC 2-]])*NOTA[[#This Row],[Column8]])</f>
        <v/>
      </c>
      <c r="Z607" s="42" t="str">
        <f>IF(NOTA[[#This Row],[JUMLAH]]="","",NOTA[[#This Row],[DISC 1-]]+NOTA[[#This Row],[DISC 2-]]+NOTA[[#This Row],[DISC 3-]])</f>
        <v/>
      </c>
      <c r="AA607" s="42" t="str">
        <f>IF(NOTA[[#This Row],[JUMLAH]]="","",NOTA[[#This Row],[JUMLAH]]-NOTA[[#This Row],[DISC]])</f>
        <v/>
      </c>
      <c r="AB607" s="42"/>
      <c r="AC6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42" t="str">
        <f>IF(OR(NOTA[[#This Row],[QTY]]="",NOTA[[#This Row],[HARGA SATUAN]]="",),"",NOTA[[#This Row],[QTY]]*NOTA[[#This Row],[HARGA SATUAN]])</f>
        <v/>
      </c>
      <c r="AG607" s="36" t="str">
        <f ca="1">IF(NOTA[[#This Row],[ID_H]]="","",INDEX(NOTA[TANGGAL],MATCH(,INDIRECT(ADDRESS(ROW(NOTA[TANGGAL]),COLUMN(NOTA[TANGGAL]))&amp;":"&amp;ADDRESS(ROW(),COLUMN(NOTA[TANGGAL]))),-1)))</f>
        <v/>
      </c>
      <c r="AH607" s="36" t="str">
        <f ca="1">IF(NOTA[[#This Row],[ID_H]]="","",INDEX(NOTA[TGL.NOTA],MATCH(,INDIRECT(ADDRESS(ROW(NOTA[TGL.NOTA]),COLUMN(NOTA[TGL.NOTA]))&amp;":"&amp;ADDRESS(ROW(),COLUMN(NOTA[TGL.NOTA]))),-1)))</f>
        <v/>
      </c>
      <c r="AI607" s="36" t="str">
        <f ca="1">IF(NOTA[[#This Row],[ID_H]]="","",INDEX(NOTA[NO.NOTA],MATCH(NOTA[[#This Row],[ID_H]],NOTA[ID_H],0)))</f>
        <v/>
      </c>
      <c r="AJ607" s="38" t="str">
        <f ca="1">IF(NOTA[[#This Row],[NAMA BARANG]]="","",INDEX(NOTA[SUPPLIER],MATCH(,INDIRECT(ADDRESS(ROW(NOTA[ID]),COLUMN(NOTA[ID]))&amp;":"&amp;ADDRESS(ROW(),COLUMN(NOTA[ID]))),-1)))</f>
        <v/>
      </c>
      <c r="AK607" s="38" t="str">
        <f ca="1">IF(NOTA[[#This Row],[ID_H]]="","",IF(NOTA[[#This Row],[FAKTUR]]="",INDIRECT(ADDRESS(ROW()-1,COLUMN())),NOTA[[#This Row],[FAKTUR]]))</f>
        <v/>
      </c>
      <c r="AL607" s="35" t="str">
        <f ca="1">IF(NOTA[[#This Row],[ID]]="","",COUNTIF(NOTA[ID_H],NOTA[[#This Row],[ID_H]]))</f>
        <v/>
      </c>
      <c r="AM607" s="35" t="str">
        <f ca="1">IF(NOTA[[#This Row],[TGL.NOTA]]="",IF(NOTA[[#This Row],[SUPPLIER_H]]="","",AM606),MONTH(NOTA[[#This Row],[TGL.NOTA]]))</f>
        <v/>
      </c>
      <c r="AN6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7" s="35" t="str">
        <f>IF(NOTA[[#This Row],[CONCAT1]]="","",MATCH(NOTA[[#This Row],[CONCAT1]],[3]!db[NB NOTA_C],0))</f>
        <v/>
      </c>
      <c r="AS607" s="35" t="str">
        <f>IF(NOTA[[#This Row],[Column5]]="","",TRUE)</f>
        <v/>
      </c>
      <c r="AT607" s="35" t="str">
        <f ca="1">IF(NOTA[[#This Row],[ID_H]]="","",IF(NOTA[[#This Row],[Column3]]=TRUE,NOTA[[#This Row],[Column5]],INDEX([3]!db[QTY/ CTN],NOTA[[#This Row],[//DB]])))</f>
        <v/>
      </c>
      <c r="AU6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7" s="35" t="str">
        <f ca="1">IF(NOTA[[#This Row],[ID_H]]="","",MATCH(NOTA[[#This Row],[NB NOTA_C_QTY]],[3]!db[NB NOTA_C_QTY+F],0))</f>
        <v/>
      </c>
      <c r="AW607" s="43" t="str">
        <f ca="1">IF(NOTA[[#This Row],[NB NOTA_C_QTY]]="","",ROW()-2)</f>
        <v/>
      </c>
    </row>
    <row r="608" spans="1:49" ht="20.100000000000001" customHeight="1">
      <c r="A6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5" t="str">
        <f ca="1">IF(NOTA[[#This Row],[NAMA BARANG]]="","",INDEX(NOTA[ID],MATCH(,INDIRECT(ADDRESS(ROW(NOTA[ID]),COLUMN(NOTA[ID]))&amp;":"&amp;ADDRESS(ROW(),COLUMN(NOTA[ID]))),-1)))</f>
        <v/>
      </c>
      <c r="C608" s="45"/>
      <c r="F608" s="46"/>
      <c r="G608" s="35"/>
      <c r="H608" s="36"/>
      <c r="I608" s="35"/>
      <c r="K608" s="37"/>
      <c r="L608" s="35"/>
      <c r="N608" s="38"/>
      <c r="O608" s="39"/>
      <c r="P608" s="47"/>
      <c r="Q608" s="48"/>
      <c r="R608" s="41"/>
      <c r="T608" s="42"/>
      <c r="U608" s="44"/>
      <c r="V608" s="42" t="str">
        <f>IF(NOTA[[#This Row],[HARGA/ CTN]]="",NOTA[[#This Row],[JUMLAH_H]],NOTA[[#This Row],[HARGA/ CTN]]*IF(NOTA[[#This Row],[C]]="",0,NOTA[[#This Row],[C]]))</f>
        <v/>
      </c>
      <c r="W608" s="42" t="str">
        <f>IF(NOTA[[#This Row],[JUMLAH]]="","",NOTA[[#This Row],[JUMLAH]]*NOTA[[#This Row],[Column6]])</f>
        <v/>
      </c>
      <c r="X608" s="42" t="str">
        <f>IF(NOTA[[#This Row],[JUMLAH]]="","",(NOTA[[#This Row],[JUMLAH]]-NOTA[[#This Row],[DISC 1-]])*NOTA[[#This Row],[Column7]])</f>
        <v/>
      </c>
      <c r="Y608" s="42" t="str">
        <f>IF(NOTA[[#This Row],[JUMLAH]]="","",(NOTA[[#This Row],[JUMLAH]]-NOTA[[#This Row],[DISC 1-]]-NOTA[[#This Row],[DISC 2-]])*NOTA[[#This Row],[Column8]])</f>
        <v/>
      </c>
      <c r="Z608" s="42" t="str">
        <f>IF(NOTA[[#This Row],[JUMLAH]]="","",NOTA[[#This Row],[DISC 1-]]+NOTA[[#This Row],[DISC 2-]]+NOTA[[#This Row],[DISC 3-]])</f>
        <v/>
      </c>
      <c r="AA608" s="42" t="str">
        <f>IF(NOTA[[#This Row],[JUMLAH]]="","",NOTA[[#This Row],[JUMLAH]]-NOTA[[#This Row],[DISC]])</f>
        <v/>
      </c>
      <c r="AB608" s="42"/>
      <c r="AC6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42" t="str">
        <f>IF(OR(NOTA[[#This Row],[QTY]]="",NOTA[[#This Row],[HARGA SATUAN]]="",),"",NOTA[[#This Row],[QTY]]*NOTA[[#This Row],[HARGA SATUAN]])</f>
        <v/>
      </c>
      <c r="AG608" s="36" t="str">
        <f ca="1">IF(NOTA[[#This Row],[ID_H]]="","",INDEX(NOTA[TANGGAL],MATCH(,INDIRECT(ADDRESS(ROW(NOTA[TANGGAL]),COLUMN(NOTA[TANGGAL]))&amp;":"&amp;ADDRESS(ROW(),COLUMN(NOTA[TANGGAL]))),-1)))</f>
        <v/>
      </c>
      <c r="AH608" s="36" t="str">
        <f ca="1">IF(NOTA[[#This Row],[ID_H]]="","",INDEX(NOTA[TGL.NOTA],MATCH(,INDIRECT(ADDRESS(ROW(NOTA[TGL.NOTA]),COLUMN(NOTA[TGL.NOTA]))&amp;":"&amp;ADDRESS(ROW(),COLUMN(NOTA[TGL.NOTA]))),-1)))</f>
        <v/>
      </c>
      <c r="AI608" s="36" t="str">
        <f ca="1">IF(NOTA[[#This Row],[ID_H]]="","",INDEX(NOTA[NO.NOTA],MATCH(NOTA[[#This Row],[ID_H]],NOTA[ID_H],0)))</f>
        <v/>
      </c>
      <c r="AJ608" s="38" t="str">
        <f ca="1">IF(NOTA[[#This Row],[NAMA BARANG]]="","",INDEX(NOTA[SUPPLIER],MATCH(,INDIRECT(ADDRESS(ROW(NOTA[ID]),COLUMN(NOTA[ID]))&amp;":"&amp;ADDRESS(ROW(),COLUMN(NOTA[ID]))),-1)))</f>
        <v/>
      </c>
      <c r="AK608" s="38" t="str">
        <f ca="1">IF(NOTA[[#This Row],[ID_H]]="","",IF(NOTA[[#This Row],[FAKTUR]]="",INDIRECT(ADDRESS(ROW()-1,COLUMN())),NOTA[[#This Row],[FAKTUR]]))</f>
        <v/>
      </c>
      <c r="AL608" s="35" t="str">
        <f ca="1">IF(NOTA[[#This Row],[ID]]="","",COUNTIF(NOTA[ID_H],NOTA[[#This Row],[ID_H]]))</f>
        <v/>
      </c>
      <c r="AM608" s="35" t="str">
        <f ca="1">IF(NOTA[[#This Row],[TGL.NOTA]]="",IF(NOTA[[#This Row],[SUPPLIER_H]]="","",AM607),MONTH(NOTA[[#This Row],[TGL.NOTA]]))</f>
        <v/>
      </c>
      <c r="AN6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8" s="35" t="str">
        <f>IF(NOTA[[#This Row],[CONCAT1]]="","",MATCH(NOTA[[#This Row],[CONCAT1]],[3]!db[NB NOTA_C],0))</f>
        <v/>
      </c>
      <c r="AS608" s="35" t="str">
        <f>IF(NOTA[[#This Row],[Column5]]="","",TRUE)</f>
        <v/>
      </c>
      <c r="AT608" s="35" t="str">
        <f ca="1">IF(NOTA[[#This Row],[ID_H]]="","",IF(NOTA[[#This Row],[Column3]]=TRUE,NOTA[[#This Row],[Column5]],INDEX([3]!db[QTY/ CTN],NOTA[[#This Row],[//DB]])))</f>
        <v/>
      </c>
      <c r="AU6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8" s="35" t="str">
        <f ca="1">IF(NOTA[[#This Row],[ID_H]]="","",MATCH(NOTA[[#This Row],[NB NOTA_C_QTY]],[3]!db[NB NOTA_C_QTY+F],0))</f>
        <v/>
      </c>
      <c r="AW608" s="43" t="str">
        <f ca="1">IF(NOTA[[#This Row],[NB NOTA_C_QTY]]="","",ROW()-2)</f>
        <v/>
      </c>
    </row>
    <row r="609" spans="1:49" ht="20.100000000000001" customHeight="1">
      <c r="A6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5" t="str">
        <f ca="1">IF(NOTA[[#This Row],[NAMA BARANG]]="","",INDEX(NOTA[ID],MATCH(,INDIRECT(ADDRESS(ROW(NOTA[ID]),COLUMN(NOTA[ID]))&amp;":"&amp;ADDRESS(ROW(),COLUMN(NOTA[ID]))),-1)))</f>
        <v/>
      </c>
      <c r="C609" s="45"/>
      <c r="F609" s="46"/>
      <c r="G609" s="35"/>
      <c r="H609" s="36"/>
      <c r="I609" s="35"/>
      <c r="K609" s="37"/>
      <c r="L609" s="35"/>
      <c r="N609" s="38"/>
      <c r="O609" s="39"/>
      <c r="P609" s="47"/>
      <c r="Q609" s="48"/>
      <c r="R609" s="41"/>
      <c r="T609" s="42"/>
      <c r="U609" s="44"/>
      <c r="V609" s="42" t="str">
        <f>IF(NOTA[[#This Row],[HARGA/ CTN]]="",NOTA[[#This Row],[JUMLAH_H]],NOTA[[#This Row],[HARGA/ CTN]]*IF(NOTA[[#This Row],[C]]="",0,NOTA[[#This Row],[C]]))</f>
        <v/>
      </c>
      <c r="W609" s="42" t="str">
        <f>IF(NOTA[[#This Row],[JUMLAH]]="","",NOTA[[#This Row],[JUMLAH]]*NOTA[[#This Row],[Column6]])</f>
        <v/>
      </c>
      <c r="X609" s="42" t="str">
        <f>IF(NOTA[[#This Row],[JUMLAH]]="","",(NOTA[[#This Row],[JUMLAH]]-NOTA[[#This Row],[DISC 1-]])*NOTA[[#This Row],[Column7]])</f>
        <v/>
      </c>
      <c r="Y609" s="42" t="str">
        <f>IF(NOTA[[#This Row],[JUMLAH]]="","",(NOTA[[#This Row],[JUMLAH]]-NOTA[[#This Row],[DISC 1-]]-NOTA[[#This Row],[DISC 2-]])*NOTA[[#This Row],[Column8]])</f>
        <v/>
      </c>
      <c r="Z609" s="42" t="str">
        <f>IF(NOTA[[#This Row],[JUMLAH]]="","",NOTA[[#This Row],[DISC 1-]]+NOTA[[#This Row],[DISC 2-]]+NOTA[[#This Row],[DISC 3-]])</f>
        <v/>
      </c>
      <c r="AA609" s="42" t="str">
        <f>IF(NOTA[[#This Row],[JUMLAH]]="","",NOTA[[#This Row],[JUMLAH]]-NOTA[[#This Row],[DISC]])</f>
        <v/>
      </c>
      <c r="AB609" s="42"/>
      <c r="AC6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42" t="str">
        <f>IF(OR(NOTA[[#This Row],[QTY]]="",NOTA[[#This Row],[HARGA SATUAN]]="",),"",NOTA[[#This Row],[QTY]]*NOTA[[#This Row],[HARGA SATUAN]])</f>
        <v/>
      </c>
      <c r="AG609" s="36" t="str">
        <f ca="1">IF(NOTA[[#This Row],[ID_H]]="","",INDEX(NOTA[TANGGAL],MATCH(,INDIRECT(ADDRESS(ROW(NOTA[TANGGAL]),COLUMN(NOTA[TANGGAL]))&amp;":"&amp;ADDRESS(ROW(),COLUMN(NOTA[TANGGAL]))),-1)))</f>
        <v/>
      </c>
      <c r="AH609" s="36" t="str">
        <f ca="1">IF(NOTA[[#This Row],[ID_H]]="","",INDEX(NOTA[TGL.NOTA],MATCH(,INDIRECT(ADDRESS(ROW(NOTA[TGL.NOTA]),COLUMN(NOTA[TGL.NOTA]))&amp;":"&amp;ADDRESS(ROW(),COLUMN(NOTA[TGL.NOTA]))),-1)))</f>
        <v/>
      </c>
      <c r="AI609" s="36" t="str">
        <f ca="1">IF(NOTA[[#This Row],[ID_H]]="","",INDEX(NOTA[NO.NOTA],MATCH(NOTA[[#This Row],[ID_H]],NOTA[ID_H],0)))</f>
        <v/>
      </c>
      <c r="AJ609" s="38" t="str">
        <f ca="1">IF(NOTA[[#This Row],[NAMA BARANG]]="","",INDEX(NOTA[SUPPLIER],MATCH(,INDIRECT(ADDRESS(ROW(NOTA[ID]),COLUMN(NOTA[ID]))&amp;":"&amp;ADDRESS(ROW(),COLUMN(NOTA[ID]))),-1)))</f>
        <v/>
      </c>
      <c r="AK609" s="38" t="str">
        <f ca="1">IF(NOTA[[#This Row],[ID_H]]="","",IF(NOTA[[#This Row],[FAKTUR]]="",INDIRECT(ADDRESS(ROW()-1,COLUMN())),NOTA[[#This Row],[FAKTUR]]))</f>
        <v/>
      </c>
      <c r="AL609" s="35" t="str">
        <f ca="1">IF(NOTA[[#This Row],[ID]]="","",COUNTIF(NOTA[ID_H],NOTA[[#This Row],[ID_H]]))</f>
        <v/>
      </c>
      <c r="AM609" s="35" t="str">
        <f ca="1">IF(NOTA[[#This Row],[TGL.NOTA]]="",IF(NOTA[[#This Row],[SUPPLIER_H]]="","",AM608),MONTH(NOTA[[#This Row],[TGL.NOTA]]))</f>
        <v/>
      </c>
      <c r="AN6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9" s="35" t="str">
        <f>IF(NOTA[[#This Row],[CONCAT1]]="","",MATCH(NOTA[[#This Row],[CONCAT1]],[3]!db[NB NOTA_C],0))</f>
        <v/>
      </c>
      <c r="AS609" s="35" t="str">
        <f>IF(NOTA[[#This Row],[Column5]]="","",TRUE)</f>
        <v/>
      </c>
      <c r="AT609" s="35" t="str">
        <f ca="1">IF(NOTA[[#This Row],[ID_H]]="","",IF(NOTA[[#This Row],[Column3]]=TRUE,NOTA[[#This Row],[Column5]],INDEX([3]!db[QTY/ CTN],NOTA[[#This Row],[//DB]])))</f>
        <v/>
      </c>
      <c r="AU6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09" s="35" t="str">
        <f ca="1">IF(NOTA[[#This Row],[ID_H]]="","",MATCH(NOTA[[#This Row],[NB NOTA_C_QTY]],[3]!db[NB NOTA_C_QTY+F],0))</f>
        <v/>
      </c>
      <c r="AW609" s="43" t="str">
        <f ca="1">IF(NOTA[[#This Row],[NB NOTA_C_QTY]]="","",ROW()-2)</f>
        <v/>
      </c>
    </row>
    <row r="610" spans="1:49" ht="20.100000000000001" customHeight="1">
      <c r="A6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5" t="str">
        <f ca="1">IF(NOTA[[#This Row],[NAMA BARANG]]="","",INDEX(NOTA[ID],MATCH(,INDIRECT(ADDRESS(ROW(NOTA[ID]),COLUMN(NOTA[ID]))&amp;":"&amp;ADDRESS(ROW(),COLUMN(NOTA[ID]))),-1)))</f>
        <v/>
      </c>
      <c r="C610" s="45"/>
      <c r="F610" s="46"/>
      <c r="G610" s="35"/>
      <c r="H610" s="36"/>
      <c r="I610" s="35"/>
      <c r="K610" s="37"/>
      <c r="L610" s="35"/>
      <c r="N610" s="38"/>
      <c r="O610" s="39"/>
      <c r="P610" s="47"/>
      <c r="Q610" s="48"/>
      <c r="R610" s="41"/>
      <c r="T610" s="42"/>
      <c r="U610" s="44"/>
      <c r="V610" s="42" t="str">
        <f>IF(NOTA[[#This Row],[HARGA/ CTN]]="",NOTA[[#This Row],[JUMLAH_H]],NOTA[[#This Row],[HARGA/ CTN]]*IF(NOTA[[#This Row],[C]]="",0,NOTA[[#This Row],[C]]))</f>
        <v/>
      </c>
      <c r="W610" s="42" t="str">
        <f>IF(NOTA[[#This Row],[JUMLAH]]="","",NOTA[[#This Row],[JUMLAH]]*NOTA[[#This Row],[Column6]])</f>
        <v/>
      </c>
      <c r="X610" s="42" t="str">
        <f>IF(NOTA[[#This Row],[JUMLAH]]="","",(NOTA[[#This Row],[JUMLAH]]-NOTA[[#This Row],[DISC 1-]])*NOTA[[#This Row],[Column7]])</f>
        <v/>
      </c>
      <c r="Y610" s="42" t="str">
        <f>IF(NOTA[[#This Row],[JUMLAH]]="","",(NOTA[[#This Row],[JUMLAH]]-NOTA[[#This Row],[DISC 1-]]-NOTA[[#This Row],[DISC 2-]])*NOTA[[#This Row],[Column8]])</f>
        <v/>
      </c>
      <c r="Z610" s="42" t="str">
        <f>IF(NOTA[[#This Row],[JUMLAH]]="","",NOTA[[#This Row],[DISC 1-]]+NOTA[[#This Row],[DISC 2-]]+NOTA[[#This Row],[DISC 3-]])</f>
        <v/>
      </c>
      <c r="AA610" s="42" t="str">
        <f>IF(NOTA[[#This Row],[JUMLAH]]="","",NOTA[[#This Row],[JUMLAH]]-NOTA[[#This Row],[DISC]])</f>
        <v/>
      </c>
      <c r="AB610" s="42"/>
      <c r="AC6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42" t="str">
        <f>IF(OR(NOTA[[#This Row],[QTY]]="",NOTA[[#This Row],[HARGA SATUAN]]="",),"",NOTA[[#This Row],[QTY]]*NOTA[[#This Row],[HARGA SATUAN]])</f>
        <v/>
      </c>
      <c r="AG610" s="36" t="str">
        <f ca="1">IF(NOTA[[#This Row],[ID_H]]="","",INDEX(NOTA[TANGGAL],MATCH(,INDIRECT(ADDRESS(ROW(NOTA[TANGGAL]),COLUMN(NOTA[TANGGAL]))&amp;":"&amp;ADDRESS(ROW(),COLUMN(NOTA[TANGGAL]))),-1)))</f>
        <v/>
      </c>
      <c r="AH610" s="36" t="str">
        <f ca="1">IF(NOTA[[#This Row],[ID_H]]="","",INDEX(NOTA[TGL.NOTA],MATCH(,INDIRECT(ADDRESS(ROW(NOTA[TGL.NOTA]),COLUMN(NOTA[TGL.NOTA]))&amp;":"&amp;ADDRESS(ROW(),COLUMN(NOTA[TGL.NOTA]))),-1)))</f>
        <v/>
      </c>
      <c r="AI610" s="36" t="str">
        <f ca="1">IF(NOTA[[#This Row],[ID_H]]="","",INDEX(NOTA[NO.NOTA],MATCH(NOTA[[#This Row],[ID_H]],NOTA[ID_H],0)))</f>
        <v/>
      </c>
      <c r="AJ610" s="38" t="str">
        <f ca="1">IF(NOTA[[#This Row],[NAMA BARANG]]="","",INDEX(NOTA[SUPPLIER],MATCH(,INDIRECT(ADDRESS(ROW(NOTA[ID]),COLUMN(NOTA[ID]))&amp;":"&amp;ADDRESS(ROW(),COLUMN(NOTA[ID]))),-1)))</f>
        <v/>
      </c>
      <c r="AK610" s="38" t="str">
        <f ca="1">IF(NOTA[[#This Row],[ID_H]]="","",IF(NOTA[[#This Row],[FAKTUR]]="",INDIRECT(ADDRESS(ROW()-1,COLUMN())),NOTA[[#This Row],[FAKTUR]]))</f>
        <v/>
      </c>
      <c r="AL610" s="35" t="str">
        <f ca="1">IF(NOTA[[#This Row],[ID]]="","",COUNTIF(NOTA[ID_H],NOTA[[#This Row],[ID_H]]))</f>
        <v/>
      </c>
      <c r="AM610" s="35" t="str">
        <f ca="1">IF(NOTA[[#This Row],[TGL.NOTA]]="",IF(NOTA[[#This Row],[SUPPLIER_H]]="","",AM609),MONTH(NOTA[[#This Row],[TGL.NOTA]]))</f>
        <v/>
      </c>
      <c r="AN6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0" s="35" t="str">
        <f>IF(NOTA[[#This Row],[CONCAT1]]="","",MATCH(NOTA[[#This Row],[CONCAT1]],[3]!db[NB NOTA_C],0))</f>
        <v/>
      </c>
      <c r="AS610" s="35" t="str">
        <f>IF(NOTA[[#This Row],[Column5]]="","",TRUE)</f>
        <v/>
      </c>
      <c r="AT610" s="35" t="str">
        <f ca="1">IF(NOTA[[#This Row],[ID_H]]="","",IF(NOTA[[#This Row],[Column3]]=TRUE,NOTA[[#This Row],[Column5]],INDEX([3]!db[QTY/ CTN],NOTA[[#This Row],[//DB]])))</f>
        <v/>
      </c>
      <c r="AU6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0" s="35" t="str">
        <f ca="1">IF(NOTA[[#This Row],[ID_H]]="","",MATCH(NOTA[[#This Row],[NB NOTA_C_QTY]],[3]!db[NB NOTA_C_QTY+F],0))</f>
        <v/>
      </c>
      <c r="AW610" s="43" t="str">
        <f ca="1">IF(NOTA[[#This Row],[NB NOTA_C_QTY]]="","",ROW()-2)</f>
        <v/>
      </c>
    </row>
    <row r="611" spans="1:49" ht="20.100000000000001" customHeight="1">
      <c r="A6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5" t="str">
        <f ca="1">IF(NOTA[[#This Row],[NAMA BARANG]]="","",INDEX(NOTA[ID],MATCH(,INDIRECT(ADDRESS(ROW(NOTA[ID]),COLUMN(NOTA[ID]))&amp;":"&amp;ADDRESS(ROW(),COLUMN(NOTA[ID]))),-1)))</f>
        <v/>
      </c>
      <c r="C611" s="45"/>
      <c r="F611" s="46"/>
      <c r="G611" s="35"/>
      <c r="H611" s="36"/>
      <c r="I611" s="35"/>
      <c r="K611" s="37"/>
      <c r="L611" s="35"/>
      <c r="N611" s="38"/>
      <c r="O611" s="39"/>
      <c r="P611" s="47"/>
      <c r="Q611" s="48"/>
      <c r="R611" s="41"/>
      <c r="T611" s="42"/>
      <c r="U611" s="44"/>
      <c r="V611" s="42" t="str">
        <f>IF(NOTA[[#This Row],[HARGA/ CTN]]="",NOTA[[#This Row],[JUMLAH_H]],NOTA[[#This Row],[HARGA/ CTN]]*IF(NOTA[[#This Row],[C]]="",0,NOTA[[#This Row],[C]]))</f>
        <v/>
      </c>
      <c r="W611" s="42" t="str">
        <f>IF(NOTA[[#This Row],[JUMLAH]]="","",NOTA[[#This Row],[JUMLAH]]*NOTA[[#This Row],[Column6]])</f>
        <v/>
      </c>
      <c r="X611" s="42" t="str">
        <f>IF(NOTA[[#This Row],[JUMLAH]]="","",(NOTA[[#This Row],[JUMLAH]]-NOTA[[#This Row],[DISC 1-]])*NOTA[[#This Row],[Column7]])</f>
        <v/>
      </c>
      <c r="Y611" s="42" t="str">
        <f>IF(NOTA[[#This Row],[JUMLAH]]="","",(NOTA[[#This Row],[JUMLAH]]-NOTA[[#This Row],[DISC 1-]]-NOTA[[#This Row],[DISC 2-]])*NOTA[[#This Row],[Column8]])</f>
        <v/>
      </c>
      <c r="Z611" s="42" t="str">
        <f>IF(NOTA[[#This Row],[JUMLAH]]="","",NOTA[[#This Row],[DISC 1-]]+NOTA[[#This Row],[DISC 2-]]+NOTA[[#This Row],[DISC 3-]])</f>
        <v/>
      </c>
      <c r="AA611" s="42" t="str">
        <f>IF(NOTA[[#This Row],[JUMLAH]]="","",NOTA[[#This Row],[JUMLAH]]-NOTA[[#This Row],[DISC]])</f>
        <v/>
      </c>
      <c r="AB611" s="42"/>
      <c r="AC6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42" t="str">
        <f>IF(OR(NOTA[[#This Row],[QTY]]="",NOTA[[#This Row],[HARGA SATUAN]]="",),"",NOTA[[#This Row],[QTY]]*NOTA[[#This Row],[HARGA SATUAN]])</f>
        <v/>
      </c>
      <c r="AG611" s="36" t="str">
        <f ca="1">IF(NOTA[[#This Row],[ID_H]]="","",INDEX(NOTA[TANGGAL],MATCH(,INDIRECT(ADDRESS(ROW(NOTA[TANGGAL]),COLUMN(NOTA[TANGGAL]))&amp;":"&amp;ADDRESS(ROW(),COLUMN(NOTA[TANGGAL]))),-1)))</f>
        <v/>
      </c>
      <c r="AH611" s="36" t="str">
        <f ca="1">IF(NOTA[[#This Row],[ID_H]]="","",INDEX(NOTA[TGL.NOTA],MATCH(,INDIRECT(ADDRESS(ROW(NOTA[TGL.NOTA]),COLUMN(NOTA[TGL.NOTA]))&amp;":"&amp;ADDRESS(ROW(),COLUMN(NOTA[TGL.NOTA]))),-1)))</f>
        <v/>
      </c>
      <c r="AI611" s="36" t="str">
        <f ca="1">IF(NOTA[[#This Row],[ID_H]]="","",INDEX(NOTA[NO.NOTA],MATCH(NOTA[[#This Row],[ID_H]],NOTA[ID_H],0)))</f>
        <v/>
      </c>
      <c r="AJ611" s="38" t="str">
        <f ca="1">IF(NOTA[[#This Row],[NAMA BARANG]]="","",INDEX(NOTA[SUPPLIER],MATCH(,INDIRECT(ADDRESS(ROW(NOTA[ID]),COLUMN(NOTA[ID]))&amp;":"&amp;ADDRESS(ROW(),COLUMN(NOTA[ID]))),-1)))</f>
        <v/>
      </c>
      <c r="AK611" s="38" t="str">
        <f ca="1">IF(NOTA[[#This Row],[ID_H]]="","",IF(NOTA[[#This Row],[FAKTUR]]="",INDIRECT(ADDRESS(ROW()-1,COLUMN())),NOTA[[#This Row],[FAKTUR]]))</f>
        <v/>
      </c>
      <c r="AL611" s="35" t="str">
        <f ca="1">IF(NOTA[[#This Row],[ID]]="","",COUNTIF(NOTA[ID_H],NOTA[[#This Row],[ID_H]]))</f>
        <v/>
      </c>
      <c r="AM611" s="35" t="str">
        <f ca="1">IF(NOTA[[#This Row],[TGL.NOTA]]="",IF(NOTA[[#This Row],[SUPPLIER_H]]="","",AM610),MONTH(NOTA[[#This Row],[TGL.NOTA]]))</f>
        <v/>
      </c>
      <c r="AN6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1" s="35" t="str">
        <f>IF(NOTA[[#This Row],[CONCAT1]]="","",MATCH(NOTA[[#This Row],[CONCAT1]],[3]!db[NB NOTA_C],0))</f>
        <v/>
      </c>
      <c r="AS611" s="35" t="str">
        <f>IF(NOTA[[#This Row],[Column5]]="","",TRUE)</f>
        <v/>
      </c>
      <c r="AT611" s="35" t="str">
        <f ca="1">IF(NOTA[[#This Row],[ID_H]]="","",IF(NOTA[[#This Row],[Column3]]=TRUE,NOTA[[#This Row],[Column5]],INDEX([3]!db[QTY/ CTN],NOTA[[#This Row],[//DB]])))</f>
        <v/>
      </c>
      <c r="AU6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1" s="35" t="str">
        <f ca="1">IF(NOTA[[#This Row],[ID_H]]="","",MATCH(NOTA[[#This Row],[NB NOTA_C_QTY]],[3]!db[NB NOTA_C_QTY+F],0))</f>
        <v/>
      </c>
      <c r="AW611" s="43" t="str">
        <f ca="1">IF(NOTA[[#This Row],[NB NOTA_C_QTY]]="","",ROW()-2)</f>
        <v/>
      </c>
    </row>
    <row r="612" spans="1:49" ht="20.100000000000001" customHeight="1">
      <c r="A6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5" t="str">
        <f ca="1">IF(NOTA[[#This Row],[NAMA BARANG]]="","",INDEX(NOTA[ID],MATCH(,INDIRECT(ADDRESS(ROW(NOTA[ID]),COLUMN(NOTA[ID]))&amp;":"&amp;ADDRESS(ROW(),COLUMN(NOTA[ID]))),-1)))</f>
        <v/>
      </c>
      <c r="C612" s="45"/>
      <c r="F612" s="46"/>
      <c r="G612" s="35"/>
      <c r="H612" s="36"/>
      <c r="I612" s="35"/>
      <c r="K612" s="37"/>
      <c r="L612" s="35"/>
      <c r="N612" s="38"/>
      <c r="O612" s="39"/>
      <c r="P612" s="47"/>
      <c r="Q612" s="48"/>
      <c r="R612" s="41"/>
      <c r="T612" s="42"/>
      <c r="U612" s="44"/>
      <c r="V612" s="42" t="str">
        <f>IF(NOTA[[#This Row],[HARGA/ CTN]]="",NOTA[[#This Row],[JUMLAH_H]],NOTA[[#This Row],[HARGA/ CTN]]*IF(NOTA[[#This Row],[C]]="",0,NOTA[[#This Row],[C]]))</f>
        <v/>
      </c>
      <c r="W612" s="42" t="str">
        <f>IF(NOTA[[#This Row],[JUMLAH]]="","",NOTA[[#This Row],[JUMLAH]]*NOTA[[#This Row],[Column6]])</f>
        <v/>
      </c>
      <c r="X612" s="42" t="str">
        <f>IF(NOTA[[#This Row],[JUMLAH]]="","",(NOTA[[#This Row],[JUMLAH]]-NOTA[[#This Row],[DISC 1-]])*NOTA[[#This Row],[Column7]])</f>
        <v/>
      </c>
      <c r="Y612" s="42" t="str">
        <f>IF(NOTA[[#This Row],[JUMLAH]]="","",(NOTA[[#This Row],[JUMLAH]]-NOTA[[#This Row],[DISC 1-]]-NOTA[[#This Row],[DISC 2-]])*NOTA[[#This Row],[Column8]])</f>
        <v/>
      </c>
      <c r="Z612" s="42" t="str">
        <f>IF(NOTA[[#This Row],[JUMLAH]]="","",NOTA[[#This Row],[DISC 1-]]+NOTA[[#This Row],[DISC 2-]]+NOTA[[#This Row],[DISC 3-]])</f>
        <v/>
      </c>
      <c r="AA612" s="42" t="str">
        <f>IF(NOTA[[#This Row],[JUMLAH]]="","",NOTA[[#This Row],[JUMLAH]]-NOTA[[#This Row],[DISC]])</f>
        <v/>
      </c>
      <c r="AB612" s="42"/>
      <c r="AC6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42" t="str">
        <f>IF(OR(NOTA[[#This Row],[QTY]]="",NOTA[[#This Row],[HARGA SATUAN]]="",),"",NOTA[[#This Row],[QTY]]*NOTA[[#This Row],[HARGA SATUAN]])</f>
        <v/>
      </c>
      <c r="AG612" s="36" t="str">
        <f ca="1">IF(NOTA[[#This Row],[ID_H]]="","",INDEX(NOTA[TANGGAL],MATCH(,INDIRECT(ADDRESS(ROW(NOTA[TANGGAL]),COLUMN(NOTA[TANGGAL]))&amp;":"&amp;ADDRESS(ROW(),COLUMN(NOTA[TANGGAL]))),-1)))</f>
        <v/>
      </c>
      <c r="AH612" s="36" t="str">
        <f ca="1">IF(NOTA[[#This Row],[ID_H]]="","",INDEX(NOTA[TGL.NOTA],MATCH(,INDIRECT(ADDRESS(ROW(NOTA[TGL.NOTA]),COLUMN(NOTA[TGL.NOTA]))&amp;":"&amp;ADDRESS(ROW(),COLUMN(NOTA[TGL.NOTA]))),-1)))</f>
        <v/>
      </c>
      <c r="AI612" s="36" t="str">
        <f ca="1">IF(NOTA[[#This Row],[ID_H]]="","",INDEX(NOTA[NO.NOTA],MATCH(NOTA[[#This Row],[ID_H]],NOTA[ID_H],0)))</f>
        <v/>
      </c>
      <c r="AJ612" s="38" t="str">
        <f ca="1">IF(NOTA[[#This Row],[NAMA BARANG]]="","",INDEX(NOTA[SUPPLIER],MATCH(,INDIRECT(ADDRESS(ROW(NOTA[ID]),COLUMN(NOTA[ID]))&amp;":"&amp;ADDRESS(ROW(),COLUMN(NOTA[ID]))),-1)))</f>
        <v/>
      </c>
      <c r="AK612" s="38" t="str">
        <f ca="1">IF(NOTA[[#This Row],[ID_H]]="","",IF(NOTA[[#This Row],[FAKTUR]]="",INDIRECT(ADDRESS(ROW()-1,COLUMN())),NOTA[[#This Row],[FAKTUR]]))</f>
        <v/>
      </c>
      <c r="AL612" s="35" t="str">
        <f ca="1">IF(NOTA[[#This Row],[ID]]="","",COUNTIF(NOTA[ID_H],NOTA[[#This Row],[ID_H]]))</f>
        <v/>
      </c>
      <c r="AM612" s="35" t="str">
        <f ca="1">IF(NOTA[[#This Row],[TGL.NOTA]]="",IF(NOTA[[#This Row],[SUPPLIER_H]]="","",AM611),MONTH(NOTA[[#This Row],[TGL.NOTA]]))</f>
        <v/>
      </c>
      <c r="AN6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2" s="35" t="str">
        <f>IF(NOTA[[#This Row],[CONCAT1]]="","",MATCH(NOTA[[#This Row],[CONCAT1]],[3]!db[NB NOTA_C],0))</f>
        <v/>
      </c>
      <c r="AS612" s="35" t="str">
        <f>IF(NOTA[[#This Row],[Column5]]="","",TRUE)</f>
        <v/>
      </c>
      <c r="AT612" s="35" t="str">
        <f ca="1">IF(NOTA[[#This Row],[ID_H]]="","",IF(NOTA[[#This Row],[Column3]]=TRUE,NOTA[[#This Row],[Column5]],INDEX([3]!db[QTY/ CTN],NOTA[[#This Row],[//DB]])))</f>
        <v/>
      </c>
      <c r="AU6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2" s="35" t="str">
        <f ca="1">IF(NOTA[[#This Row],[ID_H]]="","",MATCH(NOTA[[#This Row],[NB NOTA_C_QTY]],[3]!db[NB NOTA_C_QTY+F],0))</f>
        <v/>
      </c>
      <c r="AW612" s="43" t="str">
        <f ca="1">IF(NOTA[[#This Row],[NB NOTA_C_QTY]]="","",ROW()-2)</f>
        <v/>
      </c>
    </row>
    <row r="613" spans="1:49" ht="20.100000000000001" customHeight="1">
      <c r="A6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5" t="str">
        <f ca="1">IF(NOTA[[#This Row],[NAMA BARANG]]="","",INDEX(NOTA[ID],MATCH(,INDIRECT(ADDRESS(ROW(NOTA[ID]),COLUMN(NOTA[ID]))&amp;":"&amp;ADDRESS(ROW(),COLUMN(NOTA[ID]))),-1)))</f>
        <v/>
      </c>
      <c r="C613" s="45"/>
      <c r="F613" s="46"/>
      <c r="G613" s="35"/>
      <c r="H613" s="36"/>
      <c r="I613" s="35"/>
      <c r="K613" s="37"/>
      <c r="L613" s="35"/>
      <c r="N613" s="38"/>
      <c r="O613" s="39"/>
      <c r="P613" s="47"/>
      <c r="Q613" s="48"/>
      <c r="R613" s="41"/>
      <c r="T613" s="42"/>
      <c r="U613" s="44"/>
      <c r="V613" s="42" t="str">
        <f>IF(NOTA[[#This Row],[HARGA/ CTN]]="",NOTA[[#This Row],[JUMLAH_H]],NOTA[[#This Row],[HARGA/ CTN]]*IF(NOTA[[#This Row],[C]]="",0,NOTA[[#This Row],[C]]))</f>
        <v/>
      </c>
      <c r="W613" s="42" t="str">
        <f>IF(NOTA[[#This Row],[JUMLAH]]="","",NOTA[[#This Row],[JUMLAH]]*NOTA[[#This Row],[Column6]])</f>
        <v/>
      </c>
      <c r="X613" s="42" t="str">
        <f>IF(NOTA[[#This Row],[JUMLAH]]="","",(NOTA[[#This Row],[JUMLAH]]-NOTA[[#This Row],[DISC 1-]])*NOTA[[#This Row],[Column7]])</f>
        <v/>
      </c>
      <c r="Y613" s="42" t="str">
        <f>IF(NOTA[[#This Row],[JUMLAH]]="","",(NOTA[[#This Row],[JUMLAH]]-NOTA[[#This Row],[DISC 1-]]-NOTA[[#This Row],[DISC 2-]])*NOTA[[#This Row],[Column8]])</f>
        <v/>
      </c>
      <c r="Z613" s="42" t="str">
        <f>IF(NOTA[[#This Row],[JUMLAH]]="","",NOTA[[#This Row],[DISC 1-]]+NOTA[[#This Row],[DISC 2-]]+NOTA[[#This Row],[DISC 3-]])</f>
        <v/>
      </c>
      <c r="AA613" s="42" t="str">
        <f>IF(NOTA[[#This Row],[JUMLAH]]="","",NOTA[[#This Row],[JUMLAH]]-NOTA[[#This Row],[DISC]])</f>
        <v/>
      </c>
      <c r="AB613" s="42"/>
      <c r="AC6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42" t="str">
        <f>IF(OR(NOTA[[#This Row],[QTY]]="",NOTA[[#This Row],[HARGA SATUAN]]="",),"",NOTA[[#This Row],[QTY]]*NOTA[[#This Row],[HARGA SATUAN]])</f>
        <v/>
      </c>
      <c r="AG613" s="36" t="str">
        <f ca="1">IF(NOTA[[#This Row],[ID_H]]="","",INDEX(NOTA[TANGGAL],MATCH(,INDIRECT(ADDRESS(ROW(NOTA[TANGGAL]),COLUMN(NOTA[TANGGAL]))&amp;":"&amp;ADDRESS(ROW(),COLUMN(NOTA[TANGGAL]))),-1)))</f>
        <v/>
      </c>
      <c r="AH613" s="36" t="str">
        <f ca="1">IF(NOTA[[#This Row],[ID_H]]="","",INDEX(NOTA[TGL.NOTA],MATCH(,INDIRECT(ADDRESS(ROW(NOTA[TGL.NOTA]),COLUMN(NOTA[TGL.NOTA]))&amp;":"&amp;ADDRESS(ROW(),COLUMN(NOTA[TGL.NOTA]))),-1)))</f>
        <v/>
      </c>
      <c r="AI613" s="36" t="str">
        <f ca="1">IF(NOTA[[#This Row],[ID_H]]="","",INDEX(NOTA[NO.NOTA],MATCH(NOTA[[#This Row],[ID_H]],NOTA[ID_H],0)))</f>
        <v/>
      </c>
      <c r="AJ613" s="38" t="str">
        <f ca="1">IF(NOTA[[#This Row],[NAMA BARANG]]="","",INDEX(NOTA[SUPPLIER],MATCH(,INDIRECT(ADDRESS(ROW(NOTA[ID]),COLUMN(NOTA[ID]))&amp;":"&amp;ADDRESS(ROW(),COLUMN(NOTA[ID]))),-1)))</f>
        <v/>
      </c>
      <c r="AK613" s="38" t="str">
        <f ca="1">IF(NOTA[[#This Row],[ID_H]]="","",IF(NOTA[[#This Row],[FAKTUR]]="",INDIRECT(ADDRESS(ROW()-1,COLUMN())),NOTA[[#This Row],[FAKTUR]]))</f>
        <v/>
      </c>
      <c r="AL613" s="35" t="str">
        <f ca="1">IF(NOTA[[#This Row],[ID]]="","",COUNTIF(NOTA[ID_H],NOTA[[#This Row],[ID_H]]))</f>
        <v/>
      </c>
      <c r="AM613" s="35" t="str">
        <f ca="1">IF(NOTA[[#This Row],[TGL.NOTA]]="",IF(NOTA[[#This Row],[SUPPLIER_H]]="","",AM612),MONTH(NOTA[[#This Row],[TGL.NOTA]]))</f>
        <v/>
      </c>
      <c r="AN6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3" s="35" t="str">
        <f>IF(NOTA[[#This Row],[CONCAT1]]="","",MATCH(NOTA[[#This Row],[CONCAT1]],[3]!db[NB NOTA_C],0))</f>
        <v/>
      </c>
      <c r="AS613" s="35" t="str">
        <f>IF(NOTA[[#This Row],[Column5]]="","",TRUE)</f>
        <v/>
      </c>
      <c r="AT613" s="35" t="str">
        <f ca="1">IF(NOTA[[#This Row],[ID_H]]="","",IF(NOTA[[#This Row],[Column3]]=TRUE,NOTA[[#This Row],[Column5]],INDEX([3]!db[QTY/ CTN],NOTA[[#This Row],[//DB]])))</f>
        <v/>
      </c>
      <c r="AU6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3" s="35" t="str">
        <f ca="1">IF(NOTA[[#This Row],[ID_H]]="","",MATCH(NOTA[[#This Row],[NB NOTA_C_QTY]],[3]!db[NB NOTA_C_QTY+F],0))</f>
        <v/>
      </c>
      <c r="AW613" s="43" t="str">
        <f ca="1">IF(NOTA[[#This Row],[NB NOTA_C_QTY]]="","",ROW()-2)</f>
        <v/>
      </c>
    </row>
    <row r="614" spans="1:49" ht="20.100000000000001" customHeight="1">
      <c r="A6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5" t="str">
        <f ca="1">IF(NOTA[[#This Row],[NAMA BARANG]]="","",INDEX(NOTA[ID],MATCH(,INDIRECT(ADDRESS(ROW(NOTA[ID]),COLUMN(NOTA[ID]))&amp;":"&amp;ADDRESS(ROW(),COLUMN(NOTA[ID]))),-1)))</f>
        <v/>
      </c>
      <c r="C614" s="45"/>
      <c r="F614" s="46"/>
      <c r="G614" s="35"/>
      <c r="H614" s="36"/>
      <c r="I614" s="35"/>
      <c r="K614" s="37"/>
      <c r="L614" s="35"/>
      <c r="N614" s="38"/>
      <c r="O614" s="39"/>
      <c r="P614" s="47"/>
      <c r="Q614" s="48"/>
      <c r="R614" s="41"/>
      <c r="T614" s="42"/>
      <c r="U614" s="44"/>
      <c r="V614" s="42" t="str">
        <f>IF(NOTA[[#This Row],[HARGA/ CTN]]="",NOTA[[#This Row],[JUMLAH_H]],NOTA[[#This Row],[HARGA/ CTN]]*IF(NOTA[[#This Row],[C]]="",0,NOTA[[#This Row],[C]]))</f>
        <v/>
      </c>
      <c r="W614" s="42" t="str">
        <f>IF(NOTA[[#This Row],[JUMLAH]]="","",NOTA[[#This Row],[JUMLAH]]*NOTA[[#This Row],[Column6]])</f>
        <v/>
      </c>
      <c r="X614" s="42" t="str">
        <f>IF(NOTA[[#This Row],[JUMLAH]]="","",(NOTA[[#This Row],[JUMLAH]]-NOTA[[#This Row],[DISC 1-]])*NOTA[[#This Row],[Column7]])</f>
        <v/>
      </c>
      <c r="Y614" s="42" t="str">
        <f>IF(NOTA[[#This Row],[JUMLAH]]="","",(NOTA[[#This Row],[JUMLAH]]-NOTA[[#This Row],[DISC 1-]]-NOTA[[#This Row],[DISC 2-]])*NOTA[[#This Row],[Column8]])</f>
        <v/>
      </c>
      <c r="Z614" s="42" t="str">
        <f>IF(NOTA[[#This Row],[JUMLAH]]="","",NOTA[[#This Row],[DISC 1-]]+NOTA[[#This Row],[DISC 2-]]+NOTA[[#This Row],[DISC 3-]])</f>
        <v/>
      </c>
      <c r="AA614" s="42" t="str">
        <f>IF(NOTA[[#This Row],[JUMLAH]]="","",NOTA[[#This Row],[JUMLAH]]-NOTA[[#This Row],[DISC]])</f>
        <v/>
      </c>
      <c r="AB614" s="42"/>
      <c r="AC6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42" t="str">
        <f>IF(OR(NOTA[[#This Row],[QTY]]="",NOTA[[#This Row],[HARGA SATUAN]]="",),"",NOTA[[#This Row],[QTY]]*NOTA[[#This Row],[HARGA SATUAN]])</f>
        <v/>
      </c>
      <c r="AG614" s="36" t="str">
        <f ca="1">IF(NOTA[[#This Row],[ID_H]]="","",INDEX(NOTA[TANGGAL],MATCH(,INDIRECT(ADDRESS(ROW(NOTA[TANGGAL]),COLUMN(NOTA[TANGGAL]))&amp;":"&amp;ADDRESS(ROW(),COLUMN(NOTA[TANGGAL]))),-1)))</f>
        <v/>
      </c>
      <c r="AH614" s="36" t="str">
        <f ca="1">IF(NOTA[[#This Row],[ID_H]]="","",INDEX(NOTA[TGL.NOTA],MATCH(,INDIRECT(ADDRESS(ROW(NOTA[TGL.NOTA]),COLUMN(NOTA[TGL.NOTA]))&amp;":"&amp;ADDRESS(ROW(),COLUMN(NOTA[TGL.NOTA]))),-1)))</f>
        <v/>
      </c>
      <c r="AI614" s="36" t="str">
        <f ca="1">IF(NOTA[[#This Row],[ID_H]]="","",INDEX(NOTA[NO.NOTA],MATCH(NOTA[[#This Row],[ID_H]],NOTA[ID_H],0)))</f>
        <v/>
      </c>
      <c r="AJ614" s="38" t="str">
        <f ca="1">IF(NOTA[[#This Row],[NAMA BARANG]]="","",INDEX(NOTA[SUPPLIER],MATCH(,INDIRECT(ADDRESS(ROW(NOTA[ID]),COLUMN(NOTA[ID]))&amp;":"&amp;ADDRESS(ROW(),COLUMN(NOTA[ID]))),-1)))</f>
        <v/>
      </c>
      <c r="AK614" s="38" t="str">
        <f ca="1">IF(NOTA[[#This Row],[ID_H]]="","",IF(NOTA[[#This Row],[FAKTUR]]="",INDIRECT(ADDRESS(ROW()-1,COLUMN())),NOTA[[#This Row],[FAKTUR]]))</f>
        <v/>
      </c>
      <c r="AL614" s="35" t="str">
        <f ca="1">IF(NOTA[[#This Row],[ID]]="","",COUNTIF(NOTA[ID_H],NOTA[[#This Row],[ID_H]]))</f>
        <v/>
      </c>
      <c r="AM614" s="35" t="str">
        <f ca="1">IF(NOTA[[#This Row],[TGL.NOTA]]="",IF(NOTA[[#This Row],[SUPPLIER_H]]="","",AM613),MONTH(NOTA[[#This Row],[TGL.NOTA]]))</f>
        <v/>
      </c>
      <c r="AN6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4" s="35" t="str">
        <f>IF(NOTA[[#This Row],[CONCAT1]]="","",MATCH(NOTA[[#This Row],[CONCAT1]],[3]!db[NB NOTA_C],0))</f>
        <v/>
      </c>
      <c r="AS614" s="35" t="str">
        <f>IF(NOTA[[#This Row],[Column5]]="","",TRUE)</f>
        <v/>
      </c>
      <c r="AT614" s="35" t="str">
        <f ca="1">IF(NOTA[[#This Row],[ID_H]]="","",IF(NOTA[[#This Row],[Column3]]=TRUE,NOTA[[#This Row],[Column5]],INDEX([3]!db[QTY/ CTN],NOTA[[#This Row],[//DB]])))</f>
        <v/>
      </c>
      <c r="AU6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4" s="35" t="str">
        <f ca="1">IF(NOTA[[#This Row],[ID_H]]="","",MATCH(NOTA[[#This Row],[NB NOTA_C_QTY]],[3]!db[NB NOTA_C_QTY+F],0))</f>
        <v/>
      </c>
      <c r="AW614" s="43" t="str">
        <f ca="1">IF(NOTA[[#This Row],[NB NOTA_C_QTY]]="","",ROW()-2)</f>
        <v/>
      </c>
    </row>
    <row r="615" spans="1:49" ht="20.100000000000001" customHeight="1">
      <c r="A6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5" t="str">
        <f ca="1">IF(NOTA[[#This Row],[NAMA BARANG]]="","",INDEX(NOTA[ID],MATCH(,INDIRECT(ADDRESS(ROW(NOTA[ID]),COLUMN(NOTA[ID]))&amp;":"&amp;ADDRESS(ROW(),COLUMN(NOTA[ID]))),-1)))</f>
        <v/>
      </c>
      <c r="C615" s="45"/>
      <c r="F615" s="46"/>
      <c r="G615" s="35"/>
      <c r="H615" s="36"/>
      <c r="I615" s="35"/>
      <c r="K615" s="37"/>
      <c r="L615" s="35"/>
      <c r="N615" s="38"/>
      <c r="O615" s="39"/>
      <c r="P615" s="47"/>
      <c r="Q615" s="48"/>
      <c r="R615" s="41"/>
      <c r="T615" s="42"/>
      <c r="U615" s="44"/>
      <c r="V615" s="42" t="str">
        <f>IF(NOTA[[#This Row],[HARGA/ CTN]]="",NOTA[[#This Row],[JUMLAH_H]],NOTA[[#This Row],[HARGA/ CTN]]*IF(NOTA[[#This Row],[C]]="",0,NOTA[[#This Row],[C]]))</f>
        <v/>
      </c>
      <c r="W615" s="42" t="str">
        <f>IF(NOTA[[#This Row],[JUMLAH]]="","",NOTA[[#This Row],[JUMLAH]]*NOTA[[#This Row],[Column6]])</f>
        <v/>
      </c>
      <c r="X615" s="42" t="str">
        <f>IF(NOTA[[#This Row],[JUMLAH]]="","",(NOTA[[#This Row],[JUMLAH]]-NOTA[[#This Row],[DISC 1-]])*NOTA[[#This Row],[Column7]])</f>
        <v/>
      </c>
      <c r="Y615" s="42" t="str">
        <f>IF(NOTA[[#This Row],[JUMLAH]]="","",(NOTA[[#This Row],[JUMLAH]]-NOTA[[#This Row],[DISC 1-]]-NOTA[[#This Row],[DISC 2-]])*NOTA[[#This Row],[Column8]])</f>
        <v/>
      </c>
      <c r="Z615" s="42" t="str">
        <f>IF(NOTA[[#This Row],[JUMLAH]]="","",NOTA[[#This Row],[DISC 1-]]+NOTA[[#This Row],[DISC 2-]]+NOTA[[#This Row],[DISC 3-]])</f>
        <v/>
      </c>
      <c r="AA615" s="42" t="str">
        <f>IF(NOTA[[#This Row],[JUMLAH]]="","",NOTA[[#This Row],[JUMLAH]]-NOTA[[#This Row],[DISC]])</f>
        <v/>
      </c>
      <c r="AB615" s="42"/>
      <c r="AC6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42" t="str">
        <f>IF(OR(NOTA[[#This Row],[QTY]]="",NOTA[[#This Row],[HARGA SATUAN]]="",),"",NOTA[[#This Row],[QTY]]*NOTA[[#This Row],[HARGA SATUAN]])</f>
        <v/>
      </c>
      <c r="AG615" s="36" t="str">
        <f ca="1">IF(NOTA[[#This Row],[ID_H]]="","",INDEX(NOTA[TANGGAL],MATCH(,INDIRECT(ADDRESS(ROW(NOTA[TANGGAL]),COLUMN(NOTA[TANGGAL]))&amp;":"&amp;ADDRESS(ROW(),COLUMN(NOTA[TANGGAL]))),-1)))</f>
        <v/>
      </c>
      <c r="AH615" s="36" t="str">
        <f ca="1">IF(NOTA[[#This Row],[ID_H]]="","",INDEX(NOTA[TGL.NOTA],MATCH(,INDIRECT(ADDRESS(ROW(NOTA[TGL.NOTA]),COLUMN(NOTA[TGL.NOTA]))&amp;":"&amp;ADDRESS(ROW(),COLUMN(NOTA[TGL.NOTA]))),-1)))</f>
        <v/>
      </c>
      <c r="AI615" s="36" t="str">
        <f ca="1">IF(NOTA[[#This Row],[ID_H]]="","",INDEX(NOTA[NO.NOTA],MATCH(NOTA[[#This Row],[ID_H]],NOTA[ID_H],0)))</f>
        <v/>
      </c>
      <c r="AJ615" s="38" t="str">
        <f ca="1">IF(NOTA[[#This Row],[NAMA BARANG]]="","",INDEX(NOTA[SUPPLIER],MATCH(,INDIRECT(ADDRESS(ROW(NOTA[ID]),COLUMN(NOTA[ID]))&amp;":"&amp;ADDRESS(ROW(),COLUMN(NOTA[ID]))),-1)))</f>
        <v/>
      </c>
      <c r="AK615" s="38" t="str">
        <f ca="1">IF(NOTA[[#This Row],[ID_H]]="","",IF(NOTA[[#This Row],[FAKTUR]]="",INDIRECT(ADDRESS(ROW()-1,COLUMN())),NOTA[[#This Row],[FAKTUR]]))</f>
        <v/>
      </c>
      <c r="AL615" s="35" t="str">
        <f ca="1">IF(NOTA[[#This Row],[ID]]="","",COUNTIF(NOTA[ID_H],NOTA[[#This Row],[ID_H]]))</f>
        <v/>
      </c>
      <c r="AM615" s="35" t="str">
        <f ca="1">IF(NOTA[[#This Row],[TGL.NOTA]]="",IF(NOTA[[#This Row],[SUPPLIER_H]]="","",AM614),MONTH(NOTA[[#This Row],[TGL.NOTA]]))</f>
        <v/>
      </c>
      <c r="AN6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5" s="35" t="str">
        <f>IF(NOTA[[#This Row],[CONCAT1]]="","",MATCH(NOTA[[#This Row],[CONCAT1]],[3]!db[NB NOTA_C],0))</f>
        <v/>
      </c>
      <c r="AS615" s="35" t="str">
        <f>IF(NOTA[[#This Row],[Column5]]="","",TRUE)</f>
        <v/>
      </c>
      <c r="AT615" s="35" t="str">
        <f ca="1">IF(NOTA[[#This Row],[ID_H]]="","",IF(NOTA[[#This Row],[Column3]]=TRUE,NOTA[[#This Row],[Column5]],INDEX([3]!db[QTY/ CTN],NOTA[[#This Row],[//DB]])))</f>
        <v/>
      </c>
      <c r="AU6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5" s="35" t="str">
        <f ca="1">IF(NOTA[[#This Row],[ID_H]]="","",MATCH(NOTA[[#This Row],[NB NOTA_C_QTY]],[3]!db[NB NOTA_C_QTY+F],0))</f>
        <v/>
      </c>
      <c r="AW615" s="43" t="str">
        <f ca="1">IF(NOTA[[#This Row],[NB NOTA_C_QTY]]="","",ROW()-2)</f>
        <v/>
      </c>
    </row>
    <row r="616" spans="1:49" ht="20.100000000000001" customHeight="1">
      <c r="A6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5" t="str">
        <f ca="1">IF(NOTA[[#This Row],[NAMA BARANG]]="","",INDEX(NOTA[ID],MATCH(,INDIRECT(ADDRESS(ROW(NOTA[ID]),COLUMN(NOTA[ID]))&amp;":"&amp;ADDRESS(ROW(),COLUMN(NOTA[ID]))),-1)))</f>
        <v/>
      </c>
      <c r="C616" s="45"/>
      <c r="F616" s="46"/>
      <c r="G616" s="35"/>
      <c r="H616" s="36"/>
      <c r="I616" s="35"/>
      <c r="K616" s="37"/>
      <c r="L616" s="35"/>
      <c r="N616" s="38"/>
      <c r="O616" s="39"/>
      <c r="P616" s="47"/>
      <c r="Q616" s="48"/>
      <c r="R616" s="41"/>
      <c r="T616" s="42"/>
      <c r="U616" s="44"/>
      <c r="V616" s="42" t="str">
        <f>IF(NOTA[[#This Row],[HARGA/ CTN]]="",NOTA[[#This Row],[JUMLAH_H]],NOTA[[#This Row],[HARGA/ CTN]]*IF(NOTA[[#This Row],[C]]="",0,NOTA[[#This Row],[C]]))</f>
        <v/>
      </c>
      <c r="W616" s="42" t="str">
        <f>IF(NOTA[[#This Row],[JUMLAH]]="","",NOTA[[#This Row],[JUMLAH]]*NOTA[[#This Row],[Column6]])</f>
        <v/>
      </c>
      <c r="X616" s="42" t="str">
        <f>IF(NOTA[[#This Row],[JUMLAH]]="","",(NOTA[[#This Row],[JUMLAH]]-NOTA[[#This Row],[DISC 1-]])*NOTA[[#This Row],[Column7]])</f>
        <v/>
      </c>
      <c r="Y616" s="42" t="str">
        <f>IF(NOTA[[#This Row],[JUMLAH]]="","",(NOTA[[#This Row],[JUMLAH]]-NOTA[[#This Row],[DISC 1-]]-NOTA[[#This Row],[DISC 2-]])*NOTA[[#This Row],[Column8]])</f>
        <v/>
      </c>
      <c r="Z616" s="42" t="str">
        <f>IF(NOTA[[#This Row],[JUMLAH]]="","",NOTA[[#This Row],[DISC 1-]]+NOTA[[#This Row],[DISC 2-]]+NOTA[[#This Row],[DISC 3-]])</f>
        <v/>
      </c>
      <c r="AA616" s="42" t="str">
        <f>IF(NOTA[[#This Row],[JUMLAH]]="","",NOTA[[#This Row],[JUMLAH]]-NOTA[[#This Row],[DISC]])</f>
        <v/>
      </c>
      <c r="AB616" s="42"/>
      <c r="AC6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42" t="str">
        <f>IF(OR(NOTA[[#This Row],[QTY]]="",NOTA[[#This Row],[HARGA SATUAN]]="",),"",NOTA[[#This Row],[QTY]]*NOTA[[#This Row],[HARGA SATUAN]])</f>
        <v/>
      </c>
      <c r="AG616" s="36" t="str">
        <f ca="1">IF(NOTA[[#This Row],[ID_H]]="","",INDEX(NOTA[TANGGAL],MATCH(,INDIRECT(ADDRESS(ROW(NOTA[TANGGAL]),COLUMN(NOTA[TANGGAL]))&amp;":"&amp;ADDRESS(ROW(),COLUMN(NOTA[TANGGAL]))),-1)))</f>
        <v/>
      </c>
      <c r="AH616" s="36" t="str">
        <f ca="1">IF(NOTA[[#This Row],[ID_H]]="","",INDEX(NOTA[TGL.NOTA],MATCH(,INDIRECT(ADDRESS(ROW(NOTA[TGL.NOTA]),COLUMN(NOTA[TGL.NOTA]))&amp;":"&amp;ADDRESS(ROW(),COLUMN(NOTA[TGL.NOTA]))),-1)))</f>
        <v/>
      </c>
      <c r="AI616" s="36" t="str">
        <f ca="1">IF(NOTA[[#This Row],[ID_H]]="","",INDEX(NOTA[NO.NOTA],MATCH(NOTA[[#This Row],[ID_H]],NOTA[ID_H],0)))</f>
        <v/>
      </c>
      <c r="AJ616" s="38" t="str">
        <f ca="1">IF(NOTA[[#This Row],[NAMA BARANG]]="","",INDEX(NOTA[SUPPLIER],MATCH(,INDIRECT(ADDRESS(ROW(NOTA[ID]),COLUMN(NOTA[ID]))&amp;":"&amp;ADDRESS(ROW(),COLUMN(NOTA[ID]))),-1)))</f>
        <v/>
      </c>
      <c r="AK616" s="38" t="str">
        <f ca="1">IF(NOTA[[#This Row],[ID_H]]="","",IF(NOTA[[#This Row],[FAKTUR]]="",INDIRECT(ADDRESS(ROW()-1,COLUMN())),NOTA[[#This Row],[FAKTUR]]))</f>
        <v/>
      </c>
      <c r="AL616" s="35" t="str">
        <f ca="1">IF(NOTA[[#This Row],[ID]]="","",COUNTIF(NOTA[ID_H],NOTA[[#This Row],[ID_H]]))</f>
        <v/>
      </c>
      <c r="AM616" s="35" t="str">
        <f ca="1">IF(NOTA[[#This Row],[TGL.NOTA]]="",IF(NOTA[[#This Row],[SUPPLIER_H]]="","",AM615),MONTH(NOTA[[#This Row],[TGL.NOTA]]))</f>
        <v/>
      </c>
      <c r="AN6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6" s="35" t="str">
        <f>IF(NOTA[[#This Row],[CONCAT1]]="","",MATCH(NOTA[[#This Row],[CONCAT1]],[3]!db[NB NOTA_C],0))</f>
        <v/>
      </c>
      <c r="AS616" s="35" t="str">
        <f>IF(NOTA[[#This Row],[Column5]]="","",TRUE)</f>
        <v/>
      </c>
      <c r="AT616" s="35" t="str">
        <f ca="1">IF(NOTA[[#This Row],[ID_H]]="","",IF(NOTA[[#This Row],[Column3]]=TRUE,NOTA[[#This Row],[Column5]],INDEX([3]!db[QTY/ CTN],NOTA[[#This Row],[//DB]])))</f>
        <v/>
      </c>
      <c r="AU6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6" s="35" t="str">
        <f ca="1">IF(NOTA[[#This Row],[ID_H]]="","",MATCH(NOTA[[#This Row],[NB NOTA_C_QTY]],[3]!db[NB NOTA_C_QTY+F],0))</f>
        <v/>
      </c>
      <c r="AW616" s="43" t="str">
        <f ca="1">IF(NOTA[[#This Row],[NB NOTA_C_QTY]]="","",ROW()-2)</f>
        <v/>
      </c>
    </row>
    <row r="617" spans="1:49" ht="20.100000000000001" customHeight="1">
      <c r="A6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5" t="str">
        <f ca="1">IF(NOTA[[#This Row],[NAMA BARANG]]="","",INDEX(NOTA[ID],MATCH(,INDIRECT(ADDRESS(ROW(NOTA[ID]),COLUMN(NOTA[ID]))&amp;":"&amp;ADDRESS(ROW(),COLUMN(NOTA[ID]))),-1)))</f>
        <v/>
      </c>
      <c r="C617" s="45"/>
      <c r="F617" s="46"/>
      <c r="G617" s="35"/>
      <c r="H617" s="36"/>
      <c r="I617" s="35"/>
      <c r="K617" s="37"/>
      <c r="L617" s="35"/>
      <c r="N617" s="38"/>
      <c r="O617" s="39"/>
      <c r="P617" s="47"/>
      <c r="Q617" s="48"/>
      <c r="R617" s="41"/>
      <c r="T617" s="42"/>
      <c r="U617" s="44"/>
      <c r="V617" s="42" t="str">
        <f>IF(NOTA[[#This Row],[HARGA/ CTN]]="",NOTA[[#This Row],[JUMLAH_H]],NOTA[[#This Row],[HARGA/ CTN]]*IF(NOTA[[#This Row],[C]]="",0,NOTA[[#This Row],[C]]))</f>
        <v/>
      </c>
      <c r="W617" s="42" t="str">
        <f>IF(NOTA[[#This Row],[JUMLAH]]="","",NOTA[[#This Row],[JUMLAH]]*NOTA[[#This Row],[Column6]])</f>
        <v/>
      </c>
      <c r="X617" s="42" t="str">
        <f>IF(NOTA[[#This Row],[JUMLAH]]="","",(NOTA[[#This Row],[JUMLAH]]-NOTA[[#This Row],[DISC 1-]])*NOTA[[#This Row],[Column7]])</f>
        <v/>
      </c>
      <c r="Y617" s="42" t="str">
        <f>IF(NOTA[[#This Row],[JUMLAH]]="","",(NOTA[[#This Row],[JUMLAH]]-NOTA[[#This Row],[DISC 1-]]-NOTA[[#This Row],[DISC 2-]])*NOTA[[#This Row],[Column8]])</f>
        <v/>
      </c>
      <c r="Z617" s="42" t="str">
        <f>IF(NOTA[[#This Row],[JUMLAH]]="","",NOTA[[#This Row],[DISC 1-]]+NOTA[[#This Row],[DISC 2-]]+NOTA[[#This Row],[DISC 3-]])</f>
        <v/>
      </c>
      <c r="AA617" s="42" t="str">
        <f>IF(NOTA[[#This Row],[JUMLAH]]="","",NOTA[[#This Row],[JUMLAH]]-NOTA[[#This Row],[DISC]])</f>
        <v/>
      </c>
      <c r="AB617" s="42"/>
      <c r="AC6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42" t="str">
        <f>IF(OR(NOTA[[#This Row],[QTY]]="",NOTA[[#This Row],[HARGA SATUAN]]="",),"",NOTA[[#This Row],[QTY]]*NOTA[[#This Row],[HARGA SATUAN]])</f>
        <v/>
      </c>
      <c r="AG617" s="36" t="str">
        <f ca="1">IF(NOTA[[#This Row],[ID_H]]="","",INDEX(NOTA[TANGGAL],MATCH(,INDIRECT(ADDRESS(ROW(NOTA[TANGGAL]),COLUMN(NOTA[TANGGAL]))&amp;":"&amp;ADDRESS(ROW(),COLUMN(NOTA[TANGGAL]))),-1)))</f>
        <v/>
      </c>
      <c r="AH617" s="36" t="str">
        <f ca="1">IF(NOTA[[#This Row],[ID_H]]="","",INDEX(NOTA[TGL.NOTA],MATCH(,INDIRECT(ADDRESS(ROW(NOTA[TGL.NOTA]),COLUMN(NOTA[TGL.NOTA]))&amp;":"&amp;ADDRESS(ROW(),COLUMN(NOTA[TGL.NOTA]))),-1)))</f>
        <v/>
      </c>
      <c r="AI617" s="36" t="str">
        <f ca="1">IF(NOTA[[#This Row],[ID_H]]="","",INDEX(NOTA[NO.NOTA],MATCH(NOTA[[#This Row],[ID_H]],NOTA[ID_H],0)))</f>
        <v/>
      </c>
      <c r="AJ617" s="38" t="str">
        <f ca="1">IF(NOTA[[#This Row],[NAMA BARANG]]="","",INDEX(NOTA[SUPPLIER],MATCH(,INDIRECT(ADDRESS(ROW(NOTA[ID]),COLUMN(NOTA[ID]))&amp;":"&amp;ADDRESS(ROW(),COLUMN(NOTA[ID]))),-1)))</f>
        <v/>
      </c>
      <c r="AK617" s="38" t="str">
        <f ca="1">IF(NOTA[[#This Row],[ID_H]]="","",IF(NOTA[[#This Row],[FAKTUR]]="",INDIRECT(ADDRESS(ROW()-1,COLUMN())),NOTA[[#This Row],[FAKTUR]]))</f>
        <v/>
      </c>
      <c r="AL617" s="35" t="str">
        <f ca="1">IF(NOTA[[#This Row],[ID]]="","",COUNTIF(NOTA[ID_H],NOTA[[#This Row],[ID_H]]))</f>
        <v/>
      </c>
      <c r="AM617" s="35" t="str">
        <f ca="1">IF(NOTA[[#This Row],[TGL.NOTA]]="",IF(NOTA[[#This Row],[SUPPLIER_H]]="","",AM616),MONTH(NOTA[[#This Row],[TGL.NOTA]]))</f>
        <v/>
      </c>
      <c r="AN6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7" s="35" t="str">
        <f>IF(NOTA[[#This Row],[CONCAT1]]="","",MATCH(NOTA[[#This Row],[CONCAT1]],[3]!db[NB NOTA_C],0))</f>
        <v/>
      </c>
      <c r="AS617" s="35" t="str">
        <f>IF(NOTA[[#This Row],[Column5]]="","",TRUE)</f>
        <v/>
      </c>
      <c r="AT617" s="35" t="str">
        <f ca="1">IF(NOTA[[#This Row],[ID_H]]="","",IF(NOTA[[#This Row],[Column3]]=TRUE,NOTA[[#This Row],[Column5]],INDEX([3]!db[QTY/ CTN],NOTA[[#This Row],[//DB]])))</f>
        <v/>
      </c>
      <c r="AU6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7" s="35" t="str">
        <f ca="1">IF(NOTA[[#This Row],[ID_H]]="","",MATCH(NOTA[[#This Row],[NB NOTA_C_QTY]],[3]!db[NB NOTA_C_QTY+F],0))</f>
        <v/>
      </c>
      <c r="AW617" s="43" t="str">
        <f ca="1">IF(NOTA[[#This Row],[NB NOTA_C_QTY]]="","",ROW()-2)</f>
        <v/>
      </c>
    </row>
    <row r="618" spans="1:49" ht="20.100000000000001" customHeight="1">
      <c r="A6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5" t="str">
        <f ca="1">IF(NOTA[[#This Row],[NAMA BARANG]]="","",INDEX(NOTA[ID],MATCH(,INDIRECT(ADDRESS(ROW(NOTA[ID]),COLUMN(NOTA[ID]))&amp;":"&amp;ADDRESS(ROW(),COLUMN(NOTA[ID]))),-1)))</f>
        <v/>
      </c>
      <c r="C618" s="45"/>
      <c r="F618" s="46"/>
      <c r="G618" s="35"/>
      <c r="H618" s="36"/>
      <c r="I618" s="35"/>
      <c r="K618" s="37"/>
      <c r="L618" s="35"/>
      <c r="N618" s="38"/>
      <c r="O618" s="39"/>
      <c r="P618" s="47"/>
      <c r="Q618" s="48"/>
      <c r="R618" s="41"/>
      <c r="T618" s="42"/>
      <c r="U618" s="44"/>
      <c r="V618" s="42" t="str">
        <f>IF(NOTA[[#This Row],[HARGA/ CTN]]="",NOTA[[#This Row],[JUMLAH_H]],NOTA[[#This Row],[HARGA/ CTN]]*IF(NOTA[[#This Row],[C]]="",0,NOTA[[#This Row],[C]]))</f>
        <v/>
      </c>
      <c r="W618" s="42" t="str">
        <f>IF(NOTA[[#This Row],[JUMLAH]]="","",NOTA[[#This Row],[JUMLAH]]*NOTA[[#This Row],[Column6]])</f>
        <v/>
      </c>
      <c r="X618" s="42" t="str">
        <f>IF(NOTA[[#This Row],[JUMLAH]]="","",(NOTA[[#This Row],[JUMLAH]]-NOTA[[#This Row],[DISC 1-]])*NOTA[[#This Row],[Column7]])</f>
        <v/>
      </c>
      <c r="Y618" s="42" t="str">
        <f>IF(NOTA[[#This Row],[JUMLAH]]="","",(NOTA[[#This Row],[JUMLAH]]-NOTA[[#This Row],[DISC 1-]]-NOTA[[#This Row],[DISC 2-]])*NOTA[[#This Row],[Column8]])</f>
        <v/>
      </c>
      <c r="Z618" s="42" t="str">
        <f>IF(NOTA[[#This Row],[JUMLAH]]="","",NOTA[[#This Row],[DISC 1-]]+NOTA[[#This Row],[DISC 2-]]+NOTA[[#This Row],[DISC 3-]])</f>
        <v/>
      </c>
      <c r="AA618" s="42" t="str">
        <f>IF(NOTA[[#This Row],[JUMLAH]]="","",NOTA[[#This Row],[JUMLAH]]-NOTA[[#This Row],[DISC]])</f>
        <v/>
      </c>
      <c r="AB618" s="42"/>
      <c r="AC6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42" t="str">
        <f>IF(OR(NOTA[[#This Row],[QTY]]="",NOTA[[#This Row],[HARGA SATUAN]]="",),"",NOTA[[#This Row],[QTY]]*NOTA[[#This Row],[HARGA SATUAN]])</f>
        <v/>
      </c>
      <c r="AG618" s="36" t="str">
        <f ca="1">IF(NOTA[[#This Row],[ID_H]]="","",INDEX(NOTA[TANGGAL],MATCH(,INDIRECT(ADDRESS(ROW(NOTA[TANGGAL]),COLUMN(NOTA[TANGGAL]))&amp;":"&amp;ADDRESS(ROW(),COLUMN(NOTA[TANGGAL]))),-1)))</f>
        <v/>
      </c>
      <c r="AH618" s="36" t="str">
        <f ca="1">IF(NOTA[[#This Row],[ID_H]]="","",INDEX(NOTA[TGL.NOTA],MATCH(,INDIRECT(ADDRESS(ROW(NOTA[TGL.NOTA]),COLUMN(NOTA[TGL.NOTA]))&amp;":"&amp;ADDRESS(ROW(),COLUMN(NOTA[TGL.NOTA]))),-1)))</f>
        <v/>
      </c>
      <c r="AI618" s="36" t="str">
        <f ca="1">IF(NOTA[[#This Row],[ID_H]]="","",INDEX(NOTA[NO.NOTA],MATCH(NOTA[[#This Row],[ID_H]],NOTA[ID_H],0)))</f>
        <v/>
      </c>
      <c r="AJ618" s="38" t="str">
        <f ca="1">IF(NOTA[[#This Row],[NAMA BARANG]]="","",INDEX(NOTA[SUPPLIER],MATCH(,INDIRECT(ADDRESS(ROW(NOTA[ID]),COLUMN(NOTA[ID]))&amp;":"&amp;ADDRESS(ROW(),COLUMN(NOTA[ID]))),-1)))</f>
        <v/>
      </c>
      <c r="AK618" s="38" t="str">
        <f ca="1">IF(NOTA[[#This Row],[ID_H]]="","",IF(NOTA[[#This Row],[FAKTUR]]="",INDIRECT(ADDRESS(ROW()-1,COLUMN())),NOTA[[#This Row],[FAKTUR]]))</f>
        <v/>
      </c>
      <c r="AL618" s="35" t="str">
        <f ca="1">IF(NOTA[[#This Row],[ID]]="","",COUNTIF(NOTA[ID_H],NOTA[[#This Row],[ID_H]]))</f>
        <v/>
      </c>
      <c r="AM618" s="35" t="str">
        <f ca="1">IF(NOTA[[#This Row],[TGL.NOTA]]="",IF(NOTA[[#This Row],[SUPPLIER_H]]="","",AM617),MONTH(NOTA[[#This Row],[TGL.NOTA]]))</f>
        <v/>
      </c>
      <c r="AN6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8" s="35" t="str">
        <f>IF(NOTA[[#This Row],[CONCAT1]]="","",MATCH(NOTA[[#This Row],[CONCAT1]],[3]!db[NB NOTA_C],0))</f>
        <v/>
      </c>
      <c r="AS618" s="35" t="str">
        <f>IF(NOTA[[#This Row],[Column5]]="","",TRUE)</f>
        <v/>
      </c>
      <c r="AT618" s="35" t="str">
        <f ca="1">IF(NOTA[[#This Row],[ID_H]]="","",IF(NOTA[[#This Row],[Column3]]=TRUE,NOTA[[#This Row],[Column5]],INDEX([3]!db[QTY/ CTN],NOTA[[#This Row],[//DB]])))</f>
        <v/>
      </c>
      <c r="AU6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8" s="35" t="str">
        <f ca="1">IF(NOTA[[#This Row],[ID_H]]="","",MATCH(NOTA[[#This Row],[NB NOTA_C_QTY]],[3]!db[NB NOTA_C_QTY+F],0))</f>
        <v/>
      </c>
      <c r="AW618" s="43" t="str">
        <f ca="1">IF(NOTA[[#This Row],[NB NOTA_C_QTY]]="","",ROW()-2)</f>
        <v/>
      </c>
    </row>
    <row r="619" spans="1:49" ht="20.100000000000001" customHeight="1">
      <c r="A6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5" t="str">
        <f ca="1">IF(NOTA[[#This Row],[NAMA BARANG]]="","",INDEX(NOTA[ID],MATCH(,INDIRECT(ADDRESS(ROW(NOTA[ID]),COLUMN(NOTA[ID]))&amp;":"&amp;ADDRESS(ROW(),COLUMN(NOTA[ID]))),-1)))</f>
        <v/>
      </c>
      <c r="C619" s="45"/>
      <c r="F619" s="46"/>
      <c r="G619" s="35"/>
      <c r="H619" s="36"/>
      <c r="I619" s="35"/>
      <c r="K619" s="37"/>
      <c r="L619" s="35"/>
      <c r="N619" s="38"/>
      <c r="O619" s="39"/>
      <c r="P619" s="47"/>
      <c r="Q619" s="48"/>
      <c r="R619" s="41"/>
      <c r="T619" s="42"/>
      <c r="U619" s="44"/>
      <c r="V619" s="42" t="str">
        <f>IF(NOTA[[#This Row],[HARGA/ CTN]]="",NOTA[[#This Row],[JUMLAH_H]],NOTA[[#This Row],[HARGA/ CTN]]*IF(NOTA[[#This Row],[C]]="",0,NOTA[[#This Row],[C]]))</f>
        <v/>
      </c>
      <c r="W619" s="42" t="str">
        <f>IF(NOTA[[#This Row],[JUMLAH]]="","",NOTA[[#This Row],[JUMLAH]]*NOTA[[#This Row],[Column6]])</f>
        <v/>
      </c>
      <c r="X619" s="42" t="str">
        <f>IF(NOTA[[#This Row],[JUMLAH]]="","",(NOTA[[#This Row],[JUMLAH]]-NOTA[[#This Row],[DISC 1-]])*NOTA[[#This Row],[Column7]])</f>
        <v/>
      </c>
      <c r="Y619" s="42" t="str">
        <f>IF(NOTA[[#This Row],[JUMLAH]]="","",(NOTA[[#This Row],[JUMLAH]]-NOTA[[#This Row],[DISC 1-]]-NOTA[[#This Row],[DISC 2-]])*NOTA[[#This Row],[Column8]])</f>
        <v/>
      </c>
      <c r="Z619" s="42" t="str">
        <f>IF(NOTA[[#This Row],[JUMLAH]]="","",NOTA[[#This Row],[DISC 1-]]+NOTA[[#This Row],[DISC 2-]]+NOTA[[#This Row],[DISC 3-]])</f>
        <v/>
      </c>
      <c r="AA619" s="42" t="str">
        <f>IF(NOTA[[#This Row],[JUMLAH]]="","",NOTA[[#This Row],[JUMLAH]]-NOTA[[#This Row],[DISC]])</f>
        <v/>
      </c>
      <c r="AB619" s="42"/>
      <c r="AC6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42" t="str">
        <f>IF(OR(NOTA[[#This Row],[QTY]]="",NOTA[[#This Row],[HARGA SATUAN]]="",),"",NOTA[[#This Row],[QTY]]*NOTA[[#This Row],[HARGA SATUAN]])</f>
        <v/>
      </c>
      <c r="AG619" s="36" t="str">
        <f ca="1">IF(NOTA[[#This Row],[ID_H]]="","",INDEX(NOTA[TANGGAL],MATCH(,INDIRECT(ADDRESS(ROW(NOTA[TANGGAL]),COLUMN(NOTA[TANGGAL]))&amp;":"&amp;ADDRESS(ROW(),COLUMN(NOTA[TANGGAL]))),-1)))</f>
        <v/>
      </c>
      <c r="AH619" s="36" t="str">
        <f ca="1">IF(NOTA[[#This Row],[ID_H]]="","",INDEX(NOTA[TGL.NOTA],MATCH(,INDIRECT(ADDRESS(ROW(NOTA[TGL.NOTA]),COLUMN(NOTA[TGL.NOTA]))&amp;":"&amp;ADDRESS(ROW(),COLUMN(NOTA[TGL.NOTA]))),-1)))</f>
        <v/>
      </c>
      <c r="AI619" s="36" t="str">
        <f ca="1">IF(NOTA[[#This Row],[ID_H]]="","",INDEX(NOTA[NO.NOTA],MATCH(NOTA[[#This Row],[ID_H]],NOTA[ID_H],0)))</f>
        <v/>
      </c>
      <c r="AJ619" s="38" t="str">
        <f ca="1">IF(NOTA[[#This Row],[NAMA BARANG]]="","",INDEX(NOTA[SUPPLIER],MATCH(,INDIRECT(ADDRESS(ROW(NOTA[ID]),COLUMN(NOTA[ID]))&amp;":"&amp;ADDRESS(ROW(),COLUMN(NOTA[ID]))),-1)))</f>
        <v/>
      </c>
      <c r="AK619" s="38" t="str">
        <f ca="1">IF(NOTA[[#This Row],[ID_H]]="","",IF(NOTA[[#This Row],[FAKTUR]]="",INDIRECT(ADDRESS(ROW()-1,COLUMN())),NOTA[[#This Row],[FAKTUR]]))</f>
        <v/>
      </c>
      <c r="AL619" s="35" t="str">
        <f ca="1">IF(NOTA[[#This Row],[ID]]="","",COUNTIF(NOTA[ID_H],NOTA[[#This Row],[ID_H]]))</f>
        <v/>
      </c>
      <c r="AM619" s="35" t="str">
        <f ca="1">IF(NOTA[[#This Row],[TGL.NOTA]]="",IF(NOTA[[#This Row],[SUPPLIER_H]]="","",AM618),MONTH(NOTA[[#This Row],[TGL.NOTA]]))</f>
        <v/>
      </c>
      <c r="AN6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9" s="35" t="str">
        <f>IF(NOTA[[#This Row],[CONCAT1]]="","",MATCH(NOTA[[#This Row],[CONCAT1]],[3]!db[NB NOTA_C],0))</f>
        <v/>
      </c>
      <c r="AS619" s="35" t="str">
        <f>IF(NOTA[[#This Row],[Column5]]="","",TRUE)</f>
        <v/>
      </c>
      <c r="AT619" s="35" t="str">
        <f ca="1">IF(NOTA[[#This Row],[ID_H]]="","",IF(NOTA[[#This Row],[Column3]]=TRUE,NOTA[[#This Row],[Column5]],INDEX([3]!db[QTY/ CTN],NOTA[[#This Row],[//DB]])))</f>
        <v/>
      </c>
      <c r="AU6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19" s="35" t="str">
        <f ca="1">IF(NOTA[[#This Row],[ID_H]]="","",MATCH(NOTA[[#This Row],[NB NOTA_C_QTY]],[3]!db[NB NOTA_C_QTY+F],0))</f>
        <v/>
      </c>
      <c r="AW619" s="43" t="str">
        <f ca="1">IF(NOTA[[#This Row],[NB NOTA_C_QTY]]="","",ROW()-2)</f>
        <v/>
      </c>
    </row>
    <row r="620" spans="1:49" ht="20.100000000000001" customHeight="1">
      <c r="A6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5" t="str">
        <f ca="1">IF(NOTA[[#This Row],[NAMA BARANG]]="","",INDEX(NOTA[ID],MATCH(,INDIRECT(ADDRESS(ROW(NOTA[ID]),COLUMN(NOTA[ID]))&amp;":"&amp;ADDRESS(ROW(),COLUMN(NOTA[ID]))),-1)))</f>
        <v/>
      </c>
      <c r="C620" s="45"/>
      <c r="F620" s="46"/>
      <c r="G620" s="35"/>
      <c r="H620" s="36"/>
      <c r="I620" s="35"/>
      <c r="K620" s="37"/>
      <c r="L620" s="35"/>
      <c r="N620" s="38"/>
      <c r="O620" s="39"/>
      <c r="P620" s="47"/>
      <c r="Q620" s="48"/>
      <c r="R620" s="41"/>
      <c r="T620" s="42"/>
      <c r="U620" s="44"/>
      <c r="V620" s="42" t="str">
        <f>IF(NOTA[[#This Row],[HARGA/ CTN]]="",NOTA[[#This Row],[JUMLAH_H]],NOTA[[#This Row],[HARGA/ CTN]]*IF(NOTA[[#This Row],[C]]="",0,NOTA[[#This Row],[C]]))</f>
        <v/>
      </c>
      <c r="W620" s="42" t="str">
        <f>IF(NOTA[[#This Row],[JUMLAH]]="","",NOTA[[#This Row],[JUMLAH]]*NOTA[[#This Row],[Column6]])</f>
        <v/>
      </c>
      <c r="X620" s="42" t="str">
        <f>IF(NOTA[[#This Row],[JUMLAH]]="","",(NOTA[[#This Row],[JUMLAH]]-NOTA[[#This Row],[DISC 1-]])*NOTA[[#This Row],[Column7]])</f>
        <v/>
      </c>
      <c r="Y620" s="42" t="str">
        <f>IF(NOTA[[#This Row],[JUMLAH]]="","",(NOTA[[#This Row],[JUMLAH]]-NOTA[[#This Row],[DISC 1-]]-NOTA[[#This Row],[DISC 2-]])*NOTA[[#This Row],[Column8]])</f>
        <v/>
      </c>
      <c r="Z620" s="42" t="str">
        <f>IF(NOTA[[#This Row],[JUMLAH]]="","",NOTA[[#This Row],[DISC 1-]]+NOTA[[#This Row],[DISC 2-]]+NOTA[[#This Row],[DISC 3-]])</f>
        <v/>
      </c>
      <c r="AA620" s="42" t="str">
        <f>IF(NOTA[[#This Row],[JUMLAH]]="","",NOTA[[#This Row],[JUMLAH]]-NOTA[[#This Row],[DISC]])</f>
        <v/>
      </c>
      <c r="AB620" s="42"/>
      <c r="AC6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42" t="str">
        <f>IF(OR(NOTA[[#This Row],[QTY]]="",NOTA[[#This Row],[HARGA SATUAN]]="",),"",NOTA[[#This Row],[QTY]]*NOTA[[#This Row],[HARGA SATUAN]])</f>
        <v/>
      </c>
      <c r="AG620" s="36" t="str">
        <f ca="1">IF(NOTA[[#This Row],[ID_H]]="","",INDEX(NOTA[TANGGAL],MATCH(,INDIRECT(ADDRESS(ROW(NOTA[TANGGAL]),COLUMN(NOTA[TANGGAL]))&amp;":"&amp;ADDRESS(ROW(),COLUMN(NOTA[TANGGAL]))),-1)))</f>
        <v/>
      </c>
      <c r="AH620" s="36" t="str">
        <f ca="1">IF(NOTA[[#This Row],[ID_H]]="","",INDEX(NOTA[TGL.NOTA],MATCH(,INDIRECT(ADDRESS(ROW(NOTA[TGL.NOTA]),COLUMN(NOTA[TGL.NOTA]))&amp;":"&amp;ADDRESS(ROW(),COLUMN(NOTA[TGL.NOTA]))),-1)))</f>
        <v/>
      </c>
      <c r="AI620" s="36" t="str">
        <f ca="1">IF(NOTA[[#This Row],[ID_H]]="","",INDEX(NOTA[NO.NOTA],MATCH(NOTA[[#This Row],[ID_H]],NOTA[ID_H],0)))</f>
        <v/>
      </c>
      <c r="AJ620" s="38" t="str">
        <f ca="1">IF(NOTA[[#This Row],[NAMA BARANG]]="","",INDEX(NOTA[SUPPLIER],MATCH(,INDIRECT(ADDRESS(ROW(NOTA[ID]),COLUMN(NOTA[ID]))&amp;":"&amp;ADDRESS(ROW(),COLUMN(NOTA[ID]))),-1)))</f>
        <v/>
      </c>
      <c r="AK620" s="38" t="str">
        <f ca="1">IF(NOTA[[#This Row],[ID_H]]="","",IF(NOTA[[#This Row],[FAKTUR]]="",INDIRECT(ADDRESS(ROW()-1,COLUMN())),NOTA[[#This Row],[FAKTUR]]))</f>
        <v/>
      </c>
      <c r="AL620" s="35" t="str">
        <f ca="1">IF(NOTA[[#This Row],[ID]]="","",COUNTIF(NOTA[ID_H],NOTA[[#This Row],[ID_H]]))</f>
        <v/>
      </c>
      <c r="AM620" s="35" t="str">
        <f ca="1">IF(NOTA[[#This Row],[TGL.NOTA]]="",IF(NOTA[[#This Row],[SUPPLIER_H]]="","",AM619),MONTH(NOTA[[#This Row],[TGL.NOTA]]))</f>
        <v/>
      </c>
      <c r="AN6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0" s="35" t="str">
        <f>IF(NOTA[[#This Row],[CONCAT1]]="","",MATCH(NOTA[[#This Row],[CONCAT1]],[3]!db[NB NOTA_C],0))</f>
        <v/>
      </c>
      <c r="AS620" s="35" t="str">
        <f>IF(NOTA[[#This Row],[Column5]]="","",TRUE)</f>
        <v/>
      </c>
      <c r="AT620" s="35" t="str">
        <f ca="1">IF(NOTA[[#This Row],[ID_H]]="","",IF(NOTA[[#This Row],[Column3]]=TRUE,NOTA[[#This Row],[Column5]],INDEX([3]!db[QTY/ CTN],NOTA[[#This Row],[//DB]])))</f>
        <v/>
      </c>
      <c r="AU6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0" s="35" t="str">
        <f ca="1">IF(NOTA[[#This Row],[ID_H]]="","",MATCH(NOTA[[#This Row],[NB NOTA_C_QTY]],[3]!db[NB NOTA_C_QTY+F],0))</f>
        <v/>
      </c>
      <c r="AW620" s="43" t="str">
        <f ca="1">IF(NOTA[[#This Row],[NB NOTA_C_QTY]]="","",ROW()-2)</f>
        <v/>
      </c>
    </row>
    <row r="621" spans="1:49" ht="20.100000000000001" customHeight="1">
      <c r="A6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5" t="str">
        <f ca="1">IF(NOTA[[#This Row],[NAMA BARANG]]="","",INDEX(NOTA[ID],MATCH(,INDIRECT(ADDRESS(ROW(NOTA[ID]),COLUMN(NOTA[ID]))&amp;":"&amp;ADDRESS(ROW(),COLUMN(NOTA[ID]))),-1)))</f>
        <v/>
      </c>
      <c r="C621" s="45"/>
      <c r="F621" s="46"/>
      <c r="G621" s="35"/>
      <c r="H621" s="36"/>
      <c r="I621" s="35"/>
      <c r="K621" s="37"/>
      <c r="L621" s="35"/>
      <c r="N621" s="38"/>
      <c r="O621" s="39"/>
      <c r="P621" s="47"/>
      <c r="Q621" s="48"/>
      <c r="R621" s="41"/>
      <c r="T621" s="42"/>
      <c r="U621" s="44"/>
      <c r="V621" s="42" t="str">
        <f>IF(NOTA[[#This Row],[HARGA/ CTN]]="",NOTA[[#This Row],[JUMLAH_H]],NOTA[[#This Row],[HARGA/ CTN]]*IF(NOTA[[#This Row],[C]]="",0,NOTA[[#This Row],[C]]))</f>
        <v/>
      </c>
      <c r="W621" s="42" t="str">
        <f>IF(NOTA[[#This Row],[JUMLAH]]="","",NOTA[[#This Row],[JUMLAH]]*NOTA[[#This Row],[Column6]])</f>
        <v/>
      </c>
      <c r="X621" s="42" t="str">
        <f>IF(NOTA[[#This Row],[JUMLAH]]="","",(NOTA[[#This Row],[JUMLAH]]-NOTA[[#This Row],[DISC 1-]])*NOTA[[#This Row],[Column7]])</f>
        <v/>
      </c>
      <c r="Y621" s="42" t="str">
        <f>IF(NOTA[[#This Row],[JUMLAH]]="","",(NOTA[[#This Row],[JUMLAH]]-NOTA[[#This Row],[DISC 1-]]-NOTA[[#This Row],[DISC 2-]])*NOTA[[#This Row],[Column8]])</f>
        <v/>
      </c>
      <c r="Z621" s="42" t="str">
        <f>IF(NOTA[[#This Row],[JUMLAH]]="","",NOTA[[#This Row],[DISC 1-]]+NOTA[[#This Row],[DISC 2-]]+NOTA[[#This Row],[DISC 3-]])</f>
        <v/>
      </c>
      <c r="AA621" s="42" t="str">
        <f>IF(NOTA[[#This Row],[JUMLAH]]="","",NOTA[[#This Row],[JUMLAH]]-NOTA[[#This Row],[DISC]])</f>
        <v/>
      </c>
      <c r="AB621" s="42"/>
      <c r="AC6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42" t="str">
        <f>IF(OR(NOTA[[#This Row],[QTY]]="",NOTA[[#This Row],[HARGA SATUAN]]="",),"",NOTA[[#This Row],[QTY]]*NOTA[[#This Row],[HARGA SATUAN]])</f>
        <v/>
      </c>
      <c r="AG621" s="36" t="str">
        <f ca="1">IF(NOTA[[#This Row],[ID_H]]="","",INDEX(NOTA[TANGGAL],MATCH(,INDIRECT(ADDRESS(ROW(NOTA[TANGGAL]),COLUMN(NOTA[TANGGAL]))&amp;":"&amp;ADDRESS(ROW(),COLUMN(NOTA[TANGGAL]))),-1)))</f>
        <v/>
      </c>
      <c r="AH621" s="36" t="str">
        <f ca="1">IF(NOTA[[#This Row],[ID_H]]="","",INDEX(NOTA[TGL.NOTA],MATCH(,INDIRECT(ADDRESS(ROW(NOTA[TGL.NOTA]),COLUMN(NOTA[TGL.NOTA]))&amp;":"&amp;ADDRESS(ROW(),COLUMN(NOTA[TGL.NOTA]))),-1)))</f>
        <v/>
      </c>
      <c r="AI621" s="36" t="str">
        <f ca="1">IF(NOTA[[#This Row],[ID_H]]="","",INDEX(NOTA[NO.NOTA],MATCH(NOTA[[#This Row],[ID_H]],NOTA[ID_H],0)))</f>
        <v/>
      </c>
      <c r="AJ621" s="38" t="str">
        <f ca="1">IF(NOTA[[#This Row],[NAMA BARANG]]="","",INDEX(NOTA[SUPPLIER],MATCH(,INDIRECT(ADDRESS(ROW(NOTA[ID]),COLUMN(NOTA[ID]))&amp;":"&amp;ADDRESS(ROW(),COLUMN(NOTA[ID]))),-1)))</f>
        <v/>
      </c>
      <c r="AK621" s="38" t="str">
        <f ca="1">IF(NOTA[[#This Row],[ID_H]]="","",IF(NOTA[[#This Row],[FAKTUR]]="",INDIRECT(ADDRESS(ROW()-1,COLUMN())),NOTA[[#This Row],[FAKTUR]]))</f>
        <v/>
      </c>
      <c r="AL621" s="35" t="str">
        <f ca="1">IF(NOTA[[#This Row],[ID]]="","",COUNTIF(NOTA[ID_H],NOTA[[#This Row],[ID_H]]))</f>
        <v/>
      </c>
      <c r="AM621" s="35" t="str">
        <f ca="1">IF(NOTA[[#This Row],[TGL.NOTA]]="",IF(NOTA[[#This Row],[SUPPLIER_H]]="","",AM620),MONTH(NOTA[[#This Row],[TGL.NOTA]]))</f>
        <v/>
      </c>
      <c r="AN6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1" s="35" t="str">
        <f>IF(NOTA[[#This Row],[CONCAT1]]="","",MATCH(NOTA[[#This Row],[CONCAT1]],[3]!db[NB NOTA_C],0))</f>
        <v/>
      </c>
      <c r="AS621" s="35" t="str">
        <f>IF(NOTA[[#This Row],[Column5]]="","",TRUE)</f>
        <v/>
      </c>
      <c r="AT621" s="35" t="str">
        <f ca="1">IF(NOTA[[#This Row],[ID_H]]="","",IF(NOTA[[#This Row],[Column3]]=TRUE,NOTA[[#This Row],[Column5]],INDEX([3]!db[QTY/ CTN],NOTA[[#This Row],[//DB]])))</f>
        <v/>
      </c>
      <c r="AU6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1" s="35" t="str">
        <f ca="1">IF(NOTA[[#This Row],[ID_H]]="","",MATCH(NOTA[[#This Row],[NB NOTA_C_QTY]],[3]!db[NB NOTA_C_QTY+F],0))</f>
        <v/>
      </c>
      <c r="AW621" s="43" t="str">
        <f ca="1">IF(NOTA[[#This Row],[NB NOTA_C_QTY]]="","",ROW()-2)</f>
        <v/>
      </c>
    </row>
    <row r="622" spans="1:49" ht="20.100000000000001" customHeight="1">
      <c r="A6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5" t="str">
        <f ca="1">IF(NOTA[[#This Row],[NAMA BARANG]]="","",INDEX(NOTA[ID],MATCH(,INDIRECT(ADDRESS(ROW(NOTA[ID]),COLUMN(NOTA[ID]))&amp;":"&amp;ADDRESS(ROW(),COLUMN(NOTA[ID]))),-1)))</f>
        <v/>
      </c>
      <c r="C622" s="45"/>
      <c r="F622" s="46"/>
      <c r="G622" s="35"/>
      <c r="H622" s="36"/>
      <c r="I622" s="35"/>
      <c r="K622" s="37"/>
      <c r="L622" s="35"/>
      <c r="N622" s="38"/>
      <c r="O622" s="39"/>
      <c r="P622" s="47"/>
      <c r="Q622" s="48"/>
      <c r="R622" s="41"/>
      <c r="T622" s="42"/>
      <c r="U622" s="44"/>
      <c r="V622" s="42" t="str">
        <f>IF(NOTA[[#This Row],[HARGA/ CTN]]="",NOTA[[#This Row],[JUMLAH_H]],NOTA[[#This Row],[HARGA/ CTN]]*IF(NOTA[[#This Row],[C]]="",0,NOTA[[#This Row],[C]]))</f>
        <v/>
      </c>
      <c r="W622" s="42" t="str">
        <f>IF(NOTA[[#This Row],[JUMLAH]]="","",NOTA[[#This Row],[JUMLAH]]*NOTA[[#This Row],[Column6]])</f>
        <v/>
      </c>
      <c r="X622" s="42" t="str">
        <f>IF(NOTA[[#This Row],[JUMLAH]]="","",(NOTA[[#This Row],[JUMLAH]]-NOTA[[#This Row],[DISC 1-]])*NOTA[[#This Row],[Column7]])</f>
        <v/>
      </c>
      <c r="Y622" s="42" t="str">
        <f>IF(NOTA[[#This Row],[JUMLAH]]="","",(NOTA[[#This Row],[JUMLAH]]-NOTA[[#This Row],[DISC 1-]]-NOTA[[#This Row],[DISC 2-]])*NOTA[[#This Row],[Column8]])</f>
        <v/>
      </c>
      <c r="Z622" s="42" t="str">
        <f>IF(NOTA[[#This Row],[JUMLAH]]="","",NOTA[[#This Row],[DISC 1-]]+NOTA[[#This Row],[DISC 2-]]+NOTA[[#This Row],[DISC 3-]])</f>
        <v/>
      </c>
      <c r="AA622" s="42" t="str">
        <f>IF(NOTA[[#This Row],[JUMLAH]]="","",NOTA[[#This Row],[JUMLAH]]-NOTA[[#This Row],[DISC]])</f>
        <v/>
      </c>
      <c r="AB622" s="42"/>
      <c r="AC6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42" t="str">
        <f>IF(OR(NOTA[[#This Row],[QTY]]="",NOTA[[#This Row],[HARGA SATUAN]]="",),"",NOTA[[#This Row],[QTY]]*NOTA[[#This Row],[HARGA SATUAN]])</f>
        <v/>
      </c>
      <c r="AG622" s="36" t="str">
        <f ca="1">IF(NOTA[[#This Row],[ID_H]]="","",INDEX(NOTA[TANGGAL],MATCH(,INDIRECT(ADDRESS(ROW(NOTA[TANGGAL]),COLUMN(NOTA[TANGGAL]))&amp;":"&amp;ADDRESS(ROW(),COLUMN(NOTA[TANGGAL]))),-1)))</f>
        <v/>
      </c>
      <c r="AH622" s="36" t="str">
        <f ca="1">IF(NOTA[[#This Row],[ID_H]]="","",INDEX(NOTA[TGL.NOTA],MATCH(,INDIRECT(ADDRESS(ROW(NOTA[TGL.NOTA]),COLUMN(NOTA[TGL.NOTA]))&amp;":"&amp;ADDRESS(ROW(),COLUMN(NOTA[TGL.NOTA]))),-1)))</f>
        <v/>
      </c>
      <c r="AI622" s="36" t="str">
        <f ca="1">IF(NOTA[[#This Row],[ID_H]]="","",INDEX(NOTA[NO.NOTA],MATCH(NOTA[[#This Row],[ID_H]],NOTA[ID_H],0)))</f>
        <v/>
      </c>
      <c r="AJ622" s="38" t="str">
        <f ca="1">IF(NOTA[[#This Row],[NAMA BARANG]]="","",INDEX(NOTA[SUPPLIER],MATCH(,INDIRECT(ADDRESS(ROW(NOTA[ID]),COLUMN(NOTA[ID]))&amp;":"&amp;ADDRESS(ROW(),COLUMN(NOTA[ID]))),-1)))</f>
        <v/>
      </c>
      <c r="AK622" s="38" t="str">
        <f ca="1">IF(NOTA[[#This Row],[ID_H]]="","",IF(NOTA[[#This Row],[FAKTUR]]="",INDIRECT(ADDRESS(ROW()-1,COLUMN())),NOTA[[#This Row],[FAKTUR]]))</f>
        <v/>
      </c>
      <c r="AL622" s="35" t="str">
        <f ca="1">IF(NOTA[[#This Row],[ID]]="","",COUNTIF(NOTA[ID_H],NOTA[[#This Row],[ID_H]]))</f>
        <v/>
      </c>
      <c r="AM622" s="35" t="str">
        <f ca="1">IF(NOTA[[#This Row],[TGL.NOTA]]="",IF(NOTA[[#This Row],[SUPPLIER_H]]="","",AM621),MONTH(NOTA[[#This Row],[TGL.NOTA]]))</f>
        <v/>
      </c>
      <c r="AN6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2" s="35" t="str">
        <f>IF(NOTA[[#This Row],[CONCAT1]]="","",MATCH(NOTA[[#This Row],[CONCAT1]],[3]!db[NB NOTA_C],0))</f>
        <v/>
      </c>
      <c r="AS622" s="35" t="str">
        <f>IF(NOTA[[#This Row],[Column5]]="","",TRUE)</f>
        <v/>
      </c>
      <c r="AT622" s="35" t="str">
        <f ca="1">IF(NOTA[[#This Row],[ID_H]]="","",IF(NOTA[[#This Row],[Column3]]=TRUE,NOTA[[#This Row],[Column5]],INDEX([3]!db[QTY/ CTN],NOTA[[#This Row],[//DB]])))</f>
        <v/>
      </c>
      <c r="AU6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2" s="35" t="str">
        <f ca="1">IF(NOTA[[#This Row],[ID_H]]="","",MATCH(NOTA[[#This Row],[NB NOTA_C_QTY]],[3]!db[NB NOTA_C_QTY+F],0))</f>
        <v/>
      </c>
      <c r="AW622" s="43" t="str">
        <f ca="1">IF(NOTA[[#This Row],[NB NOTA_C_QTY]]="","",ROW()-2)</f>
        <v/>
      </c>
    </row>
    <row r="623" spans="1:49" ht="20.100000000000001" customHeight="1">
      <c r="A6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5" t="str">
        <f ca="1">IF(NOTA[[#This Row],[NAMA BARANG]]="","",INDEX(NOTA[ID],MATCH(,INDIRECT(ADDRESS(ROW(NOTA[ID]),COLUMN(NOTA[ID]))&amp;":"&amp;ADDRESS(ROW(),COLUMN(NOTA[ID]))),-1)))</f>
        <v/>
      </c>
      <c r="C623" s="45"/>
      <c r="F623" s="46"/>
      <c r="G623" s="35"/>
      <c r="H623" s="36"/>
      <c r="I623" s="35"/>
      <c r="K623" s="37"/>
      <c r="L623" s="35"/>
      <c r="N623" s="38"/>
      <c r="O623" s="39"/>
      <c r="P623" s="47"/>
      <c r="Q623" s="48"/>
      <c r="R623" s="41"/>
      <c r="T623" s="42"/>
      <c r="U623" s="44"/>
      <c r="V623" s="42" t="str">
        <f>IF(NOTA[[#This Row],[HARGA/ CTN]]="",NOTA[[#This Row],[JUMLAH_H]],NOTA[[#This Row],[HARGA/ CTN]]*IF(NOTA[[#This Row],[C]]="",0,NOTA[[#This Row],[C]]))</f>
        <v/>
      </c>
      <c r="W623" s="42" t="str">
        <f>IF(NOTA[[#This Row],[JUMLAH]]="","",NOTA[[#This Row],[JUMLAH]]*NOTA[[#This Row],[Column6]])</f>
        <v/>
      </c>
      <c r="X623" s="42" t="str">
        <f>IF(NOTA[[#This Row],[JUMLAH]]="","",(NOTA[[#This Row],[JUMLAH]]-NOTA[[#This Row],[DISC 1-]])*NOTA[[#This Row],[Column7]])</f>
        <v/>
      </c>
      <c r="Y623" s="42" t="str">
        <f>IF(NOTA[[#This Row],[JUMLAH]]="","",(NOTA[[#This Row],[JUMLAH]]-NOTA[[#This Row],[DISC 1-]]-NOTA[[#This Row],[DISC 2-]])*NOTA[[#This Row],[Column8]])</f>
        <v/>
      </c>
      <c r="Z623" s="42" t="str">
        <f>IF(NOTA[[#This Row],[JUMLAH]]="","",NOTA[[#This Row],[DISC 1-]]+NOTA[[#This Row],[DISC 2-]]+NOTA[[#This Row],[DISC 3-]])</f>
        <v/>
      </c>
      <c r="AA623" s="42" t="str">
        <f>IF(NOTA[[#This Row],[JUMLAH]]="","",NOTA[[#This Row],[JUMLAH]]-NOTA[[#This Row],[DISC]])</f>
        <v/>
      </c>
      <c r="AB623" s="42"/>
      <c r="AC6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42" t="str">
        <f>IF(OR(NOTA[[#This Row],[QTY]]="",NOTA[[#This Row],[HARGA SATUAN]]="",),"",NOTA[[#This Row],[QTY]]*NOTA[[#This Row],[HARGA SATUAN]])</f>
        <v/>
      </c>
      <c r="AG623" s="36" t="str">
        <f ca="1">IF(NOTA[[#This Row],[ID_H]]="","",INDEX(NOTA[TANGGAL],MATCH(,INDIRECT(ADDRESS(ROW(NOTA[TANGGAL]),COLUMN(NOTA[TANGGAL]))&amp;":"&amp;ADDRESS(ROW(),COLUMN(NOTA[TANGGAL]))),-1)))</f>
        <v/>
      </c>
      <c r="AH623" s="36" t="str">
        <f ca="1">IF(NOTA[[#This Row],[ID_H]]="","",INDEX(NOTA[TGL.NOTA],MATCH(,INDIRECT(ADDRESS(ROW(NOTA[TGL.NOTA]),COLUMN(NOTA[TGL.NOTA]))&amp;":"&amp;ADDRESS(ROW(),COLUMN(NOTA[TGL.NOTA]))),-1)))</f>
        <v/>
      </c>
      <c r="AI623" s="36" t="str">
        <f ca="1">IF(NOTA[[#This Row],[ID_H]]="","",INDEX(NOTA[NO.NOTA],MATCH(NOTA[[#This Row],[ID_H]],NOTA[ID_H],0)))</f>
        <v/>
      </c>
      <c r="AJ623" s="38" t="str">
        <f ca="1">IF(NOTA[[#This Row],[NAMA BARANG]]="","",INDEX(NOTA[SUPPLIER],MATCH(,INDIRECT(ADDRESS(ROW(NOTA[ID]),COLUMN(NOTA[ID]))&amp;":"&amp;ADDRESS(ROW(),COLUMN(NOTA[ID]))),-1)))</f>
        <v/>
      </c>
      <c r="AK623" s="38" t="str">
        <f ca="1">IF(NOTA[[#This Row],[ID_H]]="","",IF(NOTA[[#This Row],[FAKTUR]]="",INDIRECT(ADDRESS(ROW()-1,COLUMN())),NOTA[[#This Row],[FAKTUR]]))</f>
        <v/>
      </c>
      <c r="AL623" s="35" t="str">
        <f ca="1">IF(NOTA[[#This Row],[ID]]="","",COUNTIF(NOTA[ID_H],NOTA[[#This Row],[ID_H]]))</f>
        <v/>
      </c>
      <c r="AM623" s="35" t="str">
        <f ca="1">IF(NOTA[[#This Row],[TGL.NOTA]]="",IF(NOTA[[#This Row],[SUPPLIER_H]]="","",AM622),MONTH(NOTA[[#This Row],[TGL.NOTA]]))</f>
        <v/>
      </c>
      <c r="AN6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3" s="35" t="str">
        <f>IF(NOTA[[#This Row],[CONCAT1]]="","",MATCH(NOTA[[#This Row],[CONCAT1]],[3]!db[NB NOTA_C],0))</f>
        <v/>
      </c>
      <c r="AS623" s="35" t="str">
        <f>IF(NOTA[[#This Row],[Column5]]="","",TRUE)</f>
        <v/>
      </c>
      <c r="AT623" s="35" t="str">
        <f ca="1">IF(NOTA[[#This Row],[ID_H]]="","",IF(NOTA[[#This Row],[Column3]]=TRUE,NOTA[[#This Row],[Column5]],INDEX([3]!db[QTY/ CTN],NOTA[[#This Row],[//DB]])))</f>
        <v/>
      </c>
      <c r="AU6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3" s="35" t="str">
        <f ca="1">IF(NOTA[[#This Row],[ID_H]]="","",MATCH(NOTA[[#This Row],[NB NOTA_C_QTY]],[3]!db[NB NOTA_C_QTY+F],0))</f>
        <v/>
      </c>
      <c r="AW623" s="43" t="str">
        <f ca="1">IF(NOTA[[#This Row],[NB NOTA_C_QTY]]="","",ROW()-2)</f>
        <v/>
      </c>
    </row>
    <row r="624" spans="1:49" ht="20.100000000000001" customHeight="1">
      <c r="A6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5" t="str">
        <f ca="1">IF(NOTA[[#This Row],[NAMA BARANG]]="","",INDEX(NOTA[ID],MATCH(,INDIRECT(ADDRESS(ROW(NOTA[ID]),COLUMN(NOTA[ID]))&amp;":"&amp;ADDRESS(ROW(),COLUMN(NOTA[ID]))),-1)))</f>
        <v/>
      </c>
      <c r="C624" s="45"/>
      <c r="F624" s="46"/>
      <c r="G624" s="35"/>
      <c r="H624" s="36"/>
      <c r="I624" s="35"/>
      <c r="K624" s="37"/>
      <c r="L624" s="35"/>
      <c r="N624" s="38"/>
      <c r="O624" s="39"/>
      <c r="P624" s="47"/>
      <c r="Q624" s="48"/>
      <c r="R624" s="41"/>
      <c r="T624" s="42"/>
      <c r="U624" s="44"/>
      <c r="V624" s="42" t="str">
        <f>IF(NOTA[[#This Row],[HARGA/ CTN]]="",NOTA[[#This Row],[JUMLAH_H]],NOTA[[#This Row],[HARGA/ CTN]]*IF(NOTA[[#This Row],[C]]="",0,NOTA[[#This Row],[C]]))</f>
        <v/>
      </c>
      <c r="W624" s="42" t="str">
        <f>IF(NOTA[[#This Row],[JUMLAH]]="","",NOTA[[#This Row],[JUMLAH]]*NOTA[[#This Row],[Column6]])</f>
        <v/>
      </c>
      <c r="X624" s="42" t="str">
        <f>IF(NOTA[[#This Row],[JUMLAH]]="","",(NOTA[[#This Row],[JUMLAH]]-NOTA[[#This Row],[DISC 1-]])*NOTA[[#This Row],[Column7]])</f>
        <v/>
      </c>
      <c r="Y624" s="42" t="str">
        <f>IF(NOTA[[#This Row],[JUMLAH]]="","",(NOTA[[#This Row],[JUMLAH]]-NOTA[[#This Row],[DISC 1-]]-NOTA[[#This Row],[DISC 2-]])*NOTA[[#This Row],[Column8]])</f>
        <v/>
      </c>
      <c r="Z624" s="42" t="str">
        <f>IF(NOTA[[#This Row],[JUMLAH]]="","",NOTA[[#This Row],[DISC 1-]]+NOTA[[#This Row],[DISC 2-]]+NOTA[[#This Row],[DISC 3-]])</f>
        <v/>
      </c>
      <c r="AA624" s="42" t="str">
        <f>IF(NOTA[[#This Row],[JUMLAH]]="","",NOTA[[#This Row],[JUMLAH]]-NOTA[[#This Row],[DISC]])</f>
        <v/>
      </c>
      <c r="AB624" s="42"/>
      <c r="AC6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42" t="str">
        <f>IF(OR(NOTA[[#This Row],[QTY]]="",NOTA[[#This Row],[HARGA SATUAN]]="",),"",NOTA[[#This Row],[QTY]]*NOTA[[#This Row],[HARGA SATUAN]])</f>
        <v/>
      </c>
      <c r="AG624" s="36" t="str">
        <f ca="1">IF(NOTA[[#This Row],[ID_H]]="","",INDEX(NOTA[TANGGAL],MATCH(,INDIRECT(ADDRESS(ROW(NOTA[TANGGAL]),COLUMN(NOTA[TANGGAL]))&amp;":"&amp;ADDRESS(ROW(),COLUMN(NOTA[TANGGAL]))),-1)))</f>
        <v/>
      </c>
      <c r="AH624" s="36" t="str">
        <f ca="1">IF(NOTA[[#This Row],[ID_H]]="","",INDEX(NOTA[TGL.NOTA],MATCH(,INDIRECT(ADDRESS(ROW(NOTA[TGL.NOTA]),COLUMN(NOTA[TGL.NOTA]))&amp;":"&amp;ADDRESS(ROW(),COLUMN(NOTA[TGL.NOTA]))),-1)))</f>
        <v/>
      </c>
      <c r="AI624" s="36" t="str">
        <f ca="1">IF(NOTA[[#This Row],[ID_H]]="","",INDEX(NOTA[NO.NOTA],MATCH(NOTA[[#This Row],[ID_H]],NOTA[ID_H],0)))</f>
        <v/>
      </c>
      <c r="AJ624" s="38" t="str">
        <f ca="1">IF(NOTA[[#This Row],[NAMA BARANG]]="","",INDEX(NOTA[SUPPLIER],MATCH(,INDIRECT(ADDRESS(ROW(NOTA[ID]),COLUMN(NOTA[ID]))&amp;":"&amp;ADDRESS(ROW(),COLUMN(NOTA[ID]))),-1)))</f>
        <v/>
      </c>
      <c r="AK624" s="38" t="str">
        <f ca="1">IF(NOTA[[#This Row],[ID_H]]="","",IF(NOTA[[#This Row],[FAKTUR]]="",INDIRECT(ADDRESS(ROW()-1,COLUMN())),NOTA[[#This Row],[FAKTUR]]))</f>
        <v/>
      </c>
      <c r="AL624" s="35" t="str">
        <f ca="1">IF(NOTA[[#This Row],[ID]]="","",COUNTIF(NOTA[ID_H],NOTA[[#This Row],[ID_H]]))</f>
        <v/>
      </c>
      <c r="AM624" s="35" t="str">
        <f ca="1">IF(NOTA[[#This Row],[TGL.NOTA]]="",IF(NOTA[[#This Row],[SUPPLIER_H]]="","",AM623),MONTH(NOTA[[#This Row],[TGL.NOTA]]))</f>
        <v/>
      </c>
      <c r="AN6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4" s="35" t="str">
        <f>IF(NOTA[[#This Row],[CONCAT1]]="","",MATCH(NOTA[[#This Row],[CONCAT1]],[3]!db[NB NOTA_C],0))</f>
        <v/>
      </c>
      <c r="AS624" s="35" t="str">
        <f>IF(NOTA[[#This Row],[Column5]]="","",TRUE)</f>
        <v/>
      </c>
      <c r="AT624" s="35" t="str">
        <f ca="1">IF(NOTA[[#This Row],[ID_H]]="","",IF(NOTA[[#This Row],[Column3]]=TRUE,NOTA[[#This Row],[Column5]],INDEX([3]!db[QTY/ CTN],NOTA[[#This Row],[//DB]])))</f>
        <v/>
      </c>
      <c r="AU6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4" s="35" t="str">
        <f ca="1">IF(NOTA[[#This Row],[ID_H]]="","",MATCH(NOTA[[#This Row],[NB NOTA_C_QTY]],[3]!db[NB NOTA_C_QTY+F],0))</f>
        <v/>
      </c>
      <c r="AW624" s="43" t="str">
        <f ca="1">IF(NOTA[[#This Row],[NB NOTA_C_QTY]]="","",ROW()-2)</f>
        <v/>
      </c>
    </row>
    <row r="625" spans="1:49" ht="20.100000000000001" customHeight="1">
      <c r="A6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5" t="str">
        <f ca="1">IF(NOTA[[#This Row],[NAMA BARANG]]="","",INDEX(NOTA[ID],MATCH(,INDIRECT(ADDRESS(ROW(NOTA[ID]),COLUMN(NOTA[ID]))&amp;":"&amp;ADDRESS(ROW(),COLUMN(NOTA[ID]))),-1)))</f>
        <v/>
      </c>
      <c r="C625" s="45"/>
      <c r="F625" s="46"/>
      <c r="G625" s="35"/>
      <c r="H625" s="36"/>
      <c r="I625" s="35"/>
      <c r="K625" s="37"/>
      <c r="L625" s="35"/>
      <c r="N625" s="38"/>
      <c r="O625" s="39"/>
      <c r="P625" s="47"/>
      <c r="Q625" s="48"/>
      <c r="R625" s="41"/>
      <c r="T625" s="42"/>
      <c r="U625" s="44"/>
      <c r="V625" s="42" t="str">
        <f>IF(NOTA[[#This Row],[HARGA/ CTN]]="",NOTA[[#This Row],[JUMLAH_H]],NOTA[[#This Row],[HARGA/ CTN]]*IF(NOTA[[#This Row],[C]]="",0,NOTA[[#This Row],[C]]))</f>
        <v/>
      </c>
      <c r="W625" s="42" t="str">
        <f>IF(NOTA[[#This Row],[JUMLAH]]="","",NOTA[[#This Row],[JUMLAH]]*NOTA[[#This Row],[Column6]])</f>
        <v/>
      </c>
      <c r="X625" s="42" t="str">
        <f>IF(NOTA[[#This Row],[JUMLAH]]="","",(NOTA[[#This Row],[JUMLAH]]-NOTA[[#This Row],[DISC 1-]])*NOTA[[#This Row],[Column7]])</f>
        <v/>
      </c>
      <c r="Y625" s="42" t="str">
        <f>IF(NOTA[[#This Row],[JUMLAH]]="","",(NOTA[[#This Row],[JUMLAH]]-NOTA[[#This Row],[DISC 1-]]-NOTA[[#This Row],[DISC 2-]])*NOTA[[#This Row],[Column8]])</f>
        <v/>
      </c>
      <c r="Z625" s="42" t="str">
        <f>IF(NOTA[[#This Row],[JUMLAH]]="","",NOTA[[#This Row],[DISC 1-]]+NOTA[[#This Row],[DISC 2-]]+NOTA[[#This Row],[DISC 3-]])</f>
        <v/>
      </c>
      <c r="AA625" s="42" t="str">
        <f>IF(NOTA[[#This Row],[JUMLAH]]="","",NOTA[[#This Row],[JUMLAH]]-NOTA[[#This Row],[DISC]])</f>
        <v/>
      </c>
      <c r="AB625" s="42"/>
      <c r="AC6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42" t="str">
        <f>IF(OR(NOTA[[#This Row],[QTY]]="",NOTA[[#This Row],[HARGA SATUAN]]="",),"",NOTA[[#This Row],[QTY]]*NOTA[[#This Row],[HARGA SATUAN]])</f>
        <v/>
      </c>
      <c r="AG625" s="36" t="str">
        <f ca="1">IF(NOTA[[#This Row],[ID_H]]="","",INDEX(NOTA[TANGGAL],MATCH(,INDIRECT(ADDRESS(ROW(NOTA[TANGGAL]),COLUMN(NOTA[TANGGAL]))&amp;":"&amp;ADDRESS(ROW(),COLUMN(NOTA[TANGGAL]))),-1)))</f>
        <v/>
      </c>
      <c r="AH625" s="36" t="str">
        <f ca="1">IF(NOTA[[#This Row],[ID_H]]="","",INDEX(NOTA[TGL.NOTA],MATCH(,INDIRECT(ADDRESS(ROW(NOTA[TGL.NOTA]),COLUMN(NOTA[TGL.NOTA]))&amp;":"&amp;ADDRESS(ROW(),COLUMN(NOTA[TGL.NOTA]))),-1)))</f>
        <v/>
      </c>
      <c r="AI625" s="36" t="str">
        <f ca="1">IF(NOTA[[#This Row],[ID_H]]="","",INDEX(NOTA[NO.NOTA],MATCH(NOTA[[#This Row],[ID_H]],NOTA[ID_H],0)))</f>
        <v/>
      </c>
      <c r="AJ625" s="38" t="str">
        <f ca="1">IF(NOTA[[#This Row],[NAMA BARANG]]="","",INDEX(NOTA[SUPPLIER],MATCH(,INDIRECT(ADDRESS(ROW(NOTA[ID]),COLUMN(NOTA[ID]))&amp;":"&amp;ADDRESS(ROW(),COLUMN(NOTA[ID]))),-1)))</f>
        <v/>
      </c>
      <c r="AK625" s="38" t="str">
        <f ca="1">IF(NOTA[[#This Row],[ID_H]]="","",IF(NOTA[[#This Row],[FAKTUR]]="",INDIRECT(ADDRESS(ROW()-1,COLUMN())),NOTA[[#This Row],[FAKTUR]]))</f>
        <v/>
      </c>
      <c r="AL625" s="35" t="str">
        <f ca="1">IF(NOTA[[#This Row],[ID]]="","",COUNTIF(NOTA[ID_H],NOTA[[#This Row],[ID_H]]))</f>
        <v/>
      </c>
      <c r="AM625" s="35" t="str">
        <f ca="1">IF(NOTA[[#This Row],[TGL.NOTA]]="",IF(NOTA[[#This Row],[SUPPLIER_H]]="","",AM624),MONTH(NOTA[[#This Row],[TGL.NOTA]]))</f>
        <v/>
      </c>
      <c r="AN6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5" s="35" t="str">
        <f>IF(NOTA[[#This Row],[CONCAT1]]="","",MATCH(NOTA[[#This Row],[CONCAT1]],[3]!db[NB NOTA_C],0))</f>
        <v/>
      </c>
      <c r="AS625" s="35" t="str">
        <f>IF(NOTA[[#This Row],[Column5]]="","",TRUE)</f>
        <v/>
      </c>
      <c r="AT625" s="35" t="str">
        <f ca="1">IF(NOTA[[#This Row],[ID_H]]="","",IF(NOTA[[#This Row],[Column3]]=TRUE,NOTA[[#This Row],[Column5]],INDEX([3]!db[QTY/ CTN],NOTA[[#This Row],[//DB]])))</f>
        <v/>
      </c>
      <c r="AU6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5" s="35" t="str">
        <f ca="1">IF(NOTA[[#This Row],[ID_H]]="","",MATCH(NOTA[[#This Row],[NB NOTA_C_QTY]],[3]!db[NB NOTA_C_QTY+F],0))</f>
        <v/>
      </c>
      <c r="AW625" s="43" t="str">
        <f ca="1">IF(NOTA[[#This Row],[NB NOTA_C_QTY]]="","",ROW()-2)</f>
        <v/>
      </c>
    </row>
    <row r="626" spans="1:49" ht="20.100000000000001" customHeight="1">
      <c r="A6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5" t="str">
        <f ca="1">IF(NOTA[[#This Row],[NAMA BARANG]]="","",INDEX(NOTA[ID],MATCH(,INDIRECT(ADDRESS(ROW(NOTA[ID]),COLUMN(NOTA[ID]))&amp;":"&amp;ADDRESS(ROW(),COLUMN(NOTA[ID]))),-1)))</f>
        <v/>
      </c>
      <c r="C626" s="45"/>
      <c r="F626" s="46"/>
      <c r="G626" s="35"/>
      <c r="H626" s="36"/>
      <c r="I626" s="35"/>
      <c r="K626" s="37"/>
      <c r="L626" s="35"/>
      <c r="N626" s="38"/>
      <c r="O626" s="39"/>
      <c r="P626" s="47"/>
      <c r="Q626" s="48"/>
      <c r="R626" s="41"/>
      <c r="T626" s="42"/>
      <c r="U626" s="44"/>
      <c r="V626" s="42" t="str">
        <f>IF(NOTA[[#This Row],[HARGA/ CTN]]="",NOTA[[#This Row],[JUMLAH_H]],NOTA[[#This Row],[HARGA/ CTN]]*IF(NOTA[[#This Row],[C]]="",0,NOTA[[#This Row],[C]]))</f>
        <v/>
      </c>
      <c r="W626" s="42" t="str">
        <f>IF(NOTA[[#This Row],[JUMLAH]]="","",NOTA[[#This Row],[JUMLAH]]*NOTA[[#This Row],[Column6]])</f>
        <v/>
      </c>
      <c r="X626" s="42" t="str">
        <f>IF(NOTA[[#This Row],[JUMLAH]]="","",(NOTA[[#This Row],[JUMLAH]]-NOTA[[#This Row],[DISC 1-]])*NOTA[[#This Row],[Column7]])</f>
        <v/>
      </c>
      <c r="Y626" s="42" t="str">
        <f>IF(NOTA[[#This Row],[JUMLAH]]="","",(NOTA[[#This Row],[JUMLAH]]-NOTA[[#This Row],[DISC 1-]]-NOTA[[#This Row],[DISC 2-]])*NOTA[[#This Row],[Column8]])</f>
        <v/>
      </c>
      <c r="Z626" s="42" t="str">
        <f>IF(NOTA[[#This Row],[JUMLAH]]="","",NOTA[[#This Row],[DISC 1-]]+NOTA[[#This Row],[DISC 2-]]+NOTA[[#This Row],[DISC 3-]])</f>
        <v/>
      </c>
      <c r="AA626" s="42" t="str">
        <f>IF(NOTA[[#This Row],[JUMLAH]]="","",NOTA[[#This Row],[JUMLAH]]-NOTA[[#This Row],[DISC]])</f>
        <v/>
      </c>
      <c r="AB626" s="42"/>
      <c r="AC6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42" t="str">
        <f>IF(OR(NOTA[[#This Row],[QTY]]="",NOTA[[#This Row],[HARGA SATUAN]]="",),"",NOTA[[#This Row],[QTY]]*NOTA[[#This Row],[HARGA SATUAN]])</f>
        <v/>
      </c>
      <c r="AG626" s="36" t="str">
        <f ca="1">IF(NOTA[[#This Row],[ID_H]]="","",INDEX(NOTA[TANGGAL],MATCH(,INDIRECT(ADDRESS(ROW(NOTA[TANGGAL]),COLUMN(NOTA[TANGGAL]))&amp;":"&amp;ADDRESS(ROW(),COLUMN(NOTA[TANGGAL]))),-1)))</f>
        <v/>
      </c>
      <c r="AH626" s="36" t="str">
        <f ca="1">IF(NOTA[[#This Row],[ID_H]]="","",INDEX(NOTA[TGL.NOTA],MATCH(,INDIRECT(ADDRESS(ROW(NOTA[TGL.NOTA]),COLUMN(NOTA[TGL.NOTA]))&amp;":"&amp;ADDRESS(ROW(),COLUMN(NOTA[TGL.NOTA]))),-1)))</f>
        <v/>
      </c>
      <c r="AI626" s="36" t="str">
        <f ca="1">IF(NOTA[[#This Row],[ID_H]]="","",INDEX(NOTA[NO.NOTA],MATCH(NOTA[[#This Row],[ID_H]],NOTA[ID_H],0)))</f>
        <v/>
      </c>
      <c r="AJ626" s="38" t="str">
        <f ca="1">IF(NOTA[[#This Row],[NAMA BARANG]]="","",INDEX(NOTA[SUPPLIER],MATCH(,INDIRECT(ADDRESS(ROW(NOTA[ID]),COLUMN(NOTA[ID]))&amp;":"&amp;ADDRESS(ROW(),COLUMN(NOTA[ID]))),-1)))</f>
        <v/>
      </c>
      <c r="AK626" s="38" t="str">
        <f ca="1">IF(NOTA[[#This Row],[ID_H]]="","",IF(NOTA[[#This Row],[FAKTUR]]="",INDIRECT(ADDRESS(ROW()-1,COLUMN())),NOTA[[#This Row],[FAKTUR]]))</f>
        <v/>
      </c>
      <c r="AL626" s="35" t="str">
        <f ca="1">IF(NOTA[[#This Row],[ID]]="","",COUNTIF(NOTA[ID_H],NOTA[[#This Row],[ID_H]]))</f>
        <v/>
      </c>
      <c r="AM626" s="35" t="str">
        <f ca="1">IF(NOTA[[#This Row],[TGL.NOTA]]="",IF(NOTA[[#This Row],[SUPPLIER_H]]="","",AM625),MONTH(NOTA[[#This Row],[TGL.NOTA]]))</f>
        <v/>
      </c>
      <c r="AN6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6" s="35" t="str">
        <f>IF(NOTA[[#This Row],[CONCAT1]]="","",MATCH(NOTA[[#This Row],[CONCAT1]],[3]!db[NB NOTA_C],0))</f>
        <v/>
      </c>
      <c r="AS626" s="35" t="str">
        <f>IF(NOTA[[#This Row],[Column5]]="","",TRUE)</f>
        <v/>
      </c>
      <c r="AT626" s="35" t="str">
        <f ca="1">IF(NOTA[[#This Row],[ID_H]]="","",IF(NOTA[[#This Row],[Column3]]=TRUE,NOTA[[#This Row],[Column5]],INDEX([3]!db[QTY/ CTN],NOTA[[#This Row],[//DB]])))</f>
        <v/>
      </c>
      <c r="AU6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6" s="35" t="str">
        <f ca="1">IF(NOTA[[#This Row],[ID_H]]="","",MATCH(NOTA[[#This Row],[NB NOTA_C_QTY]],[3]!db[NB NOTA_C_QTY+F],0))</f>
        <v/>
      </c>
      <c r="AW626" s="43" t="str">
        <f ca="1">IF(NOTA[[#This Row],[NB NOTA_C_QTY]]="","",ROW()-2)</f>
        <v/>
      </c>
    </row>
    <row r="627" spans="1:49" ht="20.100000000000001" customHeight="1">
      <c r="A6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5" t="str">
        <f ca="1">IF(NOTA[[#This Row],[NAMA BARANG]]="","",INDEX(NOTA[ID],MATCH(,INDIRECT(ADDRESS(ROW(NOTA[ID]),COLUMN(NOTA[ID]))&amp;":"&amp;ADDRESS(ROW(),COLUMN(NOTA[ID]))),-1)))</f>
        <v/>
      </c>
      <c r="C627" s="45"/>
      <c r="F627" s="46"/>
      <c r="G627" s="35"/>
      <c r="H627" s="36"/>
      <c r="I627" s="35"/>
      <c r="K627" s="37"/>
      <c r="L627" s="35"/>
      <c r="N627" s="38"/>
      <c r="O627" s="39"/>
      <c r="P627" s="47"/>
      <c r="Q627" s="48"/>
      <c r="R627" s="41"/>
      <c r="T627" s="42"/>
      <c r="U627" s="44"/>
      <c r="V627" s="42" t="str">
        <f>IF(NOTA[[#This Row],[HARGA/ CTN]]="",NOTA[[#This Row],[JUMLAH_H]],NOTA[[#This Row],[HARGA/ CTN]]*IF(NOTA[[#This Row],[C]]="",0,NOTA[[#This Row],[C]]))</f>
        <v/>
      </c>
      <c r="W627" s="42" t="str">
        <f>IF(NOTA[[#This Row],[JUMLAH]]="","",NOTA[[#This Row],[JUMLAH]]*NOTA[[#This Row],[Column6]])</f>
        <v/>
      </c>
      <c r="X627" s="42" t="str">
        <f>IF(NOTA[[#This Row],[JUMLAH]]="","",(NOTA[[#This Row],[JUMLAH]]-NOTA[[#This Row],[DISC 1-]])*NOTA[[#This Row],[Column7]])</f>
        <v/>
      </c>
      <c r="Y627" s="42" t="str">
        <f>IF(NOTA[[#This Row],[JUMLAH]]="","",(NOTA[[#This Row],[JUMLAH]]-NOTA[[#This Row],[DISC 1-]]-NOTA[[#This Row],[DISC 2-]])*NOTA[[#This Row],[Column8]])</f>
        <v/>
      </c>
      <c r="Z627" s="42" t="str">
        <f>IF(NOTA[[#This Row],[JUMLAH]]="","",NOTA[[#This Row],[DISC 1-]]+NOTA[[#This Row],[DISC 2-]]+NOTA[[#This Row],[DISC 3-]])</f>
        <v/>
      </c>
      <c r="AA627" s="42" t="str">
        <f>IF(NOTA[[#This Row],[JUMLAH]]="","",NOTA[[#This Row],[JUMLAH]]-NOTA[[#This Row],[DISC]])</f>
        <v/>
      </c>
      <c r="AB627" s="42"/>
      <c r="AC6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42" t="str">
        <f>IF(OR(NOTA[[#This Row],[QTY]]="",NOTA[[#This Row],[HARGA SATUAN]]="",),"",NOTA[[#This Row],[QTY]]*NOTA[[#This Row],[HARGA SATUAN]])</f>
        <v/>
      </c>
      <c r="AG627" s="36" t="str">
        <f ca="1">IF(NOTA[[#This Row],[ID_H]]="","",INDEX(NOTA[TANGGAL],MATCH(,INDIRECT(ADDRESS(ROW(NOTA[TANGGAL]),COLUMN(NOTA[TANGGAL]))&amp;":"&amp;ADDRESS(ROW(),COLUMN(NOTA[TANGGAL]))),-1)))</f>
        <v/>
      </c>
      <c r="AH627" s="36" t="str">
        <f ca="1">IF(NOTA[[#This Row],[ID_H]]="","",INDEX(NOTA[TGL.NOTA],MATCH(,INDIRECT(ADDRESS(ROW(NOTA[TGL.NOTA]),COLUMN(NOTA[TGL.NOTA]))&amp;":"&amp;ADDRESS(ROW(),COLUMN(NOTA[TGL.NOTA]))),-1)))</f>
        <v/>
      </c>
      <c r="AI627" s="36" t="str">
        <f ca="1">IF(NOTA[[#This Row],[ID_H]]="","",INDEX(NOTA[NO.NOTA],MATCH(NOTA[[#This Row],[ID_H]],NOTA[ID_H],0)))</f>
        <v/>
      </c>
      <c r="AJ627" s="38" t="str">
        <f ca="1">IF(NOTA[[#This Row],[NAMA BARANG]]="","",INDEX(NOTA[SUPPLIER],MATCH(,INDIRECT(ADDRESS(ROW(NOTA[ID]),COLUMN(NOTA[ID]))&amp;":"&amp;ADDRESS(ROW(),COLUMN(NOTA[ID]))),-1)))</f>
        <v/>
      </c>
      <c r="AK627" s="38" t="str">
        <f ca="1">IF(NOTA[[#This Row],[ID_H]]="","",IF(NOTA[[#This Row],[FAKTUR]]="",INDIRECT(ADDRESS(ROW()-1,COLUMN())),NOTA[[#This Row],[FAKTUR]]))</f>
        <v/>
      </c>
      <c r="AL627" s="35" t="str">
        <f ca="1">IF(NOTA[[#This Row],[ID]]="","",COUNTIF(NOTA[ID_H],NOTA[[#This Row],[ID_H]]))</f>
        <v/>
      </c>
      <c r="AM627" s="35" t="str">
        <f ca="1">IF(NOTA[[#This Row],[TGL.NOTA]]="",IF(NOTA[[#This Row],[SUPPLIER_H]]="","",AM626),MONTH(NOTA[[#This Row],[TGL.NOTA]]))</f>
        <v/>
      </c>
      <c r="AN6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7" s="35" t="str">
        <f>IF(NOTA[[#This Row],[CONCAT1]]="","",MATCH(NOTA[[#This Row],[CONCAT1]],[3]!db[NB NOTA_C],0))</f>
        <v/>
      </c>
      <c r="AS627" s="35" t="str">
        <f>IF(NOTA[[#This Row],[Column5]]="","",TRUE)</f>
        <v/>
      </c>
      <c r="AT627" s="35" t="str">
        <f ca="1">IF(NOTA[[#This Row],[ID_H]]="","",IF(NOTA[[#This Row],[Column3]]=TRUE,NOTA[[#This Row],[Column5]],INDEX([3]!db[QTY/ CTN],NOTA[[#This Row],[//DB]])))</f>
        <v/>
      </c>
      <c r="AU6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7" s="35" t="str">
        <f ca="1">IF(NOTA[[#This Row],[ID_H]]="","",MATCH(NOTA[[#This Row],[NB NOTA_C_QTY]],[3]!db[NB NOTA_C_QTY+F],0))</f>
        <v/>
      </c>
      <c r="AW627" s="43" t="str">
        <f ca="1">IF(NOTA[[#This Row],[NB NOTA_C_QTY]]="","",ROW()-2)</f>
        <v/>
      </c>
    </row>
    <row r="628" spans="1:49" ht="20.100000000000001" customHeight="1">
      <c r="A6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5" t="str">
        <f ca="1">IF(NOTA[[#This Row],[NAMA BARANG]]="","",INDEX(NOTA[ID],MATCH(,INDIRECT(ADDRESS(ROW(NOTA[ID]),COLUMN(NOTA[ID]))&amp;":"&amp;ADDRESS(ROW(),COLUMN(NOTA[ID]))),-1)))</f>
        <v/>
      </c>
      <c r="C628" s="45"/>
      <c r="F628" s="46"/>
      <c r="G628" s="35"/>
      <c r="H628" s="36"/>
      <c r="I628" s="35"/>
      <c r="K628" s="37"/>
      <c r="L628" s="35"/>
      <c r="N628" s="38"/>
      <c r="O628" s="39"/>
      <c r="P628" s="47"/>
      <c r="Q628" s="48"/>
      <c r="R628" s="41"/>
      <c r="T628" s="42"/>
      <c r="U628" s="44"/>
      <c r="V628" s="42" t="str">
        <f>IF(NOTA[[#This Row],[HARGA/ CTN]]="",NOTA[[#This Row],[JUMLAH_H]],NOTA[[#This Row],[HARGA/ CTN]]*IF(NOTA[[#This Row],[C]]="",0,NOTA[[#This Row],[C]]))</f>
        <v/>
      </c>
      <c r="W628" s="42" t="str">
        <f>IF(NOTA[[#This Row],[JUMLAH]]="","",NOTA[[#This Row],[JUMLAH]]*NOTA[[#This Row],[Column6]])</f>
        <v/>
      </c>
      <c r="X628" s="42" t="str">
        <f>IF(NOTA[[#This Row],[JUMLAH]]="","",(NOTA[[#This Row],[JUMLAH]]-NOTA[[#This Row],[DISC 1-]])*NOTA[[#This Row],[Column7]])</f>
        <v/>
      </c>
      <c r="Y628" s="42" t="str">
        <f>IF(NOTA[[#This Row],[JUMLAH]]="","",(NOTA[[#This Row],[JUMLAH]]-NOTA[[#This Row],[DISC 1-]]-NOTA[[#This Row],[DISC 2-]])*NOTA[[#This Row],[Column8]])</f>
        <v/>
      </c>
      <c r="Z628" s="42" t="str">
        <f>IF(NOTA[[#This Row],[JUMLAH]]="","",NOTA[[#This Row],[DISC 1-]]+NOTA[[#This Row],[DISC 2-]]+NOTA[[#This Row],[DISC 3-]])</f>
        <v/>
      </c>
      <c r="AA628" s="42" t="str">
        <f>IF(NOTA[[#This Row],[JUMLAH]]="","",NOTA[[#This Row],[JUMLAH]]-NOTA[[#This Row],[DISC]])</f>
        <v/>
      </c>
      <c r="AB628" s="42"/>
      <c r="AC6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42" t="str">
        <f>IF(OR(NOTA[[#This Row],[QTY]]="",NOTA[[#This Row],[HARGA SATUAN]]="",),"",NOTA[[#This Row],[QTY]]*NOTA[[#This Row],[HARGA SATUAN]])</f>
        <v/>
      </c>
      <c r="AG628" s="36" t="str">
        <f ca="1">IF(NOTA[[#This Row],[ID_H]]="","",INDEX(NOTA[TANGGAL],MATCH(,INDIRECT(ADDRESS(ROW(NOTA[TANGGAL]),COLUMN(NOTA[TANGGAL]))&amp;":"&amp;ADDRESS(ROW(),COLUMN(NOTA[TANGGAL]))),-1)))</f>
        <v/>
      </c>
      <c r="AH628" s="36" t="str">
        <f ca="1">IF(NOTA[[#This Row],[ID_H]]="","",INDEX(NOTA[TGL.NOTA],MATCH(,INDIRECT(ADDRESS(ROW(NOTA[TGL.NOTA]),COLUMN(NOTA[TGL.NOTA]))&amp;":"&amp;ADDRESS(ROW(),COLUMN(NOTA[TGL.NOTA]))),-1)))</f>
        <v/>
      </c>
      <c r="AI628" s="36" t="str">
        <f ca="1">IF(NOTA[[#This Row],[ID_H]]="","",INDEX(NOTA[NO.NOTA],MATCH(NOTA[[#This Row],[ID_H]],NOTA[ID_H],0)))</f>
        <v/>
      </c>
      <c r="AJ628" s="38" t="str">
        <f ca="1">IF(NOTA[[#This Row],[NAMA BARANG]]="","",INDEX(NOTA[SUPPLIER],MATCH(,INDIRECT(ADDRESS(ROW(NOTA[ID]),COLUMN(NOTA[ID]))&amp;":"&amp;ADDRESS(ROW(),COLUMN(NOTA[ID]))),-1)))</f>
        <v/>
      </c>
      <c r="AK628" s="38" t="str">
        <f ca="1">IF(NOTA[[#This Row],[ID_H]]="","",IF(NOTA[[#This Row],[FAKTUR]]="",INDIRECT(ADDRESS(ROW()-1,COLUMN())),NOTA[[#This Row],[FAKTUR]]))</f>
        <v/>
      </c>
      <c r="AL628" s="35" t="str">
        <f ca="1">IF(NOTA[[#This Row],[ID]]="","",COUNTIF(NOTA[ID_H],NOTA[[#This Row],[ID_H]]))</f>
        <v/>
      </c>
      <c r="AM628" s="35" t="str">
        <f ca="1">IF(NOTA[[#This Row],[TGL.NOTA]]="",IF(NOTA[[#This Row],[SUPPLIER_H]]="","",AM627),MONTH(NOTA[[#This Row],[TGL.NOTA]]))</f>
        <v/>
      </c>
      <c r="AN6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8" s="35" t="str">
        <f>IF(NOTA[[#This Row],[CONCAT1]]="","",MATCH(NOTA[[#This Row],[CONCAT1]],[3]!db[NB NOTA_C],0))</f>
        <v/>
      </c>
      <c r="AS628" s="35" t="str">
        <f>IF(NOTA[[#This Row],[Column5]]="","",TRUE)</f>
        <v/>
      </c>
      <c r="AT628" s="35" t="str">
        <f ca="1">IF(NOTA[[#This Row],[ID_H]]="","",IF(NOTA[[#This Row],[Column3]]=TRUE,NOTA[[#This Row],[Column5]],INDEX([3]!db[QTY/ CTN],NOTA[[#This Row],[//DB]])))</f>
        <v/>
      </c>
      <c r="AU6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8" s="35" t="str">
        <f ca="1">IF(NOTA[[#This Row],[ID_H]]="","",MATCH(NOTA[[#This Row],[NB NOTA_C_QTY]],[3]!db[NB NOTA_C_QTY+F],0))</f>
        <v/>
      </c>
      <c r="AW628" s="43" t="str">
        <f ca="1">IF(NOTA[[#This Row],[NB NOTA_C_QTY]]="","",ROW()-2)</f>
        <v/>
      </c>
    </row>
    <row r="629" spans="1:49" ht="20.100000000000001" customHeight="1">
      <c r="A6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5" t="str">
        <f ca="1">IF(NOTA[[#This Row],[NAMA BARANG]]="","",INDEX(NOTA[ID],MATCH(,INDIRECT(ADDRESS(ROW(NOTA[ID]),COLUMN(NOTA[ID]))&amp;":"&amp;ADDRESS(ROW(),COLUMN(NOTA[ID]))),-1)))</f>
        <v/>
      </c>
      <c r="C629" s="45"/>
      <c r="F629" s="46"/>
      <c r="G629" s="35"/>
      <c r="H629" s="36"/>
      <c r="I629" s="35"/>
      <c r="K629" s="37"/>
      <c r="L629" s="35"/>
      <c r="N629" s="38"/>
      <c r="O629" s="39"/>
      <c r="P629" s="47"/>
      <c r="Q629" s="48"/>
      <c r="R629" s="41"/>
      <c r="T629" s="42"/>
      <c r="U629" s="44"/>
      <c r="V629" s="42" t="str">
        <f>IF(NOTA[[#This Row],[HARGA/ CTN]]="",NOTA[[#This Row],[JUMLAH_H]],NOTA[[#This Row],[HARGA/ CTN]]*IF(NOTA[[#This Row],[C]]="",0,NOTA[[#This Row],[C]]))</f>
        <v/>
      </c>
      <c r="W629" s="42" t="str">
        <f>IF(NOTA[[#This Row],[JUMLAH]]="","",NOTA[[#This Row],[JUMLAH]]*NOTA[[#This Row],[Column6]])</f>
        <v/>
      </c>
      <c r="X629" s="42" t="str">
        <f>IF(NOTA[[#This Row],[JUMLAH]]="","",(NOTA[[#This Row],[JUMLAH]]-NOTA[[#This Row],[DISC 1-]])*NOTA[[#This Row],[Column7]])</f>
        <v/>
      </c>
      <c r="Y629" s="42" t="str">
        <f>IF(NOTA[[#This Row],[JUMLAH]]="","",(NOTA[[#This Row],[JUMLAH]]-NOTA[[#This Row],[DISC 1-]]-NOTA[[#This Row],[DISC 2-]])*NOTA[[#This Row],[Column8]])</f>
        <v/>
      </c>
      <c r="Z629" s="42" t="str">
        <f>IF(NOTA[[#This Row],[JUMLAH]]="","",NOTA[[#This Row],[DISC 1-]]+NOTA[[#This Row],[DISC 2-]]+NOTA[[#This Row],[DISC 3-]])</f>
        <v/>
      </c>
      <c r="AA629" s="42" t="str">
        <f>IF(NOTA[[#This Row],[JUMLAH]]="","",NOTA[[#This Row],[JUMLAH]]-NOTA[[#This Row],[DISC]])</f>
        <v/>
      </c>
      <c r="AB629" s="42"/>
      <c r="AC6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42" t="str">
        <f>IF(OR(NOTA[[#This Row],[QTY]]="",NOTA[[#This Row],[HARGA SATUAN]]="",),"",NOTA[[#This Row],[QTY]]*NOTA[[#This Row],[HARGA SATUAN]])</f>
        <v/>
      </c>
      <c r="AG629" s="36" t="str">
        <f ca="1">IF(NOTA[[#This Row],[ID_H]]="","",INDEX(NOTA[TANGGAL],MATCH(,INDIRECT(ADDRESS(ROW(NOTA[TANGGAL]),COLUMN(NOTA[TANGGAL]))&amp;":"&amp;ADDRESS(ROW(),COLUMN(NOTA[TANGGAL]))),-1)))</f>
        <v/>
      </c>
      <c r="AH629" s="36" t="str">
        <f ca="1">IF(NOTA[[#This Row],[ID_H]]="","",INDEX(NOTA[TGL.NOTA],MATCH(,INDIRECT(ADDRESS(ROW(NOTA[TGL.NOTA]),COLUMN(NOTA[TGL.NOTA]))&amp;":"&amp;ADDRESS(ROW(),COLUMN(NOTA[TGL.NOTA]))),-1)))</f>
        <v/>
      </c>
      <c r="AI629" s="36" t="str">
        <f ca="1">IF(NOTA[[#This Row],[ID_H]]="","",INDEX(NOTA[NO.NOTA],MATCH(NOTA[[#This Row],[ID_H]],NOTA[ID_H],0)))</f>
        <v/>
      </c>
      <c r="AJ629" s="38" t="str">
        <f ca="1">IF(NOTA[[#This Row],[NAMA BARANG]]="","",INDEX(NOTA[SUPPLIER],MATCH(,INDIRECT(ADDRESS(ROW(NOTA[ID]),COLUMN(NOTA[ID]))&amp;":"&amp;ADDRESS(ROW(),COLUMN(NOTA[ID]))),-1)))</f>
        <v/>
      </c>
      <c r="AK629" s="38" t="str">
        <f ca="1">IF(NOTA[[#This Row],[ID_H]]="","",IF(NOTA[[#This Row],[FAKTUR]]="",INDIRECT(ADDRESS(ROW()-1,COLUMN())),NOTA[[#This Row],[FAKTUR]]))</f>
        <v/>
      </c>
      <c r="AL629" s="35" t="str">
        <f ca="1">IF(NOTA[[#This Row],[ID]]="","",COUNTIF(NOTA[ID_H],NOTA[[#This Row],[ID_H]]))</f>
        <v/>
      </c>
      <c r="AM629" s="35" t="str">
        <f ca="1">IF(NOTA[[#This Row],[TGL.NOTA]]="",IF(NOTA[[#This Row],[SUPPLIER_H]]="","",AM628),MONTH(NOTA[[#This Row],[TGL.NOTA]]))</f>
        <v/>
      </c>
      <c r="AN6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9" s="35" t="str">
        <f>IF(NOTA[[#This Row],[CONCAT1]]="","",MATCH(NOTA[[#This Row],[CONCAT1]],[3]!db[NB NOTA_C],0))</f>
        <v/>
      </c>
      <c r="AS629" s="35" t="str">
        <f>IF(NOTA[[#This Row],[Column5]]="","",TRUE)</f>
        <v/>
      </c>
      <c r="AT629" s="35" t="str">
        <f ca="1">IF(NOTA[[#This Row],[ID_H]]="","",IF(NOTA[[#This Row],[Column3]]=TRUE,NOTA[[#This Row],[Column5]],INDEX([3]!db[QTY/ CTN],NOTA[[#This Row],[//DB]])))</f>
        <v/>
      </c>
      <c r="AU6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29" s="35" t="str">
        <f ca="1">IF(NOTA[[#This Row],[ID_H]]="","",MATCH(NOTA[[#This Row],[NB NOTA_C_QTY]],[3]!db[NB NOTA_C_QTY+F],0))</f>
        <v/>
      </c>
      <c r="AW629" s="43" t="str">
        <f ca="1">IF(NOTA[[#This Row],[NB NOTA_C_QTY]]="","",ROW()-2)</f>
        <v/>
      </c>
    </row>
    <row r="630" spans="1:49" ht="20.100000000000001" customHeight="1">
      <c r="A6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5" t="str">
        <f ca="1">IF(NOTA[[#This Row],[NAMA BARANG]]="","",INDEX(NOTA[ID],MATCH(,INDIRECT(ADDRESS(ROW(NOTA[ID]),COLUMN(NOTA[ID]))&amp;":"&amp;ADDRESS(ROW(),COLUMN(NOTA[ID]))),-1)))</f>
        <v/>
      </c>
      <c r="C630" s="45"/>
      <c r="F630" s="46"/>
      <c r="G630" s="35"/>
      <c r="H630" s="36"/>
      <c r="I630" s="35"/>
      <c r="K630" s="37"/>
      <c r="L630" s="35"/>
      <c r="N630" s="38"/>
      <c r="O630" s="39"/>
      <c r="P630" s="47"/>
      <c r="Q630" s="48"/>
      <c r="R630" s="41"/>
      <c r="T630" s="42"/>
      <c r="U630" s="44"/>
      <c r="V630" s="42" t="str">
        <f>IF(NOTA[[#This Row],[HARGA/ CTN]]="",NOTA[[#This Row],[JUMLAH_H]],NOTA[[#This Row],[HARGA/ CTN]]*IF(NOTA[[#This Row],[C]]="",0,NOTA[[#This Row],[C]]))</f>
        <v/>
      </c>
      <c r="W630" s="42" t="str">
        <f>IF(NOTA[[#This Row],[JUMLAH]]="","",NOTA[[#This Row],[JUMLAH]]*NOTA[[#This Row],[Column6]])</f>
        <v/>
      </c>
      <c r="X630" s="42" t="str">
        <f>IF(NOTA[[#This Row],[JUMLAH]]="","",(NOTA[[#This Row],[JUMLAH]]-NOTA[[#This Row],[DISC 1-]])*NOTA[[#This Row],[Column7]])</f>
        <v/>
      </c>
      <c r="Y630" s="42" t="str">
        <f>IF(NOTA[[#This Row],[JUMLAH]]="","",(NOTA[[#This Row],[JUMLAH]]-NOTA[[#This Row],[DISC 1-]]-NOTA[[#This Row],[DISC 2-]])*NOTA[[#This Row],[Column8]])</f>
        <v/>
      </c>
      <c r="Z630" s="42" t="str">
        <f>IF(NOTA[[#This Row],[JUMLAH]]="","",NOTA[[#This Row],[DISC 1-]]+NOTA[[#This Row],[DISC 2-]]+NOTA[[#This Row],[DISC 3-]])</f>
        <v/>
      </c>
      <c r="AA630" s="42" t="str">
        <f>IF(NOTA[[#This Row],[JUMLAH]]="","",NOTA[[#This Row],[JUMLAH]]-NOTA[[#This Row],[DISC]])</f>
        <v/>
      </c>
      <c r="AB630" s="42"/>
      <c r="AC6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42" t="str">
        <f>IF(OR(NOTA[[#This Row],[QTY]]="",NOTA[[#This Row],[HARGA SATUAN]]="",),"",NOTA[[#This Row],[QTY]]*NOTA[[#This Row],[HARGA SATUAN]])</f>
        <v/>
      </c>
      <c r="AG630" s="36" t="str">
        <f ca="1">IF(NOTA[[#This Row],[ID_H]]="","",INDEX(NOTA[TANGGAL],MATCH(,INDIRECT(ADDRESS(ROW(NOTA[TANGGAL]),COLUMN(NOTA[TANGGAL]))&amp;":"&amp;ADDRESS(ROW(),COLUMN(NOTA[TANGGAL]))),-1)))</f>
        <v/>
      </c>
      <c r="AH630" s="36" t="str">
        <f ca="1">IF(NOTA[[#This Row],[ID_H]]="","",INDEX(NOTA[TGL.NOTA],MATCH(,INDIRECT(ADDRESS(ROW(NOTA[TGL.NOTA]),COLUMN(NOTA[TGL.NOTA]))&amp;":"&amp;ADDRESS(ROW(),COLUMN(NOTA[TGL.NOTA]))),-1)))</f>
        <v/>
      </c>
      <c r="AI630" s="36" t="str">
        <f ca="1">IF(NOTA[[#This Row],[ID_H]]="","",INDEX(NOTA[NO.NOTA],MATCH(NOTA[[#This Row],[ID_H]],NOTA[ID_H],0)))</f>
        <v/>
      </c>
      <c r="AJ630" s="38" t="str">
        <f ca="1">IF(NOTA[[#This Row],[NAMA BARANG]]="","",INDEX(NOTA[SUPPLIER],MATCH(,INDIRECT(ADDRESS(ROW(NOTA[ID]),COLUMN(NOTA[ID]))&amp;":"&amp;ADDRESS(ROW(),COLUMN(NOTA[ID]))),-1)))</f>
        <v/>
      </c>
      <c r="AK630" s="38" t="str">
        <f ca="1">IF(NOTA[[#This Row],[ID_H]]="","",IF(NOTA[[#This Row],[FAKTUR]]="",INDIRECT(ADDRESS(ROW()-1,COLUMN())),NOTA[[#This Row],[FAKTUR]]))</f>
        <v/>
      </c>
      <c r="AL630" s="35" t="str">
        <f ca="1">IF(NOTA[[#This Row],[ID]]="","",COUNTIF(NOTA[ID_H],NOTA[[#This Row],[ID_H]]))</f>
        <v/>
      </c>
      <c r="AM630" s="35" t="str">
        <f ca="1">IF(NOTA[[#This Row],[TGL.NOTA]]="",IF(NOTA[[#This Row],[SUPPLIER_H]]="","",AM629),MONTH(NOTA[[#This Row],[TGL.NOTA]]))</f>
        <v/>
      </c>
      <c r="AN6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0" s="35" t="str">
        <f>IF(NOTA[[#This Row],[CONCAT1]]="","",MATCH(NOTA[[#This Row],[CONCAT1]],[3]!db[NB NOTA_C],0))</f>
        <v/>
      </c>
      <c r="AS630" s="35" t="str">
        <f>IF(NOTA[[#This Row],[Column5]]="","",TRUE)</f>
        <v/>
      </c>
      <c r="AT630" s="35" t="str">
        <f ca="1">IF(NOTA[[#This Row],[ID_H]]="","",IF(NOTA[[#This Row],[Column3]]=TRUE,NOTA[[#This Row],[Column5]],INDEX([3]!db[QTY/ CTN],NOTA[[#This Row],[//DB]])))</f>
        <v/>
      </c>
      <c r="AU6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0" s="35" t="str">
        <f ca="1">IF(NOTA[[#This Row],[ID_H]]="","",MATCH(NOTA[[#This Row],[NB NOTA_C_QTY]],[3]!db[NB NOTA_C_QTY+F],0))</f>
        <v/>
      </c>
      <c r="AW630" s="43" t="str">
        <f ca="1">IF(NOTA[[#This Row],[NB NOTA_C_QTY]]="","",ROW()-2)</f>
        <v/>
      </c>
    </row>
    <row r="631" spans="1:49" ht="20.100000000000001" customHeight="1">
      <c r="A6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5" t="str">
        <f ca="1">IF(NOTA[[#This Row],[NAMA BARANG]]="","",INDEX(NOTA[ID],MATCH(,INDIRECT(ADDRESS(ROW(NOTA[ID]),COLUMN(NOTA[ID]))&amp;":"&amp;ADDRESS(ROW(),COLUMN(NOTA[ID]))),-1)))</f>
        <v/>
      </c>
      <c r="C631" s="45"/>
      <c r="F631" s="46"/>
      <c r="G631" s="35"/>
      <c r="H631" s="36"/>
      <c r="I631" s="35"/>
      <c r="K631" s="37"/>
      <c r="L631" s="35"/>
      <c r="N631" s="38"/>
      <c r="O631" s="39"/>
      <c r="P631" s="47"/>
      <c r="Q631" s="48"/>
      <c r="R631" s="41"/>
      <c r="T631" s="42"/>
      <c r="U631" s="44"/>
      <c r="V631" s="42" t="str">
        <f>IF(NOTA[[#This Row],[HARGA/ CTN]]="",NOTA[[#This Row],[JUMLAH_H]],NOTA[[#This Row],[HARGA/ CTN]]*IF(NOTA[[#This Row],[C]]="",0,NOTA[[#This Row],[C]]))</f>
        <v/>
      </c>
      <c r="W631" s="42" t="str">
        <f>IF(NOTA[[#This Row],[JUMLAH]]="","",NOTA[[#This Row],[JUMLAH]]*NOTA[[#This Row],[Column6]])</f>
        <v/>
      </c>
      <c r="X631" s="42" t="str">
        <f>IF(NOTA[[#This Row],[JUMLAH]]="","",(NOTA[[#This Row],[JUMLAH]]-NOTA[[#This Row],[DISC 1-]])*NOTA[[#This Row],[Column7]])</f>
        <v/>
      </c>
      <c r="Y631" s="42" t="str">
        <f>IF(NOTA[[#This Row],[JUMLAH]]="","",(NOTA[[#This Row],[JUMLAH]]-NOTA[[#This Row],[DISC 1-]]-NOTA[[#This Row],[DISC 2-]])*NOTA[[#This Row],[Column8]])</f>
        <v/>
      </c>
      <c r="Z631" s="42" t="str">
        <f>IF(NOTA[[#This Row],[JUMLAH]]="","",NOTA[[#This Row],[DISC 1-]]+NOTA[[#This Row],[DISC 2-]]+NOTA[[#This Row],[DISC 3-]])</f>
        <v/>
      </c>
      <c r="AA631" s="42" t="str">
        <f>IF(NOTA[[#This Row],[JUMLAH]]="","",NOTA[[#This Row],[JUMLAH]]-NOTA[[#This Row],[DISC]])</f>
        <v/>
      </c>
      <c r="AB631" s="42"/>
      <c r="AC6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42" t="str">
        <f>IF(OR(NOTA[[#This Row],[QTY]]="",NOTA[[#This Row],[HARGA SATUAN]]="",),"",NOTA[[#This Row],[QTY]]*NOTA[[#This Row],[HARGA SATUAN]])</f>
        <v/>
      </c>
      <c r="AG631" s="36" t="str">
        <f ca="1">IF(NOTA[[#This Row],[ID_H]]="","",INDEX(NOTA[TANGGAL],MATCH(,INDIRECT(ADDRESS(ROW(NOTA[TANGGAL]),COLUMN(NOTA[TANGGAL]))&amp;":"&amp;ADDRESS(ROW(),COLUMN(NOTA[TANGGAL]))),-1)))</f>
        <v/>
      </c>
      <c r="AH631" s="36" t="str">
        <f ca="1">IF(NOTA[[#This Row],[ID_H]]="","",INDEX(NOTA[TGL.NOTA],MATCH(,INDIRECT(ADDRESS(ROW(NOTA[TGL.NOTA]),COLUMN(NOTA[TGL.NOTA]))&amp;":"&amp;ADDRESS(ROW(),COLUMN(NOTA[TGL.NOTA]))),-1)))</f>
        <v/>
      </c>
      <c r="AI631" s="36" t="str">
        <f ca="1">IF(NOTA[[#This Row],[ID_H]]="","",INDEX(NOTA[NO.NOTA],MATCH(NOTA[[#This Row],[ID_H]],NOTA[ID_H],0)))</f>
        <v/>
      </c>
      <c r="AJ631" s="38" t="str">
        <f ca="1">IF(NOTA[[#This Row],[NAMA BARANG]]="","",INDEX(NOTA[SUPPLIER],MATCH(,INDIRECT(ADDRESS(ROW(NOTA[ID]),COLUMN(NOTA[ID]))&amp;":"&amp;ADDRESS(ROW(),COLUMN(NOTA[ID]))),-1)))</f>
        <v/>
      </c>
      <c r="AK631" s="38" t="str">
        <f ca="1">IF(NOTA[[#This Row],[ID_H]]="","",IF(NOTA[[#This Row],[FAKTUR]]="",INDIRECT(ADDRESS(ROW()-1,COLUMN())),NOTA[[#This Row],[FAKTUR]]))</f>
        <v/>
      </c>
      <c r="AL631" s="35" t="str">
        <f ca="1">IF(NOTA[[#This Row],[ID]]="","",COUNTIF(NOTA[ID_H],NOTA[[#This Row],[ID_H]]))</f>
        <v/>
      </c>
      <c r="AM631" s="35" t="str">
        <f ca="1">IF(NOTA[[#This Row],[TGL.NOTA]]="",IF(NOTA[[#This Row],[SUPPLIER_H]]="","",AM630),MONTH(NOTA[[#This Row],[TGL.NOTA]]))</f>
        <v/>
      </c>
      <c r="AN6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1" s="35" t="str">
        <f>IF(NOTA[[#This Row],[CONCAT1]]="","",MATCH(NOTA[[#This Row],[CONCAT1]],[3]!db[NB NOTA_C],0))</f>
        <v/>
      </c>
      <c r="AS631" s="35" t="str">
        <f>IF(NOTA[[#This Row],[Column5]]="","",TRUE)</f>
        <v/>
      </c>
      <c r="AT631" s="35" t="str">
        <f ca="1">IF(NOTA[[#This Row],[ID_H]]="","",IF(NOTA[[#This Row],[Column3]]=TRUE,NOTA[[#This Row],[Column5]],INDEX([3]!db[QTY/ CTN],NOTA[[#This Row],[//DB]])))</f>
        <v/>
      </c>
      <c r="AU6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1" s="35" t="str">
        <f ca="1">IF(NOTA[[#This Row],[ID_H]]="","",MATCH(NOTA[[#This Row],[NB NOTA_C_QTY]],[3]!db[NB NOTA_C_QTY+F],0))</f>
        <v/>
      </c>
      <c r="AW631" s="43" t="str">
        <f ca="1">IF(NOTA[[#This Row],[NB NOTA_C_QTY]]="","",ROW()-2)</f>
        <v/>
      </c>
    </row>
    <row r="632" spans="1:49" ht="20.100000000000001" customHeight="1">
      <c r="A6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5" t="str">
        <f ca="1">IF(NOTA[[#This Row],[NAMA BARANG]]="","",INDEX(NOTA[ID],MATCH(,INDIRECT(ADDRESS(ROW(NOTA[ID]),COLUMN(NOTA[ID]))&amp;":"&amp;ADDRESS(ROW(),COLUMN(NOTA[ID]))),-1)))</f>
        <v/>
      </c>
      <c r="C632" s="45"/>
      <c r="F632" s="46"/>
      <c r="G632" s="35"/>
      <c r="H632" s="36"/>
      <c r="I632" s="35"/>
      <c r="K632" s="37"/>
      <c r="L632" s="35"/>
      <c r="N632" s="38"/>
      <c r="O632" s="39"/>
      <c r="P632" s="47"/>
      <c r="Q632" s="48"/>
      <c r="R632" s="41"/>
      <c r="T632" s="42"/>
      <c r="U632" s="44"/>
      <c r="V632" s="42" t="str">
        <f>IF(NOTA[[#This Row],[HARGA/ CTN]]="",NOTA[[#This Row],[JUMLAH_H]],NOTA[[#This Row],[HARGA/ CTN]]*IF(NOTA[[#This Row],[C]]="",0,NOTA[[#This Row],[C]]))</f>
        <v/>
      </c>
      <c r="W632" s="42" t="str">
        <f>IF(NOTA[[#This Row],[JUMLAH]]="","",NOTA[[#This Row],[JUMLAH]]*NOTA[[#This Row],[Column6]])</f>
        <v/>
      </c>
      <c r="X632" s="42" t="str">
        <f>IF(NOTA[[#This Row],[JUMLAH]]="","",(NOTA[[#This Row],[JUMLAH]]-NOTA[[#This Row],[DISC 1-]])*NOTA[[#This Row],[Column7]])</f>
        <v/>
      </c>
      <c r="Y632" s="42" t="str">
        <f>IF(NOTA[[#This Row],[JUMLAH]]="","",(NOTA[[#This Row],[JUMLAH]]-NOTA[[#This Row],[DISC 1-]]-NOTA[[#This Row],[DISC 2-]])*NOTA[[#This Row],[Column8]])</f>
        <v/>
      </c>
      <c r="Z632" s="42" t="str">
        <f>IF(NOTA[[#This Row],[JUMLAH]]="","",NOTA[[#This Row],[DISC 1-]]+NOTA[[#This Row],[DISC 2-]]+NOTA[[#This Row],[DISC 3-]])</f>
        <v/>
      </c>
      <c r="AA632" s="42" t="str">
        <f>IF(NOTA[[#This Row],[JUMLAH]]="","",NOTA[[#This Row],[JUMLAH]]-NOTA[[#This Row],[DISC]])</f>
        <v/>
      </c>
      <c r="AB632" s="42"/>
      <c r="AC6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42" t="str">
        <f>IF(OR(NOTA[[#This Row],[QTY]]="",NOTA[[#This Row],[HARGA SATUAN]]="",),"",NOTA[[#This Row],[QTY]]*NOTA[[#This Row],[HARGA SATUAN]])</f>
        <v/>
      </c>
      <c r="AG632" s="36" t="str">
        <f ca="1">IF(NOTA[[#This Row],[ID_H]]="","",INDEX(NOTA[TANGGAL],MATCH(,INDIRECT(ADDRESS(ROW(NOTA[TANGGAL]),COLUMN(NOTA[TANGGAL]))&amp;":"&amp;ADDRESS(ROW(),COLUMN(NOTA[TANGGAL]))),-1)))</f>
        <v/>
      </c>
      <c r="AH632" s="36" t="str">
        <f ca="1">IF(NOTA[[#This Row],[ID_H]]="","",INDEX(NOTA[TGL.NOTA],MATCH(,INDIRECT(ADDRESS(ROW(NOTA[TGL.NOTA]),COLUMN(NOTA[TGL.NOTA]))&amp;":"&amp;ADDRESS(ROW(),COLUMN(NOTA[TGL.NOTA]))),-1)))</f>
        <v/>
      </c>
      <c r="AI632" s="36" t="str">
        <f ca="1">IF(NOTA[[#This Row],[ID_H]]="","",INDEX(NOTA[NO.NOTA],MATCH(NOTA[[#This Row],[ID_H]],NOTA[ID_H],0)))</f>
        <v/>
      </c>
      <c r="AJ632" s="38" t="str">
        <f ca="1">IF(NOTA[[#This Row],[NAMA BARANG]]="","",INDEX(NOTA[SUPPLIER],MATCH(,INDIRECT(ADDRESS(ROW(NOTA[ID]),COLUMN(NOTA[ID]))&amp;":"&amp;ADDRESS(ROW(),COLUMN(NOTA[ID]))),-1)))</f>
        <v/>
      </c>
      <c r="AK632" s="38" t="str">
        <f ca="1">IF(NOTA[[#This Row],[ID_H]]="","",IF(NOTA[[#This Row],[FAKTUR]]="",INDIRECT(ADDRESS(ROW()-1,COLUMN())),NOTA[[#This Row],[FAKTUR]]))</f>
        <v/>
      </c>
      <c r="AL632" s="35" t="str">
        <f ca="1">IF(NOTA[[#This Row],[ID]]="","",COUNTIF(NOTA[ID_H],NOTA[[#This Row],[ID_H]]))</f>
        <v/>
      </c>
      <c r="AM632" s="35" t="str">
        <f ca="1">IF(NOTA[[#This Row],[TGL.NOTA]]="",IF(NOTA[[#This Row],[SUPPLIER_H]]="","",AM631),MONTH(NOTA[[#This Row],[TGL.NOTA]]))</f>
        <v/>
      </c>
      <c r="AN6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2" s="35" t="str">
        <f>IF(NOTA[[#This Row],[CONCAT1]]="","",MATCH(NOTA[[#This Row],[CONCAT1]],[3]!db[NB NOTA_C],0))</f>
        <v/>
      </c>
      <c r="AS632" s="35" t="str">
        <f>IF(NOTA[[#This Row],[Column5]]="","",TRUE)</f>
        <v/>
      </c>
      <c r="AT632" s="35" t="str">
        <f ca="1">IF(NOTA[[#This Row],[ID_H]]="","",IF(NOTA[[#This Row],[Column3]]=TRUE,NOTA[[#This Row],[Column5]],INDEX([3]!db[QTY/ CTN],NOTA[[#This Row],[//DB]])))</f>
        <v/>
      </c>
      <c r="AU6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2" s="35" t="str">
        <f ca="1">IF(NOTA[[#This Row],[ID_H]]="","",MATCH(NOTA[[#This Row],[NB NOTA_C_QTY]],[3]!db[NB NOTA_C_QTY+F],0))</f>
        <v/>
      </c>
      <c r="AW632" s="43" t="str">
        <f ca="1">IF(NOTA[[#This Row],[NB NOTA_C_QTY]]="","",ROW()-2)</f>
        <v/>
      </c>
    </row>
    <row r="633" spans="1:49" ht="20.100000000000001" customHeight="1">
      <c r="A6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5" t="str">
        <f ca="1">IF(NOTA[[#This Row],[NAMA BARANG]]="","",INDEX(NOTA[ID],MATCH(,INDIRECT(ADDRESS(ROW(NOTA[ID]),COLUMN(NOTA[ID]))&amp;":"&amp;ADDRESS(ROW(),COLUMN(NOTA[ID]))),-1)))</f>
        <v/>
      </c>
      <c r="C633" s="45"/>
      <c r="F633" s="46"/>
      <c r="G633" s="35"/>
      <c r="H633" s="36"/>
      <c r="I633" s="35"/>
      <c r="K633" s="37"/>
      <c r="L633" s="35"/>
      <c r="N633" s="38"/>
      <c r="O633" s="39"/>
      <c r="P633" s="47"/>
      <c r="Q633" s="48"/>
      <c r="R633" s="41"/>
      <c r="T633" s="42"/>
      <c r="U633" s="44"/>
      <c r="V633" s="42" t="str">
        <f>IF(NOTA[[#This Row],[HARGA/ CTN]]="",NOTA[[#This Row],[JUMLAH_H]],NOTA[[#This Row],[HARGA/ CTN]]*IF(NOTA[[#This Row],[C]]="",0,NOTA[[#This Row],[C]]))</f>
        <v/>
      </c>
      <c r="W633" s="42" t="str">
        <f>IF(NOTA[[#This Row],[JUMLAH]]="","",NOTA[[#This Row],[JUMLAH]]*NOTA[[#This Row],[Column6]])</f>
        <v/>
      </c>
      <c r="X633" s="42" t="str">
        <f>IF(NOTA[[#This Row],[JUMLAH]]="","",(NOTA[[#This Row],[JUMLAH]]-NOTA[[#This Row],[DISC 1-]])*NOTA[[#This Row],[Column7]])</f>
        <v/>
      </c>
      <c r="Y633" s="42" t="str">
        <f>IF(NOTA[[#This Row],[JUMLAH]]="","",(NOTA[[#This Row],[JUMLAH]]-NOTA[[#This Row],[DISC 1-]]-NOTA[[#This Row],[DISC 2-]])*NOTA[[#This Row],[Column8]])</f>
        <v/>
      </c>
      <c r="Z633" s="42" t="str">
        <f>IF(NOTA[[#This Row],[JUMLAH]]="","",NOTA[[#This Row],[DISC 1-]]+NOTA[[#This Row],[DISC 2-]]+NOTA[[#This Row],[DISC 3-]])</f>
        <v/>
      </c>
      <c r="AA633" s="42" t="str">
        <f>IF(NOTA[[#This Row],[JUMLAH]]="","",NOTA[[#This Row],[JUMLAH]]-NOTA[[#This Row],[DISC]])</f>
        <v/>
      </c>
      <c r="AB633" s="42"/>
      <c r="AC6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42" t="str">
        <f>IF(OR(NOTA[[#This Row],[QTY]]="",NOTA[[#This Row],[HARGA SATUAN]]="",),"",NOTA[[#This Row],[QTY]]*NOTA[[#This Row],[HARGA SATUAN]])</f>
        <v/>
      </c>
      <c r="AG633" s="36" t="str">
        <f ca="1">IF(NOTA[[#This Row],[ID_H]]="","",INDEX(NOTA[TANGGAL],MATCH(,INDIRECT(ADDRESS(ROW(NOTA[TANGGAL]),COLUMN(NOTA[TANGGAL]))&amp;":"&amp;ADDRESS(ROW(),COLUMN(NOTA[TANGGAL]))),-1)))</f>
        <v/>
      </c>
      <c r="AH633" s="36" t="str">
        <f ca="1">IF(NOTA[[#This Row],[ID_H]]="","",INDEX(NOTA[TGL.NOTA],MATCH(,INDIRECT(ADDRESS(ROW(NOTA[TGL.NOTA]),COLUMN(NOTA[TGL.NOTA]))&amp;":"&amp;ADDRESS(ROW(),COLUMN(NOTA[TGL.NOTA]))),-1)))</f>
        <v/>
      </c>
      <c r="AI633" s="36" t="str">
        <f ca="1">IF(NOTA[[#This Row],[ID_H]]="","",INDEX(NOTA[NO.NOTA],MATCH(NOTA[[#This Row],[ID_H]],NOTA[ID_H],0)))</f>
        <v/>
      </c>
      <c r="AJ633" s="38" t="str">
        <f ca="1">IF(NOTA[[#This Row],[NAMA BARANG]]="","",INDEX(NOTA[SUPPLIER],MATCH(,INDIRECT(ADDRESS(ROW(NOTA[ID]),COLUMN(NOTA[ID]))&amp;":"&amp;ADDRESS(ROW(),COLUMN(NOTA[ID]))),-1)))</f>
        <v/>
      </c>
      <c r="AK633" s="38" t="str">
        <f ca="1">IF(NOTA[[#This Row],[ID_H]]="","",IF(NOTA[[#This Row],[FAKTUR]]="",INDIRECT(ADDRESS(ROW()-1,COLUMN())),NOTA[[#This Row],[FAKTUR]]))</f>
        <v/>
      </c>
      <c r="AL633" s="35" t="str">
        <f ca="1">IF(NOTA[[#This Row],[ID]]="","",COUNTIF(NOTA[ID_H],NOTA[[#This Row],[ID_H]]))</f>
        <v/>
      </c>
      <c r="AM633" s="35" t="str">
        <f ca="1">IF(NOTA[[#This Row],[TGL.NOTA]]="",IF(NOTA[[#This Row],[SUPPLIER_H]]="","",AM632),MONTH(NOTA[[#This Row],[TGL.NOTA]]))</f>
        <v/>
      </c>
      <c r="AN6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3" s="35" t="str">
        <f>IF(NOTA[[#This Row],[CONCAT1]]="","",MATCH(NOTA[[#This Row],[CONCAT1]],[3]!db[NB NOTA_C],0))</f>
        <v/>
      </c>
      <c r="AS633" s="35" t="str">
        <f>IF(NOTA[[#This Row],[Column5]]="","",TRUE)</f>
        <v/>
      </c>
      <c r="AT633" s="35" t="str">
        <f ca="1">IF(NOTA[[#This Row],[ID_H]]="","",IF(NOTA[[#This Row],[Column3]]=TRUE,NOTA[[#This Row],[Column5]],INDEX([3]!db[QTY/ CTN],NOTA[[#This Row],[//DB]])))</f>
        <v/>
      </c>
      <c r="AU6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3" s="35" t="str">
        <f ca="1">IF(NOTA[[#This Row],[ID_H]]="","",MATCH(NOTA[[#This Row],[NB NOTA_C_QTY]],[3]!db[NB NOTA_C_QTY+F],0))</f>
        <v/>
      </c>
      <c r="AW633" s="43" t="str">
        <f ca="1">IF(NOTA[[#This Row],[NB NOTA_C_QTY]]="","",ROW()-2)</f>
        <v/>
      </c>
    </row>
    <row r="634" spans="1:49" ht="20.100000000000001" customHeight="1">
      <c r="A6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5" t="str">
        <f ca="1">IF(NOTA[[#This Row],[NAMA BARANG]]="","",INDEX(NOTA[ID],MATCH(,INDIRECT(ADDRESS(ROW(NOTA[ID]),COLUMN(NOTA[ID]))&amp;":"&amp;ADDRESS(ROW(),COLUMN(NOTA[ID]))),-1)))</f>
        <v/>
      </c>
      <c r="C634" s="45"/>
      <c r="F634" s="46"/>
      <c r="G634" s="35"/>
      <c r="H634" s="36"/>
      <c r="I634" s="35"/>
      <c r="K634" s="37"/>
      <c r="L634" s="35"/>
      <c r="N634" s="38"/>
      <c r="O634" s="39"/>
      <c r="P634" s="47"/>
      <c r="Q634" s="48"/>
      <c r="R634" s="41"/>
      <c r="T634" s="42"/>
      <c r="U634" s="44"/>
      <c r="V634" s="42" t="str">
        <f>IF(NOTA[[#This Row],[HARGA/ CTN]]="",NOTA[[#This Row],[JUMLAH_H]],NOTA[[#This Row],[HARGA/ CTN]]*IF(NOTA[[#This Row],[C]]="",0,NOTA[[#This Row],[C]]))</f>
        <v/>
      </c>
      <c r="W634" s="42" t="str">
        <f>IF(NOTA[[#This Row],[JUMLAH]]="","",NOTA[[#This Row],[JUMLAH]]*NOTA[[#This Row],[Column6]])</f>
        <v/>
      </c>
      <c r="X634" s="42" t="str">
        <f>IF(NOTA[[#This Row],[JUMLAH]]="","",(NOTA[[#This Row],[JUMLAH]]-NOTA[[#This Row],[DISC 1-]])*NOTA[[#This Row],[Column7]])</f>
        <v/>
      </c>
      <c r="Y634" s="42" t="str">
        <f>IF(NOTA[[#This Row],[JUMLAH]]="","",(NOTA[[#This Row],[JUMLAH]]-NOTA[[#This Row],[DISC 1-]]-NOTA[[#This Row],[DISC 2-]])*NOTA[[#This Row],[Column8]])</f>
        <v/>
      </c>
      <c r="Z634" s="42" t="str">
        <f>IF(NOTA[[#This Row],[JUMLAH]]="","",NOTA[[#This Row],[DISC 1-]]+NOTA[[#This Row],[DISC 2-]]+NOTA[[#This Row],[DISC 3-]])</f>
        <v/>
      </c>
      <c r="AA634" s="42" t="str">
        <f>IF(NOTA[[#This Row],[JUMLAH]]="","",NOTA[[#This Row],[JUMLAH]]-NOTA[[#This Row],[DISC]])</f>
        <v/>
      </c>
      <c r="AB634" s="42"/>
      <c r="AC6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42" t="str">
        <f>IF(OR(NOTA[[#This Row],[QTY]]="",NOTA[[#This Row],[HARGA SATUAN]]="",),"",NOTA[[#This Row],[QTY]]*NOTA[[#This Row],[HARGA SATUAN]])</f>
        <v/>
      </c>
      <c r="AG634" s="36" t="str">
        <f ca="1">IF(NOTA[[#This Row],[ID_H]]="","",INDEX(NOTA[TANGGAL],MATCH(,INDIRECT(ADDRESS(ROW(NOTA[TANGGAL]),COLUMN(NOTA[TANGGAL]))&amp;":"&amp;ADDRESS(ROW(),COLUMN(NOTA[TANGGAL]))),-1)))</f>
        <v/>
      </c>
      <c r="AH634" s="36" t="str">
        <f ca="1">IF(NOTA[[#This Row],[ID_H]]="","",INDEX(NOTA[TGL.NOTA],MATCH(,INDIRECT(ADDRESS(ROW(NOTA[TGL.NOTA]),COLUMN(NOTA[TGL.NOTA]))&amp;":"&amp;ADDRESS(ROW(),COLUMN(NOTA[TGL.NOTA]))),-1)))</f>
        <v/>
      </c>
      <c r="AI634" s="36" t="str">
        <f ca="1">IF(NOTA[[#This Row],[ID_H]]="","",INDEX(NOTA[NO.NOTA],MATCH(NOTA[[#This Row],[ID_H]],NOTA[ID_H],0)))</f>
        <v/>
      </c>
      <c r="AJ634" s="38" t="str">
        <f ca="1">IF(NOTA[[#This Row],[NAMA BARANG]]="","",INDEX(NOTA[SUPPLIER],MATCH(,INDIRECT(ADDRESS(ROW(NOTA[ID]),COLUMN(NOTA[ID]))&amp;":"&amp;ADDRESS(ROW(),COLUMN(NOTA[ID]))),-1)))</f>
        <v/>
      </c>
      <c r="AK634" s="38" t="str">
        <f ca="1">IF(NOTA[[#This Row],[ID_H]]="","",IF(NOTA[[#This Row],[FAKTUR]]="",INDIRECT(ADDRESS(ROW()-1,COLUMN())),NOTA[[#This Row],[FAKTUR]]))</f>
        <v/>
      </c>
      <c r="AL634" s="35" t="str">
        <f ca="1">IF(NOTA[[#This Row],[ID]]="","",COUNTIF(NOTA[ID_H],NOTA[[#This Row],[ID_H]]))</f>
        <v/>
      </c>
      <c r="AM634" s="35" t="str">
        <f ca="1">IF(NOTA[[#This Row],[TGL.NOTA]]="",IF(NOTA[[#This Row],[SUPPLIER_H]]="","",AM633),MONTH(NOTA[[#This Row],[TGL.NOTA]]))</f>
        <v/>
      </c>
      <c r="AN6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4" s="35" t="str">
        <f>IF(NOTA[[#This Row],[CONCAT1]]="","",MATCH(NOTA[[#This Row],[CONCAT1]],[3]!db[NB NOTA_C],0))</f>
        <v/>
      </c>
      <c r="AS634" s="35" t="str">
        <f>IF(NOTA[[#This Row],[Column5]]="","",TRUE)</f>
        <v/>
      </c>
      <c r="AT634" s="35" t="str">
        <f ca="1">IF(NOTA[[#This Row],[ID_H]]="","",IF(NOTA[[#This Row],[Column3]]=TRUE,NOTA[[#This Row],[Column5]],INDEX([3]!db[QTY/ CTN],NOTA[[#This Row],[//DB]])))</f>
        <v/>
      </c>
      <c r="AU6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4" s="35" t="str">
        <f ca="1">IF(NOTA[[#This Row],[ID_H]]="","",MATCH(NOTA[[#This Row],[NB NOTA_C_QTY]],[3]!db[NB NOTA_C_QTY+F],0))</f>
        <v/>
      </c>
      <c r="AW634" s="43" t="str">
        <f ca="1">IF(NOTA[[#This Row],[NB NOTA_C_QTY]]="","",ROW()-2)</f>
        <v/>
      </c>
    </row>
    <row r="635" spans="1:49" ht="20.100000000000001" customHeight="1">
      <c r="A6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5" t="str">
        <f ca="1">IF(NOTA[[#This Row],[NAMA BARANG]]="","",INDEX(NOTA[ID],MATCH(,INDIRECT(ADDRESS(ROW(NOTA[ID]),COLUMN(NOTA[ID]))&amp;":"&amp;ADDRESS(ROW(),COLUMN(NOTA[ID]))),-1)))</f>
        <v/>
      </c>
      <c r="C635" s="45"/>
      <c r="F635" s="46"/>
      <c r="G635" s="35"/>
      <c r="H635" s="36"/>
      <c r="I635" s="35"/>
      <c r="K635" s="37"/>
      <c r="L635" s="35"/>
      <c r="N635" s="38"/>
      <c r="O635" s="39"/>
      <c r="P635" s="47"/>
      <c r="Q635" s="48"/>
      <c r="R635" s="41"/>
      <c r="T635" s="42"/>
      <c r="U635" s="44"/>
      <c r="V635" s="42" t="str">
        <f>IF(NOTA[[#This Row],[HARGA/ CTN]]="",NOTA[[#This Row],[JUMLAH_H]],NOTA[[#This Row],[HARGA/ CTN]]*IF(NOTA[[#This Row],[C]]="",0,NOTA[[#This Row],[C]]))</f>
        <v/>
      </c>
      <c r="W635" s="42" t="str">
        <f>IF(NOTA[[#This Row],[JUMLAH]]="","",NOTA[[#This Row],[JUMLAH]]*NOTA[[#This Row],[Column6]])</f>
        <v/>
      </c>
      <c r="X635" s="42" t="str">
        <f>IF(NOTA[[#This Row],[JUMLAH]]="","",(NOTA[[#This Row],[JUMLAH]]-NOTA[[#This Row],[DISC 1-]])*NOTA[[#This Row],[Column7]])</f>
        <v/>
      </c>
      <c r="Y635" s="42" t="str">
        <f>IF(NOTA[[#This Row],[JUMLAH]]="","",(NOTA[[#This Row],[JUMLAH]]-NOTA[[#This Row],[DISC 1-]]-NOTA[[#This Row],[DISC 2-]])*NOTA[[#This Row],[Column8]])</f>
        <v/>
      </c>
      <c r="Z635" s="42" t="str">
        <f>IF(NOTA[[#This Row],[JUMLAH]]="","",NOTA[[#This Row],[DISC 1-]]+NOTA[[#This Row],[DISC 2-]]+NOTA[[#This Row],[DISC 3-]])</f>
        <v/>
      </c>
      <c r="AA635" s="42" t="str">
        <f>IF(NOTA[[#This Row],[JUMLAH]]="","",NOTA[[#This Row],[JUMLAH]]-NOTA[[#This Row],[DISC]])</f>
        <v/>
      </c>
      <c r="AB635" s="42"/>
      <c r="AC6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42" t="str">
        <f>IF(OR(NOTA[[#This Row],[QTY]]="",NOTA[[#This Row],[HARGA SATUAN]]="",),"",NOTA[[#This Row],[QTY]]*NOTA[[#This Row],[HARGA SATUAN]])</f>
        <v/>
      </c>
      <c r="AG635" s="36" t="str">
        <f ca="1">IF(NOTA[[#This Row],[ID_H]]="","",INDEX(NOTA[TANGGAL],MATCH(,INDIRECT(ADDRESS(ROW(NOTA[TANGGAL]),COLUMN(NOTA[TANGGAL]))&amp;":"&amp;ADDRESS(ROW(),COLUMN(NOTA[TANGGAL]))),-1)))</f>
        <v/>
      </c>
      <c r="AH635" s="36" t="str">
        <f ca="1">IF(NOTA[[#This Row],[ID_H]]="","",INDEX(NOTA[TGL.NOTA],MATCH(,INDIRECT(ADDRESS(ROW(NOTA[TGL.NOTA]),COLUMN(NOTA[TGL.NOTA]))&amp;":"&amp;ADDRESS(ROW(),COLUMN(NOTA[TGL.NOTA]))),-1)))</f>
        <v/>
      </c>
      <c r="AI635" s="36" t="str">
        <f ca="1">IF(NOTA[[#This Row],[ID_H]]="","",INDEX(NOTA[NO.NOTA],MATCH(NOTA[[#This Row],[ID_H]],NOTA[ID_H],0)))</f>
        <v/>
      </c>
      <c r="AJ635" s="38" t="str">
        <f ca="1">IF(NOTA[[#This Row],[NAMA BARANG]]="","",INDEX(NOTA[SUPPLIER],MATCH(,INDIRECT(ADDRESS(ROW(NOTA[ID]),COLUMN(NOTA[ID]))&amp;":"&amp;ADDRESS(ROW(),COLUMN(NOTA[ID]))),-1)))</f>
        <v/>
      </c>
      <c r="AK635" s="38" t="str">
        <f ca="1">IF(NOTA[[#This Row],[ID_H]]="","",IF(NOTA[[#This Row],[FAKTUR]]="",INDIRECT(ADDRESS(ROW()-1,COLUMN())),NOTA[[#This Row],[FAKTUR]]))</f>
        <v/>
      </c>
      <c r="AL635" s="35" t="str">
        <f ca="1">IF(NOTA[[#This Row],[ID]]="","",COUNTIF(NOTA[ID_H],NOTA[[#This Row],[ID_H]]))</f>
        <v/>
      </c>
      <c r="AM635" s="35" t="str">
        <f ca="1">IF(NOTA[[#This Row],[TGL.NOTA]]="",IF(NOTA[[#This Row],[SUPPLIER_H]]="","",AM634),MONTH(NOTA[[#This Row],[TGL.NOTA]]))</f>
        <v/>
      </c>
      <c r="AN6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5" s="35" t="str">
        <f>IF(NOTA[[#This Row],[CONCAT1]]="","",MATCH(NOTA[[#This Row],[CONCAT1]],[3]!db[NB NOTA_C],0))</f>
        <v/>
      </c>
      <c r="AS635" s="35" t="str">
        <f>IF(NOTA[[#This Row],[Column5]]="","",TRUE)</f>
        <v/>
      </c>
      <c r="AT635" s="35" t="str">
        <f ca="1">IF(NOTA[[#This Row],[ID_H]]="","",IF(NOTA[[#This Row],[Column3]]=TRUE,NOTA[[#This Row],[Column5]],INDEX([3]!db[QTY/ CTN],NOTA[[#This Row],[//DB]])))</f>
        <v/>
      </c>
      <c r="AU6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5" s="35" t="str">
        <f ca="1">IF(NOTA[[#This Row],[ID_H]]="","",MATCH(NOTA[[#This Row],[NB NOTA_C_QTY]],[3]!db[NB NOTA_C_QTY+F],0))</f>
        <v/>
      </c>
      <c r="AW635" s="43" t="str">
        <f ca="1">IF(NOTA[[#This Row],[NB NOTA_C_QTY]]="","",ROW()-2)</f>
        <v/>
      </c>
    </row>
    <row r="636" spans="1:49" ht="20.100000000000001" customHeight="1">
      <c r="A6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5" t="str">
        <f ca="1">IF(NOTA[[#This Row],[NAMA BARANG]]="","",INDEX(NOTA[ID],MATCH(,INDIRECT(ADDRESS(ROW(NOTA[ID]),COLUMN(NOTA[ID]))&amp;":"&amp;ADDRESS(ROW(),COLUMN(NOTA[ID]))),-1)))</f>
        <v/>
      </c>
      <c r="C636" s="45"/>
      <c r="F636" s="46"/>
      <c r="G636" s="35"/>
      <c r="H636" s="36"/>
      <c r="I636" s="35"/>
      <c r="K636" s="37"/>
      <c r="L636" s="35"/>
      <c r="N636" s="38"/>
      <c r="O636" s="39"/>
      <c r="P636" s="47"/>
      <c r="Q636" s="48"/>
      <c r="R636" s="41"/>
      <c r="T636" s="42"/>
      <c r="U636" s="44"/>
      <c r="V636" s="42" t="str">
        <f>IF(NOTA[[#This Row],[HARGA/ CTN]]="",NOTA[[#This Row],[JUMLAH_H]],NOTA[[#This Row],[HARGA/ CTN]]*IF(NOTA[[#This Row],[C]]="",0,NOTA[[#This Row],[C]]))</f>
        <v/>
      </c>
      <c r="W636" s="42" t="str">
        <f>IF(NOTA[[#This Row],[JUMLAH]]="","",NOTA[[#This Row],[JUMLAH]]*NOTA[[#This Row],[Column6]])</f>
        <v/>
      </c>
      <c r="X636" s="42" t="str">
        <f>IF(NOTA[[#This Row],[JUMLAH]]="","",(NOTA[[#This Row],[JUMLAH]]-NOTA[[#This Row],[DISC 1-]])*NOTA[[#This Row],[Column7]])</f>
        <v/>
      </c>
      <c r="Y636" s="42" t="str">
        <f>IF(NOTA[[#This Row],[JUMLAH]]="","",(NOTA[[#This Row],[JUMLAH]]-NOTA[[#This Row],[DISC 1-]]-NOTA[[#This Row],[DISC 2-]])*NOTA[[#This Row],[Column8]])</f>
        <v/>
      </c>
      <c r="Z636" s="42" t="str">
        <f>IF(NOTA[[#This Row],[JUMLAH]]="","",NOTA[[#This Row],[DISC 1-]]+NOTA[[#This Row],[DISC 2-]]+NOTA[[#This Row],[DISC 3-]])</f>
        <v/>
      </c>
      <c r="AA636" s="42" t="str">
        <f>IF(NOTA[[#This Row],[JUMLAH]]="","",NOTA[[#This Row],[JUMLAH]]-NOTA[[#This Row],[DISC]])</f>
        <v/>
      </c>
      <c r="AB636" s="42"/>
      <c r="AC6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42" t="str">
        <f>IF(OR(NOTA[[#This Row],[QTY]]="",NOTA[[#This Row],[HARGA SATUAN]]="",),"",NOTA[[#This Row],[QTY]]*NOTA[[#This Row],[HARGA SATUAN]])</f>
        <v/>
      </c>
      <c r="AG636" s="36" t="str">
        <f ca="1">IF(NOTA[[#This Row],[ID_H]]="","",INDEX(NOTA[TANGGAL],MATCH(,INDIRECT(ADDRESS(ROW(NOTA[TANGGAL]),COLUMN(NOTA[TANGGAL]))&amp;":"&amp;ADDRESS(ROW(),COLUMN(NOTA[TANGGAL]))),-1)))</f>
        <v/>
      </c>
      <c r="AH636" s="36" t="str">
        <f ca="1">IF(NOTA[[#This Row],[ID_H]]="","",INDEX(NOTA[TGL.NOTA],MATCH(,INDIRECT(ADDRESS(ROW(NOTA[TGL.NOTA]),COLUMN(NOTA[TGL.NOTA]))&amp;":"&amp;ADDRESS(ROW(),COLUMN(NOTA[TGL.NOTA]))),-1)))</f>
        <v/>
      </c>
      <c r="AI636" s="36" t="str">
        <f ca="1">IF(NOTA[[#This Row],[ID_H]]="","",INDEX(NOTA[NO.NOTA],MATCH(NOTA[[#This Row],[ID_H]],NOTA[ID_H],0)))</f>
        <v/>
      </c>
      <c r="AJ636" s="38" t="str">
        <f ca="1">IF(NOTA[[#This Row],[NAMA BARANG]]="","",INDEX(NOTA[SUPPLIER],MATCH(,INDIRECT(ADDRESS(ROW(NOTA[ID]),COLUMN(NOTA[ID]))&amp;":"&amp;ADDRESS(ROW(),COLUMN(NOTA[ID]))),-1)))</f>
        <v/>
      </c>
      <c r="AK636" s="38" t="str">
        <f ca="1">IF(NOTA[[#This Row],[ID_H]]="","",IF(NOTA[[#This Row],[FAKTUR]]="",INDIRECT(ADDRESS(ROW()-1,COLUMN())),NOTA[[#This Row],[FAKTUR]]))</f>
        <v/>
      </c>
      <c r="AL636" s="35" t="str">
        <f ca="1">IF(NOTA[[#This Row],[ID]]="","",COUNTIF(NOTA[ID_H],NOTA[[#This Row],[ID_H]]))</f>
        <v/>
      </c>
      <c r="AM636" s="35" t="str">
        <f ca="1">IF(NOTA[[#This Row],[TGL.NOTA]]="",IF(NOTA[[#This Row],[SUPPLIER_H]]="","",AM635),MONTH(NOTA[[#This Row],[TGL.NOTA]]))</f>
        <v/>
      </c>
      <c r="AN6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6" s="35" t="str">
        <f>IF(NOTA[[#This Row],[CONCAT1]]="","",MATCH(NOTA[[#This Row],[CONCAT1]],[3]!db[NB NOTA_C],0))</f>
        <v/>
      </c>
      <c r="AS636" s="35" t="str">
        <f>IF(NOTA[[#This Row],[Column5]]="","",TRUE)</f>
        <v/>
      </c>
      <c r="AT636" s="35" t="str">
        <f ca="1">IF(NOTA[[#This Row],[ID_H]]="","",IF(NOTA[[#This Row],[Column3]]=TRUE,NOTA[[#This Row],[Column5]],INDEX([3]!db[QTY/ CTN],NOTA[[#This Row],[//DB]])))</f>
        <v/>
      </c>
      <c r="AU6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6" s="35" t="str">
        <f ca="1">IF(NOTA[[#This Row],[ID_H]]="","",MATCH(NOTA[[#This Row],[NB NOTA_C_QTY]],[3]!db[NB NOTA_C_QTY+F],0))</f>
        <v/>
      </c>
      <c r="AW636" s="43" t="str">
        <f ca="1">IF(NOTA[[#This Row],[NB NOTA_C_QTY]]="","",ROW()-2)</f>
        <v/>
      </c>
    </row>
    <row r="637" spans="1:49" ht="20.100000000000001" customHeight="1">
      <c r="A6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5" t="str">
        <f ca="1">IF(NOTA[[#This Row],[NAMA BARANG]]="","",INDEX(NOTA[ID],MATCH(,INDIRECT(ADDRESS(ROW(NOTA[ID]),COLUMN(NOTA[ID]))&amp;":"&amp;ADDRESS(ROW(),COLUMN(NOTA[ID]))),-1)))</f>
        <v/>
      </c>
      <c r="C637" s="45"/>
      <c r="F637" s="46"/>
      <c r="G637" s="35"/>
      <c r="H637" s="36"/>
      <c r="I637" s="35"/>
      <c r="K637" s="37"/>
      <c r="L637" s="35"/>
      <c r="N637" s="38"/>
      <c r="O637" s="39"/>
      <c r="P637" s="47"/>
      <c r="Q637" s="48"/>
      <c r="R637" s="41"/>
      <c r="T637" s="42"/>
      <c r="U637" s="44"/>
      <c r="V637" s="42" t="str">
        <f>IF(NOTA[[#This Row],[HARGA/ CTN]]="",NOTA[[#This Row],[JUMLAH_H]],NOTA[[#This Row],[HARGA/ CTN]]*IF(NOTA[[#This Row],[C]]="",0,NOTA[[#This Row],[C]]))</f>
        <v/>
      </c>
      <c r="W637" s="42" t="str">
        <f>IF(NOTA[[#This Row],[JUMLAH]]="","",NOTA[[#This Row],[JUMLAH]]*NOTA[[#This Row],[Column6]])</f>
        <v/>
      </c>
      <c r="X637" s="42" t="str">
        <f>IF(NOTA[[#This Row],[JUMLAH]]="","",(NOTA[[#This Row],[JUMLAH]]-NOTA[[#This Row],[DISC 1-]])*NOTA[[#This Row],[Column7]])</f>
        <v/>
      </c>
      <c r="Y637" s="42" t="str">
        <f>IF(NOTA[[#This Row],[JUMLAH]]="","",(NOTA[[#This Row],[JUMLAH]]-NOTA[[#This Row],[DISC 1-]]-NOTA[[#This Row],[DISC 2-]])*NOTA[[#This Row],[Column8]])</f>
        <v/>
      </c>
      <c r="Z637" s="42" t="str">
        <f>IF(NOTA[[#This Row],[JUMLAH]]="","",NOTA[[#This Row],[DISC 1-]]+NOTA[[#This Row],[DISC 2-]]+NOTA[[#This Row],[DISC 3-]])</f>
        <v/>
      </c>
      <c r="AA637" s="42" t="str">
        <f>IF(NOTA[[#This Row],[JUMLAH]]="","",NOTA[[#This Row],[JUMLAH]]-NOTA[[#This Row],[DISC]])</f>
        <v/>
      </c>
      <c r="AB637" s="42"/>
      <c r="AC6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42" t="str">
        <f>IF(OR(NOTA[[#This Row],[QTY]]="",NOTA[[#This Row],[HARGA SATUAN]]="",),"",NOTA[[#This Row],[QTY]]*NOTA[[#This Row],[HARGA SATUAN]])</f>
        <v/>
      </c>
      <c r="AG637" s="36" t="str">
        <f ca="1">IF(NOTA[[#This Row],[ID_H]]="","",INDEX(NOTA[TANGGAL],MATCH(,INDIRECT(ADDRESS(ROW(NOTA[TANGGAL]),COLUMN(NOTA[TANGGAL]))&amp;":"&amp;ADDRESS(ROW(),COLUMN(NOTA[TANGGAL]))),-1)))</f>
        <v/>
      </c>
      <c r="AH637" s="36" t="str">
        <f ca="1">IF(NOTA[[#This Row],[ID_H]]="","",INDEX(NOTA[TGL.NOTA],MATCH(,INDIRECT(ADDRESS(ROW(NOTA[TGL.NOTA]),COLUMN(NOTA[TGL.NOTA]))&amp;":"&amp;ADDRESS(ROW(),COLUMN(NOTA[TGL.NOTA]))),-1)))</f>
        <v/>
      </c>
      <c r="AI637" s="36" t="str">
        <f ca="1">IF(NOTA[[#This Row],[ID_H]]="","",INDEX(NOTA[NO.NOTA],MATCH(NOTA[[#This Row],[ID_H]],NOTA[ID_H],0)))</f>
        <v/>
      </c>
      <c r="AJ637" s="38" t="str">
        <f ca="1">IF(NOTA[[#This Row],[NAMA BARANG]]="","",INDEX(NOTA[SUPPLIER],MATCH(,INDIRECT(ADDRESS(ROW(NOTA[ID]),COLUMN(NOTA[ID]))&amp;":"&amp;ADDRESS(ROW(),COLUMN(NOTA[ID]))),-1)))</f>
        <v/>
      </c>
      <c r="AK637" s="38" t="str">
        <f ca="1">IF(NOTA[[#This Row],[ID_H]]="","",IF(NOTA[[#This Row],[FAKTUR]]="",INDIRECT(ADDRESS(ROW()-1,COLUMN())),NOTA[[#This Row],[FAKTUR]]))</f>
        <v/>
      </c>
      <c r="AL637" s="35" t="str">
        <f ca="1">IF(NOTA[[#This Row],[ID]]="","",COUNTIF(NOTA[ID_H],NOTA[[#This Row],[ID_H]]))</f>
        <v/>
      </c>
      <c r="AM637" s="35" t="str">
        <f ca="1">IF(NOTA[[#This Row],[TGL.NOTA]]="",IF(NOTA[[#This Row],[SUPPLIER_H]]="","",AM636),MONTH(NOTA[[#This Row],[TGL.NOTA]]))</f>
        <v/>
      </c>
      <c r="AN6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7" s="35" t="str">
        <f>IF(NOTA[[#This Row],[CONCAT1]]="","",MATCH(NOTA[[#This Row],[CONCAT1]],[3]!db[NB NOTA_C],0))</f>
        <v/>
      </c>
      <c r="AS637" s="35" t="str">
        <f>IF(NOTA[[#This Row],[Column5]]="","",TRUE)</f>
        <v/>
      </c>
      <c r="AT637" s="35" t="str">
        <f ca="1">IF(NOTA[[#This Row],[ID_H]]="","",IF(NOTA[[#This Row],[Column3]]=TRUE,NOTA[[#This Row],[Column5]],INDEX([3]!db[QTY/ CTN],NOTA[[#This Row],[//DB]])))</f>
        <v/>
      </c>
      <c r="AU6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7" s="35" t="str">
        <f ca="1">IF(NOTA[[#This Row],[ID_H]]="","",MATCH(NOTA[[#This Row],[NB NOTA_C_QTY]],[3]!db[NB NOTA_C_QTY+F],0))</f>
        <v/>
      </c>
      <c r="AW637" s="43" t="str">
        <f ca="1">IF(NOTA[[#This Row],[NB NOTA_C_QTY]]="","",ROW()-2)</f>
        <v/>
      </c>
    </row>
    <row r="638" spans="1:49" ht="20.100000000000001" customHeight="1">
      <c r="A6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5" t="str">
        <f ca="1">IF(NOTA[[#This Row],[NAMA BARANG]]="","",INDEX(NOTA[ID],MATCH(,INDIRECT(ADDRESS(ROW(NOTA[ID]),COLUMN(NOTA[ID]))&amp;":"&amp;ADDRESS(ROW(),COLUMN(NOTA[ID]))),-1)))</f>
        <v/>
      </c>
      <c r="C638" s="45"/>
      <c r="F638" s="46"/>
      <c r="G638" s="35"/>
      <c r="H638" s="36"/>
      <c r="I638" s="35"/>
      <c r="K638" s="37"/>
      <c r="L638" s="35"/>
      <c r="N638" s="38"/>
      <c r="O638" s="39"/>
      <c r="P638" s="47"/>
      <c r="Q638" s="48"/>
      <c r="R638" s="41"/>
      <c r="T638" s="42"/>
      <c r="U638" s="44"/>
      <c r="V638" s="42" t="str">
        <f>IF(NOTA[[#This Row],[HARGA/ CTN]]="",NOTA[[#This Row],[JUMLAH_H]],NOTA[[#This Row],[HARGA/ CTN]]*IF(NOTA[[#This Row],[C]]="",0,NOTA[[#This Row],[C]]))</f>
        <v/>
      </c>
      <c r="W638" s="42" t="str">
        <f>IF(NOTA[[#This Row],[JUMLAH]]="","",NOTA[[#This Row],[JUMLAH]]*NOTA[[#This Row],[Column6]])</f>
        <v/>
      </c>
      <c r="X638" s="42" t="str">
        <f>IF(NOTA[[#This Row],[JUMLAH]]="","",(NOTA[[#This Row],[JUMLAH]]-NOTA[[#This Row],[DISC 1-]])*NOTA[[#This Row],[Column7]])</f>
        <v/>
      </c>
      <c r="Y638" s="42" t="str">
        <f>IF(NOTA[[#This Row],[JUMLAH]]="","",(NOTA[[#This Row],[JUMLAH]]-NOTA[[#This Row],[DISC 1-]]-NOTA[[#This Row],[DISC 2-]])*NOTA[[#This Row],[Column8]])</f>
        <v/>
      </c>
      <c r="Z638" s="42" t="str">
        <f>IF(NOTA[[#This Row],[JUMLAH]]="","",NOTA[[#This Row],[DISC 1-]]+NOTA[[#This Row],[DISC 2-]]+NOTA[[#This Row],[DISC 3-]])</f>
        <v/>
      </c>
      <c r="AA638" s="42" t="str">
        <f>IF(NOTA[[#This Row],[JUMLAH]]="","",NOTA[[#This Row],[JUMLAH]]-NOTA[[#This Row],[DISC]])</f>
        <v/>
      </c>
      <c r="AB638" s="42"/>
      <c r="AC6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42" t="str">
        <f>IF(OR(NOTA[[#This Row],[QTY]]="",NOTA[[#This Row],[HARGA SATUAN]]="",),"",NOTA[[#This Row],[QTY]]*NOTA[[#This Row],[HARGA SATUAN]])</f>
        <v/>
      </c>
      <c r="AG638" s="36" t="str">
        <f ca="1">IF(NOTA[[#This Row],[ID_H]]="","",INDEX(NOTA[TANGGAL],MATCH(,INDIRECT(ADDRESS(ROW(NOTA[TANGGAL]),COLUMN(NOTA[TANGGAL]))&amp;":"&amp;ADDRESS(ROW(),COLUMN(NOTA[TANGGAL]))),-1)))</f>
        <v/>
      </c>
      <c r="AH638" s="36" t="str">
        <f ca="1">IF(NOTA[[#This Row],[ID_H]]="","",INDEX(NOTA[TGL.NOTA],MATCH(,INDIRECT(ADDRESS(ROW(NOTA[TGL.NOTA]),COLUMN(NOTA[TGL.NOTA]))&amp;":"&amp;ADDRESS(ROW(),COLUMN(NOTA[TGL.NOTA]))),-1)))</f>
        <v/>
      </c>
      <c r="AI638" s="36" t="str">
        <f ca="1">IF(NOTA[[#This Row],[ID_H]]="","",INDEX(NOTA[NO.NOTA],MATCH(NOTA[[#This Row],[ID_H]],NOTA[ID_H],0)))</f>
        <v/>
      </c>
      <c r="AJ638" s="38" t="str">
        <f ca="1">IF(NOTA[[#This Row],[NAMA BARANG]]="","",INDEX(NOTA[SUPPLIER],MATCH(,INDIRECT(ADDRESS(ROW(NOTA[ID]),COLUMN(NOTA[ID]))&amp;":"&amp;ADDRESS(ROW(),COLUMN(NOTA[ID]))),-1)))</f>
        <v/>
      </c>
      <c r="AK638" s="38" t="str">
        <f ca="1">IF(NOTA[[#This Row],[ID_H]]="","",IF(NOTA[[#This Row],[FAKTUR]]="",INDIRECT(ADDRESS(ROW()-1,COLUMN())),NOTA[[#This Row],[FAKTUR]]))</f>
        <v/>
      </c>
      <c r="AL638" s="35" t="str">
        <f ca="1">IF(NOTA[[#This Row],[ID]]="","",COUNTIF(NOTA[ID_H],NOTA[[#This Row],[ID_H]]))</f>
        <v/>
      </c>
      <c r="AM638" s="35" t="str">
        <f ca="1">IF(NOTA[[#This Row],[TGL.NOTA]]="",IF(NOTA[[#This Row],[SUPPLIER_H]]="","",AM637),MONTH(NOTA[[#This Row],[TGL.NOTA]]))</f>
        <v/>
      </c>
      <c r="AN6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8" s="35" t="str">
        <f>IF(NOTA[[#This Row],[CONCAT1]]="","",MATCH(NOTA[[#This Row],[CONCAT1]],[3]!db[NB NOTA_C],0))</f>
        <v/>
      </c>
      <c r="AS638" s="35" t="str">
        <f>IF(NOTA[[#This Row],[Column5]]="","",TRUE)</f>
        <v/>
      </c>
      <c r="AT638" s="35" t="str">
        <f ca="1">IF(NOTA[[#This Row],[ID_H]]="","",IF(NOTA[[#This Row],[Column3]]=TRUE,NOTA[[#This Row],[Column5]],INDEX([3]!db[QTY/ CTN],NOTA[[#This Row],[//DB]])))</f>
        <v/>
      </c>
      <c r="AU6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8" s="35" t="str">
        <f ca="1">IF(NOTA[[#This Row],[ID_H]]="","",MATCH(NOTA[[#This Row],[NB NOTA_C_QTY]],[3]!db[NB NOTA_C_QTY+F],0))</f>
        <v/>
      </c>
      <c r="AW638" s="43" t="str">
        <f ca="1">IF(NOTA[[#This Row],[NB NOTA_C_QTY]]="","",ROW()-2)</f>
        <v/>
      </c>
    </row>
    <row r="639" spans="1:49" ht="20.100000000000001" customHeight="1">
      <c r="A6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5" t="str">
        <f ca="1">IF(NOTA[[#This Row],[NAMA BARANG]]="","",INDEX(NOTA[ID],MATCH(,INDIRECT(ADDRESS(ROW(NOTA[ID]),COLUMN(NOTA[ID]))&amp;":"&amp;ADDRESS(ROW(),COLUMN(NOTA[ID]))),-1)))</f>
        <v/>
      </c>
      <c r="C639" s="45"/>
      <c r="F639" s="46"/>
      <c r="G639" s="35"/>
      <c r="H639" s="36"/>
      <c r="I639" s="35"/>
      <c r="K639" s="37"/>
      <c r="L639" s="35"/>
      <c r="N639" s="38"/>
      <c r="O639" s="39"/>
      <c r="P639" s="47"/>
      <c r="Q639" s="48"/>
      <c r="R639" s="41"/>
      <c r="T639" s="42"/>
      <c r="U639" s="44"/>
      <c r="V639" s="42" t="str">
        <f>IF(NOTA[[#This Row],[HARGA/ CTN]]="",NOTA[[#This Row],[JUMLAH_H]],NOTA[[#This Row],[HARGA/ CTN]]*IF(NOTA[[#This Row],[C]]="",0,NOTA[[#This Row],[C]]))</f>
        <v/>
      </c>
      <c r="W639" s="42" t="str">
        <f>IF(NOTA[[#This Row],[JUMLAH]]="","",NOTA[[#This Row],[JUMLAH]]*NOTA[[#This Row],[Column6]])</f>
        <v/>
      </c>
      <c r="X639" s="42" t="str">
        <f>IF(NOTA[[#This Row],[JUMLAH]]="","",(NOTA[[#This Row],[JUMLAH]]-NOTA[[#This Row],[DISC 1-]])*NOTA[[#This Row],[Column7]])</f>
        <v/>
      </c>
      <c r="Y639" s="42" t="str">
        <f>IF(NOTA[[#This Row],[JUMLAH]]="","",(NOTA[[#This Row],[JUMLAH]]-NOTA[[#This Row],[DISC 1-]]-NOTA[[#This Row],[DISC 2-]])*NOTA[[#This Row],[Column8]])</f>
        <v/>
      </c>
      <c r="Z639" s="42" t="str">
        <f>IF(NOTA[[#This Row],[JUMLAH]]="","",NOTA[[#This Row],[DISC 1-]]+NOTA[[#This Row],[DISC 2-]]+NOTA[[#This Row],[DISC 3-]])</f>
        <v/>
      </c>
      <c r="AA639" s="42" t="str">
        <f>IF(NOTA[[#This Row],[JUMLAH]]="","",NOTA[[#This Row],[JUMLAH]]-NOTA[[#This Row],[DISC]])</f>
        <v/>
      </c>
      <c r="AB639" s="42"/>
      <c r="AC6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42" t="str">
        <f>IF(OR(NOTA[[#This Row],[QTY]]="",NOTA[[#This Row],[HARGA SATUAN]]="",),"",NOTA[[#This Row],[QTY]]*NOTA[[#This Row],[HARGA SATUAN]])</f>
        <v/>
      </c>
      <c r="AG639" s="36" t="str">
        <f ca="1">IF(NOTA[[#This Row],[ID_H]]="","",INDEX(NOTA[TANGGAL],MATCH(,INDIRECT(ADDRESS(ROW(NOTA[TANGGAL]),COLUMN(NOTA[TANGGAL]))&amp;":"&amp;ADDRESS(ROW(),COLUMN(NOTA[TANGGAL]))),-1)))</f>
        <v/>
      </c>
      <c r="AH639" s="36" t="str">
        <f ca="1">IF(NOTA[[#This Row],[ID_H]]="","",INDEX(NOTA[TGL.NOTA],MATCH(,INDIRECT(ADDRESS(ROW(NOTA[TGL.NOTA]),COLUMN(NOTA[TGL.NOTA]))&amp;":"&amp;ADDRESS(ROW(),COLUMN(NOTA[TGL.NOTA]))),-1)))</f>
        <v/>
      </c>
      <c r="AI639" s="36" t="str">
        <f ca="1">IF(NOTA[[#This Row],[ID_H]]="","",INDEX(NOTA[NO.NOTA],MATCH(NOTA[[#This Row],[ID_H]],NOTA[ID_H],0)))</f>
        <v/>
      </c>
      <c r="AJ639" s="38" t="str">
        <f ca="1">IF(NOTA[[#This Row],[NAMA BARANG]]="","",INDEX(NOTA[SUPPLIER],MATCH(,INDIRECT(ADDRESS(ROW(NOTA[ID]),COLUMN(NOTA[ID]))&amp;":"&amp;ADDRESS(ROW(),COLUMN(NOTA[ID]))),-1)))</f>
        <v/>
      </c>
      <c r="AK639" s="38" t="str">
        <f ca="1">IF(NOTA[[#This Row],[ID_H]]="","",IF(NOTA[[#This Row],[FAKTUR]]="",INDIRECT(ADDRESS(ROW()-1,COLUMN())),NOTA[[#This Row],[FAKTUR]]))</f>
        <v/>
      </c>
      <c r="AL639" s="35" t="str">
        <f ca="1">IF(NOTA[[#This Row],[ID]]="","",COUNTIF(NOTA[ID_H],NOTA[[#This Row],[ID_H]]))</f>
        <v/>
      </c>
      <c r="AM639" s="35" t="str">
        <f ca="1">IF(NOTA[[#This Row],[TGL.NOTA]]="",IF(NOTA[[#This Row],[SUPPLIER_H]]="","",AM638),MONTH(NOTA[[#This Row],[TGL.NOTA]]))</f>
        <v/>
      </c>
      <c r="AN6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9" s="35" t="str">
        <f>IF(NOTA[[#This Row],[CONCAT1]]="","",MATCH(NOTA[[#This Row],[CONCAT1]],[3]!db[NB NOTA_C],0))</f>
        <v/>
      </c>
      <c r="AS639" s="35" t="str">
        <f>IF(NOTA[[#This Row],[Column5]]="","",TRUE)</f>
        <v/>
      </c>
      <c r="AT639" s="35" t="str">
        <f ca="1">IF(NOTA[[#This Row],[ID_H]]="","",IF(NOTA[[#This Row],[Column3]]=TRUE,NOTA[[#This Row],[Column5]],INDEX([3]!db[QTY/ CTN],NOTA[[#This Row],[//DB]])))</f>
        <v/>
      </c>
      <c r="AU6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39" s="35" t="str">
        <f ca="1">IF(NOTA[[#This Row],[ID_H]]="","",MATCH(NOTA[[#This Row],[NB NOTA_C_QTY]],[3]!db[NB NOTA_C_QTY+F],0))</f>
        <v/>
      </c>
      <c r="AW639" s="43" t="str">
        <f ca="1">IF(NOTA[[#This Row],[NB NOTA_C_QTY]]="","",ROW()-2)</f>
        <v/>
      </c>
    </row>
    <row r="640" spans="1:49" ht="20.100000000000001" customHeight="1">
      <c r="A6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5" t="str">
        <f ca="1">IF(NOTA[[#This Row],[NAMA BARANG]]="","",INDEX(NOTA[ID],MATCH(,INDIRECT(ADDRESS(ROW(NOTA[ID]),COLUMN(NOTA[ID]))&amp;":"&amp;ADDRESS(ROW(),COLUMN(NOTA[ID]))),-1)))</f>
        <v/>
      </c>
      <c r="C640" s="45"/>
      <c r="F640" s="46"/>
      <c r="G640" s="35"/>
      <c r="H640" s="36"/>
      <c r="I640" s="35"/>
      <c r="K640" s="37"/>
      <c r="L640" s="35"/>
      <c r="N640" s="38"/>
      <c r="O640" s="39"/>
      <c r="P640" s="47"/>
      <c r="Q640" s="48"/>
      <c r="R640" s="41"/>
      <c r="T640" s="42"/>
      <c r="U640" s="44"/>
      <c r="V640" s="42" t="str">
        <f>IF(NOTA[[#This Row],[HARGA/ CTN]]="",NOTA[[#This Row],[JUMLAH_H]],NOTA[[#This Row],[HARGA/ CTN]]*IF(NOTA[[#This Row],[C]]="",0,NOTA[[#This Row],[C]]))</f>
        <v/>
      </c>
      <c r="W640" s="42" t="str">
        <f>IF(NOTA[[#This Row],[JUMLAH]]="","",NOTA[[#This Row],[JUMLAH]]*NOTA[[#This Row],[Column6]])</f>
        <v/>
      </c>
      <c r="X640" s="42" t="str">
        <f>IF(NOTA[[#This Row],[JUMLAH]]="","",(NOTA[[#This Row],[JUMLAH]]-NOTA[[#This Row],[DISC 1-]])*NOTA[[#This Row],[Column7]])</f>
        <v/>
      </c>
      <c r="Y640" s="42" t="str">
        <f>IF(NOTA[[#This Row],[JUMLAH]]="","",(NOTA[[#This Row],[JUMLAH]]-NOTA[[#This Row],[DISC 1-]]-NOTA[[#This Row],[DISC 2-]])*NOTA[[#This Row],[Column8]])</f>
        <v/>
      </c>
      <c r="Z640" s="42" t="str">
        <f>IF(NOTA[[#This Row],[JUMLAH]]="","",NOTA[[#This Row],[DISC 1-]]+NOTA[[#This Row],[DISC 2-]]+NOTA[[#This Row],[DISC 3-]])</f>
        <v/>
      </c>
      <c r="AA640" s="42" t="str">
        <f>IF(NOTA[[#This Row],[JUMLAH]]="","",NOTA[[#This Row],[JUMLAH]]-NOTA[[#This Row],[DISC]])</f>
        <v/>
      </c>
      <c r="AB640" s="42"/>
      <c r="AC6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42" t="str">
        <f>IF(OR(NOTA[[#This Row],[QTY]]="",NOTA[[#This Row],[HARGA SATUAN]]="",),"",NOTA[[#This Row],[QTY]]*NOTA[[#This Row],[HARGA SATUAN]])</f>
        <v/>
      </c>
      <c r="AG640" s="36" t="str">
        <f ca="1">IF(NOTA[[#This Row],[ID_H]]="","",INDEX(NOTA[TANGGAL],MATCH(,INDIRECT(ADDRESS(ROW(NOTA[TANGGAL]),COLUMN(NOTA[TANGGAL]))&amp;":"&amp;ADDRESS(ROW(),COLUMN(NOTA[TANGGAL]))),-1)))</f>
        <v/>
      </c>
      <c r="AH640" s="36" t="str">
        <f ca="1">IF(NOTA[[#This Row],[ID_H]]="","",INDEX(NOTA[TGL.NOTA],MATCH(,INDIRECT(ADDRESS(ROW(NOTA[TGL.NOTA]),COLUMN(NOTA[TGL.NOTA]))&amp;":"&amp;ADDRESS(ROW(),COLUMN(NOTA[TGL.NOTA]))),-1)))</f>
        <v/>
      </c>
      <c r="AI640" s="36" t="str">
        <f ca="1">IF(NOTA[[#This Row],[ID_H]]="","",INDEX(NOTA[NO.NOTA],MATCH(NOTA[[#This Row],[ID_H]],NOTA[ID_H],0)))</f>
        <v/>
      </c>
      <c r="AJ640" s="38" t="str">
        <f ca="1">IF(NOTA[[#This Row],[NAMA BARANG]]="","",INDEX(NOTA[SUPPLIER],MATCH(,INDIRECT(ADDRESS(ROW(NOTA[ID]),COLUMN(NOTA[ID]))&amp;":"&amp;ADDRESS(ROW(),COLUMN(NOTA[ID]))),-1)))</f>
        <v/>
      </c>
      <c r="AK640" s="38" t="str">
        <f ca="1">IF(NOTA[[#This Row],[ID_H]]="","",IF(NOTA[[#This Row],[FAKTUR]]="",INDIRECT(ADDRESS(ROW()-1,COLUMN())),NOTA[[#This Row],[FAKTUR]]))</f>
        <v/>
      </c>
      <c r="AL640" s="35" t="str">
        <f ca="1">IF(NOTA[[#This Row],[ID]]="","",COUNTIF(NOTA[ID_H],NOTA[[#This Row],[ID_H]]))</f>
        <v/>
      </c>
      <c r="AM640" s="35" t="str">
        <f ca="1">IF(NOTA[[#This Row],[TGL.NOTA]]="",IF(NOTA[[#This Row],[SUPPLIER_H]]="","",AM639),MONTH(NOTA[[#This Row],[TGL.NOTA]]))</f>
        <v/>
      </c>
      <c r="AN6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0" s="35" t="str">
        <f>IF(NOTA[[#This Row],[CONCAT1]]="","",MATCH(NOTA[[#This Row],[CONCAT1]],[3]!db[NB NOTA_C],0))</f>
        <v/>
      </c>
      <c r="AS640" s="35" t="str">
        <f>IF(NOTA[[#This Row],[Column5]]="","",TRUE)</f>
        <v/>
      </c>
      <c r="AT640" s="35" t="str">
        <f ca="1">IF(NOTA[[#This Row],[ID_H]]="","",IF(NOTA[[#This Row],[Column3]]=TRUE,NOTA[[#This Row],[Column5]],INDEX([3]!db[QTY/ CTN],NOTA[[#This Row],[//DB]])))</f>
        <v/>
      </c>
      <c r="AU6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0" s="35" t="str">
        <f ca="1">IF(NOTA[[#This Row],[ID_H]]="","",MATCH(NOTA[[#This Row],[NB NOTA_C_QTY]],[3]!db[NB NOTA_C_QTY+F],0))</f>
        <v/>
      </c>
      <c r="AW640" s="43" t="str">
        <f ca="1">IF(NOTA[[#This Row],[NB NOTA_C_QTY]]="","",ROW()-2)</f>
        <v/>
      </c>
    </row>
    <row r="641" spans="1:49" ht="20.100000000000001" customHeight="1">
      <c r="A6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5" t="str">
        <f ca="1">IF(NOTA[[#This Row],[NAMA BARANG]]="","",INDEX(NOTA[ID],MATCH(,INDIRECT(ADDRESS(ROW(NOTA[ID]),COLUMN(NOTA[ID]))&amp;":"&amp;ADDRESS(ROW(),COLUMN(NOTA[ID]))),-1)))</f>
        <v/>
      </c>
      <c r="C641" s="45"/>
      <c r="F641" s="46"/>
      <c r="G641" s="35"/>
      <c r="H641" s="36"/>
      <c r="I641" s="35"/>
      <c r="K641" s="37"/>
      <c r="L641" s="35"/>
      <c r="N641" s="38"/>
      <c r="O641" s="39"/>
      <c r="P641" s="47"/>
      <c r="Q641" s="48"/>
      <c r="R641" s="41"/>
      <c r="T641" s="42"/>
      <c r="U641" s="44"/>
      <c r="V641" s="42" t="str">
        <f>IF(NOTA[[#This Row],[HARGA/ CTN]]="",NOTA[[#This Row],[JUMLAH_H]],NOTA[[#This Row],[HARGA/ CTN]]*IF(NOTA[[#This Row],[C]]="",0,NOTA[[#This Row],[C]]))</f>
        <v/>
      </c>
      <c r="W641" s="42" t="str">
        <f>IF(NOTA[[#This Row],[JUMLAH]]="","",NOTA[[#This Row],[JUMLAH]]*NOTA[[#This Row],[Column6]])</f>
        <v/>
      </c>
      <c r="X641" s="42" t="str">
        <f>IF(NOTA[[#This Row],[JUMLAH]]="","",(NOTA[[#This Row],[JUMLAH]]-NOTA[[#This Row],[DISC 1-]])*NOTA[[#This Row],[Column7]])</f>
        <v/>
      </c>
      <c r="Y641" s="42" t="str">
        <f>IF(NOTA[[#This Row],[JUMLAH]]="","",(NOTA[[#This Row],[JUMLAH]]-NOTA[[#This Row],[DISC 1-]]-NOTA[[#This Row],[DISC 2-]])*NOTA[[#This Row],[Column8]])</f>
        <v/>
      </c>
      <c r="Z641" s="42" t="str">
        <f>IF(NOTA[[#This Row],[JUMLAH]]="","",NOTA[[#This Row],[DISC 1-]]+NOTA[[#This Row],[DISC 2-]]+NOTA[[#This Row],[DISC 3-]])</f>
        <v/>
      </c>
      <c r="AA641" s="42" t="str">
        <f>IF(NOTA[[#This Row],[JUMLAH]]="","",NOTA[[#This Row],[JUMLAH]]-NOTA[[#This Row],[DISC]])</f>
        <v/>
      </c>
      <c r="AB641" s="42"/>
      <c r="AC6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42" t="str">
        <f>IF(OR(NOTA[[#This Row],[QTY]]="",NOTA[[#This Row],[HARGA SATUAN]]="",),"",NOTA[[#This Row],[QTY]]*NOTA[[#This Row],[HARGA SATUAN]])</f>
        <v/>
      </c>
      <c r="AG641" s="36" t="str">
        <f ca="1">IF(NOTA[[#This Row],[ID_H]]="","",INDEX(NOTA[TANGGAL],MATCH(,INDIRECT(ADDRESS(ROW(NOTA[TANGGAL]),COLUMN(NOTA[TANGGAL]))&amp;":"&amp;ADDRESS(ROW(),COLUMN(NOTA[TANGGAL]))),-1)))</f>
        <v/>
      </c>
      <c r="AH641" s="36" t="str">
        <f ca="1">IF(NOTA[[#This Row],[ID_H]]="","",INDEX(NOTA[TGL.NOTA],MATCH(,INDIRECT(ADDRESS(ROW(NOTA[TGL.NOTA]),COLUMN(NOTA[TGL.NOTA]))&amp;":"&amp;ADDRESS(ROW(),COLUMN(NOTA[TGL.NOTA]))),-1)))</f>
        <v/>
      </c>
      <c r="AI641" s="36" t="str">
        <f ca="1">IF(NOTA[[#This Row],[ID_H]]="","",INDEX(NOTA[NO.NOTA],MATCH(NOTA[[#This Row],[ID_H]],NOTA[ID_H],0)))</f>
        <v/>
      </c>
      <c r="AJ641" s="38" t="str">
        <f ca="1">IF(NOTA[[#This Row],[NAMA BARANG]]="","",INDEX(NOTA[SUPPLIER],MATCH(,INDIRECT(ADDRESS(ROW(NOTA[ID]),COLUMN(NOTA[ID]))&amp;":"&amp;ADDRESS(ROW(),COLUMN(NOTA[ID]))),-1)))</f>
        <v/>
      </c>
      <c r="AK641" s="38" t="str">
        <f ca="1">IF(NOTA[[#This Row],[ID_H]]="","",IF(NOTA[[#This Row],[FAKTUR]]="",INDIRECT(ADDRESS(ROW()-1,COLUMN())),NOTA[[#This Row],[FAKTUR]]))</f>
        <v/>
      </c>
      <c r="AL641" s="35" t="str">
        <f ca="1">IF(NOTA[[#This Row],[ID]]="","",COUNTIF(NOTA[ID_H],NOTA[[#This Row],[ID_H]]))</f>
        <v/>
      </c>
      <c r="AM641" s="35" t="str">
        <f ca="1">IF(NOTA[[#This Row],[TGL.NOTA]]="",IF(NOTA[[#This Row],[SUPPLIER_H]]="","",AM640),MONTH(NOTA[[#This Row],[TGL.NOTA]]))</f>
        <v/>
      </c>
      <c r="AN6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1" s="35" t="str">
        <f>IF(NOTA[[#This Row],[CONCAT1]]="","",MATCH(NOTA[[#This Row],[CONCAT1]],[3]!db[NB NOTA_C],0))</f>
        <v/>
      </c>
      <c r="AS641" s="35" t="str">
        <f>IF(NOTA[[#This Row],[Column5]]="","",TRUE)</f>
        <v/>
      </c>
      <c r="AT641" s="35" t="str">
        <f ca="1">IF(NOTA[[#This Row],[ID_H]]="","",IF(NOTA[[#This Row],[Column3]]=TRUE,NOTA[[#This Row],[Column5]],INDEX([3]!db[QTY/ CTN],NOTA[[#This Row],[//DB]])))</f>
        <v/>
      </c>
      <c r="AU6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1" s="35" t="str">
        <f ca="1">IF(NOTA[[#This Row],[ID_H]]="","",MATCH(NOTA[[#This Row],[NB NOTA_C_QTY]],[3]!db[NB NOTA_C_QTY+F],0))</f>
        <v/>
      </c>
      <c r="AW641" s="43" t="str">
        <f ca="1">IF(NOTA[[#This Row],[NB NOTA_C_QTY]]="","",ROW()-2)</f>
        <v/>
      </c>
    </row>
    <row r="642" spans="1:49" ht="20.100000000000001" customHeight="1">
      <c r="A6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5" t="str">
        <f ca="1">IF(NOTA[[#This Row],[NAMA BARANG]]="","",INDEX(NOTA[ID],MATCH(,INDIRECT(ADDRESS(ROW(NOTA[ID]),COLUMN(NOTA[ID]))&amp;":"&amp;ADDRESS(ROW(),COLUMN(NOTA[ID]))),-1)))</f>
        <v/>
      </c>
      <c r="C642" s="45"/>
      <c r="F642" s="46"/>
      <c r="G642" s="35"/>
      <c r="H642" s="36"/>
      <c r="I642" s="35"/>
      <c r="K642" s="37"/>
      <c r="L642" s="35"/>
      <c r="N642" s="38"/>
      <c r="O642" s="39"/>
      <c r="P642" s="47"/>
      <c r="Q642" s="48"/>
      <c r="R642" s="41"/>
      <c r="T642" s="42"/>
      <c r="U642" s="44"/>
      <c r="V642" s="42" t="str">
        <f>IF(NOTA[[#This Row],[HARGA/ CTN]]="",NOTA[[#This Row],[JUMLAH_H]],NOTA[[#This Row],[HARGA/ CTN]]*IF(NOTA[[#This Row],[C]]="",0,NOTA[[#This Row],[C]]))</f>
        <v/>
      </c>
      <c r="W642" s="42" t="str">
        <f>IF(NOTA[[#This Row],[JUMLAH]]="","",NOTA[[#This Row],[JUMLAH]]*NOTA[[#This Row],[Column6]])</f>
        <v/>
      </c>
      <c r="X642" s="42" t="str">
        <f>IF(NOTA[[#This Row],[JUMLAH]]="","",(NOTA[[#This Row],[JUMLAH]]-NOTA[[#This Row],[DISC 1-]])*NOTA[[#This Row],[Column7]])</f>
        <v/>
      </c>
      <c r="Y642" s="42" t="str">
        <f>IF(NOTA[[#This Row],[JUMLAH]]="","",(NOTA[[#This Row],[JUMLAH]]-NOTA[[#This Row],[DISC 1-]]-NOTA[[#This Row],[DISC 2-]])*NOTA[[#This Row],[Column8]])</f>
        <v/>
      </c>
      <c r="Z642" s="42" t="str">
        <f>IF(NOTA[[#This Row],[JUMLAH]]="","",NOTA[[#This Row],[DISC 1-]]+NOTA[[#This Row],[DISC 2-]]+NOTA[[#This Row],[DISC 3-]])</f>
        <v/>
      </c>
      <c r="AA642" s="42" t="str">
        <f>IF(NOTA[[#This Row],[JUMLAH]]="","",NOTA[[#This Row],[JUMLAH]]-NOTA[[#This Row],[DISC]])</f>
        <v/>
      </c>
      <c r="AB642" s="42"/>
      <c r="AC6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42" t="str">
        <f>IF(OR(NOTA[[#This Row],[QTY]]="",NOTA[[#This Row],[HARGA SATUAN]]="",),"",NOTA[[#This Row],[QTY]]*NOTA[[#This Row],[HARGA SATUAN]])</f>
        <v/>
      </c>
      <c r="AG642" s="36" t="str">
        <f ca="1">IF(NOTA[[#This Row],[ID_H]]="","",INDEX(NOTA[TANGGAL],MATCH(,INDIRECT(ADDRESS(ROW(NOTA[TANGGAL]),COLUMN(NOTA[TANGGAL]))&amp;":"&amp;ADDRESS(ROW(),COLUMN(NOTA[TANGGAL]))),-1)))</f>
        <v/>
      </c>
      <c r="AH642" s="36" t="str">
        <f ca="1">IF(NOTA[[#This Row],[ID_H]]="","",INDEX(NOTA[TGL.NOTA],MATCH(,INDIRECT(ADDRESS(ROW(NOTA[TGL.NOTA]),COLUMN(NOTA[TGL.NOTA]))&amp;":"&amp;ADDRESS(ROW(),COLUMN(NOTA[TGL.NOTA]))),-1)))</f>
        <v/>
      </c>
      <c r="AI642" s="36" t="str">
        <f ca="1">IF(NOTA[[#This Row],[ID_H]]="","",INDEX(NOTA[NO.NOTA],MATCH(NOTA[[#This Row],[ID_H]],NOTA[ID_H],0)))</f>
        <v/>
      </c>
      <c r="AJ642" s="38" t="str">
        <f ca="1">IF(NOTA[[#This Row],[NAMA BARANG]]="","",INDEX(NOTA[SUPPLIER],MATCH(,INDIRECT(ADDRESS(ROW(NOTA[ID]),COLUMN(NOTA[ID]))&amp;":"&amp;ADDRESS(ROW(),COLUMN(NOTA[ID]))),-1)))</f>
        <v/>
      </c>
      <c r="AK642" s="38" t="str">
        <f ca="1">IF(NOTA[[#This Row],[ID_H]]="","",IF(NOTA[[#This Row],[FAKTUR]]="",INDIRECT(ADDRESS(ROW()-1,COLUMN())),NOTA[[#This Row],[FAKTUR]]))</f>
        <v/>
      </c>
      <c r="AL642" s="35" t="str">
        <f ca="1">IF(NOTA[[#This Row],[ID]]="","",COUNTIF(NOTA[ID_H],NOTA[[#This Row],[ID_H]]))</f>
        <v/>
      </c>
      <c r="AM642" s="35" t="str">
        <f ca="1">IF(NOTA[[#This Row],[TGL.NOTA]]="",IF(NOTA[[#This Row],[SUPPLIER_H]]="","",AM641),MONTH(NOTA[[#This Row],[TGL.NOTA]]))</f>
        <v/>
      </c>
      <c r="AN6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2" s="35" t="str">
        <f>IF(NOTA[[#This Row],[CONCAT1]]="","",MATCH(NOTA[[#This Row],[CONCAT1]],[3]!db[NB NOTA_C],0))</f>
        <v/>
      </c>
      <c r="AS642" s="35" t="str">
        <f>IF(NOTA[[#This Row],[Column5]]="","",TRUE)</f>
        <v/>
      </c>
      <c r="AT642" s="35" t="str">
        <f ca="1">IF(NOTA[[#This Row],[ID_H]]="","",IF(NOTA[[#This Row],[Column3]]=TRUE,NOTA[[#This Row],[Column5]],INDEX([3]!db[QTY/ CTN],NOTA[[#This Row],[//DB]])))</f>
        <v/>
      </c>
      <c r="AU6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2" s="35" t="str">
        <f ca="1">IF(NOTA[[#This Row],[ID_H]]="","",MATCH(NOTA[[#This Row],[NB NOTA_C_QTY]],[3]!db[NB NOTA_C_QTY+F],0))</f>
        <v/>
      </c>
      <c r="AW642" s="43" t="str">
        <f ca="1">IF(NOTA[[#This Row],[NB NOTA_C_QTY]]="","",ROW()-2)</f>
        <v/>
      </c>
    </row>
    <row r="643" spans="1:49" ht="20.100000000000001" customHeight="1">
      <c r="A6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5" t="str">
        <f ca="1">IF(NOTA[[#This Row],[NAMA BARANG]]="","",INDEX(NOTA[ID],MATCH(,INDIRECT(ADDRESS(ROW(NOTA[ID]),COLUMN(NOTA[ID]))&amp;":"&amp;ADDRESS(ROW(),COLUMN(NOTA[ID]))),-1)))</f>
        <v/>
      </c>
      <c r="C643" s="45"/>
      <c r="F643" s="46"/>
      <c r="G643" s="35"/>
      <c r="H643" s="36"/>
      <c r="I643" s="35"/>
      <c r="K643" s="37"/>
      <c r="L643" s="35"/>
      <c r="N643" s="38"/>
      <c r="O643" s="39"/>
      <c r="P643" s="47"/>
      <c r="Q643" s="48"/>
      <c r="R643" s="41"/>
      <c r="T643" s="42"/>
      <c r="U643" s="44"/>
      <c r="V643" s="42" t="str">
        <f>IF(NOTA[[#This Row],[HARGA/ CTN]]="",NOTA[[#This Row],[JUMLAH_H]],NOTA[[#This Row],[HARGA/ CTN]]*IF(NOTA[[#This Row],[C]]="",0,NOTA[[#This Row],[C]]))</f>
        <v/>
      </c>
      <c r="W643" s="42" t="str">
        <f>IF(NOTA[[#This Row],[JUMLAH]]="","",NOTA[[#This Row],[JUMLAH]]*NOTA[[#This Row],[Column6]])</f>
        <v/>
      </c>
      <c r="X643" s="42" t="str">
        <f>IF(NOTA[[#This Row],[JUMLAH]]="","",(NOTA[[#This Row],[JUMLAH]]-NOTA[[#This Row],[DISC 1-]])*NOTA[[#This Row],[Column7]])</f>
        <v/>
      </c>
      <c r="Y643" s="42" t="str">
        <f>IF(NOTA[[#This Row],[JUMLAH]]="","",(NOTA[[#This Row],[JUMLAH]]-NOTA[[#This Row],[DISC 1-]]-NOTA[[#This Row],[DISC 2-]])*NOTA[[#This Row],[Column8]])</f>
        <v/>
      </c>
      <c r="Z643" s="42" t="str">
        <f>IF(NOTA[[#This Row],[JUMLAH]]="","",NOTA[[#This Row],[DISC 1-]]+NOTA[[#This Row],[DISC 2-]]+NOTA[[#This Row],[DISC 3-]])</f>
        <v/>
      </c>
      <c r="AA643" s="42" t="str">
        <f>IF(NOTA[[#This Row],[JUMLAH]]="","",NOTA[[#This Row],[JUMLAH]]-NOTA[[#This Row],[DISC]])</f>
        <v/>
      </c>
      <c r="AB643" s="42"/>
      <c r="AC6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42" t="str">
        <f>IF(OR(NOTA[[#This Row],[QTY]]="",NOTA[[#This Row],[HARGA SATUAN]]="",),"",NOTA[[#This Row],[QTY]]*NOTA[[#This Row],[HARGA SATUAN]])</f>
        <v/>
      </c>
      <c r="AG643" s="36" t="str">
        <f ca="1">IF(NOTA[[#This Row],[ID_H]]="","",INDEX(NOTA[TANGGAL],MATCH(,INDIRECT(ADDRESS(ROW(NOTA[TANGGAL]),COLUMN(NOTA[TANGGAL]))&amp;":"&amp;ADDRESS(ROW(),COLUMN(NOTA[TANGGAL]))),-1)))</f>
        <v/>
      </c>
      <c r="AH643" s="36" t="str">
        <f ca="1">IF(NOTA[[#This Row],[ID_H]]="","",INDEX(NOTA[TGL.NOTA],MATCH(,INDIRECT(ADDRESS(ROW(NOTA[TGL.NOTA]),COLUMN(NOTA[TGL.NOTA]))&amp;":"&amp;ADDRESS(ROW(),COLUMN(NOTA[TGL.NOTA]))),-1)))</f>
        <v/>
      </c>
      <c r="AI643" s="36" t="str">
        <f ca="1">IF(NOTA[[#This Row],[ID_H]]="","",INDEX(NOTA[NO.NOTA],MATCH(NOTA[[#This Row],[ID_H]],NOTA[ID_H],0)))</f>
        <v/>
      </c>
      <c r="AJ643" s="38" t="str">
        <f ca="1">IF(NOTA[[#This Row],[NAMA BARANG]]="","",INDEX(NOTA[SUPPLIER],MATCH(,INDIRECT(ADDRESS(ROW(NOTA[ID]),COLUMN(NOTA[ID]))&amp;":"&amp;ADDRESS(ROW(),COLUMN(NOTA[ID]))),-1)))</f>
        <v/>
      </c>
      <c r="AK643" s="38" t="str">
        <f ca="1">IF(NOTA[[#This Row],[ID_H]]="","",IF(NOTA[[#This Row],[FAKTUR]]="",INDIRECT(ADDRESS(ROW()-1,COLUMN())),NOTA[[#This Row],[FAKTUR]]))</f>
        <v/>
      </c>
      <c r="AL643" s="35" t="str">
        <f ca="1">IF(NOTA[[#This Row],[ID]]="","",COUNTIF(NOTA[ID_H],NOTA[[#This Row],[ID_H]]))</f>
        <v/>
      </c>
      <c r="AM643" s="35" t="str">
        <f ca="1">IF(NOTA[[#This Row],[TGL.NOTA]]="",IF(NOTA[[#This Row],[SUPPLIER_H]]="","",AM642),MONTH(NOTA[[#This Row],[TGL.NOTA]]))</f>
        <v/>
      </c>
      <c r="AN6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3" s="35" t="str">
        <f>IF(NOTA[[#This Row],[CONCAT1]]="","",MATCH(NOTA[[#This Row],[CONCAT1]],[3]!db[NB NOTA_C],0))</f>
        <v/>
      </c>
      <c r="AS643" s="35" t="str">
        <f>IF(NOTA[[#This Row],[Column5]]="","",TRUE)</f>
        <v/>
      </c>
      <c r="AT643" s="35" t="str">
        <f ca="1">IF(NOTA[[#This Row],[ID_H]]="","",IF(NOTA[[#This Row],[Column3]]=TRUE,NOTA[[#This Row],[Column5]],INDEX([3]!db[QTY/ CTN],NOTA[[#This Row],[//DB]])))</f>
        <v/>
      </c>
      <c r="AU6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3" s="35" t="str">
        <f ca="1">IF(NOTA[[#This Row],[ID_H]]="","",MATCH(NOTA[[#This Row],[NB NOTA_C_QTY]],[3]!db[NB NOTA_C_QTY+F],0))</f>
        <v/>
      </c>
      <c r="AW643" s="43" t="str">
        <f ca="1">IF(NOTA[[#This Row],[NB NOTA_C_QTY]]="","",ROW()-2)</f>
        <v/>
      </c>
    </row>
    <row r="644" spans="1:49" ht="20.100000000000001" customHeight="1">
      <c r="A6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5" t="str">
        <f ca="1">IF(NOTA[[#This Row],[NAMA BARANG]]="","",INDEX(NOTA[ID],MATCH(,INDIRECT(ADDRESS(ROW(NOTA[ID]),COLUMN(NOTA[ID]))&amp;":"&amp;ADDRESS(ROW(),COLUMN(NOTA[ID]))),-1)))</f>
        <v/>
      </c>
      <c r="C644" s="45"/>
      <c r="F644" s="46"/>
      <c r="G644" s="35"/>
      <c r="H644" s="36"/>
      <c r="I644" s="35"/>
      <c r="K644" s="37"/>
      <c r="L644" s="35"/>
      <c r="N644" s="38"/>
      <c r="O644" s="39"/>
      <c r="P644" s="47"/>
      <c r="Q644" s="48"/>
      <c r="R644" s="41"/>
      <c r="T644" s="42"/>
      <c r="U644" s="44"/>
      <c r="V644" s="42" t="str">
        <f>IF(NOTA[[#This Row],[HARGA/ CTN]]="",NOTA[[#This Row],[JUMLAH_H]],NOTA[[#This Row],[HARGA/ CTN]]*IF(NOTA[[#This Row],[C]]="",0,NOTA[[#This Row],[C]]))</f>
        <v/>
      </c>
      <c r="W644" s="42" t="str">
        <f>IF(NOTA[[#This Row],[JUMLAH]]="","",NOTA[[#This Row],[JUMLAH]]*NOTA[[#This Row],[Column6]])</f>
        <v/>
      </c>
      <c r="X644" s="42" t="str">
        <f>IF(NOTA[[#This Row],[JUMLAH]]="","",(NOTA[[#This Row],[JUMLAH]]-NOTA[[#This Row],[DISC 1-]])*NOTA[[#This Row],[Column7]])</f>
        <v/>
      </c>
      <c r="Y644" s="42" t="str">
        <f>IF(NOTA[[#This Row],[JUMLAH]]="","",(NOTA[[#This Row],[JUMLAH]]-NOTA[[#This Row],[DISC 1-]]-NOTA[[#This Row],[DISC 2-]])*NOTA[[#This Row],[Column8]])</f>
        <v/>
      </c>
      <c r="Z644" s="42" t="str">
        <f>IF(NOTA[[#This Row],[JUMLAH]]="","",NOTA[[#This Row],[DISC 1-]]+NOTA[[#This Row],[DISC 2-]]+NOTA[[#This Row],[DISC 3-]])</f>
        <v/>
      </c>
      <c r="AA644" s="42" t="str">
        <f>IF(NOTA[[#This Row],[JUMLAH]]="","",NOTA[[#This Row],[JUMLAH]]-NOTA[[#This Row],[DISC]])</f>
        <v/>
      </c>
      <c r="AB644" s="42"/>
      <c r="AC6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42" t="str">
        <f>IF(OR(NOTA[[#This Row],[QTY]]="",NOTA[[#This Row],[HARGA SATUAN]]="",),"",NOTA[[#This Row],[QTY]]*NOTA[[#This Row],[HARGA SATUAN]])</f>
        <v/>
      </c>
      <c r="AG644" s="36" t="str">
        <f ca="1">IF(NOTA[[#This Row],[ID_H]]="","",INDEX(NOTA[TANGGAL],MATCH(,INDIRECT(ADDRESS(ROW(NOTA[TANGGAL]),COLUMN(NOTA[TANGGAL]))&amp;":"&amp;ADDRESS(ROW(),COLUMN(NOTA[TANGGAL]))),-1)))</f>
        <v/>
      </c>
      <c r="AH644" s="36" t="str">
        <f ca="1">IF(NOTA[[#This Row],[ID_H]]="","",INDEX(NOTA[TGL.NOTA],MATCH(,INDIRECT(ADDRESS(ROW(NOTA[TGL.NOTA]),COLUMN(NOTA[TGL.NOTA]))&amp;":"&amp;ADDRESS(ROW(),COLUMN(NOTA[TGL.NOTA]))),-1)))</f>
        <v/>
      </c>
      <c r="AI644" s="36" t="str">
        <f ca="1">IF(NOTA[[#This Row],[ID_H]]="","",INDEX(NOTA[NO.NOTA],MATCH(NOTA[[#This Row],[ID_H]],NOTA[ID_H],0)))</f>
        <v/>
      </c>
      <c r="AJ644" s="38" t="str">
        <f ca="1">IF(NOTA[[#This Row],[NAMA BARANG]]="","",INDEX(NOTA[SUPPLIER],MATCH(,INDIRECT(ADDRESS(ROW(NOTA[ID]),COLUMN(NOTA[ID]))&amp;":"&amp;ADDRESS(ROW(),COLUMN(NOTA[ID]))),-1)))</f>
        <v/>
      </c>
      <c r="AK644" s="38" t="str">
        <f ca="1">IF(NOTA[[#This Row],[ID_H]]="","",IF(NOTA[[#This Row],[FAKTUR]]="",INDIRECT(ADDRESS(ROW()-1,COLUMN())),NOTA[[#This Row],[FAKTUR]]))</f>
        <v/>
      </c>
      <c r="AL644" s="35" t="str">
        <f ca="1">IF(NOTA[[#This Row],[ID]]="","",COUNTIF(NOTA[ID_H],NOTA[[#This Row],[ID_H]]))</f>
        <v/>
      </c>
      <c r="AM644" s="35" t="str">
        <f ca="1">IF(NOTA[[#This Row],[TGL.NOTA]]="",IF(NOTA[[#This Row],[SUPPLIER_H]]="","",AM643),MONTH(NOTA[[#This Row],[TGL.NOTA]]))</f>
        <v/>
      </c>
      <c r="AN6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4" s="35" t="str">
        <f>IF(NOTA[[#This Row],[CONCAT1]]="","",MATCH(NOTA[[#This Row],[CONCAT1]],[3]!db[NB NOTA_C],0))</f>
        <v/>
      </c>
      <c r="AS644" s="35" t="str">
        <f>IF(NOTA[[#This Row],[Column5]]="","",TRUE)</f>
        <v/>
      </c>
      <c r="AT644" s="35" t="str">
        <f ca="1">IF(NOTA[[#This Row],[ID_H]]="","",IF(NOTA[[#This Row],[Column3]]=TRUE,NOTA[[#This Row],[Column5]],INDEX([3]!db[QTY/ CTN],NOTA[[#This Row],[//DB]])))</f>
        <v/>
      </c>
      <c r="AU6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4" s="35" t="str">
        <f ca="1">IF(NOTA[[#This Row],[ID_H]]="","",MATCH(NOTA[[#This Row],[NB NOTA_C_QTY]],[3]!db[NB NOTA_C_QTY+F],0))</f>
        <v/>
      </c>
      <c r="AW644" s="43" t="str">
        <f ca="1">IF(NOTA[[#This Row],[NB NOTA_C_QTY]]="","",ROW()-2)</f>
        <v/>
      </c>
    </row>
    <row r="645" spans="1:49" ht="20.100000000000001" customHeight="1">
      <c r="A6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5" t="str">
        <f ca="1">IF(NOTA[[#This Row],[NAMA BARANG]]="","",INDEX(NOTA[ID],MATCH(,INDIRECT(ADDRESS(ROW(NOTA[ID]),COLUMN(NOTA[ID]))&amp;":"&amp;ADDRESS(ROW(),COLUMN(NOTA[ID]))),-1)))</f>
        <v/>
      </c>
      <c r="C645" s="45"/>
      <c r="F645" s="46"/>
      <c r="G645" s="35"/>
      <c r="H645" s="36"/>
      <c r="I645" s="35"/>
      <c r="K645" s="37"/>
      <c r="L645" s="35"/>
      <c r="N645" s="38"/>
      <c r="O645" s="39"/>
      <c r="P645" s="47"/>
      <c r="Q645" s="48"/>
      <c r="R645" s="41"/>
      <c r="T645" s="42"/>
      <c r="U645" s="44"/>
      <c r="V645" s="42" t="str">
        <f>IF(NOTA[[#This Row],[HARGA/ CTN]]="",NOTA[[#This Row],[JUMLAH_H]],NOTA[[#This Row],[HARGA/ CTN]]*IF(NOTA[[#This Row],[C]]="",0,NOTA[[#This Row],[C]]))</f>
        <v/>
      </c>
      <c r="W645" s="42" t="str">
        <f>IF(NOTA[[#This Row],[JUMLAH]]="","",NOTA[[#This Row],[JUMLAH]]*NOTA[[#This Row],[Column6]])</f>
        <v/>
      </c>
      <c r="X645" s="42" t="str">
        <f>IF(NOTA[[#This Row],[JUMLAH]]="","",(NOTA[[#This Row],[JUMLAH]]-NOTA[[#This Row],[DISC 1-]])*NOTA[[#This Row],[Column7]])</f>
        <v/>
      </c>
      <c r="Y645" s="42" t="str">
        <f>IF(NOTA[[#This Row],[JUMLAH]]="","",(NOTA[[#This Row],[JUMLAH]]-NOTA[[#This Row],[DISC 1-]]-NOTA[[#This Row],[DISC 2-]])*NOTA[[#This Row],[Column8]])</f>
        <v/>
      </c>
      <c r="Z645" s="42" t="str">
        <f>IF(NOTA[[#This Row],[JUMLAH]]="","",NOTA[[#This Row],[DISC 1-]]+NOTA[[#This Row],[DISC 2-]]+NOTA[[#This Row],[DISC 3-]])</f>
        <v/>
      </c>
      <c r="AA645" s="42" t="str">
        <f>IF(NOTA[[#This Row],[JUMLAH]]="","",NOTA[[#This Row],[JUMLAH]]-NOTA[[#This Row],[DISC]])</f>
        <v/>
      </c>
      <c r="AB645" s="42"/>
      <c r="AC6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42" t="str">
        <f>IF(OR(NOTA[[#This Row],[QTY]]="",NOTA[[#This Row],[HARGA SATUAN]]="",),"",NOTA[[#This Row],[QTY]]*NOTA[[#This Row],[HARGA SATUAN]])</f>
        <v/>
      </c>
      <c r="AG645" s="36" t="str">
        <f ca="1">IF(NOTA[[#This Row],[ID_H]]="","",INDEX(NOTA[TANGGAL],MATCH(,INDIRECT(ADDRESS(ROW(NOTA[TANGGAL]),COLUMN(NOTA[TANGGAL]))&amp;":"&amp;ADDRESS(ROW(),COLUMN(NOTA[TANGGAL]))),-1)))</f>
        <v/>
      </c>
      <c r="AH645" s="36" t="str">
        <f ca="1">IF(NOTA[[#This Row],[ID_H]]="","",INDEX(NOTA[TGL.NOTA],MATCH(,INDIRECT(ADDRESS(ROW(NOTA[TGL.NOTA]),COLUMN(NOTA[TGL.NOTA]))&amp;":"&amp;ADDRESS(ROW(),COLUMN(NOTA[TGL.NOTA]))),-1)))</f>
        <v/>
      </c>
      <c r="AI645" s="36" t="str">
        <f ca="1">IF(NOTA[[#This Row],[ID_H]]="","",INDEX(NOTA[NO.NOTA],MATCH(NOTA[[#This Row],[ID_H]],NOTA[ID_H],0)))</f>
        <v/>
      </c>
      <c r="AJ645" s="38" t="str">
        <f ca="1">IF(NOTA[[#This Row],[NAMA BARANG]]="","",INDEX(NOTA[SUPPLIER],MATCH(,INDIRECT(ADDRESS(ROW(NOTA[ID]),COLUMN(NOTA[ID]))&amp;":"&amp;ADDRESS(ROW(),COLUMN(NOTA[ID]))),-1)))</f>
        <v/>
      </c>
      <c r="AK645" s="38" t="str">
        <f ca="1">IF(NOTA[[#This Row],[ID_H]]="","",IF(NOTA[[#This Row],[FAKTUR]]="",INDIRECT(ADDRESS(ROW()-1,COLUMN())),NOTA[[#This Row],[FAKTUR]]))</f>
        <v/>
      </c>
      <c r="AL645" s="35" t="str">
        <f ca="1">IF(NOTA[[#This Row],[ID]]="","",COUNTIF(NOTA[ID_H],NOTA[[#This Row],[ID_H]]))</f>
        <v/>
      </c>
      <c r="AM645" s="35" t="str">
        <f ca="1">IF(NOTA[[#This Row],[TGL.NOTA]]="",IF(NOTA[[#This Row],[SUPPLIER_H]]="","",AM644),MONTH(NOTA[[#This Row],[TGL.NOTA]]))</f>
        <v/>
      </c>
      <c r="AN6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5" s="35" t="str">
        <f>IF(NOTA[[#This Row],[CONCAT1]]="","",MATCH(NOTA[[#This Row],[CONCAT1]],[3]!db[NB NOTA_C],0))</f>
        <v/>
      </c>
      <c r="AS645" s="35" t="str">
        <f>IF(NOTA[[#This Row],[Column5]]="","",TRUE)</f>
        <v/>
      </c>
      <c r="AT645" s="35" t="str">
        <f ca="1">IF(NOTA[[#This Row],[ID_H]]="","",IF(NOTA[[#This Row],[Column3]]=TRUE,NOTA[[#This Row],[Column5]],INDEX([3]!db[QTY/ CTN],NOTA[[#This Row],[//DB]])))</f>
        <v/>
      </c>
      <c r="AU6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5" s="35" t="str">
        <f ca="1">IF(NOTA[[#This Row],[ID_H]]="","",MATCH(NOTA[[#This Row],[NB NOTA_C_QTY]],[3]!db[NB NOTA_C_QTY+F],0))</f>
        <v/>
      </c>
      <c r="AW645" s="43" t="str">
        <f ca="1">IF(NOTA[[#This Row],[NB NOTA_C_QTY]]="","",ROW()-2)</f>
        <v/>
      </c>
    </row>
    <row r="646" spans="1:49" ht="20.100000000000001" customHeight="1">
      <c r="A6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5" t="str">
        <f ca="1">IF(NOTA[[#This Row],[NAMA BARANG]]="","",INDEX(NOTA[ID],MATCH(,INDIRECT(ADDRESS(ROW(NOTA[ID]),COLUMN(NOTA[ID]))&amp;":"&amp;ADDRESS(ROW(),COLUMN(NOTA[ID]))),-1)))</f>
        <v/>
      </c>
      <c r="C646" s="45"/>
      <c r="F646" s="46"/>
      <c r="G646" s="35"/>
      <c r="H646" s="36"/>
      <c r="I646" s="35"/>
      <c r="K646" s="37"/>
      <c r="L646" s="35"/>
      <c r="N646" s="38"/>
      <c r="O646" s="39"/>
      <c r="P646" s="47"/>
      <c r="Q646" s="48"/>
      <c r="R646" s="41"/>
      <c r="T646" s="42"/>
      <c r="U646" s="44"/>
      <c r="V646" s="42" t="str">
        <f>IF(NOTA[[#This Row],[HARGA/ CTN]]="",NOTA[[#This Row],[JUMLAH_H]],NOTA[[#This Row],[HARGA/ CTN]]*IF(NOTA[[#This Row],[C]]="",0,NOTA[[#This Row],[C]]))</f>
        <v/>
      </c>
      <c r="W646" s="42" t="str">
        <f>IF(NOTA[[#This Row],[JUMLAH]]="","",NOTA[[#This Row],[JUMLAH]]*NOTA[[#This Row],[Column6]])</f>
        <v/>
      </c>
      <c r="X646" s="42" t="str">
        <f>IF(NOTA[[#This Row],[JUMLAH]]="","",(NOTA[[#This Row],[JUMLAH]]-NOTA[[#This Row],[DISC 1-]])*NOTA[[#This Row],[Column7]])</f>
        <v/>
      </c>
      <c r="Y646" s="42" t="str">
        <f>IF(NOTA[[#This Row],[JUMLAH]]="","",(NOTA[[#This Row],[JUMLAH]]-NOTA[[#This Row],[DISC 1-]]-NOTA[[#This Row],[DISC 2-]])*NOTA[[#This Row],[Column8]])</f>
        <v/>
      </c>
      <c r="Z646" s="42" t="str">
        <f>IF(NOTA[[#This Row],[JUMLAH]]="","",NOTA[[#This Row],[DISC 1-]]+NOTA[[#This Row],[DISC 2-]]+NOTA[[#This Row],[DISC 3-]])</f>
        <v/>
      </c>
      <c r="AA646" s="42" t="str">
        <f>IF(NOTA[[#This Row],[JUMLAH]]="","",NOTA[[#This Row],[JUMLAH]]-NOTA[[#This Row],[DISC]])</f>
        <v/>
      </c>
      <c r="AB646" s="42"/>
      <c r="AC6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42" t="str">
        <f>IF(OR(NOTA[[#This Row],[QTY]]="",NOTA[[#This Row],[HARGA SATUAN]]="",),"",NOTA[[#This Row],[QTY]]*NOTA[[#This Row],[HARGA SATUAN]])</f>
        <v/>
      </c>
      <c r="AG646" s="36" t="str">
        <f ca="1">IF(NOTA[[#This Row],[ID_H]]="","",INDEX(NOTA[TANGGAL],MATCH(,INDIRECT(ADDRESS(ROW(NOTA[TANGGAL]),COLUMN(NOTA[TANGGAL]))&amp;":"&amp;ADDRESS(ROW(),COLUMN(NOTA[TANGGAL]))),-1)))</f>
        <v/>
      </c>
      <c r="AH646" s="36" t="str">
        <f ca="1">IF(NOTA[[#This Row],[ID_H]]="","",INDEX(NOTA[TGL.NOTA],MATCH(,INDIRECT(ADDRESS(ROW(NOTA[TGL.NOTA]),COLUMN(NOTA[TGL.NOTA]))&amp;":"&amp;ADDRESS(ROW(),COLUMN(NOTA[TGL.NOTA]))),-1)))</f>
        <v/>
      </c>
      <c r="AI646" s="36" t="str">
        <f ca="1">IF(NOTA[[#This Row],[ID_H]]="","",INDEX(NOTA[NO.NOTA],MATCH(NOTA[[#This Row],[ID_H]],NOTA[ID_H],0)))</f>
        <v/>
      </c>
      <c r="AJ646" s="38" t="str">
        <f ca="1">IF(NOTA[[#This Row],[NAMA BARANG]]="","",INDEX(NOTA[SUPPLIER],MATCH(,INDIRECT(ADDRESS(ROW(NOTA[ID]),COLUMN(NOTA[ID]))&amp;":"&amp;ADDRESS(ROW(),COLUMN(NOTA[ID]))),-1)))</f>
        <v/>
      </c>
      <c r="AK646" s="38" t="str">
        <f ca="1">IF(NOTA[[#This Row],[ID_H]]="","",IF(NOTA[[#This Row],[FAKTUR]]="",INDIRECT(ADDRESS(ROW()-1,COLUMN())),NOTA[[#This Row],[FAKTUR]]))</f>
        <v/>
      </c>
      <c r="AL646" s="35" t="str">
        <f ca="1">IF(NOTA[[#This Row],[ID]]="","",COUNTIF(NOTA[ID_H],NOTA[[#This Row],[ID_H]]))</f>
        <v/>
      </c>
      <c r="AM646" s="35" t="str">
        <f ca="1">IF(NOTA[[#This Row],[TGL.NOTA]]="",IF(NOTA[[#This Row],[SUPPLIER_H]]="","",AM645),MONTH(NOTA[[#This Row],[TGL.NOTA]]))</f>
        <v/>
      </c>
      <c r="AN6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6" s="35" t="str">
        <f>IF(NOTA[[#This Row],[CONCAT1]]="","",MATCH(NOTA[[#This Row],[CONCAT1]],[3]!db[NB NOTA_C],0))</f>
        <v/>
      </c>
      <c r="AS646" s="35" t="str">
        <f>IF(NOTA[[#This Row],[Column5]]="","",TRUE)</f>
        <v/>
      </c>
      <c r="AT646" s="35" t="str">
        <f ca="1">IF(NOTA[[#This Row],[ID_H]]="","",IF(NOTA[[#This Row],[Column3]]=TRUE,NOTA[[#This Row],[Column5]],INDEX([3]!db[QTY/ CTN],NOTA[[#This Row],[//DB]])))</f>
        <v/>
      </c>
      <c r="AU6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6" s="35" t="str">
        <f ca="1">IF(NOTA[[#This Row],[ID_H]]="","",MATCH(NOTA[[#This Row],[NB NOTA_C_QTY]],[3]!db[NB NOTA_C_QTY+F],0))</f>
        <v/>
      </c>
      <c r="AW646" s="43" t="str">
        <f ca="1">IF(NOTA[[#This Row],[NB NOTA_C_QTY]]="","",ROW()-2)</f>
        <v/>
      </c>
    </row>
    <row r="647" spans="1:49" ht="20.100000000000001" customHeight="1">
      <c r="A6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5" t="str">
        <f ca="1">IF(NOTA[[#This Row],[NAMA BARANG]]="","",INDEX(NOTA[ID],MATCH(,INDIRECT(ADDRESS(ROW(NOTA[ID]),COLUMN(NOTA[ID]))&amp;":"&amp;ADDRESS(ROW(),COLUMN(NOTA[ID]))),-1)))</f>
        <v/>
      </c>
      <c r="C647" s="45"/>
      <c r="F647" s="46"/>
      <c r="G647" s="35"/>
      <c r="H647" s="36"/>
      <c r="I647" s="35"/>
      <c r="K647" s="37"/>
      <c r="L647" s="35"/>
      <c r="N647" s="38"/>
      <c r="O647" s="39"/>
      <c r="P647" s="47"/>
      <c r="Q647" s="48"/>
      <c r="R647" s="41"/>
      <c r="T647" s="42"/>
      <c r="U647" s="44"/>
      <c r="V647" s="42" t="str">
        <f>IF(NOTA[[#This Row],[HARGA/ CTN]]="",NOTA[[#This Row],[JUMLAH_H]],NOTA[[#This Row],[HARGA/ CTN]]*IF(NOTA[[#This Row],[C]]="",0,NOTA[[#This Row],[C]]))</f>
        <v/>
      </c>
      <c r="W647" s="42" t="str">
        <f>IF(NOTA[[#This Row],[JUMLAH]]="","",NOTA[[#This Row],[JUMLAH]]*NOTA[[#This Row],[Column6]])</f>
        <v/>
      </c>
      <c r="X647" s="42" t="str">
        <f>IF(NOTA[[#This Row],[JUMLAH]]="","",(NOTA[[#This Row],[JUMLAH]]-NOTA[[#This Row],[DISC 1-]])*NOTA[[#This Row],[Column7]])</f>
        <v/>
      </c>
      <c r="Y647" s="42" t="str">
        <f>IF(NOTA[[#This Row],[JUMLAH]]="","",(NOTA[[#This Row],[JUMLAH]]-NOTA[[#This Row],[DISC 1-]]-NOTA[[#This Row],[DISC 2-]])*NOTA[[#This Row],[Column8]])</f>
        <v/>
      </c>
      <c r="Z647" s="42" t="str">
        <f>IF(NOTA[[#This Row],[JUMLAH]]="","",NOTA[[#This Row],[DISC 1-]]+NOTA[[#This Row],[DISC 2-]]+NOTA[[#This Row],[DISC 3-]])</f>
        <v/>
      </c>
      <c r="AA647" s="42" t="str">
        <f>IF(NOTA[[#This Row],[JUMLAH]]="","",NOTA[[#This Row],[JUMLAH]]-NOTA[[#This Row],[DISC]])</f>
        <v/>
      </c>
      <c r="AB647" s="42"/>
      <c r="AC6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42" t="str">
        <f>IF(OR(NOTA[[#This Row],[QTY]]="",NOTA[[#This Row],[HARGA SATUAN]]="",),"",NOTA[[#This Row],[QTY]]*NOTA[[#This Row],[HARGA SATUAN]])</f>
        <v/>
      </c>
      <c r="AG647" s="36" t="str">
        <f ca="1">IF(NOTA[[#This Row],[ID_H]]="","",INDEX(NOTA[TANGGAL],MATCH(,INDIRECT(ADDRESS(ROW(NOTA[TANGGAL]),COLUMN(NOTA[TANGGAL]))&amp;":"&amp;ADDRESS(ROW(),COLUMN(NOTA[TANGGAL]))),-1)))</f>
        <v/>
      </c>
      <c r="AH647" s="36" t="str">
        <f ca="1">IF(NOTA[[#This Row],[ID_H]]="","",INDEX(NOTA[TGL.NOTA],MATCH(,INDIRECT(ADDRESS(ROW(NOTA[TGL.NOTA]),COLUMN(NOTA[TGL.NOTA]))&amp;":"&amp;ADDRESS(ROW(),COLUMN(NOTA[TGL.NOTA]))),-1)))</f>
        <v/>
      </c>
      <c r="AI647" s="36" t="str">
        <f ca="1">IF(NOTA[[#This Row],[ID_H]]="","",INDEX(NOTA[NO.NOTA],MATCH(NOTA[[#This Row],[ID_H]],NOTA[ID_H],0)))</f>
        <v/>
      </c>
      <c r="AJ647" s="38" t="str">
        <f ca="1">IF(NOTA[[#This Row],[NAMA BARANG]]="","",INDEX(NOTA[SUPPLIER],MATCH(,INDIRECT(ADDRESS(ROW(NOTA[ID]),COLUMN(NOTA[ID]))&amp;":"&amp;ADDRESS(ROW(),COLUMN(NOTA[ID]))),-1)))</f>
        <v/>
      </c>
      <c r="AK647" s="38" t="str">
        <f ca="1">IF(NOTA[[#This Row],[ID_H]]="","",IF(NOTA[[#This Row],[FAKTUR]]="",INDIRECT(ADDRESS(ROW()-1,COLUMN())),NOTA[[#This Row],[FAKTUR]]))</f>
        <v/>
      </c>
      <c r="AL647" s="35" t="str">
        <f ca="1">IF(NOTA[[#This Row],[ID]]="","",COUNTIF(NOTA[ID_H],NOTA[[#This Row],[ID_H]]))</f>
        <v/>
      </c>
      <c r="AM647" s="35" t="str">
        <f ca="1">IF(NOTA[[#This Row],[TGL.NOTA]]="",IF(NOTA[[#This Row],[SUPPLIER_H]]="","",AM646),MONTH(NOTA[[#This Row],[TGL.NOTA]]))</f>
        <v/>
      </c>
      <c r="AN6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7" s="35" t="str">
        <f>IF(NOTA[[#This Row],[CONCAT1]]="","",MATCH(NOTA[[#This Row],[CONCAT1]],[3]!db[NB NOTA_C],0))</f>
        <v/>
      </c>
      <c r="AS647" s="35" t="str">
        <f>IF(NOTA[[#This Row],[Column5]]="","",TRUE)</f>
        <v/>
      </c>
      <c r="AT647" s="35" t="str">
        <f ca="1">IF(NOTA[[#This Row],[ID_H]]="","",IF(NOTA[[#This Row],[Column3]]=TRUE,NOTA[[#This Row],[Column5]],INDEX([3]!db[QTY/ CTN],NOTA[[#This Row],[//DB]])))</f>
        <v/>
      </c>
      <c r="AU6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7" s="35" t="str">
        <f ca="1">IF(NOTA[[#This Row],[ID_H]]="","",MATCH(NOTA[[#This Row],[NB NOTA_C_QTY]],[3]!db[NB NOTA_C_QTY+F],0))</f>
        <v/>
      </c>
      <c r="AW647" s="43" t="str">
        <f ca="1">IF(NOTA[[#This Row],[NB NOTA_C_QTY]]="","",ROW()-2)</f>
        <v/>
      </c>
    </row>
    <row r="648" spans="1:49" ht="20.100000000000001" customHeight="1">
      <c r="A6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5" t="str">
        <f ca="1">IF(NOTA[[#This Row],[NAMA BARANG]]="","",INDEX(NOTA[ID],MATCH(,INDIRECT(ADDRESS(ROW(NOTA[ID]),COLUMN(NOTA[ID]))&amp;":"&amp;ADDRESS(ROW(),COLUMN(NOTA[ID]))),-1)))</f>
        <v/>
      </c>
      <c r="C648" s="45"/>
      <c r="F648" s="46"/>
      <c r="G648" s="35"/>
      <c r="H648" s="36"/>
      <c r="I648" s="35"/>
      <c r="K648" s="37"/>
      <c r="L648" s="35"/>
      <c r="N648" s="38"/>
      <c r="O648" s="39"/>
      <c r="P648" s="47"/>
      <c r="Q648" s="48"/>
      <c r="R648" s="41"/>
      <c r="T648" s="42"/>
      <c r="U648" s="44"/>
      <c r="V648" s="42" t="str">
        <f>IF(NOTA[[#This Row],[HARGA/ CTN]]="",NOTA[[#This Row],[JUMLAH_H]],NOTA[[#This Row],[HARGA/ CTN]]*IF(NOTA[[#This Row],[C]]="",0,NOTA[[#This Row],[C]]))</f>
        <v/>
      </c>
      <c r="W648" s="42" t="str">
        <f>IF(NOTA[[#This Row],[JUMLAH]]="","",NOTA[[#This Row],[JUMLAH]]*NOTA[[#This Row],[Column6]])</f>
        <v/>
      </c>
      <c r="X648" s="42" t="str">
        <f>IF(NOTA[[#This Row],[JUMLAH]]="","",(NOTA[[#This Row],[JUMLAH]]-NOTA[[#This Row],[DISC 1-]])*NOTA[[#This Row],[Column7]])</f>
        <v/>
      </c>
      <c r="Y648" s="42" t="str">
        <f>IF(NOTA[[#This Row],[JUMLAH]]="","",(NOTA[[#This Row],[JUMLAH]]-NOTA[[#This Row],[DISC 1-]]-NOTA[[#This Row],[DISC 2-]])*NOTA[[#This Row],[Column8]])</f>
        <v/>
      </c>
      <c r="Z648" s="42" t="str">
        <f>IF(NOTA[[#This Row],[JUMLAH]]="","",NOTA[[#This Row],[DISC 1-]]+NOTA[[#This Row],[DISC 2-]]+NOTA[[#This Row],[DISC 3-]])</f>
        <v/>
      </c>
      <c r="AA648" s="42" t="str">
        <f>IF(NOTA[[#This Row],[JUMLAH]]="","",NOTA[[#This Row],[JUMLAH]]-NOTA[[#This Row],[DISC]])</f>
        <v/>
      </c>
      <c r="AB648" s="42"/>
      <c r="AC6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42" t="str">
        <f>IF(OR(NOTA[[#This Row],[QTY]]="",NOTA[[#This Row],[HARGA SATUAN]]="",),"",NOTA[[#This Row],[QTY]]*NOTA[[#This Row],[HARGA SATUAN]])</f>
        <v/>
      </c>
      <c r="AG648" s="36" t="str">
        <f ca="1">IF(NOTA[[#This Row],[ID_H]]="","",INDEX(NOTA[TANGGAL],MATCH(,INDIRECT(ADDRESS(ROW(NOTA[TANGGAL]),COLUMN(NOTA[TANGGAL]))&amp;":"&amp;ADDRESS(ROW(),COLUMN(NOTA[TANGGAL]))),-1)))</f>
        <v/>
      </c>
      <c r="AH648" s="36" t="str">
        <f ca="1">IF(NOTA[[#This Row],[ID_H]]="","",INDEX(NOTA[TGL.NOTA],MATCH(,INDIRECT(ADDRESS(ROW(NOTA[TGL.NOTA]),COLUMN(NOTA[TGL.NOTA]))&amp;":"&amp;ADDRESS(ROW(),COLUMN(NOTA[TGL.NOTA]))),-1)))</f>
        <v/>
      </c>
      <c r="AI648" s="36" t="str">
        <f ca="1">IF(NOTA[[#This Row],[ID_H]]="","",INDEX(NOTA[NO.NOTA],MATCH(NOTA[[#This Row],[ID_H]],NOTA[ID_H],0)))</f>
        <v/>
      </c>
      <c r="AJ648" s="38" t="str">
        <f ca="1">IF(NOTA[[#This Row],[NAMA BARANG]]="","",INDEX(NOTA[SUPPLIER],MATCH(,INDIRECT(ADDRESS(ROW(NOTA[ID]),COLUMN(NOTA[ID]))&amp;":"&amp;ADDRESS(ROW(),COLUMN(NOTA[ID]))),-1)))</f>
        <v/>
      </c>
      <c r="AK648" s="38" t="str">
        <f ca="1">IF(NOTA[[#This Row],[ID_H]]="","",IF(NOTA[[#This Row],[FAKTUR]]="",INDIRECT(ADDRESS(ROW()-1,COLUMN())),NOTA[[#This Row],[FAKTUR]]))</f>
        <v/>
      </c>
      <c r="AL648" s="35" t="str">
        <f ca="1">IF(NOTA[[#This Row],[ID]]="","",COUNTIF(NOTA[ID_H],NOTA[[#This Row],[ID_H]]))</f>
        <v/>
      </c>
      <c r="AM648" s="35" t="str">
        <f ca="1">IF(NOTA[[#This Row],[TGL.NOTA]]="",IF(NOTA[[#This Row],[SUPPLIER_H]]="","",AM647),MONTH(NOTA[[#This Row],[TGL.NOTA]]))</f>
        <v/>
      </c>
      <c r="AN6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8" s="35" t="str">
        <f>IF(NOTA[[#This Row],[CONCAT1]]="","",MATCH(NOTA[[#This Row],[CONCAT1]],[3]!db[NB NOTA_C],0))</f>
        <v/>
      </c>
      <c r="AS648" s="35" t="str">
        <f>IF(NOTA[[#This Row],[Column5]]="","",TRUE)</f>
        <v/>
      </c>
      <c r="AT648" s="35" t="str">
        <f ca="1">IF(NOTA[[#This Row],[ID_H]]="","",IF(NOTA[[#This Row],[Column3]]=TRUE,NOTA[[#This Row],[Column5]],INDEX([3]!db[QTY/ CTN],NOTA[[#This Row],[//DB]])))</f>
        <v/>
      </c>
      <c r="AU6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8" s="35" t="str">
        <f ca="1">IF(NOTA[[#This Row],[ID_H]]="","",MATCH(NOTA[[#This Row],[NB NOTA_C_QTY]],[3]!db[NB NOTA_C_QTY+F],0))</f>
        <v/>
      </c>
      <c r="AW648" s="43" t="str">
        <f ca="1">IF(NOTA[[#This Row],[NB NOTA_C_QTY]]="","",ROW()-2)</f>
        <v/>
      </c>
    </row>
    <row r="649" spans="1:49" ht="20.100000000000001" customHeight="1">
      <c r="A6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5" t="str">
        <f ca="1">IF(NOTA[[#This Row],[NAMA BARANG]]="","",INDEX(NOTA[ID],MATCH(,INDIRECT(ADDRESS(ROW(NOTA[ID]),COLUMN(NOTA[ID]))&amp;":"&amp;ADDRESS(ROW(),COLUMN(NOTA[ID]))),-1)))</f>
        <v/>
      </c>
      <c r="C649" s="45"/>
      <c r="F649" s="46"/>
      <c r="G649" s="35"/>
      <c r="H649" s="36"/>
      <c r="I649" s="35"/>
      <c r="K649" s="37"/>
      <c r="L649" s="35"/>
      <c r="N649" s="38"/>
      <c r="O649" s="39"/>
      <c r="P649" s="47"/>
      <c r="Q649" s="48"/>
      <c r="R649" s="41"/>
      <c r="T649" s="42"/>
      <c r="U649" s="44"/>
      <c r="V649" s="42" t="str">
        <f>IF(NOTA[[#This Row],[HARGA/ CTN]]="",NOTA[[#This Row],[JUMLAH_H]],NOTA[[#This Row],[HARGA/ CTN]]*IF(NOTA[[#This Row],[C]]="",0,NOTA[[#This Row],[C]]))</f>
        <v/>
      </c>
      <c r="W649" s="42" t="str">
        <f>IF(NOTA[[#This Row],[JUMLAH]]="","",NOTA[[#This Row],[JUMLAH]]*NOTA[[#This Row],[Column6]])</f>
        <v/>
      </c>
      <c r="X649" s="42" t="str">
        <f>IF(NOTA[[#This Row],[JUMLAH]]="","",(NOTA[[#This Row],[JUMLAH]]-NOTA[[#This Row],[DISC 1-]])*NOTA[[#This Row],[Column7]])</f>
        <v/>
      </c>
      <c r="Y649" s="42" t="str">
        <f>IF(NOTA[[#This Row],[JUMLAH]]="","",(NOTA[[#This Row],[JUMLAH]]-NOTA[[#This Row],[DISC 1-]]-NOTA[[#This Row],[DISC 2-]])*NOTA[[#This Row],[Column8]])</f>
        <v/>
      </c>
      <c r="Z649" s="42" t="str">
        <f>IF(NOTA[[#This Row],[JUMLAH]]="","",NOTA[[#This Row],[DISC 1-]]+NOTA[[#This Row],[DISC 2-]]+NOTA[[#This Row],[DISC 3-]])</f>
        <v/>
      </c>
      <c r="AA649" s="42" t="str">
        <f>IF(NOTA[[#This Row],[JUMLAH]]="","",NOTA[[#This Row],[JUMLAH]]-NOTA[[#This Row],[DISC]])</f>
        <v/>
      </c>
      <c r="AB649" s="42"/>
      <c r="AC6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42" t="str">
        <f>IF(OR(NOTA[[#This Row],[QTY]]="",NOTA[[#This Row],[HARGA SATUAN]]="",),"",NOTA[[#This Row],[QTY]]*NOTA[[#This Row],[HARGA SATUAN]])</f>
        <v/>
      </c>
      <c r="AG649" s="36" t="str">
        <f ca="1">IF(NOTA[[#This Row],[ID_H]]="","",INDEX(NOTA[TANGGAL],MATCH(,INDIRECT(ADDRESS(ROW(NOTA[TANGGAL]),COLUMN(NOTA[TANGGAL]))&amp;":"&amp;ADDRESS(ROW(),COLUMN(NOTA[TANGGAL]))),-1)))</f>
        <v/>
      </c>
      <c r="AH649" s="36" t="str">
        <f ca="1">IF(NOTA[[#This Row],[ID_H]]="","",INDEX(NOTA[TGL.NOTA],MATCH(,INDIRECT(ADDRESS(ROW(NOTA[TGL.NOTA]),COLUMN(NOTA[TGL.NOTA]))&amp;":"&amp;ADDRESS(ROW(),COLUMN(NOTA[TGL.NOTA]))),-1)))</f>
        <v/>
      </c>
      <c r="AI649" s="36" t="str">
        <f ca="1">IF(NOTA[[#This Row],[ID_H]]="","",INDEX(NOTA[NO.NOTA],MATCH(NOTA[[#This Row],[ID_H]],NOTA[ID_H],0)))</f>
        <v/>
      </c>
      <c r="AJ649" s="38" t="str">
        <f ca="1">IF(NOTA[[#This Row],[NAMA BARANG]]="","",INDEX(NOTA[SUPPLIER],MATCH(,INDIRECT(ADDRESS(ROW(NOTA[ID]),COLUMN(NOTA[ID]))&amp;":"&amp;ADDRESS(ROW(),COLUMN(NOTA[ID]))),-1)))</f>
        <v/>
      </c>
      <c r="AK649" s="38" t="str">
        <f ca="1">IF(NOTA[[#This Row],[ID_H]]="","",IF(NOTA[[#This Row],[FAKTUR]]="",INDIRECT(ADDRESS(ROW()-1,COLUMN())),NOTA[[#This Row],[FAKTUR]]))</f>
        <v/>
      </c>
      <c r="AL649" s="35" t="str">
        <f ca="1">IF(NOTA[[#This Row],[ID]]="","",COUNTIF(NOTA[ID_H],NOTA[[#This Row],[ID_H]]))</f>
        <v/>
      </c>
      <c r="AM649" s="35" t="str">
        <f ca="1">IF(NOTA[[#This Row],[TGL.NOTA]]="",IF(NOTA[[#This Row],[SUPPLIER_H]]="","",AM648),MONTH(NOTA[[#This Row],[TGL.NOTA]]))</f>
        <v/>
      </c>
      <c r="AN6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9" s="35" t="str">
        <f>IF(NOTA[[#This Row],[CONCAT1]]="","",MATCH(NOTA[[#This Row],[CONCAT1]],[3]!db[NB NOTA_C],0))</f>
        <v/>
      </c>
      <c r="AS649" s="35" t="str">
        <f>IF(NOTA[[#This Row],[Column5]]="","",TRUE)</f>
        <v/>
      </c>
      <c r="AT649" s="35" t="str">
        <f ca="1">IF(NOTA[[#This Row],[ID_H]]="","",IF(NOTA[[#This Row],[Column3]]=TRUE,NOTA[[#This Row],[Column5]],INDEX([3]!db[QTY/ CTN],NOTA[[#This Row],[//DB]])))</f>
        <v/>
      </c>
      <c r="AU6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49" s="35" t="str">
        <f ca="1">IF(NOTA[[#This Row],[ID_H]]="","",MATCH(NOTA[[#This Row],[NB NOTA_C_QTY]],[3]!db[NB NOTA_C_QTY+F],0))</f>
        <v/>
      </c>
      <c r="AW649" s="43" t="str">
        <f ca="1">IF(NOTA[[#This Row],[NB NOTA_C_QTY]]="","",ROW()-2)</f>
        <v/>
      </c>
    </row>
    <row r="650" spans="1:49" ht="20.100000000000001" customHeight="1">
      <c r="A6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5" t="str">
        <f ca="1">IF(NOTA[[#This Row],[NAMA BARANG]]="","",INDEX(NOTA[ID],MATCH(,INDIRECT(ADDRESS(ROW(NOTA[ID]),COLUMN(NOTA[ID]))&amp;":"&amp;ADDRESS(ROW(),COLUMN(NOTA[ID]))),-1)))</f>
        <v/>
      </c>
      <c r="C650" s="45"/>
      <c r="F650" s="46"/>
      <c r="G650" s="35"/>
      <c r="H650" s="36"/>
      <c r="I650" s="35"/>
      <c r="K650" s="37"/>
      <c r="L650" s="35"/>
      <c r="N650" s="38"/>
      <c r="O650" s="39"/>
      <c r="P650" s="47"/>
      <c r="Q650" s="48"/>
      <c r="R650" s="41"/>
      <c r="T650" s="42"/>
      <c r="U650" s="44"/>
      <c r="V650" s="42" t="str">
        <f>IF(NOTA[[#This Row],[HARGA/ CTN]]="",NOTA[[#This Row],[JUMLAH_H]],NOTA[[#This Row],[HARGA/ CTN]]*IF(NOTA[[#This Row],[C]]="",0,NOTA[[#This Row],[C]]))</f>
        <v/>
      </c>
      <c r="W650" s="42" t="str">
        <f>IF(NOTA[[#This Row],[JUMLAH]]="","",NOTA[[#This Row],[JUMLAH]]*NOTA[[#This Row],[Column6]])</f>
        <v/>
      </c>
      <c r="X650" s="42" t="str">
        <f>IF(NOTA[[#This Row],[JUMLAH]]="","",(NOTA[[#This Row],[JUMLAH]]-NOTA[[#This Row],[DISC 1-]])*NOTA[[#This Row],[Column7]])</f>
        <v/>
      </c>
      <c r="Y650" s="42" t="str">
        <f>IF(NOTA[[#This Row],[JUMLAH]]="","",(NOTA[[#This Row],[JUMLAH]]-NOTA[[#This Row],[DISC 1-]]-NOTA[[#This Row],[DISC 2-]])*NOTA[[#This Row],[Column8]])</f>
        <v/>
      </c>
      <c r="Z650" s="42" t="str">
        <f>IF(NOTA[[#This Row],[JUMLAH]]="","",NOTA[[#This Row],[DISC 1-]]+NOTA[[#This Row],[DISC 2-]]+NOTA[[#This Row],[DISC 3-]])</f>
        <v/>
      </c>
      <c r="AA650" s="42" t="str">
        <f>IF(NOTA[[#This Row],[JUMLAH]]="","",NOTA[[#This Row],[JUMLAH]]-NOTA[[#This Row],[DISC]])</f>
        <v/>
      </c>
      <c r="AB650" s="42"/>
      <c r="AC6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42" t="str">
        <f>IF(OR(NOTA[[#This Row],[QTY]]="",NOTA[[#This Row],[HARGA SATUAN]]="",),"",NOTA[[#This Row],[QTY]]*NOTA[[#This Row],[HARGA SATUAN]])</f>
        <v/>
      </c>
      <c r="AG650" s="36" t="str">
        <f ca="1">IF(NOTA[[#This Row],[ID_H]]="","",INDEX(NOTA[TANGGAL],MATCH(,INDIRECT(ADDRESS(ROW(NOTA[TANGGAL]),COLUMN(NOTA[TANGGAL]))&amp;":"&amp;ADDRESS(ROW(),COLUMN(NOTA[TANGGAL]))),-1)))</f>
        <v/>
      </c>
      <c r="AH650" s="36" t="str">
        <f ca="1">IF(NOTA[[#This Row],[ID_H]]="","",INDEX(NOTA[TGL.NOTA],MATCH(,INDIRECT(ADDRESS(ROW(NOTA[TGL.NOTA]),COLUMN(NOTA[TGL.NOTA]))&amp;":"&amp;ADDRESS(ROW(),COLUMN(NOTA[TGL.NOTA]))),-1)))</f>
        <v/>
      </c>
      <c r="AI650" s="36" t="str">
        <f ca="1">IF(NOTA[[#This Row],[ID_H]]="","",INDEX(NOTA[NO.NOTA],MATCH(NOTA[[#This Row],[ID_H]],NOTA[ID_H],0)))</f>
        <v/>
      </c>
      <c r="AJ650" s="38" t="str">
        <f ca="1">IF(NOTA[[#This Row],[NAMA BARANG]]="","",INDEX(NOTA[SUPPLIER],MATCH(,INDIRECT(ADDRESS(ROW(NOTA[ID]),COLUMN(NOTA[ID]))&amp;":"&amp;ADDRESS(ROW(),COLUMN(NOTA[ID]))),-1)))</f>
        <v/>
      </c>
      <c r="AK650" s="38" t="str">
        <f ca="1">IF(NOTA[[#This Row],[ID_H]]="","",IF(NOTA[[#This Row],[FAKTUR]]="",INDIRECT(ADDRESS(ROW()-1,COLUMN())),NOTA[[#This Row],[FAKTUR]]))</f>
        <v/>
      </c>
      <c r="AL650" s="35" t="str">
        <f ca="1">IF(NOTA[[#This Row],[ID]]="","",COUNTIF(NOTA[ID_H],NOTA[[#This Row],[ID_H]]))</f>
        <v/>
      </c>
      <c r="AM650" s="35" t="str">
        <f ca="1">IF(NOTA[[#This Row],[TGL.NOTA]]="",IF(NOTA[[#This Row],[SUPPLIER_H]]="","",AM649),MONTH(NOTA[[#This Row],[TGL.NOTA]]))</f>
        <v/>
      </c>
      <c r="AN6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0" s="35" t="str">
        <f>IF(NOTA[[#This Row],[CONCAT1]]="","",MATCH(NOTA[[#This Row],[CONCAT1]],[3]!db[NB NOTA_C],0))</f>
        <v/>
      </c>
      <c r="AS650" s="35" t="str">
        <f>IF(NOTA[[#This Row],[Column5]]="","",TRUE)</f>
        <v/>
      </c>
      <c r="AT650" s="35" t="str">
        <f ca="1">IF(NOTA[[#This Row],[ID_H]]="","",IF(NOTA[[#This Row],[Column3]]=TRUE,NOTA[[#This Row],[Column5]],INDEX([3]!db[QTY/ CTN],NOTA[[#This Row],[//DB]])))</f>
        <v/>
      </c>
      <c r="AU6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0" s="35" t="str">
        <f ca="1">IF(NOTA[[#This Row],[ID_H]]="","",MATCH(NOTA[[#This Row],[NB NOTA_C_QTY]],[3]!db[NB NOTA_C_QTY+F],0))</f>
        <v/>
      </c>
      <c r="AW650" s="43" t="str">
        <f ca="1">IF(NOTA[[#This Row],[NB NOTA_C_QTY]]="","",ROW()-2)</f>
        <v/>
      </c>
    </row>
    <row r="651" spans="1:49" ht="20.100000000000001" customHeight="1">
      <c r="A6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5" t="str">
        <f ca="1">IF(NOTA[[#This Row],[NAMA BARANG]]="","",INDEX(NOTA[ID],MATCH(,INDIRECT(ADDRESS(ROW(NOTA[ID]),COLUMN(NOTA[ID]))&amp;":"&amp;ADDRESS(ROW(),COLUMN(NOTA[ID]))),-1)))</f>
        <v/>
      </c>
      <c r="C651" s="45"/>
      <c r="F651" s="46"/>
      <c r="G651" s="35"/>
      <c r="H651" s="36"/>
      <c r="I651" s="35"/>
      <c r="K651" s="37"/>
      <c r="L651" s="35"/>
      <c r="N651" s="38"/>
      <c r="O651" s="39"/>
      <c r="P651" s="47"/>
      <c r="Q651" s="48"/>
      <c r="R651" s="41"/>
      <c r="T651" s="42"/>
      <c r="U651" s="44"/>
      <c r="V651" s="42" t="str">
        <f>IF(NOTA[[#This Row],[HARGA/ CTN]]="",NOTA[[#This Row],[JUMLAH_H]],NOTA[[#This Row],[HARGA/ CTN]]*IF(NOTA[[#This Row],[C]]="",0,NOTA[[#This Row],[C]]))</f>
        <v/>
      </c>
      <c r="W651" s="42" t="str">
        <f>IF(NOTA[[#This Row],[JUMLAH]]="","",NOTA[[#This Row],[JUMLAH]]*NOTA[[#This Row],[Column6]])</f>
        <v/>
      </c>
      <c r="X651" s="42" t="str">
        <f>IF(NOTA[[#This Row],[JUMLAH]]="","",(NOTA[[#This Row],[JUMLAH]]-NOTA[[#This Row],[DISC 1-]])*NOTA[[#This Row],[Column7]])</f>
        <v/>
      </c>
      <c r="Y651" s="42" t="str">
        <f>IF(NOTA[[#This Row],[JUMLAH]]="","",(NOTA[[#This Row],[JUMLAH]]-NOTA[[#This Row],[DISC 1-]]-NOTA[[#This Row],[DISC 2-]])*NOTA[[#This Row],[Column8]])</f>
        <v/>
      </c>
      <c r="Z651" s="42" t="str">
        <f>IF(NOTA[[#This Row],[JUMLAH]]="","",NOTA[[#This Row],[DISC 1-]]+NOTA[[#This Row],[DISC 2-]]+NOTA[[#This Row],[DISC 3-]])</f>
        <v/>
      </c>
      <c r="AA651" s="42" t="str">
        <f>IF(NOTA[[#This Row],[JUMLAH]]="","",NOTA[[#This Row],[JUMLAH]]-NOTA[[#This Row],[DISC]])</f>
        <v/>
      </c>
      <c r="AB651" s="42"/>
      <c r="AC6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42" t="str">
        <f>IF(OR(NOTA[[#This Row],[QTY]]="",NOTA[[#This Row],[HARGA SATUAN]]="",),"",NOTA[[#This Row],[QTY]]*NOTA[[#This Row],[HARGA SATUAN]])</f>
        <v/>
      </c>
      <c r="AG651" s="36" t="str">
        <f ca="1">IF(NOTA[[#This Row],[ID_H]]="","",INDEX(NOTA[TANGGAL],MATCH(,INDIRECT(ADDRESS(ROW(NOTA[TANGGAL]),COLUMN(NOTA[TANGGAL]))&amp;":"&amp;ADDRESS(ROW(),COLUMN(NOTA[TANGGAL]))),-1)))</f>
        <v/>
      </c>
      <c r="AH651" s="36" t="str">
        <f ca="1">IF(NOTA[[#This Row],[ID_H]]="","",INDEX(NOTA[TGL.NOTA],MATCH(,INDIRECT(ADDRESS(ROW(NOTA[TGL.NOTA]),COLUMN(NOTA[TGL.NOTA]))&amp;":"&amp;ADDRESS(ROW(),COLUMN(NOTA[TGL.NOTA]))),-1)))</f>
        <v/>
      </c>
      <c r="AI651" s="36" t="str">
        <f ca="1">IF(NOTA[[#This Row],[ID_H]]="","",INDEX(NOTA[NO.NOTA],MATCH(NOTA[[#This Row],[ID_H]],NOTA[ID_H],0)))</f>
        <v/>
      </c>
      <c r="AJ651" s="38" t="str">
        <f ca="1">IF(NOTA[[#This Row],[NAMA BARANG]]="","",INDEX(NOTA[SUPPLIER],MATCH(,INDIRECT(ADDRESS(ROW(NOTA[ID]),COLUMN(NOTA[ID]))&amp;":"&amp;ADDRESS(ROW(),COLUMN(NOTA[ID]))),-1)))</f>
        <v/>
      </c>
      <c r="AK651" s="38" t="str">
        <f ca="1">IF(NOTA[[#This Row],[ID_H]]="","",IF(NOTA[[#This Row],[FAKTUR]]="",INDIRECT(ADDRESS(ROW()-1,COLUMN())),NOTA[[#This Row],[FAKTUR]]))</f>
        <v/>
      </c>
      <c r="AL651" s="35" t="str">
        <f ca="1">IF(NOTA[[#This Row],[ID]]="","",COUNTIF(NOTA[ID_H],NOTA[[#This Row],[ID_H]]))</f>
        <v/>
      </c>
      <c r="AM651" s="35" t="str">
        <f ca="1">IF(NOTA[[#This Row],[TGL.NOTA]]="",IF(NOTA[[#This Row],[SUPPLIER_H]]="","",AM650),MONTH(NOTA[[#This Row],[TGL.NOTA]]))</f>
        <v/>
      </c>
      <c r="AN6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1" s="35" t="str">
        <f>IF(NOTA[[#This Row],[CONCAT1]]="","",MATCH(NOTA[[#This Row],[CONCAT1]],[3]!db[NB NOTA_C],0))</f>
        <v/>
      </c>
      <c r="AS651" s="35" t="str">
        <f>IF(NOTA[[#This Row],[Column5]]="","",TRUE)</f>
        <v/>
      </c>
      <c r="AT651" s="35" t="str">
        <f ca="1">IF(NOTA[[#This Row],[ID_H]]="","",IF(NOTA[[#This Row],[Column3]]=TRUE,NOTA[[#This Row],[Column5]],INDEX([3]!db[QTY/ CTN],NOTA[[#This Row],[//DB]])))</f>
        <v/>
      </c>
      <c r="AU6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1" s="35" t="str">
        <f ca="1">IF(NOTA[[#This Row],[ID_H]]="","",MATCH(NOTA[[#This Row],[NB NOTA_C_QTY]],[3]!db[NB NOTA_C_QTY+F],0))</f>
        <v/>
      </c>
      <c r="AW651" s="43" t="str">
        <f ca="1">IF(NOTA[[#This Row],[NB NOTA_C_QTY]]="","",ROW()-2)</f>
        <v/>
      </c>
    </row>
    <row r="652" spans="1:49" ht="20.100000000000001" customHeight="1">
      <c r="A6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5" t="str">
        <f ca="1">IF(NOTA[[#This Row],[NAMA BARANG]]="","",INDEX(NOTA[ID],MATCH(,INDIRECT(ADDRESS(ROW(NOTA[ID]),COLUMN(NOTA[ID]))&amp;":"&amp;ADDRESS(ROW(),COLUMN(NOTA[ID]))),-1)))</f>
        <v/>
      </c>
      <c r="C652" s="45"/>
      <c r="F652" s="46"/>
      <c r="G652" s="35"/>
      <c r="H652" s="36"/>
      <c r="I652" s="35"/>
      <c r="K652" s="37"/>
      <c r="L652" s="35"/>
      <c r="N652" s="38"/>
      <c r="O652" s="39"/>
      <c r="P652" s="47"/>
      <c r="Q652" s="48"/>
      <c r="R652" s="41"/>
      <c r="T652" s="42"/>
      <c r="U652" s="44"/>
      <c r="V652" s="42" t="str">
        <f>IF(NOTA[[#This Row],[HARGA/ CTN]]="",NOTA[[#This Row],[JUMLAH_H]],NOTA[[#This Row],[HARGA/ CTN]]*IF(NOTA[[#This Row],[C]]="",0,NOTA[[#This Row],[C]]))</f>
        <v/>
      </c>
      <c r="W652" s="42" t="str">
        <f>IF(NOTA[[#This Row],[JUMLAH]]="","",NOTA[[#This Row],[JUMLAH]]*NOTA[[#This Row],[Column6]])</f>
        <v/>
      </c>
      <c r="X652" s="42" t="str">
        <f>IF(NOTA[[#This Row],[JUMLAH]]="","",(NOTA[[#This Row],[JUMLAH]]-NOTA[[#This Row],[DISC 1-]])*NOTA[[#This Row],[Column7]])</f>
        <v/>
      </c>
      <c r="Y652" s="42" t="str">
        <f>IF(NOTA[[#This Row],[JUMLAH]]="","",(NOTA[[#This Row],[JUMLAH]]-NOTA[[#This Row],[DISC 1-]]-NOTA[[#This Row],[DISC 2-]])*NOTA[[#This Row],[Column8]])</f>
        <v/>
      </c>
      <c r="Z652" s="42" t="str">
        <f>IF(NOTA[[#This Row],[JUMLAH]]="","",NOTA[[#This Row],[DISC 1-]]+NOTA[[#This Row],[DISC 2-]]+NOTA[[#This Row],[DISC 3-]])</f>
        <v/>
      </c>
      <c r="AA652" s="42" t="str">
        <f>IF(NOTA[[#This Row],[JUMLAH]]="","",NOTA[[#This Row],[JUMLAH]]-NOTA[[#This Row],[DISC]])</f>
        <v/>
      </c>
      <c r="AB652" s="42"/>
      <c r="AC6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42" t="str">
        <f>IF(OR(NOTA[[#This Row],[QTY]]="",NOTA[[#This Row],[HARGA SATUAN]]="",),"",NOTA[[#This Row],[QTY]]*NOTA[[#This Row],[HARGA SATUAN]])</f>
        <v/>
      </c>
      <c r="AG652" s="36" t="str">
        <f ca="1">IF(NOTA[[#This Row],[ID_H]]="","",INDEX(NOTA[TANGGAL],MATCH(,INDIRECT(ADDRESS(ROW(NOTA[TANGGAL]),COLUMN(NOTA[TANGGAL]))&amp;":"&amp;ADDRESS(ROW(),COLUMN(NOTA[TANGGAL]))),-1)))</f>
        <v/>
      </c>
      <c r="AH652" s="36" t="str">
        <f ca="1">IF(NOTA[[#This Row],[ID_H]]="","",INDEX(NOTA[TGL.NOTA],MATCH(,INDIRECT(ADDRESS(ROW(NOTA[TGL.NOTA]),COLUMN(NOTA[TGL.NOTA]))&amp;":"&amp;ADDRESS(ROW(),COLUMN(NOTA[TGL.NOTA]))),-1)))</f>
        <v/>
      </c>
      <c r="AI652" s="36" t="str">
        <f ca="1">IF(NOTA[[#This Row],[ID_H]]="","",INDEX(NOTA[NO.NOTA],MATCH(NOTA[[#This Row],[ID_H]],NOTA[ID_H],0)))</f>
        <v/>
      </c>
      <c r="AJ652" s="38" t="str">
        <f ca="1">IF(NOTA[[#This Row],[NAMA BARANG]]="","",INDEX(NOTA[SUPPLIER],MATCH(,INDIRECT(ADDRESS(ROW(NOTA[ID]),COLUMN(NOTA[ID]))&amp;":"&amp;ADDRESS(ROW(),COLUMN(NOTA[ID]))),-1)))</f>
        <v/>
      </c>
      <c r="AK652" s="38" t="str">
        <f ca="1">IF(NOTA[[#This Row],[ID_H]]="","",IF(NOTA[[#This Row],[FAKTUR]]="",INDIRECT(ADDRESS(ROW()-1,COLUMN())),NOTA[[#This Row],[FAKTUR]]))</f>
        <v/>
      </c>
      <c r="AL652" s="35" t="str">
        <f ca="1">IF(NOTA[[#This Row],[ID]]="","",COUNTIF(NOTA[ID_H],NOTA[[#This Row],[ID_H]]))</f>
        <v/>
      </c>
      <c r="AM652" s="35" t="str">
        <f ca="1">IF(NOTA[[#This Row],[TGL.NOTA]]="",IF(NOTA[[#This Row],[SUPPLIER_H]]="","",AM651),MONTH(NOTA[[#This Row],[TGL.NOTA]]))</f>
        <v/>
      </c>
      <c r="AN6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2" s="35" t="str">
        <f>IF(NOTA[[#This Row],[CONCAT1]]="","",MATCH(NOTA[[#This Row],[CONCAT1]],[3]!db[NB NOTA_C],0))</f>
        <v/>
      </c>
      <c r="AS652" s="35" t="str">
        <f>IF(NOTA[[#This Row],[Column5]]="","",TRUE)</f>
        <v/>
      </c>
      <c r="AT652" s="35" t="str">
        <f ca="1">IF(NOTA[[#This Row],[ID_H]]="","",IF(NOTA[[#This Row],[Column3]]=TRUE,NOTA[[#This Row],[Column5]],INDEX([3]!db[QTY/ CTN],NOTA[[#This Row],[//DB]])))</f>
        <v/>
      </c>
      <c r="AU6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2" s="35" t="str">
        <f ca="1">IF(NOTA[[#This Row],[ID_H]]="","",MATCH(NOTA[[#This Row],[NB NOTA_C_QTY]],[3]!db[NB NOTA_C_QTY+F],0))</f>
        <v/>
      </c>
      <c r="AW652" s="43" t="str">
        <f ca="1">IF(NOTA[[#This Row],[NB NOTA_C_QTY]]="","",ROW()-2)</f>
        <v/>
      </c>
    </row>
    <row r="653" spans="1:49" ht="20.100000000000001" customHeight="1">
      <c r="A6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5" t="str">
        <f ca="1">IF(NOTA[[#This Row],[NAMA BARANG]]="","",INDEX(NOTA[ID],MATCH(,INDIRECT(ADDRESS(ROW(NOTA[ID]),COLUMN(NOTA[ID]))&amp;":"&amp;ADDRESS(ROW(),COLUMN(NOTA[ID]))),-1)))</f>
        <v/>
      </c>
      <c r="C653" s="45"/>
      <c r="F653" s="46"/>
      <c r="G653" s="35"/>
      <c r="H653" s="36"/>
      <c r="I653" s="35"/>
      <c r="K653" s="37"/>
      <c r="L653" s="35"/>
      <c r="N653" s="38"/>
      <c r="O653" s="39"/>
      <c r="P653" s="47"/>
      <c r="Q653" s="48"/>
      <c r="R653" s="41"/>
      <c r="T653" s="42"/>
      <c r="U653" s="44"/>
      <c r="V653" s="42" t="str">
        <f>IF(NOTA[[#This Row],[HARGA/ CTN]]="",NOTA[[#This Row],[JUMLAH_H]],NOTA[[#This Row],[HARGA/ CTN]]*IF(NOTA[[#This Row],[C]]="",0,NOTA[[#This Row],[C]]))</f>
        <v/>
      </c>
      <c r="W653" s="42" t="str">
        <f>IF(NOTA[[#This Row],[JUMLAH]]="","",NOTA[[#This Row],[JUMLAH]]*NOTA[[#This Row],[Column6]])</f>
        <v/>
      </c>
      <c r="X653" s="42" t="str">
        <f>IF(NOTA[[#This Row],[JUMLAH]]="","",(NOTA[[#This Row],[JUMLAH]]-NOTA[[#This Row],[DISC 1-]])*NOTA[[#This Row],[Column7]])</f>
        <v/>
      </c>
      <c r="Y653" s="42" t="str">
        <f>IF(NOTA[[#This Row],[JUMLAH]]="","",(NOTA[[#This Row],[JUMLAH]]-NOTA[[#This Row],[DISC 1-]]-NOTA[[#This Row],[DISC 2-]])*NOTA[[#This Row],[Column8]])</f>
        <v/>
      </c>
      <c r="Z653" s="42" t="str">
        <f>IF(NOTA[[#This Row],[JUMLAH]]="","",NOTA[[#This Row],[DISC 1-]]+NOTA[[#This Row],[DISC 2-]]+NOTA[[#This Row],[DISC 3-]])</f>
        <v/>
      </c>
      <c r="AA653" s="42" t="str">
        <f>IF(NOTA[[#This Row],[JUMLAH]]="","",NOTA[[#This Row],[JUMLAH]]-NOTA[[#This Row],[DISC]])</f>
        <v/>
      </c>
      <c r="AB653" s="42"/>
      <c r="AC6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42" t="str">
        <f>IF(OR(NOTA[[#This Row],[QTY]]="",NOTA[[#This Row],[HARGA SATUAN]]="",),"",NOTA[[#This Row],[QTY]]*NOTA[[#This Row],[HARGA SATUAN]])</f>
        <v/>
      </c>
      <c r="AG653" s="36" t="str">
        <f ca="1">IF(NOTA[[#This Row],[ID_H]]="","",INDEX(NOTA[TANGGAL],MATCH(,INDIRECT(ADDRESS(ROW(NOTA[TANGGAL]),COLUMN(NOTA[TANGGAL]))&amp;":"&amp;ADDRESS(ROW(),COLUMN(NOTA[TANGGAL]))),-1)))</f>
        <v/>
      </c>
      <c r="AH653" s="36" t="str">
        <f ca="1">IF(NOTA[[#This Row],[ID_H]]="","",INDEX(NOTA[TGL.NOTA],MATCH(,INDIRECT(ADDRESS(ROW(NOTA[TGL.NOTA]),COLUMN(NOTA[TGL.NOTA]))&amp;":"&amp;ADDRESS(ROW(),COLUMN(NOTA[TGL.NOTA]))),-1)))</f>
        <v/>
      </c>
      <c r="AI653" s="36" t="str">
        <f ca="1">IF(NOTA[[#This Row],[ID_H]]="","",INDEX(NOTA[NO.NOTA],MATCH(NOTA[[#This Row],[ID_H]],NOTA[ID_H],0)))</f>
        <v/>
      </c>
      <c r="AJ653" s="38" t="str">
        <f ca="1">IF(NOTA[[#This Row],[NAMA BARANG]]="","",INDEX(NOTA[SUPPLIER],MATCH(,INDIRECT(ADDRESS(ROW(NOTA[ID]),COLUMN(NOTA[ID]))&amp;":"&amp;ADDRESS(ROW(),COLUMN(NOTA[ID]))),-1)))</f>
        <v/>
      </c>
      <c r="AK653" s="38" t="str">
        <f ca="1">IF(NOTA[[#This Row],[ID_H]]="","",IF(NOTA[[#This Row],[FAKTUR]]="",INDIRECT(ADDRESS(ROW()-1,COLUMN())),NOTA[[#This Row],[FAKTUR]]))</f>
        <v/>
      </c>
      <c r="AL653" s="35" t="str">
        <f ca="1">IF(NOTA[[#This Row],[ID]]="","",COUNTIF(NOTA[ID_H],NOTA[[#This Row],[ID_H]]))</f>
        <v/>
      </c>
      <c r="AM653" s="35" t="str">
        <f ca="1">IF(NOTA[[#This Row],[TGL.NOTA]]="",IF(NOTA[[#This Row],[SUPPLIER_H]]="","",AM652),MONTH(NOTA[[#This Row],[TGL.NOTA]]))</f>
        <v/>
      </c>
      <c r="AN6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3" s="35" t="str">
        <f>IF(NOTA[[#This Row],[CONCAT1]]="","",MATCH(NOTA[[#This Row],[CONCAT1]],[3]!db[NB NOTA_C],0))</f>
        <v/>
      </c>
      <c r="AS653" s="35" t="str">
        <f>IF(NOTA[[#This Row],[Column5]]="","",TRUE)</f>
        <v/>
      </c>
      <c r="AT653" s="35" t="str">
        <f ca="1">IF(NOTA[[#This Row],[ID_H]]="","",IF(NOTA[[#This Row],[Column3]]=TRUE,NOTA[[#This Row],[Column5]],INDEX([3]!db[QTY/ CTN],NOTA[[#This Row],[//DB]])))</f>
        <v/>
      </c>
      <c r="AU6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3" s="35" t="str">
        <f ca="1">IF(NOTA[[#This Row],[ID_H]]="","",MATCH(NOTA[[#This Row],[NB NOTA_C_QTY]],[3]!db[NB NOTA_C_QTY+F],0))</f>
        <v/>
      </c>
      <c r="AW653" s="43" t="str">
        <f ca="1">IF(NOTA[[#This Row],[NB NOTA_C_QTY]]="","",ROW()-2)</f>
        <v/>
      </c>
    </row>
    <row r="654" spans="1:49" ht="20.100000000000001" customHeight="1">
      <c r="A6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5" t="str">
        <f ca="1">IF(NOTA[[#This Row],[NAMA BARANG]]="","",INDEX(NOTA[ID],MATCH(,INDIRECT(ADDRESS(ROW(NOTA[ID]),COLUMN(NOTA[ID]))&amp;":"&amp;ADDRESS(ROW(),COLUMN(NOTA[ID]))),-1)))</f>
        <v/>
      </c>
      <c r="C654" s="45"/>
      <c r="F654" s="46"/>
      <c r="G654" s="35"/>
      <c r="H654" s="36"/>
      <c r="I654" s="35"/>
      <c r="K654" s="37"/>
      <c r="L654" s="35"/>
      <c r="N654" s="38"/>
      <c r="O654" s="39"/>
      <c r="P654" s="47"/>
      <c r="Q654" s="48"/>
      <c r="R654" s="41"/>
      <c r="T654" s="42"/>
      <c r="U654" s="44"/>
      <c r="V654" s="42" t="str">
        <f>IF(NOTA[[#This Row],[HARGA/ CTN]]="",NOTA[[#This Row],[JUMLAH_H]],NOTA[[#This Row],[HARGA/ CTN]]*IF(NOTA[[#This Row],[C]]="",0,NOTA[[#This Row],[C]]))</f>
        <v/>
      </c>
      <c r="W654" s="42" t="str">
        <f>IF(NOTA[[#This Row],[JUMLAH]]="","",NOTA[[#This Row],[JUMLAH]]*NOTA[[#This Row],[Column6]])</f>
        <v/>
      </c>
      <c r="X654" s="42" t="str">
        <f>IF(NOTA[[#This Row],[JUMLAH]]="","",(NOTA[[#This Row],[JUMLAH]]-NOTA[[#This Row],[DISC 1-]])*NOTA[[#This Row],[Column7]])</f>
        <v/>
      </c>
      <c r="Y654" s="42" t="str">
        <f>IF(NOTA[[#This Row],[JUMLAH]]="","",(NOTA[[#This Row],[JUMLAH]]-NOTA[[#This Row],[DISC 1-]]-NOTA[[#This Row],[DISC 2-]])*NOTA[[#This Row],[Column8]])</f>
        <v/>
      </c>
      <c r="Z654" s="42" t="str">
        <f>IF(NOTA[[#This Row],[JUMLAH]]="","",NOTA[[#This Row],[DISC 1-]]+NOTA[[#This Row],[DISC 2-]]+NOTA[[#This Row],[DISC 3-]])</f>
        <v/>
      </c>
      <c r="AA654" s="42" t="str">
        <f>IF(NOTA[[#This Row],[JUMLAH]]="","",NOTA[[#This Row],[JUMLAH]]-NOTA[[#This Row],[DISC]])</f>
        <v/>
      </c>
      <c r="AB654" s="42"/>
      <c r="AC6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42" t="str">
        <f>IF(OR(NOTA[[#This Row],[QTY]]="",NOTA[[#This Row],[HARGA SATUAN]]="",),"",NOTA[[#This Row],[QTY]]*NOTA[[#This Row],[HARGA SATUAN]])</f>
        <v/>
      </c>
      <c r="AG654" s="36" t="str">
        <f ca="1">IF(NOTA[[#This Row],[ID_H]]="","",INDEX(NOTA[TANGGAL],MATCH(,INDIRECT(ADDRESS(ROW(NOTA[TANGGAL]),COLUMN(NOTA[TANGGAL]))&amp;":"&amp;ADDRESS(ROW(),COLUMN(NOTA[TANGGAL]))),-1)))</f>
        <v/>
      </c>
      <c r="AH654" s="36" t="str">
        <f ca="1">IF(NOTA[[#This Row],[ID_H]]="","",INDEX(NOTA[TGL.NOTA],MATCH(,INDIRECT(ADDRESS(ROW(NOTA[TGL.NOTA]),COLUMN(NOTA[TGL.NOTA]))&amp;":"&amp;ADDRESS(ROW(),COLUMN(NOTA[TGL.NOTA]))),-1)))</f>
        <v/>
      </c>
      <c r="AI654" s="36" t="str">
        <f ca="1">IF(NOTA[[#This Row],[ID_H]]="","",INDEX(NOTA[NO.NOTA],MATCH(NOTA[[#This Row],[ID_H]],NOTA[ID_H],0)))</f>
        <v/>
      </c>
      <c r="AJ654" s="38" t="str">
        <f ca="1">IF(NOTA[[#This Row],[NAMA BARANG]]="","",INDEX(NOTA[SUPPLIER],MATCH(,INDIRECT(ADDRESS(ROW(NOTA[ID]),COLUMN(NOTA[ID]))&amp;":"&amp;ADDRESS(ROW(),COLUMN(NOTA[ID]))),-1)))</f>
        <v/>
      </c>
      <c r="AK654" s="38" t="str">
        <f ca="1">IF(NOTA[[#This Row],[ID_H]]="","",IF(NOTA[[#This Row],[FAKTUR]]="",INDIRECT(ADDRESS(ROW()-1,COLUMN())),NOTA[[#This Row],[FAKTUR]]))</f>
        <v/>
      </c>
      <c r="AL654" s="35" t="str">
        <f ca="1">IF(NOTA[[#This Row],[ID]]="","",COUNTIF(NOTA[ID_H],NOTA[[#This Row],[ID_H]]))</f>
        <v/>
      </c>
      <c r="AM654" s="35" t="str">
        <f ca="1">IF(NOTA[[#This Row],[TGL.NOTA]]="",IF(NOTA[[#This Row],[SUPPLIER_H]]="","",AM653),MONTH(NOTA[[#This Row],[TGL.NOTA]]))</f>
        <v/>
      </c>
      <c r="AN6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4" s="35" t="str">
        <f>IF(NOTA[[#This Row],[CONCAT1]]="","",MATCH(NOTA[[#This Row],[CONCAT1]],[3]!db[NB NOTA_C],0))</f>
        <v/>
      </c>
      <c r="AS654" s="35" t="str">
        <f>IF(NOTA[[#This Row],[Column5]]="","",TRUE)</f>
        <v/>
      </c>
      <c r="AT654" s="35" t="str">
        <f ca="1">IF(NOTA[[#This Row],[ID_H]]="","",IF(NOTA[[#This Row],[Column3]]=TRUE,NOTA[[#This Row],[Column5]],INDEX([3]!db[QTY/ CTN],NOTA[[#This Row],[//DB]])))</f>
        <v/>
      </c>
      <c r="AU6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4" s="35" t="str">
        <f ca="1">IF(NOTA[[#This Row],[ID_H]]="","",MATCH(NOTA[[#This Row],[NB NOTA_C_QTY]],[3]!db[NB NOTA_C_QTY+F],0))</f>
        <v/>
      </c>
      <c r="AW654" s="43" t="str">
        <f ca="1">IF(NOTA[[#This Row],[NB NOTA_C_QTY]]="","",ROW()-2)</f>
        <v/>
      </c>
    </row>
    <row r="655" spans="1:49" ht="20.100000000000001" customHeight="1">
      <c r="A6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5" t="str">
        <f ca="1">IF(NOTA[[#This Row],[NAMA BARANG]]="","",INDEX(NOTA[ID],MATCH(,INDIRECT(ADDRESS(ROW(NOTA[ID]),COLUMN(NOTA[ID]))&amp;":"&amp;ADDRESS(ROW(),COLUMN(NOTA[ID]))),-1)))</f>
        <v/>
      </c>
      <c r="C655" s="45"/>
      <c r="F655" s="46"/>
      <c r="G655" s="35"/>
      <c r="H655" s="36"/>
      <c r="I655" s="35"/>
      <c r="K655" s="37"/>
      <c r="L655" s="35"/>
      <c r="N655" s="38"/>
      <c r="O655" s="39"/>
      <c r="P655" s="47"/>
      <c r="Q655" s="48"/>
      <c r="R655" s="41"/>
      <c r="T655" s="42"/>
      <c r="U655" s="44"/>
      <c r="V655" s="42" t="str">
        <f>IF(NOTA[[#This Row],[HARGA/ CTN]]="",NOTA[[#This Row],[JUMLAH_H]],NOTA[[#This Row],[HARGA/ CTN]]*IF(NOTA[[#This Row],[C]]="",0,NOTA[[#This Row],[C]]))</f>
        <v/>
      </c>
      <c r="W655" s="42" t="str">
        <f>IF(NOTA[[#This Row],[JUMLAH]]="","",NOTA[[#This Row],[JUMLAH]]*NOTA[[#This Row],[Column6]])</f>
        <v/>
      </c>
      <c r="X655" s="42" t="str">
        <f>IF(NOTA[[#This Row],[JUMLAH]]="","",(NOTA[[#This Row],[JUMLAH]]-NOTA[[#This Row],[DISC 1-]])*NOTA[[#This Row],[Column7]])</f>
        <v/>
      </c>
      <c r="Y655" s="42" t="str">
        <f>IF(NOTA[[#This Row],[JUMLAH]]="","",(NOTA[[#This Row],[JUMLAH]]-NOTA[[#This Row],[DISC 1-]]-NOTA[[#This Row],[DISC 2-]])*NOTA[[#This Row],[Column8]])</f>
        <v/>
      </c>
      <c r="Z655" s="42" t="str">
        <f>IF(NOTA[[#This Row],[JUMLAH]]="","",NOTA[[#This Row],[DISC 1-]]+NOTA[[#This Row],[DISC 2-]]+NOTA[[#This Row],[DISC 3-]])</f>
        <v/>
      </c>
      <c r="AA655" s="42" t="str">
        <f>IF(NOTA[[#This Row],[JUMLAH]]="","",NOTA[[#This Row],[JUMLAH]]-NOTA[[#This Row],[DISC]])</f>
        <v/>
      </c>
      <c r="AB655" s="42"/>
      <c r="AC6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42" t="str">
        <f>IF(OR(NOTA[[#This Row],[QTY]]="",NOTA[[#This Row],[HARGA SATUAN]]="",),"",NOTA[[#This Row],[QTY]]*NOTA[[#This Row],[HARGA SATUAN]])</f>
        <v/>
      </c>
      <c r="AG655" s="36" t="str">
        <f ca="1">IF(NOTA[[#This Row],[ID_H]]="","",INDEX(NOTA[TANGGAL],MATCH(,INDIRECT(ADDRESS(ROW(NOTA[TANGGAL]),COLUMN(NOTA[TANGGAL]))&amp;":"&amp;ADDRESS(ROW(),COLUMN(NOTA[TANGGAL]))),-1)))</f>
        <v/>
      </c>
      <c r="AH655" s="36" t="str">
        <f ca="1">IF(NOTA[[#This Row],[ID_H]]="","",INDEX(NOTA[TGL.NOTA],MATCH(,INDIRECT(ADDRESS(ROW(NOTA[TGL.NOTA]),COLUMN(NOTA[TGL.NOTA]))&amp;":"&amp;ADDRESS(ROW(),COLUMN(NOTA[TGL.NOTA]))),-1)))</f>
        <v/>
      </c>
      <c r="AI655" s="36" t="str">
        <f ca="1">IF(NOTA[[#This Row],[ID_H]]="","",INDEX(NOTA[NO.NOTA],MATCH(NOTA[[#This Row],[ID_H]],NOTA[ID_H],0)))</f>
        <v/>
      </c>
      <c r="AJ655" s="38" t="str">
        <f ca="1">IF(NOTA[[#This Row],[NAMA BARANG]]="","",INDEX(NOTA[SUPPLIER],MATCH(,INDIRECT(ADDRESS(ROW(NOTA[ID]),COLUMN(NOTA[ID]))&amp;":"&amp;ADDRESS(ROW(),COLUMN(NOTA[ID]))),-1)))</f>
        <v/>
      </c>
      <c r="AK655" s="38" t="str">
        <f ca="1">IF(NOTA[[#This Row],[ID_H]]="","",IF(NOTA[[#This Row],[FAKTUR]]="",INDIRECT(ADDRESS(ROW()-1,COLUMN())),NOTA[[#This Row],[FAKTUR]]))</f>
        <v/>
      </c>
      <c r="AL655" s="35" t="str">
        <f ca="1">IF(NOTA[[#This Row],[ID]]="","",COUNTIF(NOTA[ID_H],NOTA[[#This Row],[ID_H]]))</f>
        <v/>
      </c>
      <c r="AM655" s="35" t="str">
        <f ca="1">IF(NOTA[[#This Row],[TGL.NOTA]]="",IF(NOTA[[#This Row],[SUPPLIER_H]]="","",AM654),MONTH(NOTA[[#This Row],[TGL.NOTA]]))</f>
        <v/>
      </c>
      <c r="AN6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5" s="35" t="str">
        <f>IF(NOTA[[#This Row],[CONCAT1]]="","",MATCH(NOTA[[#This Row],[CONCAT1]],[3]!db[NB NOTA_C],0))</f>
        <v/>
      </c>
      <c r="AS655" s="35" t="str">
        <f>IF(NOTA[[#This Row],[Column5]]="","",TRUE)</f>
        <v/>
      </c>
      <c r="AT655" s="35" t="str">
        <f ca="1">IF(NOTA[[#This Row],[ID_H]]="","",IF(NOTA[[#This Row],[Column3]]=TRUE,NOTA[[#This Row],[Column5]],INDEX([3]!db[QTY/ CTN],NOTA[[#This Row],[//DB]])))</f>
        <v/>
      </c>
      <c r="AU6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5" s="35" t="str">
        <f ca="1">IF(NOTA[[#This Row],[ID_H]]="","",MATCH(NOTA[[#This Row],[NB NOTA_C_QTY]],[3]!db[NB NOTA_C_QTY+F],0))</f>
        <v/>
      </c>
      <c r="AW655" s="43" t="str">
        <f ca="1">IF(NOTA[[#This Row],[NB NOTA_C_QTY]]="","",ROW()-2)</f>
        <v/>
      </c>
    </row>
    <row r="656" spans="1:49" ht="20.100000000000001" customHeight="1">
      <c r="A6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5" t="str">
        <f ca="1">IF(NOTA[[#This Row],[NAMA BARANG]]="","",INDEX(NOTA[ID],MATCH(,INDIRECT(ADDRESS(ROW(NOTA[ID]),COLUMN(NOTA[ID]))&amp;":"&amp;ADDRESS(ROW(),COLUMN(NOTA[ID]))),-1)))</f>
        <v/>
      </c>
      <c r="C656" s="45"/>
      <c r="F656" s="46"/>
      <c r="G656" s="35"/>
      <c r="H656" s="36"/>
      <c r="I656" s="35"/>
      <c r="K656" s="37"/>
      <c r="L656" s="35"/>
      <c r="N656" s="38"/>
      <c r="O656" s="39"/>
      <c r="P656" s="47"/>
      <c r="Q656" s="48"/>
      <c r="R656" s="41"/>
      <c r="T656" s="42"/>
      <c r="U656" s="44"/>
      <c r="V656" s="42" t="str">
        <f>IF(NOTA[[#This Row],[HARGA/ CTN]]="",NOTA[[#This Row],[JUMLAH_H]],NOTA[[#This Row],[HARGA/ CTN]]*IF(NOTA[[#This Row],[C]]="",0,NOTA[[#This Row],[C]]))</f>
        <v/>
      </c>
      <c r="W656" s="42" t="str">
        <f>IF(NOTA[[#This Row],[JUMLAH]]="","",NOTA[[#This Row],[JUMLAH]]*NOTA[[#This Row],[Column6]])</f>
        <v/>
      </c>
      <c r="X656" s="42" t="str">
        <f>IF(NOTA[[#This Row],[JUMLAH]]="","",(NOTA[[#This Row],[JUMLAH]]-NOTA[[#This Row],[DISC 1-]])*NOTA[[#This Row],[Column7]])</f>
        <v/>
      </c>
      <c r="Y656" s="42" t="str">
        <f>IF(NOTA[[#This Row],[JUMLAH]]="","",(NOTA[[#This Row],[JUMLAH]]-NOTA[[#This Row],[DISC 1-]]-NOTA[[#This Row],[DISC 2-]])*NOTA[[#This Row],[Column8]])</f>
        <v/>
      </c>
      <c r="Z656" s="42" t="str">
        <f>IF(NOTA[[#This Row],[JUMLAH]]="","",NOTA[[#This Row],[DISC 1-]]+NOTA[[#This Row],[DISC 2-]]+NOTA[[#This Row],[DISC 3-]])</f>
        <v/>
      </c>
      <c r="AA656" s="42" t="str">
        <f>IF(NOTA[[#This Row],[JUMLAH]]="","",NOTA[[#This Row],[JUMLAH]]-NOTA[[#This Row],[DISC]])</f>
        <v/>
      </c>
      <c r="AB656" s="42"/>
      <c r="AC6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42" t="str">
        <f>IF(OR(NOTA[[#This Row],[QTY]]="",NOTA[[#This Row],[HARGA SATUAN]]="",),"",NOTA[[#This Row],[QTY]]*NOTA[[#This Row],[HARGA SATUAN]])</f>
        <v/>
      </c>
      <c r="AG656" s="36" t="str">
        <f ca="1">IF(NOTA[[#This Row],[ID_H]]="","",INDEX(NOTA[TANGGAL],MATCH(,INDIRECT(ADDRESS(ROW(NOTA[TANGGAL]),COLUMN(NOTA[TANGGAL]))&amp;":"&amp;ADDRESS(ROW(),COLUMN(NOTA[TANGGAL]))),-1)))</f>
        <v/>
      </c>
      <c r="AH656" s="36" t="str">
        <f ca="1">IF(NOTA[[#This Row],[ID_H]]="","",INDEX(NOTA[TGL.NOTA],MATCH(,INDIRECT(ADDRESS(ROW(NOTA[TGL.NOTA]),COLUMN(NOTA[TGL.NOTA]))&amp;":"&amp;ADDRESS(ROW(),COLUMN(NOTA[TGL.NOTA]))),-1)))</f>
        <v/>
      </c>
      <c r="AI656" s="36" t="str">
        <f ca="1">IF(NOTA[[#This Row],[ID_H]]="","",INDEX(NOTA[NO.NOTA],MATCH(NOTA[[#This Row],[ID_H]],NOTA[ID_H],0)))</f>
        <v/>
      </c>
      <c r="AJ656" s="38" t="str">
        <f ca="1">IF(NOTA[[#This Row],[NAMA BARANG]]="","",INDEX(NOTA[SUPPLIER],MATCH(,INDIRECT(ADDRESS(ROW(NOTA[ID]),COLUMN(NOTA[ID]))&amp;":"&amp;ADDRESS(ROW(),COLUMN(NOTA[ID]))),-1)))</f>
        <v/>
      </c>
      <c r="AK656" s="38" t="str">
        <f ca="1">IF(NOTA[[#This Row],[ID_H]]="","",IF(NOTA[[#This Row],[FAKTUR]]="",INDIRECT(ADDRESS(ROW()-1,COLUMN())),NOTA[[#This Row],[FAKTUR]]))</f>
        <v/>
      </c>
      <c r="AL656" s="35" t="str">
        <f ca="1">IF(NOTA[[#This Row],[ID]]="","",COUNTIF(NOTA[ID_H],NOTA[[#This Row],[ID_H]]))</f>
        <v/>
      </c>
      <c r="AM656" s="35" t="str">
        <f ca="1">IF(NOTA[[#This Row],[TGL.NOTA]]="",IF(NOTA[[#This Row],[SUPPLIER_H]]="","",AM655),MONTH(NOTA[[#This Row],[TGL.NOTA]]))</f>
        <v/>
      </c>
      <c r="AN6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6" s="35" t="str">
        <f>IF(NOTA[[#This Row],[CONCAT1]]="","",MATCH(NOTA[[#This Row],[CONCAT1]],[3]!db[NB NOTA_C],0))</f>
        <v/>
      </c>
      <c r="AS656" s="35" t="str">
        <f>IF(NOTA[[#This Row],[Column5]]="","",TRUE)</f>
        <v/>
      </c>
      <c r="AT656" s="35" t="str">
        <f ca="1">IF(NOTA[[#This Row],[ID_H]]="","",IF(NOTA[[#This Row],[Column3]]=TRUE,NOTA[[#This Row],[Column5]],INDEX([3]!db[QTY/ CTN],NOTA[[#This Row],[//DB]])))</f>
        <v/>
      </c>
      <c r="AU6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6" s="35" t="str">
        <f ca="1">IF(NOTA[[#This Row],[ID_H]]="","",MATCH(NOTA[[#This Row],[NB NOTA_C_QTY]],[3]!db[NB NOTA_C_QTY+F],0))</f>
        <v/>
      </c>
      <c r="AW656" s="43" t="str">
        <f ca="1">IF(NOTA[[#This Row],[NB NOTA_C_QTY]]="","",ROW()-2)</f>
        <v/>
      </c>
    </row>
    <row r="657" spans="1:49" ht="20.100000000000001" customHeight="1">
      <c r="A6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5" t="str">
        <f ca="1">IF(NOTA[[#This Row],[NAMA BARANG]]="","",INDEX(NOTA[ID],MATCH(,INDIRECT(ADDRESS(ROW(NOTA[ID]),COLUMN(NOTA[ID]))&amp;":"&amp;ADDRESS(ROW(),COLUMN(NOTA[ID]))),-1)))</f>
        <v/>
      </c>
      <c r="C657" s="45"/>
      <c r="F657" s="46"/>
      <c r="G657" s="35"/>
      <c r="H657" s="36"/>
      <c r="I657" s="35"/>
      <c r="K657" s="37"/>
      <c r="L657" s="35"/>
      <c r="N657" s="38"/>
      <c r="O657" s="39"/>
      <c r="P657" s="47"/>
      <c r="Q657" s="48"/>
      <c r="R657" s="41"/>
      <c r="T657" s="42"/>
      <c r="U657" s="44"/>
      <c r="V657" s="42" t="str">
        <f>IF(NOTA[[#This Row],[HARGA/ CTN]]="",NOTA[[#This Row],[JUMLAH_H]],NOTA[[#This Row],[HARGA/ CTN]]*IF(NOTA[[#This Row],[C]]="",0,NOTA[[#This Row],[C]]))</f>
        <v/>
      </c>
      <c r="W657" s="42" t="str">
        <f>IF(NOTA[[#This Row],[JUMLAH]]="","",NOTA[[#This Row],[JUMLAH]]*NOTA[[#This Row],[Column6]])</f>
        <v/>
      </c>
      <c r="X657" s="42" t="str">
        <f>IF(NOTA[[#This Row],[JUMLAH]]="","",(NOTA[[#This Row],[JUMLAH]]-NOTA[[#This Row],[DISC 1-]])*NOTA[[#This Row],[Column7]])</f>
        <v/>
      </c>
      <c r="Y657" s="42" t="str">
        <f>IF(NOTA[[#This Row],[JUMLAH]]="","",(NOTA[[#This Row],[JUMLAH]]-NOTA[[#This Row],[DISC 1-]]-NOTA[[#This Row],[DISC 2-]])*NOTA[[#This Row],[Column8]])</f>
        <v/>
      </c>
      <c r="Z657" s="42" t="str">
        <f>IF(NOTA[[#This Row],[JUMLAH]]="","",NOTA[[#This Row],[DISC 1-]]+NOTA[[#This Row],[DISC 2-]]+NOTA[[#This Row],[DISC 3-]])</f>
        <v/>
      </c>
      <c r="AA657" s="42" t="str">
        <f>IF(NOTA[[#This Row],[JUMLAH]]="","",NOTA[[#This Row],[JUMLAH]]-NOTA[[#This Row],[DISC]])</f>
        <v/>
      </c>
      <c r="AB657" s="42"/>
      <c r="AC6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42" t="str">
        <f>IF(OR(NOTA[[#This Row],[QTY]]="",NOTA[[#This Row],[HARGA SATUAN]]="",),"",NOTA[[#This Row],[QTY]]*NOTA[[#This Row],[HARGA SATUAN]])</f>
        <v/>
      </c>
      <c r="AG657" s="36" t="str">
        <f ca="1">IF(NOTA[[#This Row],[ID_H]]="","",INDEX(NOTA[TANGGAL],MATCH(,INDIRECT(ADDRESS(ROW(NOTA[TANGGAL]),COLUMN(NOTA[TANGGAL]))&amp;":"&amp;ADDRESS(ROW(),COLUMN(NOTA[TANGGAL]))),-1)))</f>
        <v/>
      </c>
      <c r="AH657" s="36" t="str">
        <f ca="1">IF(NOTA[[#This Row],[ID_H]]="","",INDEX(NOTA[TGL.NOTA],MATCH(,INDIRECT(ADDRESS(ROW(NOTA[TGL.NOTA]),COLUMN(NOTA[TGL.NOTA]))&amp;":"&amp;ADDRESS(ROW(),COLUMN(NOTA[TGL.NOTA]))),-1)))</f>
        <v/>
      </c>
      <c r="AI657" s="36" t="str">
        <f ca="1">IF(NOTA[[#This Row],[ID_H]]="","",INDEX(NOTA[NO.NOTA],MATCH(NOTA[[#This Row],[ID_H]],NOTA[ID_H],0)))</f>
        <v/>
      </c>
      <c r="AJ657" s="38" t="str">
        <f ca="1">IF(NOTA[[#This Row],[NAMA BARANG]]="","",INDEX(NOTA[SUPPLIER],MATCH(,INDIRECT(ADDRESS(ROW(NOTA[ID]),COLUMN(NOTA[ID]))&amp;":"&amp;ADDRESS(ROW(),COLUMN(NOTA[ID]))),-1)))</f>
        <v/>
      </c>
      <c r="AK657" s="38" t="str">
        <f ca="1">IF(NOTA[[#This Row],[ID_H]]="","",IF(NOTA[[#This Row],[FAKTUR]]="",INDIRECT(ADDRESS(ROW()-1,COLUMN())),NOTA[[#This Row],[FAKTUR]]))</f>
        <v/>
      </c>
      <c r="AL657" s="35" t="str">
        <f ca="1">IF(NOTA[[#This Row],[ID]]="","",COUNTIF(NOTA[ID_H],NOTA[[#This Row],[ID_H]]))</f>
        <v/>
      </c>
      <c r="AM657" s="35" t="str">
        <f ca="1">IF(NOTA[[#This Row],[TGL.NOTA]]="",IF(NOTA[[#This Row],[SUPPLIER_H]]="","",AM656),MONTH(NOTA[[#This Row],[TGL.NOTA]]))</f>
        <v/>
      </c>
      <c r="AN6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7" s="35" t="str">
        <f>IF(NOTA[[#This Row],[CONCAT1]]="","",MATCH(NOTA[[#This Row],[CONCAT1]],[3]!db[NB NOTA_C],0))</f>
        <v/>
      </c>
      <c r="AS657" s="35" t="str">
        <f>IF(NOTA[[#This Row],[Column5]]="","",TRUE)</f>
        <v/>
      </c>
      <c r="AT657" s="35" t="str">
        <f ca="1">IF(NOTA[[#This Row],[ID_H]]="","",IF(NOTA[[#This Row],[Column3]]=TRUE,NOTA[[#This Row],[Column5]],INDEX([3]!db[QTY/ CTN],NOTA[[#This Row],[//DB]])))</f>
        <v/>
      </c>
      <c r="AU6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7" s="35" t="str">
        <f ca="1">IF(NOTA[[#This Row],[ID_H]]="","",MATCH(NOTA[[#This Row],[NB NOTA_C_QTY]],[3]!db[NB NOTA_C_QTY+F],0))</f>
        <v/>
      </c>
      <c r="AW657" s="43" t="str">
        <f ca="1">IF(NOTA[[#This Row],[NB NOTA_C_QTY]]="","",ROW()-2)</f>
        <v/>
      </c>
    </row>
    <row r="658" spans="1:49" ht="20.100000000000001" customHeight="1">
      <c r="A6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5" t="str">
        <f ca="1">IF(NOTA[[#This Row],[NAMA BARANG]]="","",INDEX(NOTA[ID],MATCH(,INDIRECT(ADDRESS(ROW(NOTA[ID]),COLUMN(NOTA[ID]))&amp;":"&amp;ADDRESS(ROW(),COLUMN(NOTA[ID]))),-1)))</f>
        <v/>
      </c>
      <c r="C658" s="45"/>
      <c r="F658" s="46"/>
      <c r="G658" s="35"/>
      <c r="H658" s="36"/>
      <c r="I658" s="35"/>
      <c r="K658" s="37"/>
      <c r="L658" s="35"/>
      <c r="N658" s="38"/>
      <c r="O658" s="39"/>
      <c r="P658" s="47"/>
      <c r="Q658" s="48"/>
      <c r="R658" s="41"/>
      <c r="T658" s="42"/>
      <c r="U658" s="44"/>
      <c r="V658" s="42" t="str">
        <f>IF(NOTA[[#This Row],[HARGA/ CTN]]="",NOTA[[#This Row],[JUMLAH_H]],NOTA[[#This Row],[HARGA/ CTN]]*IF(NOTA[[#This Row],[C]]="",0,NOTA[[#This Row],[C]]))</f>
        <v/>
      </c>
      <c r="W658" s="42" t="str">
        <f>IF(NOTA[[#This Row],[JUMLAH]]="","",NOTA[[#This Row],[JUMLAH]]*NOTA[[#This Row],[Column6]])</f>
        <v/>
      </c>
      <c r="X658" s="42" t="str">
        <f>IF(NOTA[[#This Row],[JUMLAH]]="","",(NOTA[[#This Row],[JUMLAH]]-NOTA[[#This Row],[DISC 1-]])*NOTA[[#This Row],[Column7]])</f>
        <v/>
      </c>
      <c r="Y658" s="42" t="str">
        <f>IF(NOTA[[#This Row],[JUMLAH]]="","",(NOTA[[#This Row],[JUMLAH]]-NOTA[[#This Row],[DISC 1-]]-NOTA[[#This Row],[DISC 2-]])*NOTA[[#This Row],[Column8]])</f>
        <v/>
      </c>
      <c r="Z658" s="42" t="str">
        <f>IF(NOTA[[#This Row],[JUMLAH]]="","",NOTA[[#This Row],[DISC 1-]]+NOTA[[#This Row],[DISC 2-]]+NOTA[[#This Row],[DISC 3-]])</f>
        <v/>
      </c>
      <c r="AA658" s="42" t="str">
        <f>IF(NOTA[[#This Row],[JUMLAH]]="","",NOTA[[#This Row],[JUMLAH]]-NOTA[[#This Row],[DISC]])</f>
        <v/>
      </c>
      <c r="AB658" s="42"/>
      <c r="AC6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42" t="str">
        <f>IF(OR(NOTA[[#This Row],[QTY]]="",NOTA[[#This Row],[HARGA SATUAN]]="",),"",NOTA[[#This Row],[QTY]]*NOTA[[#This Row],[HARGA SATUAN]])</f>
        <v/>
      </c>
      <c r="AG658" s="36" t="str">
        <f ca="1">IF(NOTA[[#This Row],[ID_H]]="","",INDEX(NOTA[TANGGAL],MATCH(,INDIRECT(ADDRESS(ROW(NOTA[TANGGAL]),COLUMN(NOTA[TANGGAL]))&amp;":"&amp;ADDRESS(ROW(),COLUMN(NOTA[TANGGAL]))),-1)))</f>
        <v/>
      </c>
      <c r="AH658" s="36" t="str">
        <f ca="1">IF(NOTA[[#This Row],[ID_H]]="","",INDEX(NOTA[TGL.NOTA],MATCH(,INDIRECT(ADDRESS(ROW(NOTA[TGL.NOTA]),COLUMN(NOTA[TGL.NOTA]))&amp;":"&amp;ADDRESS(ROW(),COLUMN(NOTA[TGL.NOTA]))),-1)))</f>
        <v/>
      </c>
      <c r="AI658" s="36" t="str">
        <f ca="1">IF(NOTA[[#This Row],[ID_H]]="","",INDEX(NOTA[NO.NOTA],MATCH(NOTA[[#This Row],[ID_H]],NOTA[ID_H],0)))</f>
        <v/>
      </c>
      <c r="AJ658" s="38" t="str">
        <f ca="1">IF(NOTA[[#This Row],[NAMA BARANG]]="","",INDEX(NOTA[SUPPLIER],MATCH(,INDIRECT(ADDRESS(ROW(NOTA[ID]),COLUMN(NOTA[ID]))&amp;":"&amp;ADDRESS(ROW(),COLUMN(NOTA[ID]))),-1)))</f>
        <v/>
      </c>
      <c r="AK658" s="38" t="str">
        <f ca="1">IF(NOTA[[#This Row],[ID_H]]="","",IF(NOTA[[#This Row],[FAKTUR]]="",INDIRECT(ADDRESS(ROW()-1,COLUMN())),NOTA[[#This Row],[FAKTUR]]))</f>
        <v/>
      </c>
      <c r="AL658" s="35" t="str">
        <f ca="1">IF(NOTA[[#This Row],[ID]]="","",COUNTIF(NOTA[ID_H],NOTA[[#This Row],[ID_H]]))</f>
        <v/>
      </c>
      <c r="AM658" s="35" t="str">
        <f ca="1">IF(NOTA[[#This Row],[TGL.NOTA]]="",IF(NOTA[[#This Row],[SUPPLIER_H]]="","",AM657),MONTH(NOTA[[#This Row],[TGL.NOTA]]))</f>
        <v/>
      </c>
      <c r="AN6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8" s="35" t="str">
        <f>IF(NOTA[[#This Row],[CONCAT1]]="","",MATCH(NOTA[[#This Row],[CONCAT1]],[3]!db[NB NOTA_C],0))</f>
        <v/>
      </c>
      <c r="AS658" s="35" t="str">
        <f>IF(NOTA[[#This Row],[Column5]]="","",TRUE)</f>
        <v/>
      </c>
      <c r="AT658" s="35" t="str">
        <f ca="1">IF(NOTA[[#This Row],[ID_H]]="","",IF(NOTA[[#This Row],[Column3]]=TRUE,NOTA[[#This Row],[Column5]],INDEX([3]!db[QTY/ CTN],NOTA[[#This Row],[//DB]])))</f>
        <v/>
      </c>
      <c r="AU6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8" s="35" t="str">
        <f ca="1">IF(NOTA[[#This Row],[ID_H]]="","",MATCH(NOTA[[#This Row],[NB NOTA_C_QTY]],[3]!db[NB NOTA_C_QTY+F],0))</f>
        <v/>
      </c>
      <c r="AW658" s="43" t="str">
        <f ca="1">IF(NOTA[[#This Row],[NB NOTA_C_QTY]]="","",ROW()-2)</f>
        <v/>
      </c>
    </row>
    <row r="659" spans="1:49" ht="20.100000000000001" customHeight="1">
      <c r="A6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5" t="str">
        <f ca="1">IF(NOTA[[#This Row],[NAMA BARANG]]="","",INDEX(NOTA[ID],MATCH(,INDIRECT(ADDRESS(ROW(NOTA[ID]),COLUMN(NOTA[ID]))&amp;":"&amp;ADDRESS(ROW(),COLUMN(NOTA[ID]))),-1)))</f>
        <v/>
      </c>
      <c r="C659" s="45"/>
      <c r="F659" s="46"/>
      <c r="G659" s="35"/>
      <c r="H659" s="36"/>
      <c r="I659" s="35"/>
      <c r="K659" s="37"/>
      <c r="L659" s="35"/>
      <c r="N659" s="38"/>
      <c r="O659" s="39"/>
      <c r="P659" s="47"/>
      <c r="Q659" s="48"/>
      <c r="R659" s="41"/>
      <c r="T659" s="42"/>
      <c r="U659" s="44"/>
      <c r="V659" s="42" t="str">
        <f>IF(NOTA[[#This Row],[HARGA/ CTN]]="",NOTA[[#This Row],[JUMLAH_H]],NOTA[[#This Row],[HARGA/ CTN]]*IF(NOTA[[#This Row],[C]]="",0,NOTA[[#This Row],[C]]))</f>
        <v/>
      </c>
      <c r="W659" s="42" t="str">
        <f>IF(NOTA[[#This Row],[JUMLAH]]="","",NOTA[[#This Row],[JUMLAH]]*NOTA[[#This Row],[Column6]])</f>
        <v/>
      </c>
      <c r="X659" s="42" t="str">
        <f>IF(NOTA[[#This Row],[JUMLAH]]="","",(NOTA[[#This Row],[JUMLAH]]-NOTA[[#This Row],[DISC 1-]])*NOTA[[#This Row],[Column7]])</f>
        <v/>
      </c>
      <c r="Y659" s="42" t="str">
        <f>IF(NOTA[[#This Row],[JUMLAH]]="","",(NOTA[[#This Row],[JUMLAH]]-NOTA[[#This Row],[DISC 1-]]-NOTA[[#This Row],[DISC 2-]])*NOTA[[#This Row],[Column8]])</f>
        <v/>
      </c>
      <c r="Z659" s="42" t="str">
        <f>IF(NOTA[[#This Row],[JUMLAH]]="","",NOTA[[#This Row],[DISC 1-]]+NOTA[[#This Row],[DISC 2-]]+NOTA[[#This Row],[DISC 3-]])</f>
        <v/>
      </c>
      <c r="AA659" s="42" t="str">
        <f>IF(NOTA[[#This Row],[JUMLAH]]="","",NOTA[[#This Row],[JUMLAH]]-NOTA[[#This Row],[DISC]])</f>
        <v/>
      </c>
      <c r="AB659" s="42"/>
      <c r="AC6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42" t="str">
        <f>IF(OR(NOTA[[#This Row],[QTY]]="",NOTA[[#This Row],[HARGA SATUAN]]="",),"",NOTA[[#This Row],[QTY]]*NOTA[[#This Row],[HARGA SATUAN]])</f>
        <v/>
      </c>
      <c r="AG659" s="36" t="str">
        <f ca="1">IF(NOTA[[#This Row],[ID_H]]="","",INDEX(NOTA[TANGGAL],MATCH(,INDIRECT(ADDRESS(ROW(NOTA[TANGGAL]),COLUMN(NOTA[TANGGAL]))&amp;":"&amp;ADDRESS(ROW(),COLUMN(NOTA[TANGGAL]))),-1)))</f>
        <v/>
      </c>
      <c r="AH659" s="36" t="str">
        <f ca="1">IF(NOTA[[#This Row],[ID_H]]="","",INDEX(NOTA[TGL.NOTA],MATCH(,INDIRECT(ADDRESS(ROW(NOTA[TGL.NOTA]),COLUMN(NOTA[TGL.NOTA]))&amp;":"&amp;ADDRESS(ROW(),COLUMN(NOTA[TGL.NOTA]))),-1)))</f>
        <v/>
      </c>
      <c r="AI659" s="36" t="str">
        <f ca="1">IF(NOTA[[#This Row],[ID_H]]="","",INDEX(NOTA[NO.NOTA],MATCH(NOTA[[#This Row],[ID_H]],NOTA[ID_H],0)))</f>
        <v/>
      </c>
      <c r="AJ659" s="38" t="str">
        <f ca="1">IF(NOTA[[#This Row],[NAMA BARANG]]="","",INDEX(NOTA[SUPPLIER],MATCH(,INDIRECT(ADDRESS(ROW(NOTA[ID]),COLUMN(NOTA[ID]))&amp;":"&amp;ADDRESS(ROW(),COLUMN(NOTA[ID]))),-1)))</f>
        <v/>
      </c>
      <c r="AK659" s="38" t="str">
        <f ca="1">IF(NOTA[[#This Row],[ID_H]]="","",IF(NOTA[[#This Row],[FAKTUR]]="",INDIRECT(ADDRESS(ROW()-1,COLUMN())),NOTA[[#This Row],[FAKTUR]]))</f>
        <v/>
      </c>
      <c r="AL659" s="35" t="str">
        <f ca="1">IF(NOTA[[#This Row],[ID]]="","",COUNTIF(NOTA[ID_H],NOTA[[#This Row],[ID_H]]))</f>
        <v/>
      </c>
      <c r="AM659" s="35" t="str">
        <f ca="1">IF(NOTA[[#This Row],[TGL.NOTA]]="",IF(NOTA[[#This Row],[SUPPLIER_H]]="","",AM658),MONTH(NOTA[[#This Row],[TGL.NOTA]]))</f>
        <v/>
      </c>
      <c r="AN6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9" s="35" t="str">
        <f>IF(NOTA[[#This Row],[CONCAT1]]="","",MATCH(NOTA[[#This Row],[CONCAT1]],[3]!db[NB NOTA_C],0))</f>
        <v/>
      </c>
      <c r="AS659" s="35" t="str">
        <f>IF(NOTA[[#This Row],[Column5]]="","",TRUE)</f>
        <v/>
      </c>
      <c r="AT659" s="35" t="str">
        <f ca="1">IF(NOTA[[#This Row],[ID_H]]="","",IF(NOTA[[#This Row],[Column3]]=TRUE,NOTA[[#This Row],[Column5]],INDEX([3]!db[QTY/ CTN],NOTA[[#This Row],[//DB]])))</f>
        <v/>
      </c>
      <c r="AU6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59" s="35" t="str">
        <f ca="1">IF(NOTA[[#This Row],[ID_H]]="","",MATCH(NOTA[[#This Row],[NB NOTA_C_QTY]],[3]!db[NB NOTA_C_QTY+F],0))</f>
        <v/>
      </c>
      <c r="AW659" s="43" t="str">
        <f ca="1">IF(NOTA[[#This Row],[NB NOTA_C_QTY]]="","",ROW()-2)</f>
        <v/>
      </c>
    </row>
    <row r="660" spans="1:49" ht="20.100000000000001" customHeight="1">
      <c r="A6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5" t="str">
        <f ca="1">IF(NOTA[[#This Row],[NAMA BARANG]]="","",INDEX(NOTA[ID],MATCH(,INDIRECT(ADDRESS(ROW(NOTA[ID]),COLUMN(NOTA[ID]))&amp;":"&amp;ADDRESS(ROW(),COLUMN(NOTA[ID]))),-1)))</f>
        <v/>
      </c>
      <c r="C660" s="45"/>
      <c r="F660" s="46"/>
      <c r="G660" s="35"/>
      <c r="H660" s="36"/>
      <c r="I660" s="35"/>
      <c r="K660" s="37"/>
      <c r="L660" s="35"/>
      <c r="N660" s="38"/>
      <c r="O660" s="39"/>
      <c r="P660" s="47"/>
      <c r="Q660" s="48"/>
      <c r="R660" s="41"/>
      <c r="T660" s="42"/>
      <c r="U660" s="44"/>
      <c r="V660" s="42" t="str">
        <f>IF(NOTA[[#This Row],[HARGA/ CTN]]="",NOTA[[#This Row],[JUMLAH_H]],NOTA[[#This Row],[HARGA/ CTN]]*IF(NOTA[[#This Row],[C]]="",0,NOTA[[#This Row],[C]]))</f>
        <v/>
      </c>
      <c r="W660" s="42" t="str">
        <f>IF(NOTA[[#This Row],[JUMLAH]]="","",NOTA[[#This Row],[JUMLAH]]*NOTA[[#This Row],[Column6]])</f>
        <v/>
      </c>
      <c r="X660" s="42" t="str">
        <f>IF(NOTA[[#This Row],[JUMLAH]]="","",(NOTA[[#This Row],[JUMLAH]]-NOTA[[#This Row],[DISC 1-]])*NOTA[[#This Row],[Column7]])</f>
        <v/>
      </c>
      <c r="Y660" s="42" t="str">
        <f>IF(NOTA[[#This Row],[JUMLAH]]="","",(NOTA[[#This Row],[JUMLAH]]-NOTA[[#This Row],[DISC 1-]]-NOTA[[#This Row],[DISC 2-]])*NOTA[[#This Row],[Column8]])</f>
        <v/>
      </c>
      <c r="Z660" s="42" t="str">
        <f>IF(NOTA[[#This Row],[JUMLAH]]="","",NOTA[[#This Row],[DISC 1-]]+NOTA[[#This Row],[DISC 2-]]+NOTA[[#This Row],[DISC 3-]])</f>
        <v/>
      </c>
      <c r="AA660" s="42" t="str">
        <f>IF(NOTA[[#This Row],[JUMLAH]]="","",NOTA[[#This Row],[JUMLAH]]-NOTA[[#This Row],[DISC]])</f>
        <v/>
      </c>
      <c r="AB660" s="42"/>
      <c r="AC6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42" t="str">
        <f>IF(OR(NOTA[[#This Row],[QTY]]="",NOTA[[#This Row],[HARGA SATUAN]]="",),"",NOTA[[#This Row],[QTY]]*NOTA[[#This Row],[HARGA SATUAN]])</f>
        <v/>
      </c>
      <c r="AG660" s="36" t="str">
        <f ca="1">IF(NOTA[[#This Row],[ID_H]]="","",INDEX(NOTA[TANGGAL],MATCH(,INDIRECT(ADDRESS(ROW(NOTA[TANGGAL]),COLUMN(NOTA[TANGGAL]))&amp;":"&amp;ADDRESS(ROW(),COLUMN(NOTA[TANGGAL]))),-1)))</f>
        <v/>
      </c>
      <c r="AH660" s="36" t="str">
        <f ca="1">IF(NOTA[[#This Row],[ID_H]]="","",INDEX(NOTA[TGL.NOTA],MATCH(,INDIRECT(ADDRESS(ROW(NOTA[TGL.NOTA]),COLUMN(NOTA[TGL.NOTA]))&amp;":"&amp;ADDRESS(ROW(),COLUMN(NOTA[TGL.NOTA]))),-1)))</f>
        <v/>
      </c>
      <c r="AI660" s="36" t="str">
        <f ca="1">IF(NOTA[[#This Row],[ID_H]]="","",INDEX(NOTA[NO.NOTA],MATCH(NOTA[[#This Row],[ID_H]],NOTA[ID_H],0)))</f>
        <v/>
      </c>
      <c r="AJ660" s="38" t="str">
        <f ca="1">IF(NOTA[[#This Row],[NAMA BARANG]]="","",INDEX(NOTA[SUPPLIER],MATCH(,INDIRECT(ADDRESS(ROW(NOTA[ID]),COLUMN(NOTA[ID]))&amp;":"&amp;ADDRESS(ROW(),COLUMN(NOTA[ID]))),-1)))</f>
        <v/>
      </c>
      <c r="AK660" s="38" t="str">
        <f ca="1">IF(NOTA[[#This Row],[ID_H]]="","",IF(NOTA[[#This Row],[FAKTUR]]="",INDIRECT(ADDRESS(ROW()-1,COLUMN())),NOTA[[#This Row],[FAKTUR]]))</f>
        <v/>
      </c>
      <c r="AL660" s="35" t="str">
        <f ca="1">IF(NOTA[[#This Row],[ID]]="","",COUNTIF(NOTA[ID_H],NOTA[[#This Row],[ID_H]]))</f>
        <v/>
      </c>
      <c r="AM660" s="35" t="str">
        <f ca="1">IF(NOTA[[#This Row],[TGL.NOTA]]="",IF(NOTA[[#This Row],[SUPPLIER_H]]="","",AM659),MONTH(NOTA[[#This Row],[TGL.NOTA]]))</f>
        <v/>
      </c>
      <c r="AN6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0" s="35" t="str">
        <f>IF(NOTA[[#This Row],[CONCAT1]]="","",MATCH(NOTA[[#This Row],[CONCAT1]],[3]!db[NB NOTA_C],0))</f>
        <v/>
      </c>
      <c r="AS660" s="35" t="str">
        <f>IF(NOTA[[#This Row],[Column5]]="","",TRUE)</f>
        <v/>
      </c>
      <c r="AT660" s="35" t="str">
        <f ca="1">IF(NOTA[[#This Row],[ID_H]]="","",IF(NOTA[[#This Row],[Column3]]=TRUE,NOTA[[#This Row],[Column5]],INDEX([3]!db[QTY/ CTN],NOTA[[#This Row],[//DB]])))</f>
        <v/>
      </c>
      <c r="AU6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0" s="35" t="str">
        <f ca="1">IF(NOTA[[#This Row],[ID_H]]="","",MATCH(NOTA[[#This Row],[NB NOTA_C_QTY]],[3]!db[NB NOTA_C_QTY+F],0))</f>
        <v/>
      </c>
      <c r="AW660" s="43" t="str">
        <f ca="1">IF(NOTA[[#This Row],[NB NOTA_C_QTY]]="","",ROW()-2)</f>
        <v/>
      </c>
    </row>
    <row r="661" spans="1:49" ht="20.100000000000001" customHeight="1">
      <c r="A6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5" t="str">
        <f ca="1">IF(NOTA[[#This Row],[NAMA BARANG]]="","",INDEX(NOTA[ID],MATCH(,INDIRECT(ADDRESS(ROW(NOTA[ID]),COLUMN(NOTA[ID]))&amp;":"&amp;ADDRESS(ROW(),COLUMN(NOTA[ID]))),-1)))</f>
        <v/>
      </c>
      <c r="C661" s="45"/>
      <c r="F661" s="46"/>
      <c r="G661" s="35"/>
      <c r="H661" s="36"/>
      <c r="I661" s="35"/>
      <c r="K661" s="37"/>
      <c r="L661" s="35"/>
      <c r="N661" s="38"/>
      <c r="O661" s="39"/>
      <c r="P661" s="47"/>
      <c r="Q661" s="48"/>
      <c r="R661" s="41"/>
      <c r="T661" s="42"/>
      <c r="U661" s="44"/>
      <c r="V661" s="42" t="str">
        <f>IF(NOTA[[#This Row],[HARGA/ CTN]]="",NOTA[[#This Row],[JUMLAH_H]],NOTA[[#This Row],[HARGA/ CTN]]*IF(NOTA[[#This Row],[C]]="",0,NOTA[[#This Row],[C]]))</f>
        <v/>
      </c>
      <c r="W661" s="42" t="str">
        <f>IF(NOTA[[#This Row],[JUMLAH]]="","",NOTA[[#This Row],[JUMLAH]]*NOTA[[#This Row],[Column6]])</f>
        <v/>
      </c>
      <c r="X661" s="42" t="str">
        <f>IF(NOTA[[#This Row],[JUMLAH]]="","",(NOTA[[#This Row],[JUMLAH]]-NOTA[[#This Row],[DISC 1-]])*NOTA[[#This Row],[Column7]])</f>
        <v/>
      </c>
      <c r="Y661" s="42" t="str">
        <f>IF(NOTA[[#This Row],[JUMLAH]]="","",(NOTA[[#This Row],[JUMLAH]]-NOTA[[#This Row],[DISC 1-]]-NOTA[[#This Row],[DISC 2-]])*NOTA[[#This Row],[Column8]])</f>
        <v/>
      </c>
      <c r="Z661" s="42" t="str">
        <f>IF(NOTA[[#This Row],[JUMLAH]]="","",NOTA[[#This Row],[DISC 1-]]+NOTA[[#This Row],[DISC 2-]]+NOTA[[#This Row],[DISC 3-]])</f>
        <v/>
      </c>
      <c r="AA661" s="42" t="str">
        <f>IF(NOTA[[#This Row],[JUMLAH]]="","",NOTA[[#This Row],[JUMLAH]]-NOTA[[#This Row],[DISC]])</f>
        <v/>
      </c>
      <c r="AB661" s="42"/>
      <c r="AC6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42" t="str">
        <f>IF(OR(NOTA[[#This Row],[QTY]]="",NOTA[[#This Row],[HARGA SATUAN]]="",),"",NOTA[[#This Row],[QTY]]*NOTA[[#This Row],[HARGA SATUAN]])</f>
        <v/>
      </c>
      <c r="AG661" s="36" t="str">
        <f ca="1">IF(NOTA[[#This Row],[ID_H]]="","",INDEX(NOTA[TANGGAL],MATCH(,INDIRECT(ADDRESS(ROW(NOTA[TANGGAL]),COLUMN(NOTA[TANGGAL]))&amp;":"&amp;ADDRESS(ROW(),COLUMN(NOTA[TANGGAL]))),-1)))</f>
        <v/>
      </c>
      <c r="AH661" s="36" t="str">
        <f ca="1">IF(NOTA[[#This Row],[ID_H]]="","",INDEX(NOTA[TGL.NOTA],MATCH(,INDIRECT(ADDRESS(ROW(NOTA[TGL.NOTA]),COLUMN(NOTA[TGL.NOTA]))&amp;":"&amp;ADDRESS(ROW(),COLUMN(NOTA[TGL.NOTA]))),-1)))</f>
        <v/>
      </c>
      <c r="AI661" s="36" t="str">
        <f ca="1">IF(NOTA[[#This Row],[ID_H]]="","",INDEX(NOTA[NO.NOTA],MATCH(NOTA[[#This Row],[ID_H]],NOTA[ID_H],0)))</f>
        <v/>
      </c>
      <c r="AJ661" s="38" t="str">
        <f ca="1">IF(NOTA[[#This Row],[NAMA BARANG]]="","",INDEX(NOTA[SUPPLIER],MATCH(,INDIRECT(ADDRESS(ROW(NOTA[ID]),COLUMN(NOTA[ID]))&amp;":"&amp;ADDRESS(ROW(),COLUMN(NOTA[ID]))),-1)))</f>
        <v/>
      </c>
      <c r="AK661" s="38" t="str">
        <f ca="1">IF(NOTA[[#This Row],[ID_H]]="","",IF(NOTA[[#This Row],[FAKTUR]]="",INDIRECT(ADDRESS(ROW()-1,COLUMN())),NOTA[[#This Row],[FAKTUR]]))</f>
        <v/>
      </c>
      <c r="AL661" s="35" t="str">
        <f ca="1">IF(NOTA[[#This Row],[ID]]="","",COUNTIF(NOTA[ID_H],NOTA[[#This Row],[ID_H]]))</f>
        <v/>
      </c>
      <c r="AM661" s="35" t="str">
        <f ca="1">IF(NOTA[[#This Row],[TGL.NOTA]]="",IF(NOTA[[#This Row],[SUPPLIER_H]]="","",AM660),MONTH(NOTA[[#This Row],[TGL.NOTA]]))</f>
        <v/>
      </c>
      <c r="AN6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1" s="35" t="str">
        <f>IF(NOTA[[#This Row],[CONCAT1]]="","",MATCH(NOTA[[#This Row],[CONCAT1]],[3]!db[NB NOTA_C],0))</f>
        <v/>
      </c>
      <c r="AS661" s="35" t="str">
        <f>IF(NOTA[[#This Row],[Column5]]="","",TRUE)</f>
        <v/>
      </c>
      <c r="AT661" s="35" t="str">
        <f ca="1">IF(NOTA[[#This Row],[ID_H]]="","",IF(NOTA[[#This Row],[Column3]]=TRUE,NOTA[[#This Row],[Column5]],INDEX([3]!db[QTY/ CTN],NOTA[[#This Row],[//DB]])))</f>
        <v/>
      </c>
      <c r="AU6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1" s="35" t="str">
        <f ca="1">IF(NOTA[[#This Row],[ID_H]]="","",MATCH(NOTA[[#This Row],[NB NOTA_C_QTY]],[3]!db[NB NOTA_C_QTY+F],0))</f>
        <v/>
      </c>
      <c r="AW661" s="43" t="str">
        <f ca="1">IF(NOTA[[#This Row],[NB NOTA_C_QTY]]="","",ROW()-2)</f>
        <v/>
      </c>
    </row>
    <row r="662" spans="1:49" ht="20.100000000000001" customHeight="1">
      <c r="A6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5" t="str">
        <f ca="1">IF(NOTA[[#This Row],[NAMA BARANG]]="","",INDEX(NOTA[ID],MATCH(,INDIRECT(ADDRESS(ROW(NOTA[ID]),COLUMN(NOTA[ID]))&amp;":"&amp;ADDRESS(ROW(),COLUMN(NOTA[ID]))),-1)))</f>
        <v/>
      </c>
      <c r="C662" s="45"/>
      <c r="F662" s="46"/>
      <c r="G662" s="35"/>
      <c r="H662" s="36"/>
      <c r="I662" s="35"/>
      <c r="K662" s="37"/>
      <c r="L662" s="35"/>
      <c r="N662" s="38"/>
      <c r="O662" s="39"/>
      <c r="P662" s="47"/>
      <c r="Q662" s="48"/>
      <c r="R662" s="41"/>
      <c r="T662" s="42"/>
      <c r="U662" s="44"/>
      <c r="V662" s="42" t="str">
        <f>IF(NOTA[[#This Row],[HARGA/ CTN]]="",NOTA[[#This Row],[JUMLAH_H]],NOTA[[#This Row],[HARGA/ CTN]]*IF(NOTA[[#This Row],[C]]="",0,NOTA[[#This Row],[C]]))</f>
        <v/>
      </c>
      <c r="W662" s="42" t="str">
        <f>IF(NOTA[[#This Row],[JUMLAH]]="","",NOTA[[#This Row],[JUMLAH]]*NOTA[[#This Row],[Column6]])</f>
        <v/>
      </c>
      <c r="X662" s="42" t="str">
        <f>IF(NOTA[[#This Row],[JUMLAH]]="","",(NOTA[[#This Row],[JUMLAH]]-NOTA[[#This Row],[DISC 1-]])*NOTA[[#This Row],[Column7]])</f>
        <v/>
      </c>
      <c r="Y662" s="42" t="str">
        <f>IF(NOTA[[#This Row],[JUMLAH]]="","",(NOTA[[#This Row],[JUMLAH]]-NOTA[[#This Row],[DISC 1-]]-NOTA[[#This Row],[DISC 2-]])*NOTA[[#This Row],[Column8]])</f>
        <v/>
      </c>
      <c r="Z662" s="42" t="str">
        <f>IF(NOTA[[#This Row],[JUMLAH]]="","",NOTA[[#This Row],[DISC 1-]]+NOTA[[#This Row],[DISC 2-]]+NOTA[[#This Row],[DISC 3-]])</f>
        <v/>
      </c>
      <c r="AA662" s="42" t="str">
        <f>IF(NOTA[[#This Row],[JUMLAH]]="","",NOTA[[#This Row],[JUMLAH]]-NOTA[[#This Row],[DISC]])</f>
        <v/>
      </c>
      <c r="AB662" s="42"/>
      <c r="AC6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42" t="str">
        <f>IF(OR(NOTA[[#This Row],[QTY]]="",NOTA[[#This Row],[HARGA SATUAN]]="",),"",NOTA[[#This Row],[QTY]]*NOTA[[#This Row],[HARGA SATUAN]])</f>
        <v/>
      </c>
      <c r="AG662" s="36" t="str">
        <f ca="1">IF(NOTA[[#This Row],[ID_H]]="","",INDEX(NOTA[TANGGAL],MATCH(,INDIRECT(ADDRESS(ROW(NOTA[TANGGAL]),COLUMN(NOTA[TANGGAL]))&amp;":"&amp;ADDRESS(ROW(),COLUMN(NOTA[TANGGAL]))),-1)))</f>
        <v/>
      </c>
      <c r="AH662" s="36" t="str">
        <f ca="1">IF(NOTA[[#This Row],[ID_H]]="","",INDEX(NOTA[TGL.NOTA],MATCH(,INDIRECT(ADDRESS(ROW(NOTA[TGL.NOTA]),COLUMN(NOTA[TGL.NOTA]))&amp;":"&amp;ADDRESS(ROW(),COLUMN(NOTA[TGL.NOTA]))),-1)))</f>
        <v/>
      </c>
      <c r="AI662" s="36" t="str">
        <f ca="1">IF(NOTA[[#This Row],[ID_H]]="","",INDEX(NOTA[NO.NOTA],MATCH(NOTA[[#This Row],[ID_H]],NOTA[ID_H],0)))</f>
        <v/>
      </c>
      <c r="AJ662" s="38" t="str">
        <f ca="1">IF(NOTA[[#This Row],[NAMA BARANG]]="","",INDEX(NOTA[SUPPLIER],MATCH(,INDIRECT(ADDRESS(ROW(NOTA[ID]),COLUMN(NOTA[ID]))&amp;":"&amp;ADDRESS(ROW(),COLUMN(NOTA[ID]))),-1)))</f>
        <v/>
      </c>
      <c r="AK662" s="38" t="str">
        <f ca="1">IF(NOTA[[#This Row],[ID_H]]="","",IF(NOTA[[#This Row],[FAKTUR]]="",INDIRECT(ADDRESS(ROW()-1,COLUMN())),NOTA[[#This Row],[FAKTUR]]))</f>
        <v/>
      </c>
      <c r="AL662" s="35" t="str">
        <f ca="1">IF(NOTA[[#This Row],[ID]]="","",COUNTIF(NOTA[ID_H],NOTA[[#This Row],[ID_H]]))</f>
        <v/>
      </c>
      <c r="AM662" s="35" t="str">
        <f ca="1">IF(NOTA[[#This Row],[TGL.NOTA]]="",IF(NOTA[[#This Row],[SUPPLIER_H]]="","",AM661),MONTH(NOTA[[#This Row],[TGL.NOTA]]))</f>
        <v/>
      </c>
      <c r="AN6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2" s="35" t="str">
        <f>IF(NOTA[[#This Row],[CONCAT1]]="","",MATCH(NOTA[[#This Row],[CONCAT1]],[3]!db[NB NOTA_C],0))</f>
        <v/>
      </c>
      <c r="AS662" s="35" t="str">
        <f>IF(NOTA[[#This Row],[Column5]]="","",TRUE)</f>
        <v/>
      </c>
      <c r="AT662" s="35" t="str">
        <f ca="1">IF(NOTA[[#This Row],[ID_H]]="","",IF(NOTA[[#This Row],[Column3]]=TRUE,NOTA[[#This Row],[Column5]],INDEX([3]!db[QTY/ CTN],NOTA[[#This Row],[//DB]])))</f>
        <v/>
      </c>
      <c r="AU6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2" s="35" t="str">
        <f ca="1">IF(NOTA[[#This Row],[ID_H]]="","",MATCH(NOTA[[#This Row],[NB NOTA_C_QTY]],[3]!db[NB NOTA_C_QTY+F],0))</f>
        <v/>
      </c>
      <c r="AW662" s="43" t="str">
        <f ca="1">IF(NOTA[[#This Row],[NB NOTA_C_QTY]]="","",ROW()-2)</f>
        <v/>
      </c>
    </row>
    <row r="663" spans="1:49" ht="20.100000000000001" customHeight="1">
      <c r="A6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5" t="str">
        <f ca="1">IF(NOTA[[#This Row],[NAMA BARANG]]="","",INDEX(NOTA[ID],MATCH(,INDIRECT(ADDRESS(ROW(NOTA[ID]),COLUMN(NOTA[ID]))&amp;":"&amp;ADDRESS(ROW(),COLUMN(NOTA[ID]))),-1)))</f>
        <v/>
      </c>
      <c r="C663" s="45"/>
      <c r="F663" s="46"/>
      <c r="G663" s="35"/>
      <c r="H663" s="36"/>
      <c r="I663" s="35"/>
      <c r="K663" s="37"/>
      <c r="L663" s="35"/>
      <c r="N663" s="38"/>
      <c r="O663" s="39"/>
      <c r="P663" s="47"/>
      <c r="Q663" s="48"/>
      <c r="R663" s="41"/>
      <c r="T663" s="42"/>
      <c r="U663" s="44"/>
      <c r="V663" s="42" t="str">
        <f>IF(NOTA[[#This Row],[HARGA/ CTN]]="",NOTA[[#This Row],[JUMLAH_H]],NOTA[[#This Row],[HARGA/ CTN]]*IF(NOTA[[#This Row],[C]]="",0,NOTA[[#This Row],[C]]))</f>
        <v/>
      </c>
      <c r="W663" s="42" t="str">
        <f>IF(NOTA[[#This Row],[JUMLAH]]="","",NOTA[[#This Row],[JUMLAH]]*NOTA[[#This Row],[Column6]])</f>
        <v/>
      </c>
      <c r="X663" s="42" t="str">
        <f>IF(NOTA[[#This Row],[JUMLAH]]="","",(NOTA[[#This Row],[JUMLAH]]-NOTA[[#This Row],[DISC 1-]])*NOTA[[#This Row],[Column7]])</f>
        <v/>
      </c>
      <c r="Y663" s="42" t="str">
        <f>IF(NOTA[[#This Row],[JUMLAH]]="","",(NOTA[[#This Row],[JUMLAH]]-NOTA[[#This Row],[DISC 1-]]-NOTA[[#This Row],[DISC 2-]])*NOTA[[#This Row],[Column8]])</f>
        <v/>
      </c>
      <c r="Z663" s="42" t="str">
        <f>IF(NOTA[[#This Row],[JUMLAH]]="","",NOTA[[#This Row],[DISC 1-]]+NOTA[[#This Row],[DISC 2-]]+NOTA[[#This Row],[DISC 3-]])</f>
        <v/>
      </c>
      <c r="AA663" s="42" t="str">
        <f>IF(NOTA[[#This Row],[JUMLAH]]="","",NOTA[[#This Row],[JUMLAH]]-NOTA[[#This Row],[DISC]])</f>
        <v/>
      </c>
      <c r="AB663" s="42"/>
      <c r="AC6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42" t="str">
        <f>IF(OR(NOTA[[#This Row],[QTY]]="",NOTA[[#This Row],[HARGA SATUAN]]="",),"",NOTA[[#This Row],[QTY]]*NOTA[[#This Row],[HARGA SATUAN]])</f>
        <v/>
      </c>
      <c r="AG663" s="36" t="str">
        <f ca="1">IF(NOTA[[#This Row],[ID_H]]="","",INDEX(NOTA[TANGGAL],MATCH(,INDIRECT(ADDRESS(ROW(NOTA[TANGGAL]),COLUMN(NOTA[TANGGAL]))&amp;":"&amp;ADDRESS(ROW(),COLUMN(NOTA[TANGGAL]))),-1)))</f>
        <v/>
      </c>
      <c r="AH663" s="36" t="str">
        <f ca="1">IF(NOTA[[#This Row],[ID_H]]="","",INDEX(NOTA[TGL.NOTA],MATCH(,INDIRECT(ADDRESS(ROW(NOTA[TGL.NOTA]),COLUMN(NOTA[TGL.NOTA]))&amp;":"&amp;ADDRESS(ROW(),COLUMN(NOTA[TGL.NOTA]))),-1)))</f>
        <v/>
      </c>
      <c r="AI663" s="36" t="str">
        <f ca="1">IF(NOTA[[#This Row],[ID_H]]="","",INDEX(NOTA[NO.NOTA],MATCH(NOTA[[#This Row],[ID_H]],NOTA[ID_H],0)))</f>
        <v/>
      </c>
      <c r="AJ663" s="38" t="str">
        <f ca="1">IF(NOTA[[#This Row],[NAMA BARANG]]="","",INDEX(NOTA[SUPPLIER],MATCH(,INDIRECT(ADDRESS(ROW(NOTA[ID]),COLUMN(NOTA[ID]))&amp;":"&amp;ADDRESS(ROW(),COLUMN(NOTA[ID]))),-1)))</f>
        <v/>
      </c>
      <c r="AK663" s="38" t="str">
        <f ca="1">IF(NOTA[[#This Row],[ID_H]]="","",IF(NOTA[[#This Row],[FAKTUR]]="",INDIRECT(ADDRESS(ROW()-1,COLUMN())),NOTA[[#This Row],[FAKTUR]]))</f>
        <v/>
      </c>
      <c r="AL663" s="35" t="str">
        <f ca="1">IF(NOTA[[#This Row],[ID]]="","",COUNTIF(NOTA[ID_H],NOTA[[#This Row],[ID_H]]))</f>
        <v/>
      </c>
      <c r="AM663" s="35" t="str">
        <f ca="1">IF(NOTA[[#This Row],[TGL.NOTA]]="",IF(NOTA[[#This Row],[SUPPLIER_H]]="","",AM662),MONTH(NOTA[[#This Row],[TGL.NOTA]]))</f>
        <v/>
      </c>
      <c r="AN6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3" s="35" t="str">
        <f>IF(NOTA[[#This Row],[CONCAT1]]="","",MATCH(NOTA[[#This Row],[CONCAT1]],[3]!db[NB NOTA_C],0))</f>
        <v/>
      </c>
      <c r="AS663" s="35" t="str">
        <f>IF(NOTA[[#This Row],[Column5]]="","",TRUE)</f>
        <v/>
      </c>
      <c r="AT663" s="35" t="str">
        <f ca="1">IF(NOTA[[#This Row],[ID_H]]="","",IF(NOTA[[#This Row],[Column3]]=TRUE,NOTA[[#This Row],[Column5]],INDEX([3]!db[QTY/ CTN],NOTA[[#This Row],[//DB]])))</f>
        <v/>
      </c>
      <c r="AU6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3" s="35" t="str">
        <f ca="1">IF(NOTA[[#This Row],[ID_H]]="","",MATCH(NOTA[[#This Row],[NB NOTA_C_QTY]],[3]!db[NB NOTA_C_QTY+F],0))</f>
        <v/>
      </c>
      <c r="AW663" s="43" t="str">
        <f ca="1">IF(NOTA[[#This Row],[NB NOTA_C_QTY]]="","",ROW()-2)</f>
        <v/>
      </c>
    </row>
    <row r="664" spans="1:49" ht="20.100000000000001" customHeight="1">
      <c r="A6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5" t="str">
        <f ca="1">IF(NOTA[[#This Row],[NAMA BARANG]]="","",INDEX(NOTA[ID],MATCH(,INDIRECT(ADDRESS(ROW(NOTA[ID]),COLUMN(NOTA[ID]))&amp;":"&amp;ADDRESS(ROW(),COLUMN(NOTA[ID]))),-1)))</f>
        <v/>
      </c>
      <c r="C664" s="45"/>
      <c r="F664" s="46"/>
      <c r="G664" s="35"/>
      <c r="H664" s="36"/>
      <c r="I664" s="35"/>
      <c r="K664" s="37"/>
      <c r="L664" s="35"/>
      <c r="N664" s="38"/>
      <c r="O664" s="39"/>
      <c r="P664" s="47"/>
      <c r="Q664" s="48"/>
      <c r="R664" s="41"/>
      <c r="T664" s="42"/>
      <c r="U664" s="44"/>
      <c r="V664" s="42" t="str">
        <f>IF(NOTA[[#This Row],[HARGA/ CTN]]="",NOTA[[#This Row],[JUMLAH_H]],NOTA[[#This Row],[HARGA/ CTN]]*IF(NOTA[[#This Row],[C]]="",0,NOTA[[#This Row],[C]]))</f>
        <v/>
      </c>
      <c r="W664" s="42" t="str">
        <f>IF(NOTA[[#This Row],[JUMLAH]]="","",NOTA[[#This Row],[JUMLAH]]*NOTA[[#This Row],[Column6]])</f>
        <v/>
      </c>
      <c r="X664" s="42" t="str">
        <f>IF(NOTA[[#This Row],[JUMLAH]]="","",(NOTA[[#This Row],[JUMLAH]]-NOTA[[#This Row],[DISC 1-]])*NOTA[[#This Row],[Column7]])</f>
        <v/>
      </c>
      <c r="Y664" s="42" t="str">
        <f>IF(NOTA[[#This Row],[JUMLAH]]="","",(NOTA[[#This Row],[JUMLAH]]-NOTA[[#This Row],[DISC 1-]]-NOTA[[#This Row],[DISC 2-]])*NOTA[[#This Row],[Column8]])</f>
        <v/>
      </c>
      <c r="Z664" s="42" t="str">
        <f>IF(NOTA[[#This Row],[JUMLAH]]="","",NOTA[[#This Row],[DISC 1-]]+NOTA[[#This Row],[DISC 2-]]+NOTA[[#This Row],[DISC 3-]])</f>
        <v/>
      </c>
      <c r="AA664" s="42" t="str">
        <f>IF(NOTA[[#This Row],[JUMLAH]]="","",NOTA[[#This Row],[JUMLAH]]-NOTA[[#This Row],[DISC]])</f>
        <v/>
      </c>
      <c r="AB664" s="42"/>
      <c r="AC6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42" t="str">
        <f>IF(OR(NOTA[[#This Row],[QTY]]="",NOTA[[#This Row],[HARGA SATUAN]]="",),"",NOTA[[#This Row],[QTY]]*NOTA[[#This Row],[HARGA SATUAN]])</f>
        <v/>
      </c>
      <c r="AG664" s="36" t="str">
        <f ca="1">IF(NOTA[[#This Row],[ID_H]]="","",INDEX(NOTA[TANGGAL],MATCH(,INDIRECT(ADDRESS(ROW(NOTA[TANGGAL]),COLUMN(NOTA[TANGGAL]))&amp;":"&amp;ADDRESS(ROW(),COLUMN(NOTA[TANGGAL]))),-1)))</f>
        <v/>
      </c>
      <c r="AH664" s="36" t="str">
        <f ca="1">IF(NOTA[[#This Row],[ID_H]]="","",INDEX(NOTA[TGL.NOTA],MATCH(,INDIRECT(ADDRESS(ROW(NOTA[TGL.NOTA]),COLUMN(NOTA[TGL.NOTA]))&amp;":"&amp;ADDRESS(ROW(),COLUMN(NOTA[TGL.NOTA]))),-1)))</f>
        <v/>
      </c>
      <c r="AI664" s="36" t="str">
        <f ca="1">IF(NOTA[[#This Row],[ID_H]]="","",INDEX(NOTA[NO.NOTA],MATCH(NOTA[[#This Row],[ID_H]],NOTA[ID_H],0)))</f>
        <v/>
      </c>
      <c r="AJ664" s="38" t="str">
        <f ca="1">IF(NOTA[[#This Row],[NAMA BARANG]]="","",INDEX(NOTA[SUPPLIER],MATCH(,INDIRECT(ADDRESS(ROW(NOTA[ID]),COLUMN(NOTA[ID]))&amp;":"&amp;ADDRESS(ROW(),COLUMN(NOTA[ID]))),-1)))</f>
        <v/>
      </c>
      <c r="AK664" s="38" t="str">
        <f ca="1">IF(NOTA[[#This Row],[ID_H]]="","",IF(NOTA[[#This Row],[FAKTUR]]="",INDIRECT(ADDRESS(ROW()-1,COLUMN())),NOTA[[#This Row],[FAKTUR]]))</f>
        <v/>
      </c>
      <c r="AL664" s="35" t="str">
        <f ca="1">IF(NOTA[[#This Row],[ID]]="","",COUNTIF(NOTA[ID_H],NOTA[[#This Row],[ID_H]]))</f>
        <v/>
      </c>
      <c r="AM664" s="35" t="str">
        <f ca="1">IF(NOTA[[#This Row],[TGL.NOTA]]="",IF(NOTA[[#This Row],[SUPPLIER_H]]="","",AM663),MONTH(NOTA[[#This Row],[TGL.NOTA]]))</f>
        <v/>
      </c>
      <c r="AN6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4" s="35" t="str">
        <f>IF(NOTA[[#This Row],[CONCAT1]]="","",MATCH(NOTA[[#This Row],[CONCAT1]],[3]!db[NB NOTA_C],0))</f>
        <v/>
      </c>
      <c r="AS664" s="35" t="str">
        <f>IF(NOTA[[#This Row],[Column5]]="","",TRUE)</f>
        <v/>
      </c>
      <c r="AT664" s="35" t="str">
        <f ca="1">IF(NOTA[[#This Row],[ID_H]]="","",IF(NOTA[[#This Row],[Column3]]=TRUE,NOTA[[#This Row],[Column5]],INDEX([3]!db[QTY/ CTN],NOTA[[#This Row],[//DB]])))</f>
        <v/>
      </c>
      <c r="AU6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4" s="35" t="str">
        <f ca="1">IF(NOTA[[#This Row],[ID_H]]="","",MATCH(NOTA[[#This Row],[NB NOTA_C_QTY]],[3]!db[NB NOTA_C_QTY+F],0))</f>
        <v/>
      </c>
      <c r="AW664" s="43" t="str">
        <f ca="1">IF(NOTA[[#This Row],[NB NOTA_C_QTY]]="","",ROW()-2)</f>
        <v/>
      </c>
    </row>
    <row r="665" spans="1:49" ht="20.100000000000001" customHeight="1">
      <c r="A6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5" t="str">
        <f ca="1">IF(NOTA[[#This Row],[NAMA BARANG]]="","",INDEX(NOTA[ID],MATCH(,INDIRECT(ADDRESS(ROW(NOTA[ID]),COLUMN(NOTA[ID]))&amp;":"&amp;ADDRESS(ROW(),COLUMN(NOTA[ID]))),-1)))</f>
        <v/>
      </c>
      <c r="C665" s="45"/>
      <c r="F665" s="46"/>
      <c r="G665" s="35"/>
      <c r="H665" s="36"/>
      <c r="I665" s="35"/>
      <c r="K665" s="37"/>
      <c r="L665" s="35"/>
      <c r="N665" s="38"/>
      <c r="O665" s="39"/>
      <c r="P665" s="47"/>
      <c r="Q665" s="48"/>
      <c r="R665" s="41"/>
      <c r="T665" s="42"/>
      <c r="U665" s="44"/>
      <c r="V665" s="42" t="str">
        <f>IF(NOTA[[#This Row],[HARGA/ CTN]]="",NOTA[[#This Row],[JUMLAH_H]],NOTA[[#This Row],[HARGA/ CTN]]*IF(NOTA[[#This Row],[C]]="",0,NOTA[[#This Row],[C]]))</f>
        <v/>
      </c>
      <c r="W665" s="42" t="str">
        <f>IF(NOTA[[#This Row],[JUMLAH]]="","",NOTA[[#This Row],[JUMLAH]]*NOTA[[#This Row],[Column6]])</f>
        <v/>
      </c>
      <c r="X665" s="42" t="str">
        <f>IF(NOTA[[#This Row],[JUMLAH]]="","",(NOTA[[#This Row],[JUMLAH]]-NOTA[[#This Row],[DISC 1-]])*NOTA[[#This Row],[Column7]])</f>
        <v/>
      </c>
      <c r="Y665" s="42" t="str">
        <f>IF(NOTA[[#This Row],[JUMLAH]]="","",(NOTA[[#This Row],[JUMLAH]]-NOTA[[#This Row],[DISC 1-]]-NOTA[[#This Row],[DISC 2-]])*NOTA[[#This Row],[Column8]])</f>
        <v/>
      </c>
      <c r="Z665" s="42" t="str">
        <f>IF(NOTA[[#This Row],[JUMLAH]]="","",NOTA[[#This Row],[DISC 1-]]+NOTA[[#This Row],[DISC 2-]]+NOTA[[#This Row],[DISC 3-]])</f>
        <v/>
      </c>
      <c r="AA665" s="42" t="str">
        <f>IF(NOTA[[#This Row],[JUMLAH]]="","",NOTA[[#This Row],[JUMLAH]]-NOTA[[#This Row],[DISC]])</f>
        <v/>
      </c>
      <c r="AB665" s="42"/>
      <c r="AC6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42" t="str">
        <f>IF(OR(NOTA[[#This Row],[QTY]]="",NOTA[[#This Row],[HARGA SATUAN]]="",),"",NOTA[[#This Row],[QTY]]*NOTA[[#This Row],[HARGA SATUAN]])</f>
        <v/>
      </c>
      <c r="AG665" s="36" t="str">
        <f ca="1">IF(NOTA[[#This Row],[ID_H]]="","",INDEX(NOTA[TANGGAL],MATCH(,INDIRECT(ADDRESS(ROW(NOTA[TANGGAL]),COLUMN(NOTA[TANGGAL]))&amp;":"&amp;ADDRESS(ROW(),COLUMN(NOTA[TANGGAL]))),-1)))</f>
        <v/>
      </c>
      <c r="AH665" s="36" t="str">
        <f ca="1">IF(NOTA[[#This Row],[ID_H]]="","",INDEX(NOTA[TGL.NOTA],MATCH(,INDIRECT(ADDRESS(ROW(NOTA[TGL.NOTA]),COLUMN(NOTA[TGL.NOTA]))&amp;":"&amp;ADDRESS(ROW(),COLUMN(NOTA[TGL.NOTA]))),-1)))</f>
        <v/>
      </c>
      <c r="AI665" s="36" t="str">
        <f ca="1">IF(NOTA[[#This Row],[ID_H]]="","",INDEX(NOTA[NO.NOTA],MATCH(NOTA[[#This Row],[ID_H]],NOTA[ID_H],0)))</f>
        <v/>
      </c>
      <c r="AJ665" s="38" t="str">
        <f ca="1">IF(NOTA[[#This Row],[NAMA BARANG]]="","",INDEX(NOTA[SUPPLIER],MATCH(,INDIRECT(ADDRESS(ROW(NOTA[ID]),COLUMN(NOTA[ID]))&amp;":"&amp;ADDRESS(ROW(),COLUMN(NOTA[ID]))),-1)))</f>
        <v/>
      </c>
      <c r="AK665" s="38" t="str">
        <f ca="1">IF(NOTA[[#This Row],[ID_H]]="","",IF(NOTA[[#This Row],[FAKTUR]]="",INDIRECT(ADDRESS(ROW()-1,COLUMN())),NOTA[[#This Row],[FAKTUR]]))</f>
        <v/>
      </c>
      <c r="AL665" s="35" t="str">
        <f ca="1">IF(NOTA[[#This Row],[ID]]="","",COUNTIF(NOTA[ID_H],NOTA[[#This Row],[ID_H]]))</f>
        <v/>
      </c>
      <c r="AM665" s="35" t="str">
        <f ca="1">IF(NOTA[[#This Row],[TGL.NOTA]]="",IF(NOTA[[#This Row],[SUPPLIER_H]]="","",AM664),MONTH(NOTA[[#This Row],[TGL.NOTA]]))</f>
        <v/>
      </c>
      <c r="AN6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5" s="35" t="str">
        <f>IF(NOTA[[#This Row],[CONCAT1]]="","",MATCH(NOTA[[#This Row],[CONCAT1]],[3]!db[NB NOTA_C],0))</f>
        <v/>
      </c>
      <c r="AS665" s="35" t="str">
        <f>IF(NOTA[[#This Row],[Column5]]="","",TRUE)</f>
        <v/>
      </c>
      <c r="AT665" s="35" t="str">
        <f ca="1">IF(NOTA[[#This Row],[ID_H]]="","",IF(NOTA[[#This Row],[Column3]]=TRUE,NOTA[[#This Row],[Column5]],INDEX([3]!db[QTY/ CTN],NOTA[[#This Row],[//DB]])))</f>
        <v/>
      </c>
      <c r="AU6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5" s="35" t="str">
        <f ca="1">IF(NOTA[[#This Row],[ID_H]]="","",MATCH(NOTA[[#This Row],[NB NOTA_C_QTY]],[3]!db[NB NOTA_C_QTY+F],0))</f>
        <v/>
      </c>
      <c r="AW665" s="43" t="str">
        <f ca="1">IF(NOTA[[#This Row],[NB NOTA_C_QTY]]="","",ROW()-2)</f>
        <v/>
      </c>
    </row>
    <row r="666" spans="1:49" ht="20.100000000000001" customHeight="1">
      <c r="A6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5" t="str">
        <f ca="1">IF(NOTA[[#This Row],[NAMA BARANG]]="","",INDEX(NOTA[ID],MATCH(,INDIRECT(ADDRESS(ROW(NOTA[ID]),COLUMN(NOTA[ID]))&amp;":"&amp;ADDRESS(ROW(),COLUMN(NOTA[ID]))),-1)))</f>
        <v/>
      </c>
      <c r="C666" s="45"/>
      <c r="F666" s="46"/>
      <c r="G666" s="35"/>
      <c r="H666" s="36"/>
      <c r="I666" s="35"/>
      <c r="K666" s="37"/>
      <c r="L666" s="35"/>
      <c r="N666" s="38"/>
      <c r="O666" s="39"/>
      <c r="P666" s="47"/>
      <c r="Q666" s="48"/>
      <c r="R666" s="41"/>
      <c r="T666" s="42"/>
      <c r="U666" s="44"/>
      <c r="V666" s="42" t="str">
        <f>IF(NOTA[[#This Row],[HARGA/ CTN]]="",NOTA[[#This Row],[JUMLAH_H]],NOTA[[#This Row],[HARGA/ CTN]]*IF(NOTA[[#This Row],[C]]="",0,NOTA[[#This Row],[C]]))</f>
        <v/>
      </c>
      <c r="W666" s="42" t="str">
        <f>IF(NOTA[[#This Row],[JUMLAH]]="","",NOTA[[#This Row],[JUMLAH]]*NOTA[[#This Row],[Column6]])</f>
        <v/>
      </c>
      <c r="X666" s="42" t="str">
        <f>IF(NOTA[[#This Row],[JUMLAH]]="","",(NOTA[[#This Row],[JUMLAH]]-NOTA[[#This Row],[DISC 1-]])*NOTA[[#This Row],[Column7]])</f>
        <v/>
      </c>
      <c r="Y666" s="42" t="str">
        <f>IF(NOTA[[#This Row],[JUMLAH]]="","",(NOTA[[#This Row],[JUMLAH]]-NOTA[[#This Row],[DISC 1-]]-NOTA[[#This Row],[DISC 2-]])*NOTA[[#This Row],[Column8]])</f>
        <v/>
      </c>
      <c r="Z666" s="42" t="str">
        <f>IF(NOTA[[#This Row],[JUMLAH]]="","",NOTA[[#This Row],[DISC 1-]]+NOTA[[#This Row],[DISC 2-]]+NOTA[[#This Row],[DISC 3-]])</f>
        <v/>
      </c>
      <c r="AA666" s="42" t="str">
        <f>IF(NOTA[[#This Row],[JUMLAH]]="","",NOTA[[#This Row],[JUMLAH]]-NOTA[[#This Row],[DISC]])</f>
        <v/>
      </c>
      <c r="AB666" s="42"/>
      <c r="AC6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42" t="str">
        <f>IF(OR(NOTA[[#This Row],[QTY]]="",NOTA[[#This Row],[HARGA SATUAN]]="",),"",NOTA[[#This Row],[QTY]]*NOTA[[#This Row],[HARGA SATUAN]])</f>
        <v/>
      </c>
      <c r="AG666" s="36" t="str">
        <f ca="1">IF(NOTA[[#This Row],[ID_H]]="","",INDEX(NOTA[TANGGAL],MATCH(,INDIRECT(ADDRESS(ROW(NOTA[TANGGAL]),COLUMN(NOTA[TANGGAL]))&amp;":"&amp;ADDRESS(ROW(),COLUMN(NOTA[TANGGAL]))),-1)))</f>
        <v/>
      </c>
      <c r="AH666" s="36" t="str">
        <f ca="1">IF(NOTA[[#This Row],[ID_H]]="","",INDEX(NOTA[TGL.NOTA],MATCH(,INDIRECT(ADDRESS(ROW(NOTA[TGL.NOTA]),COLUMN(NOTA[TGL.NOTA]))&amp;":"&amp;ADDRESS(ROW(),COLUMN(NOTA[TGL.NOTA]))),-1)))</f>
        <v/>
      </c>
      <c r="AI666" s="36" t="str">
        <f ca="1">IF(NOTA[[#This Row],[ID_H]]="","",INDEX(NOTA[NO.NOTA],MATCH(NOTA[[#This Row],[ID_H]],NOTA[ID_H],0)))</f>
        <v/>
      </c>
      <c r="AJ666" s="38" t="str">
        <f ca="1">IF(NOTA[[#This Row],[NAMA BARANG]]="","",INDEX(NOTA[SUPPLIER],MATCH(,INDIRECT(ADDRESS(ROW(NOTA[ID]),COLUMN(NOTA[ID]))&amp;":"&amp;ADDRESS(ROW(),COLUMN(NOTA[ID]))),-1)))</f>
        <v/>
      </c>
      <c r="AK666" s="38" t="str">
        <f ca="1">IF(NOTA[[#This Row],[ID_H]]="","",IF(NOTA[[#This Row],[FAKTUR]]="",INDIRECT(ADDRESS(ROW()-1,COLUMN())),NOTA[[#This Row],[FAKTUR]]))</f>
        <v/>
      </c>
      <c r="AL666" s="35" t="str">
        <f ca="1">IF(NOTA[[#This Row],[ID]]="","",COUNTIF(NOTA[ID_H],NOTA[[#This Row],[ID_H]]))</f>
        <v/>
      </c>
      <c r="AM666" s="35" t="str">
        <f ca="1">IF(NOTA[[#This Row],[TGL.NOTA]]="",IF(NOTA[[#This Row],[SUPPLIER_H]]="","",AM665),MONTH(NOTA[[#This Row],[TGL.NOTA]]))</f>
        <v/>
      </c>
      <c r="AN6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6" s="35" t="str">
        <f>IF(NOTA[[#This Row],[CONCAT1]]="","",MATCH(NOTA[[#This Row],[CONCAT1]],[3]!db[NB NOTA_C],0))</f>
        <v/>
      </c>
      <c r="AS666" s="35" t="str">
        <f>IF(NOTA[[#This Row],[Column5]]="","",TRUE)</f>
        <v/>
      </c>
      <c r="AT666" s="35" t="str">
        <f ca="1">IF(NOTA[[#This Row],[ID_H]]="","",IF(NOTA[[#This Row],[Column3]]=TRUE,NOTA[[#This Row],[Column5]],INDEX([3]!db[QTY/ CTN],NOTA[[#This Row],[//DB]])))</f>
        <v/>
      </c>
      <c r="AU6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6" s="35" t="str">
        <f ca="1">IF(NOTA[[#This Row],[ID_H]]="","",MATCH(NOTA[[#This Row],[NB NOTA_C_QTY]],[3]!db[NB NOTA_C_QTY+F],0))</f>
        <v/>
      </c>
      <c r="AW666" s="43" t="str">
        <f ca="1">IF(NOTA[[#This Row],[NB NOTA_C_QTY]]="","",ROW()-2)</f>
        <v/>
      </c>
    </row>
    <row r="667" spans="1:49" ht="20.100000000000001" customHeight="1">
      <c r="A6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5" t="str">
        <f ca="1">IF(NOTA[[#This Row],[NAMA BARANG]]="","",INDEX(NOTA[ID],MATCH(,INDIRECT(ADDRESS(ROW(NOTA[ID]),COLUMN(NOTA[ID]))&amp;":"&amp;ADDRESS(ROW(),COLUMN(NOTA[ID]))),-1)))</f>
        <v/>
      </c>
      <c r="C667" s="45"/>
      <c r="F667" s="46"/>
      <c r="G667" s="35"/>
      <c r="H667" s="36"/>
      <c r="I667" s="35"/>
      <c r="K667" s="37"/>
      <c r="L667" s="35"/>
      <c r="N667" s="38"/>
      <c r="O667" s="39"/>
      <c r="P667" s="47"/>
      <c r="Q667" s="48"/>
      <c r="R667" s="41"/>
      <c r="T667" s="42"/>
      <c r="U667" s="44"/>
      <c r="V667" s="42" t="str">
        <f>IF(NOTA[[#This Row],[HARGA/ CTN]]="",NOTA[[#This Row],[JUMLAH_H]],NOTA[[#This Row],[HARGA/ CTN]]*IF(NOTA[[#This Row],[C]]="",0,NOTA[[#This Row],[C]]))</f>
        <v/>
      </c>
      <c r="W667" s="42" t="str">
        <f>IF(NOTA[[#This Row],[JUMLAH]]="","",NOTA[[#This Row],[JUMLAH]]*NOTA[[#This Row],[Column6]])</f>
        <v/>
      </c>
      <c r="X667" s="42" t="str">
        <f>IF(NOTA[[#This Row],[JUMLAH]]="","",(NOTA[[#This Row],[JUMLAH]]-NOTA[[#This Row],[DISC 1-]])*NOTA[[#This Row],[Column7]])</f>
        <v/>
      </c>
      <c r="Y667" s="42" t="str">
        <f>IF(NOTA[[#This Row],[JUMLAH]]="","",(NOTA[[#This Row],[JUMLAH]]-NOTA[[#This Row],[DISC 1-]]-NOTA[[#This Row],[DISC 2-]])*NOTA[[#This Row],[Column8]])</f>
        <v/>
      </c>
      <c r="Z667" s="42" t="str">
        <f>IF(NOTA[[#This Row],[JUMLAH]]="","",NOTA[[#This Row],[DISC 1-]]+NOTA[[#This Row],[DISC 2-]]+NOTA[[#This Row],[DISC 3-]])</f>
        <v/>
      </c>
      <c r="AA667" s="42" t="str">
        <f>IF(NOTA[[#This Row],[JUMLAH]]="","",NOTA[[#This Row],[JUMLAH]]-NOTA[[#This Row],[DISC]])</f>
        <v/>
      </c>
      <c r="AB667" s="42"/>
      <c r="AC6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42" t="str">
        <f>IF(OR(NOTA[[#This Row],[QTY]]="",NOTA[[#This Row],[HARGA SATUAN]]="",),"",NOTA[[#This Row],[QTY]]*NOTA[[#This Row],[HARGA SATUAN]])</f>
        <v/>
      </c>
      <c r="AG667" s="36" t="str">
        <f ca="1">IF(NOTA[[#This Row],[ID_H]]="","",INDEX(NOTA[TANGGAL],MATCH(,INDIRECT(ADDRESS(ROW(NOTA[TANGGAL]),COLUMN(NOTA[TANGGAL]))&amp;":"&amp;ADDRESS(ROW(),COLUMN(NOTA[TANGGAL]))),-1)))</f>
        <v/>
      </c>
      <c r="AH667" s="36" t="str">
        <f ca="1">IF(NOTA[[#This Row],[ID_H]]="","",INDEX(NOTA[TGL.NOTA],MATCH(,INDIRECT(ADDRESS(ROW(NOTA[TGL.NOTA]),COLUMN(NOTA[TGL.NOTA]))&amp;":"&amp;ADDRESS(ROW(),COLUMN(NOTA[TGL.NOTA]))),-1)))</f>
        <v/>
      </c>
      <c r="AI667" s="36" t="str">
        <f ca="1">IF(NOTA[[#This Row],[ID_H]]="","",INDEX(NOTA[NO.NOTA],MATCH(NOTA[[#This Row],[ID_H]],NOTA[ID_H],0)))</f>
        <v/>
      </c>
      <c r="AJ667" s="38" t="str">
        <f ca="1">IF(NOTA[[#This Row],[NAMA BARANG]]="","",INDEX(NOTA[SUPPLIER],MATCH(,INDIRECT(ADDRESS(ROW(NOTA[ID]),COLUMN(NOTA[ID]))&amp;":"&amp;ADDRESS(ROW(),COLUMN(NOTA[ID]))),-1)))</f>
        <v/>
      </c>
      <c r="AK667" s="38" t="str">
        <f ca="1">IF(NOTA[[#This Row],[ID_H]]="","",IF(NOTA[[#This Row],[FAKTUR]]="",INDIRECT(ADDRESS(ROW()-1,COLUMN())),NOTA[[#This Row],[FAKTUR]]))</f>
        <v/>
      </c>
      <c r="AL667" s="35" t="str">
        <f ca="1">IF(NOTA[[#This Row],[ID]]="","",COUNTIF(NOTA[ID_H],NOTA[[#This Row],[ID_H]]))</f>
        <v/>
      </c>
      <c r="AM667" s="35" t="str">
        <f ca="1">IF(NOTA[[#This Row],[TGL.NOTA]]="",IF(NOTA[[#This Row],[SUPPLIER_H]]="","",AM666),MONTH(NOTA[[#This Row],[TGL.NOTA]]))</f>
        <v/>
      </c>
      <c r="AN6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7" s="35" t="str">
        <f>IF(NOTA[[#This Row],[CONCAT1]]="","",MATCH(NOTA[[#This Row],[CONCAT1]],[3]!db[NB NOTA_C],0))</f>
        <v/>
      </c>
      <c r="AS667" s="35" t="str">
        <f>IF(NOTA[[#This Row],[Column5]]="","",TRUE)</f>
        <v/>
      </c>
      <c r="AT667" s="35" t="str">
        <f ca="1">IF(NOTA[[#This Row],[ID_H]]="","",IF(NOTA[[#This Row],[Column3]]=TRUE,NOTA[[#This Row],[Column5]],INDEX([3]!db[QTY/ CTN],NOTA[[#This Row],[//DB]])))</f>
        <v/>
      </c>
      <c r="AU6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7" s="35" t="str">
        <f ca="1">IF(NOTA[[#This Row],[ID_H]]="","",MATCH(NOTA[[#This Row],[NB NOTA_C_QTY]],[3]!db[NB NOTA_C_QTY+F],0))</f>
        <v/>
      </c>
      <c r="AW667" s="43" t="str">
        <f ca="1">IF(NOTA[[#This Row],[NB NOTA_C_QTY]]="","",ROW()-2)</f>
        <v/>
      </c>
    </row>
    <row r="668" spans="1:49" ht="20.100000000000001" customHeight="1">
      <c r="A6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5" t="str">
        <f ca="1">IF(NOTA[[#This Row],[NAMA BARANG]]="","",INDEX(NOTA[ID],MATCH(,INDIRECT(ADDRESS(ROW(NOTA[ID]),COLUMN(NOTA[ID]))&amp;":"&amp;ADDRESS(ROW(),COLUMN(NOTA[ID]))),-1)))</f>
        <v/>
      </c>
      <c r="C668" s="45"/>
      <c r="F668" s="46"/>
      <c r="G668" s="35"/>
      <c r="H668" s="36"/>
      <c r="I668" s="35"/>
      <c r="K668" s="37"/>
      <c r="L668" s="35"/>
      <c r="N668" s="38"/>
      <c r="O668" s="39"/>
      <c r="P668" s="47"/>
      <c r="Q668" s="48"/>
      <c r="R668" s="41"/>
      <c r="T668" s="42"/>
      <c r="U668" s="44"/>
      <c r="V668" s="42" t="str">
        <f>IF(NOTA[[#This Row],[HARGA/ CTN]]="",NOTA[[#This Row],[JUMLAH_H]],NOTA[[#This Row],[HARGA/ CTN]]*IF(NOTA[[#This Row],[C]]="",0,NOTA[[#This Row],[C]]))</f>
        <v/>
      </c>
      <c r="W668" s="42" t="str">
        <f>IF(NOTA[[#This Row],[JUMLAH]]="","",NOTA[[#This Row],[JUMLAH]]*NOTA[[#This Row],[Column6]])</f>
        <v/>
      </c>
      <c r="X668" s="42" t="str">
        <f>IF(NOTA[[#This Row],[JUMLAH]]="","",(NOTA[[#This Row],[JUMLAH]]-NOTA[[#This Row],[DISC 1-]])*NOTA[[#This Row],[Column7]])</f>
        <v/>
      </c>
      <c r="Y668" s="42" t="str">
        <f>IF(NOTA[[#This Row],[JUMLAH]]="","",(NOTA[[#This Row],[JUMLAH]]-NOTA[[#This Row],[DISC 1-]]-NOTA[[#This Row],[DISC 2-]])*NOTA[[#This Row],[Column8]])</f>
        <v/>
      </c>
      <c r="Z668" s="42" t="str">
        <f>IF(NOTA[[#This Row],[JUMLAH]]="","",NOTA[[#This Row],[DISC 1-]]+NOTA[[#This Row],[DISC 2-]]+NOTA[[#This Row],[DISC 3-]])</f>
        <v/>
      </c>
      <c r="AA668" s="42" t="str">
        <f>IF(NOTA[[#This Row],[JUMLAH]]="","",NOTA[[#This Row],[JUMLAH]]-NOTA[[#This Row],[DISC]])</f>
        <v/>
      </c>
      <c r="AB668" s="42"/>
      <c r="AC6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42" t="str">
        <f>IF(OR(NOTA[[#This Row],[QTY]]="",NOTA[[#This Row],[HARGA SATUAN]]="",),"",NOTA[[#This Row],[QTY]]*NOTA[[#This Row],[HARGA SATUAN]])</f>
        <v/>
      </c>
      <c r="AG668" s="36" t="str">
        <f ca="1">IF(NOTA[[#This Row],[ID_H]]="","",INDEX(NOTA[TANGGAL],MATCH(,INDIRECT(ADDRESS(ROW(NOTA[TANGGAL]),COLUMN(NOTA[TANGGAL]))&amp;":"&amp;ADDRESS(ROW(),COLUMN(NOTA[TANGGAL]))),-1)))</f>
        <v/>
      </c>
      <c r="AH668" s="36" t="str">
        <f ca="1">IF(NOTA[[#This Row],[ID_H]]="","",INDEX(NOTA[TGL.NOTA],MATCH(,INDIRECT(ADDRESS(ROW(NOTA[TGL.NOTA]),COLUMN(NOTA[TGL.NOTA]))&amp;":"&amp;ADDRESS(ROW(),COLUMN(NOTA[TGL.NOTA]))),-1)))</f>
        <v/>
      </c>
      <c r="AI668" s="36" t="str">
        <f ca="1">IF(NOTA[[#This Row],[ID_H]]="","",INDEX(NOTA[NO.NOTA],MATCH(NOTA[[#This Row],[ID_H]],NOTA[ID_H],0)))</f>
        <v/>
      </c>
      <c r="AJ668" s="38" t="str">
        <f ca="1">IF(NOTA[[#This Row],[NAMA BARANG]]="","",INDEX(NOTA[SUPPLIER],MATCH(,INDIRECT(ADDRESS(ROW(NOTA[ID]),COLUMN(NOTA[ID]))&amp;":"&amp;ADDRESS(ROW(),COLUMN(NOTA[ID]))),-1)))</f>
        <v/>
      </c>
      <c r="AK668" s="38" t="str">
        <f ca="1">IF(NOTA[[#This Row],[ID_H]]="","",IF(NOTA[[#This Row],[FAKTUR]]="",INDIRECT(ADDRESS(ROW()-1,COLUMN())),NOTA[[#This Row],[FAKTUR]]))</f>
        <v/>
      </c>
      <c r="AL668" s="35" t="str">
        <f ca="1">IF(NOTA[[#This Row],[ID]]="","",COUNTIF(NOTA[ID_H],NOTA[[#This Row],[ID_H]]))</f>
        <v/>
      </c>
      <c r="AM668" s="35" t="str">
        <f ca="1">IF(NOTA[[#This Row],[TGL.NOTA]]="",IF(NOTA[[#This Row],[SUPPLIER_H]]="","",AM667),MONTH(NOTA[[#This Row],[TGL.NOTA]]))</f>
        <v/>
      </c>
      <c r="AN6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8" s="35" t="str">
        <f>IF(NOTA[[#This Row],[CONCAT1]]="","",MATCH(NOTA[[#This Row],[CONCAT1]],[3]!db[NB NOTA_C],0))</f>
        <v/>
      </c>
      <c r="AS668" s="35" t="str">
        <f>IF(NOTA[[#This Row],[Column5]]="","",TRUE)</f>
        <v/>
      </c>
      <c r="AT668" s="35" t="str">
        <f ca="1">IF(NOTA[[#This Row],[ID_H]]="","",IF(NOTA[[#This Row],[Column3]]=TRUE,NOTA[[#This Row],[Column5]],INDEX([3]!db[QTY/ CTN],NOTA[[#This Row],[//DB]])))</f>
        <v/>
      </c>
      <c r="AU6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8" s="35" t="str">
        <f ca="1">IF(NOTA[[#This Row],[ID_H]]="","",MATCH(NOTA[[#This Row],[NB NOTA_C_QTY]],[3]!db[NB NOTA_C_QTY+F],0))</f>
        <v/>
      </c>
      <c r="AW668" s="43" t="str">
        <f ca="1">IF(NOTA[[#This Row],[NB NOTA_C_QTY]]="","",ROW()-2)</f>
        <v/>
      </c>
    </row>
    <row r="669" spans="1:49" ht="20.100000000000001" customHeight="1">
      <c r="A6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5" t="str">
        <f ca="1">IF(NOTA[[#This Row],[NAMA BARANG]]="","",INDEX(NOTA[ID],MATCH(,INDIRECT(ADDRESS(ROW(NOTA[ID]),COLUMN(NOTA[ID]))&amp;":"&amp;ADDRESS(ROW(),COLUMN(NOTA[ID]))),-1)))</f>
        <v/>
      </c>
      <c r="C669" s="45"/>
      <c r="F669" s="46"/>
      <c r="G669" s="35"/>
      <c r="H669" s="36"/>
      <c r="I669" s="35"/>
      <c r="K669" s="37"/>
      <c r="L669" s="35"/>
      <c r="N669" s="38"/>
      <c r="O669" s="39"/>
      <c r="P669" s="47"/>
      <c r="Q669" s="48"/>
      <c r="R669" s="41"/>
      <c r="T669" s="42"/>
      <c r="U669" s="44"/>
      <c r="V669" s="42" t="str">
        <f>IF(NOTA[[#This Row],[HARGA/ CTN]]="",NOTA[[#This Row],[JUMLAH_H]],NOTA[[#This Row],[HARGA/ CTN]]*IF(NOTA[[#This Row],[C]]="",0,NOTA[[#This Row],[C]]))</f>
        <v/>
      </c>
      <c r="W669" s="42" t="str">
        <f>IF(NOTA[[#This Row],[JUMLAH]]="","",NOTA[[#This Row],[JUMLAH]]*NOTA[[#This Row],[Column6]])</f>
        <v/>
      </c>
      <c r="X669" s="42" t="str">
        <f>IF(NOTA[[#This Row],[JUMLAH]]="","",(NOTA[[#This Row],[JUMLAH]]-NOTA[[#This Row],[DISC 1-]])*NOTA[[#This Row],[Column7]])</f>
        <v/>
      </c>
      <c r="Y669" s="42" t="str">
        <f>IF(NOTA[[#This Row],[JUMLAH]]="","",(NOTA[[#This Row],[JUMLAH]]-NOTA[[#This Row],[DISC 1-]]-NOTA[[#This Row],[DISC 2-]])*NOTA[[#This Row],[Column8]])</f>
        <v/>
      </c>
      <c r="Z669" s="42" t="str">
        <f>IF(NOTA[[#This Row],[JUMLAH]]="","",NOTA[[#This Row],[DISC 1-]]+NOTA[[#This Row],[DISC 2-]]+NOTA[[#This Row],[DISC 3-]])</f>
        <v/>
      </c>
      <c r="AA669" s="42" t="str">
        <f>IF(NOTA[[#This Row],[JUMLAH]]="","",NOTA[[#This Row],[JUMLAH]]-NOTA[[#This Row],[DISC]])</f>
        <v/>
      </c>
      <c r="AB669" s="42"/>
      <c r="AC6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42" t="str">
        <f>IF(OR(NOTA[[#This Row],[QTY]]="",NOTA[[#This Row],[HARGA SATUAN]]="",),"",NOTA[[#This Row],[QTY]]*NOTA[[#This Row],[HARGA SATUAN]])</f>
        <v/>
      </c>
      <c r="AG669" s="36" t="str">
        <f ca="1">IF(NOTA[[#This Row],[ID_H]]="","",INDEX(NOTA[TANGGAL],MATCH(,INDIRECT(ADDRESS(ROW(NOTA[TANGGAL]),COLUMN(NOTA[TANGGAL]))&amp;":"&amp;ADDRESS(ROW(),COLUMN(NOTA[TANGGAL]))),-1)))</f>
        <v/>
      </c>
      <c r="AH669" s="36" t="str">
        <f ca="1">IF(NOTA[[#This Row],[ID_H]]="","",INDEX(NOTA[TGL.NOTA],MATCH(,INDIRECT(ADDRESS(ROW(NOTA[TGL.NOTA]),COLUMN(NOTA[TGL.NOTA]))&amp;":"&amp;ADDRESS(ROW(),COLUMN(NOTA[TGL.NOTA]))),-1)))</f>
        <v/>
      </c>
      <c r="AI669" s="36" t="str">
        <f ca="1">IF(NOTA[[#This Row],[ID_H]]="","",INDEX(NOTA[NO.NOTA],MATCH(NOTA[[#This Row],[ID_H]],NOTA[ID_H],0)))</f>
        <v/>
      </c>
      <c r="AJ669" s="38" t="str">
        <f ca="1">IF(NOTA[[#This Row],[NAMA BARANG]]="","",INDEX(NOTA[SUPPLIER],MATCH(,INDIRECT(ADDRESS(ROW(NOTA[ID]),COLUMN(NOTA[ID]))&amp;":"&amp;ADDRESS(ROW(),COLUMN(NOTA[ID]))),-1)))</f>
        <v/>
      </c>
      <c r="AK669" s="38" t="str">
        <f ca="1">IF(NOTA[[#This Row],[ID_H]]="","",IF(NOTA[[#This Row],[FAKTUR]]="",INDIRECT(ADDRESS(ROW()-1,COLUMN())),NOTA[[#This Row],[FAKTUR]]))</f>
        <v/>
      </c>
      <c r="AL669" s="35" t="str">
        <f ca="1">IF(NOTA[[#This Row],[ID]]="","",COUNTIF(NOTA[ID_H],NOTA[[#This Row],[ID_H]]))</f>
        <v/>
      </c>
      <c r="AM669" s="35" t="str">
        <f ca="1">IF(NOTA[[#This Row],[TGL.NOTA]]="",IF(NOTA[[#This Row],[SUPPLIER_H]]="","",AM668),MONTH(NOTA[[#This Row],[TGL.NOTA]]))</f>
        <v/>
      </c>
      <c r="AN6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9" s="35" t="str">
        <f>IF(NOTA[[#This Row],[CONCAT1]]="","",MATCH(NOTA[[#This Row],[CONCAT1]],[3]!db[NB NOTA_C],0))</f>
        <v/>
      </c>
      <c r="AS669" s="35" t="str">
        <f>IF(NOTA[[#This Row],[Column5]]="","",TRUE)</f>
        <v/>
      </c>
      <c r="AT669" s="35" t="str">
        <f ca="1">IF(NOTA[[#This Row],[ID_H]]="","",IF(NOTA[[#This Row],[Column3]]=TRUE,NOTA[[#This Row],[Column5]],INDEX([3]!db[QTY/ CTN],NOTA[[#This Row],[//DB]])))</f>
        <v/>
      </c>
      <c r="AU6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69" s="35" t="str">
        <f ca="1">IF(NOTA[[#This Row],[ID_H]]="","",MATCH(NOTA[[#This Row],[NB NOTA_C_QTY]],[3]!db[NB NOTA_C_QTY+F],0))</f>
        <v/>
      </c>
      <c r="AW669" s="43" t="str">
        <f ca="1">IF(NOTA[[#This Row],[NB NOTA_C_QTY]]="","",ROW()-2)</f>
        <v/>
      </c>
    </row>
    <row r="670" spans="1:49" ht="20.100000000000001" customHeight="1">
      <c r="A6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5" t="str">
        <f ca="1">IF(NOTA[[#This Row],[NAMA BARANG]]="","",INDEX(NOTA[ID],MATCH(,INDIRECT(ADDRESS(ROW(NOTA[ID]),COLUMN(NOTA[ID]))&amp;":"&amp;ADDRESS(ROW(),COLUMN(NOTA[ID]))),-1)))</f>
        <v/>
      </c>
      <c r="C670" s="45"/>
      <c r="F670" s="46"/>
      <c r="G670" s="35"/>
      <c r="H670" s="36"/>
      <c r="I670" s="35"/>
      <c r="K670" s="37"/>
      <c r="L670" s="35"/>
      <c r="N670" s="38"/>
      <c r="O670" s="39"/>
      <c r="P670" s="47"/>
      <c r="Q670" s="48"/>
      <c r="R670" s="41"/>
      <c r="T670" s="42"/>
      <c r="U670" s="44"/>
      <c r="V670" s="42" t="str">
        <f>IF(NOTA[[#This Row],[HARGA/ CTN]]="",NOTA[[#This Row],[JUMLAH_H]],NOTA[[#This Row],[HARGA/ CTN]]*IF(NOTA[[#This Row],[C]]="",0,NOTA[[#This Row],[C]]))</f>
        <v/>
      </c>
      <c r="W670" s="42" t="str">
        <f>IF(NOTA[[#This Row],[JUMLAH]]="","",NOTA[[#This Row],[JUMLAH]]*NOTA[[#This Row],[Column6]])</f>
        <v/>
      </c>
      <c r="X670" s="42" t="str">
        <f>IF(NOTA[[#This Row],[JUMLAH]]="","",(NOTA[[#This Row],[JUMLAH]]-NOTA[[#This Row],[DISC 1-]])*NOTA[[#This Row],[Column7]])</f>
        <v/>
      </c>
      <c r="Y670" s="42" t="str">
        <f>IF(NOTA[[#This Row],[JUMLAH]]="","",(NOTA[[#This Row],[JUMLAH]]-NOTA[[#This Row],[DISC 1-]]-NOTA[[#This Row],[DISC 2-]])*NOTA[[#This Row],[Column8]])</f>
        <v/>
      </c>
      <c r="Z670" s="42" t="str">
        <f>IF(NOTA[[#This Row],[JUMLAH]]="","",NOTA[[#This Row],[DISC 1-]]+NOTA[[#This Row],[DISC 2-]]+NOTA[[#This Row],[DISC 3-]])</f>
        <v/>
      </c>
      <c r="AA670" s="42" t="str">
        <f>IF(NOTA[[#This Row],[JUMLAH]]="","",NOTA[[#This Row],[JUMLAH]]-NOTA[[#This Row],[DISC]])</f>
        <v/>
      </c>
      <c r="AB670" s="42"/>
      <c r="AC6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42" t="str">
        <f>IF(OR(NOTA[[#This Row],[QTY]]="",NOTA[[#This Row],[HARGA SATUAN]]="",),"",NOTA[[#This Row],[QTY]]*NOTA[[#This Row],[HARGA SATUAN]])</f>
        <v/>
      </c>
      <c r="AG670" s="36" t="str">
        <f ca="1">IF(NOTA[[#This Row],[ID_H]]="","",INDEX(NOTA[TANGGAL],MATCH(,INDIRECT(ADDRESS(ROW(NOTA[TANGGAL]),COLUMN(NOTA[TANGGAL]))&amp;":"&amp;ADDRESS(ROW(),COLUMN(NOTA[TANGGAL]))),-1)))</f>
        <v/>
      </c>
      <c r="AH670" s="36" t="str">
        <f ca="1">IF(NOTA[[#This Row],[ID_H]]="","",INDEX(NOTA[TGL.NOTA],MATCH(,INDIRECT(ADDRESS(ROW(NOTA[TGL.NOTA]),COLUMN(NOTA[TGL.NOTA]))&amp;":"&amp;ADDRESS(ROW(),COLUMN(NOTA[TGL.NOTA]))),-1)))</f>
        <v/>
      </c>
      <c r="AI670" s="36" t="str">
        <f ca="1">IF(NOTA[[#This Row],[ID_H]]="","",INDEX(NOTA[NO.NOTA],MATCH(NOTA[[#This Row],[ID_H]],NOTA[ID_H],0)))</f>
        <v/>
      </c>
      <c r="AJ670" s="38" t="str">
        <f ca="1">IF(NOTA[[#This Row],[NAMA BARANG]]="","",INDEX(NOTA[SUPPLIER],MATCH(,INDIRECT(ADDRESS(ROW(NOTA[ID]),COLUMN(NOTA[ID]))&amp;":"&amp;ADDRESS(ROW(),COLUMN(NOTA[ID]))),-1)))</f>
        <v/>
      </c>
      <c r="AK670" s="38" t="str">
        <f ca="1">IF(NOTA[[#This Row],[ID_H]]="","",IF(NOTA[[#This Row],[FAKTUR]]="",INDIRECT(ADDRESS(ROW()-1,COLUMN())),NOTA[[#This Row],[FAKTUR]]))</f>
        <v/>
      </c>
      <c r="AL670" s="35" t="str">
        <f ca="1">IF(NOTA[[#This Row],[ID]]="","",COUNTIF(NOTA[ID_H],NOTA[[#This Row],[ID_H]]))</f>
        <v/>
      </c>
      <c r="AM670" s="35" t="str">
        <f ca="1">IF(NOTA[[#This Row],[TGL.NOTA]]="",IF(NOTA[[#This Row],[SUPPLIER_H]]="","",AM669),MONTH(NOTA[[#This Row],[TGL.NOTA]]))</f>
        <v/>
      </c>
      <c r="AN6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0" s="35" t="str">
        <f>IF(NOTA[[#This Row],[CONCAT1]]="","",MATCH(NOTA[[#This Row],[CONCAT1]],[3]!db[NB NOTA_C],0))</f>
        <v/>
      </c>
      <c r="AS670" s="35" t="str">
        <f>IF(NOTA[[#This Row],[Column5]]="","",TRUE)</f>
        <v/>
      </c>
      <c r="AT670" s="35" t="str">
        <f ca="1">IF(NOTA[[#This Row],[ID_H]]="","",IF(NOTA[[#This Row],[Column3]]=TRUE,NOTA[[#This Row],[Column5]],INDEX([3]!db[QTY/ CTN],NOTA[[#This Row],[//DB]])))</f>
        <v/>
      </c>
      <c r="AU6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0" s="35" t="str">
        <f ca="1">IF(NOTA[[#This Row],[ID_H]]="","",MATCH(NOTA[[#This Row],[NB NOTA_C_QTY]],[3]!db[NB NOTA_C_QTY+F],0))</f>
        <v/>
      </c>
      <c r="AW670" s="43" t="str">
        <f ca="1">IF(NOTA[[#This Row],[NB NOTA_C_QTY]]="","",ROW()-2)</f>
        <v/>
      </c>
    </row>
    <row r="671" spans="1:49" ht="20.100000000000001" customHeight="1">
      <c r="A6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5" t="str">
        <f ca="1">IF(NOTA[[#This Row],[NAMA BARANG]]="","",INDEX(NOTA[ID],MATCH(,INDIRECT(ADDRESS(ROW(NOTA[ID]),COLUMN(NOTA[ID]))&amp;":"&amp;ADDRESS(ROW(),COLUMN(NOTA[ID]))),-1)))</f>
        <v/>
      </c>
      <c r="C671" s="45"/>
      <c r="F671" s="46"/>
      <c r="G671" s="35"/>
      <c r="H671" s="36"/>
      <c r="I671" s="35"/>
      <c r="K671" s="37"/>
      <c r="L671" s="35"/>
      <c r="N671" s="38"/>
      <c r="O671" s="39"/>
      <c r="P671" s="47"/>
      <c r="Q671" s="48"/>
      <c r="R671" s="41"/>
      <c r="T671" s="42"/>
      <c r="U671" s="44"/>
      <c r="V671" s="42" t="str">
        <f>IF(NOTA[[#This Row],[HARGA/ CTN]]="",NOTA[[#This Row],[JUMLAH_H]],NOTA[[#This Row],[HARGA/ CTN]]*IF(NOTA[[#This Row],[C]]="",0,NOTA[[#This Row],[C]]))</f>
        <v/>
      </c>
      <c r="W671" s="42" t="str">
        <f>IF(NOTA[[#This Row],[JUMLAH]]="","",NOTA[[#This Row],[JUMLAH]]*NOTA[[#This Row],[Column6]])</f>
        <v/>
      </c>
      <c r="X671" s="42" t="str">
        <f>IF(NOTA[[#This Row],[JUMLAH]]="","",(NOTA[[#This Row],[JUMLAH]]-NOTA[[#This Row],[DISC 1-]])*NOTA[[#This Row],[Column7]])</f>
        <v/>
      </c>
      <c r="Y671" s="42" t="str">
        <f>IF(NOTA[[#This Row],[JUMLAH]]="","",(NOTA[[#This Row],[JUMLAH]]-NOTA[[#This Row],[DISC 1-]]-NOTA[[#This Row],[DISC 2-]])*NOTA[[#This Row],[Column8]])</f>
        <v/>
      </c>
      <c r="Z671" s="42" t="str">
        <f>IF(NOTA[[#This Row],[JUMLAH]]="","",NOTA[[#This Row],[DISC 1-]]+NOTA[[#This Row],[DISC 2-]]+NOTA[[#This Row],[DISC 3-]])</f>
        <v/>
      </c>
      <c r="AA671" s="42" t="str">
        <f>IF(NOTA[[#This Row],[JUMLAH]]="","",NOTA[[#This Row],[JUMLAH]]-NOTA[[#This Row],[DISC]])</f>
        <v/>
      </c>
      <c r="AB671" s="42"/>
      <c r="AC6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42" t="str">
        <f>IF(OR(NOTA[[#This Row],[QTY]]="",NOTA[[#This Row],[HARGA SATUAN]]="",),"",NOTA[[#This Row],[QTY]]*NOTA[[#This Row],[HARGA SATUAN]])</f>
        <v/>
      </c>
      <c r="AG671" s="36" t="str">
        <f ca="1">IF(NOTA[[#This Row],[ID_H]]="","",INDEX(NOTA[TANGGAL],MATCH(,INDIRECT(ADDRESS(ROW(NOTA[TANGGAL]),COLUMN(NOTA[TANGGAL]))&amp;":"&amp;ADDRESS(ROW(),COLUMN(NOTA[TANGGAL]))),-1)))</f>
        <v/>
      </c>
      <c r="AH671" s="36" t="str">
        <f ca="1">IF(NOTA[[#This Row],[ID_H]]="","",INDEX(NOTA[TGL.NOTA],MATCH(,INDIRECT(ADDRESS(ROW(NOTA[TGL.NOTA]),COLUMN(NOTA[TGL.NOTA]))&amp;":"&amp;ADDRESS(ROW(),COLUMN(NOTA[TGL.NOTA]))),-1)))</f>
        <v/>
      </c>
      <c r="AI671" s="36" t="str">
        <f ca="1">IF(NOTA[[#This Row],[ID_H]]="","",INDEX(NOTA[NO.NOTA],MATCH(NOTA[[#This Row],[ID_H]],NOTA[ID_H],0)))</f>
        <v/>
      </c>
      <c r="AJ671" s="38" t="str">
        <f ca="1">IF(NOTA[[#This Row],[NAMA BARANG]]="","",INDEX(NOTA[SUPPLIER],MATCH(,INDIRECT(ADDRESS(ROW(NOTA[ID]),COLUMN(NOTA[ID]))&amp;":"&amp;ADDRESS(ROW(),COLUMN(NOTA[ID]))),-1)))</f>
        <v/>
      </c>
      <c r="AK671" s="38" t="str">
        <f ca="1">IF(NOTA[[#This Row],[ID_H]]="","",IF(NOTA[[#This Row],[FAKTUR]]="",INDIRECT(ADDRESS(ROW()-1,COLUMN())),NOTA[[#This Row],[FAKTUR]]))</f>
        <v/>
      </c>
      <c r="AL671" s="35" t="str">
        <f ca="1">IF(NOTA[[#This Row],[ID]]="","",COUNTIF(NOTA[ID_H],NOTA[[#This Row],[ID_H]]))</f>
        <v/>
      </c>
      <c r="AM671" s="35" t="str">
        <f ca="1">IF(NOTA[[#This Row],[TGL.NOTA]]="",IF(NOTA[[#This Row],[SUPPLIER_H]]="","",AM670),MONTH(NOTA[[#This Row],[TGL.NOTA]]))</f>
        <v/>
      </c>
      <c r="AN6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1" s="35" t="str">
        <f>IF(NOTA[[#This Row],[CONCAT1]]="","",MATCH(NOTA[[#This Row],[CONCAT1]],[3]!db[NB NOTA_C],0))</f>
        <v/>
      </c>
      <c r="AS671" s="35" t="str">
        <f>IF(NOTA[[#This Row],[Column5]]="","",TRUE)</f>
        <v/>
      </c>
      <c r="AT671" s="35" t="str">
        <f ca="1">IF(NOTA[[#This Row],[ID_H]]="","",IF(NOTA[[#This Row],[Column3]]=TRUE,NOTA[[#This Row],[Column5]],INDEX([3]!db[QTY/ CTN],NOTA[[#This Row],[//DB]])))</f>
        <v/>
      </c>
      <c r="AU6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1" s="35" t="str">
        <f ca="1">IF(NOTA[[#This Row],[ID_H]]="","",MATCH(NOTA[[#This Row],[NB NOTA_C_QTY]],[3]!db[NB NOTA_C_QTY+F],0))</f>
        <v/>
      </c>
      <c r="AW671" s="43" t="str">
        <f ca="1">IF(NOTA[[#This Row],[NB NOTA_C_QTY]]="","",ROW()-2)</f>
        <v/>
      </c>
    </row>
    <row r="672" spans="1:49" ht="20.100000000000001" customHeight="1">
      <c r="A6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5" t="str">
        <f ca="1">IF(NOTA[[#This Row],[NAMA BARANG]]="","",INDEX(NOTA[ID],MATCH(,INDIRECT(ADDRESS(ROW(NOTA[ID]),COLUMN(NOTA[ID]))&amp;":"&amp;ADDRESS(ROW(),COLUMN(NOTA[ID]))),-1)))</f>
        <v/>
      </c>
      <c r="C672" s="45"/>
      <c r="F672" s="46"/>
      <c r="G672" s="35"/>
      <c r="H672" s="36"/>
      <c r="I672" s="35"/>
      <c r="K672" s="37"/>
      <c r="L672" s="35"/>
      <c r="N672" s="38"/>
      <c r="O672" s="39"/>
      <c r="P672" s="47"/>
      <c r="Q672" s="48"/>
      <c r="R672" s="41"/>
      <c r="T672" s="42"/>
      <c r="U672" s="44"/>
      <c r="V672" s="42" t="str">
        <f>IF(NOTA[[#This Row],[HARGA/ CTN]]="",NOTA[[#This Row],[JUMLAH_H]],NOTA[[#This Row],[HARGA/ CTN]]*IF(NOTA[[#This Row],[C]]="",0,NOTA[[#This Row],[C]]))</f>
        <v/>
      </c>
      <c r="W672" s="42" t="str">
        <f>IF(NOTA[[#This Row],[JUMLAH]]="","",NOTA[[#This Row],[JUMLAH]]*NOTA[[#This Row],[Column6]])</f>
        <v/>
      </c>
      <c r="X672" s="42" t="str">
        <f>IF(NOTA[[#This Row],[JUMLAH]]="","",(NOTA[[#This Row],[JUMLAH]]-NOTA[[#This Row],[DISC 1-]])*NOTA[[#This Row],[Column7]])</f>
        <v/>
      </c>
      <c r="Y672" s="42" t="str">
        <f>IF(NOTA[[#This Row],[JUMLAH]]="","",(NOTA[[#This Row],[JUMLAH]]-NOTA[[#This Row],[DISC 1-]]-NOTA[[#This Row],[DISC 2-]])*NOTA[[#This Row],[Column8]])</f>
        <v/>
      </c>
      <c r="Z672" s="42" t="str">
        <f>IF(NOTA[[#This Row],[JUMLAH]]="","",NOTA[[#This Row],[DISC 1-]]+NOTA[[#This Row],[DISC 2-]]+NOTA[[#This Row],[DISC 3-]])</f>
        <v/>
      </c>
      <c r="AA672" s="42" t="str">
        <f>IF(NOTA[[#This Row],[JUMLAH]]="","",NOTA[[#This Row],[JUMLAH]]-NOTA[[#This Row],[DISC]])</f>
        <v/>
      </c>
      <c r="AB672" s="42"/>
      <c r="AC6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42" t="str">
        <f>IF(OR(NOTA[[#This Row],[QTY]]="",NOTA[[#This Row],[HARGA SATUAN]]="",),"",NOTA[[#This Row],[QTY]]*NOTA[[#This Row],[HARGA SATUAN]])</f>
        <v/>
      </c>
      <c r="AG672" s="36" t="str">
        <f ca="1">IF(NOTA[[#This Row],[ID_H]]="","",INDEX(NOTA[TANGGAL],MATCH(,INDIRECT(ADDRESS(ROW(NOTA[TANGGAL]),COLUMN(NOTA[TANGGAL]))&amp;":"&amp;ADDRESS(ROW(),COLUMN(NOTA[TANGGAL]))),-1)))</f>
        <v/>
      </c>
      <c r="AH672" s="36" t="str">
        <f ca="1">IF(NOTA[[#This Row],[ID_H]]="","",INDEX(NOTA[TGL.NOTA],MATCH(,INDIRECT(ADDRESS(ROW(NOTA[TGL.NOTA]),COLUMN(NOTA[TGL.NOTA]))&amp;":"&amp;ADDRESS(ROW(),COLUMN(NOTA[TGL.NOTA]))),-1)))</f>
        <v/>
      </c>
      <c r="AI672" s="36" t="str">
        <f ca="1">IF(NOTA[[#This Row],[ID_H]]="","",INDEX(NOTA[NO.NOTA],MATCH(NOTA[[#This Row],[ID_H]],NOTA[ID_H],0)))</f>
        <v/>
      </c>
      <c r="AJ672" s="38" t="str">
        <f ca="1">IF(NOTA[[#This Row],[NAMA BARANG]]="","",INDEX(NOTA[SUPPLIER],MATCH(,INDIRECT(ADDRESS(ROW(NOTA[ID]),COLUMN(NOTA[ID]))&amp;":"&amp;ADDRESS(ROW(),COLUMN(NOTA[ID]))),-1)))</f>
        <v/>
      </c>
      <c r="AK672" s="38" t="str">
        <f ca="1">IF(NOTA[[#This Row],[ID_H]]="","",IF(NOTA[[#This Row],[FAKTUR]]="",INDIRECT(ADDRESS(ROW()-1,COLUMN())),NOTA[[#This Row],[FAKTUR]]))</f>
        <v/>
      </c>
      <c r="AL672" s="35" t="str">
        <f ca="1">IF(NOTA[[#This Row],[ID]]="","",COUNTIF(NOTA[ID_H],NOTA[[#This Row],[ID_H]]))</f>
        <v/>
      </c>
      <c r="AM672" s="35" t="str">
        <f ca="1">IF(NOTA[[#This Row],[TGL.NOTA]]="",IF(NOTA[[#This Row],[SUPPLIER_H]]="","",AM671),MONTH(NOTA[[#This Row],[TGL.NOTA]]))</f>
        <v/>
      </c>
      <c r="AN6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2" s="35" t="str">
        <f>IF(NOTA[[#This Row],[CONCAT1]]="","",MATCH(NOTA[[#This Row],[CONCAT1]],[3]!db[NB NOTA_C],0))</f>
        <v/>
      </c>
      <c r="AS672" s="35" t="str">
        <f>IF(NOTA[[#This Row],[Column5]]="","",TRUE)</f>
        <v/>
      </c>
      <c r="AT672" s="35" t="str">
        <f ca="1">IF(NOTA[[#This Row],[ID_H]]="","",IF(NOTA[[#This Row],[Column3]]=TRUE,NOTA[[#This Row],[Column5]],INDEX([3]!db[QTY/ CTN],NOTA[[#This Row],[//DB]])))</f>
        <v/>
      </c>
      <c r="AU6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2" s="35" t="str">
        <f ca="1">IF(NOTA[[#This Row],[ID_H]]="","",MATCH(NOTA[[#This Row],[NB NOTA_C_QTY]],[3]!db[NB NOTA_C_QTY+F],0))</f>
        <v/>
      </c>
      <c r="AW672" s="43" t="str">
        <f ca="1">IF(NOTA[[#This Row],[NB NOTA_C_QTY]]="","",ROW()-2)</f>
        <v/>
      </c>
    </row>
    <row r="673" spans="1:49" ht="20.100000000000001" customHeight="1">
      <c r="A6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5" t="str">
        <f ca="1">IF(NOTA[[#This Row],[NAMA BARANG]]="","",INDEX(NOTA[ID],MATCH(,INDIRECT(ADDRESS(ROW(NOTA[ID]),COLUMN(NOTA[ID]))&amp;":"&amp;ADDRESS(ROW(),COLUMN(NOTA[ID]))),-1)))</f>
        <v/>
      </c>
      <c r="C673" s="45"/>
      <c r="F673" s="46"/>
      <c r="G673" s="35"/>
      <c r="H673" s="36"/>
      <c r="I673" s="35"/>
      <c r="K673" s="37"/>
      <c r="L673" s="35"/>
      <c r="N673" s="38"/>
      <c r="O673" s="39"/>
      <c r="P673" s="47"/>
      <c r="Q673" s="48"/>
      <c r="R673" s="41"/>
      <c r="T673" s="42"/>
      <c r="U673" s="44"/>
      <c r="V673" s="42" t="str">
        <f>IF(NOTA[[#This Row],[HARGA/ CTN]]="",NOTA[[#This Row],[JUMLAH_H]],NOTA[[#This Row],[HARGA/ CTN]]*IF(NOTA[[#This Row],[C]]="",0,NOTA[[#This Row],[C]]))</f>
        <v/>
      </c>
      <c r="W673" s="42" t="str">
        <f>IF(NOTA[[#This Row],[JUMLAH]]="","",NOTA[[#This Row],[JUMLAH]]*NOTA[[#This Row],[Column6]])</f>
        <v/>
      </c>
      <c r="X673" s="42" t="str">
        <f>IF(NOTA[[#This Row],[JUMLAH]]="","",(NOTA[[#This Row],[JUMLAH]]-NOTA[[#This Row],[DISC 1-]])*NOTA[[#This Row],[Column7]])</f>
        <v/>
      </c>
      <c r="Y673" s="42" t="str">
        <f>IF(NOTA[[#This Row],[JUMLAH]]="","",(NOTA[[#This Row],[JUMLAH]]-NOTA[[#This Row],[DISC 1-]]-NOTA[[#This Row],[DISC 2-]])*NOTA[[#This Row],[Column8]])</f>
        <v/>
      </c>
      <c r="Z673" s="42" t="str">
        <f>IF(NOTA[[#This Row],[JUMLAH]]="","",NOTA[[#This Row],[DISC 1-]]+NOTA[[#This Row],[DISC 2-]]+NOTA[[#This Row],[DISC 3-]])</f>
        <v/>
      </c>
      <c r="AA673" s="42" t="str">
        <f>IF(NOTA[[#This Row],[JUMLAH]]="","",NOTA[[#This Row],[JUMLAH]]-NOTA[[#This Row],[DISC]])</f>
        <v/>
      </c>
      <c r="AB673" s="42"/>
      <c r="AC6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42" t="str">
        <f>IF(OR(NOTA[[#This Row],[QTY]]="",NOTA[[#This Row],[HARGA SATUAN]]="",),"",NOTA[[#This Row],[QTY]]*NOTA[[#This Row],[HARGA SATUAN]])</f>
        <v/>
      </c>
      <c r="AG673" s="36" t="str">
        <f ca="1">IF(NOTA[[#This Row],[ID_H]]="","",INDEX(NOTA[TANGGAL],MATCH(,INDIRECT(ADDRESS(ROW(NOTA[TANGGAL]),COLUMN(NOTA[TANGGAL]))&amp;":"&amp;ADDRESS(ROW(),COLUMN(NOTA[TANGGAL]))),-1)))</f>
        <v/>
      </c>
      <c r="AH673" s="36" t="str">
        <f ca="1">IF(NOTA[[#This Row],[ID_H]]="","",INDEX(NOTA[TGL.NOTA],MATCH(,INDIRECT(ADDRESS(ROW(NOTA[TGL.NOTA]),COLUMN(NOTA[TGL.NOTA]))&amp;":"&amp;ADDRESS(ROW(),COLUMN(NOTA[TGL.NOTA]))),-1)))</f>
        <v/>
      </c>
      <c r="AI673" s="36" t="str">
        <f ca="1">IF(NOTA[[#This Row],[ID_H]]="","",INDEX(NOTA[NO.NOTA],MATCH(NOTA[[#This Row],[ID_H]],NOTA[ID_H],0)))</f>
        <v/>
      </c>
      <c r="AJ673" s="38" t="str">
        <f ca="1">IF(NOTA[[#This Row],[NAMA BARANG]]="","",INDEX(NOTA[SUPPLIER],MATCH(,INDIRECT(ADDRESS(ROW(NOTA[ID]),COLUMN(NOTA[ID]))&amp;":"&amp;ADDRESS(ROW(),COLUMN(NOTA[ID]))),-1)))</f>
        <v/>
      </c>
      <c r="AK673" s="38" t="str">
        <f ca="1">IF(NOTA[[#This Row],[ID_H]]="","",IF(NOTA[[#This Row],[FAKTUR]]="",INDIRECT(ADDRESS(ROW()-1,COLUMN())),NOTA[[#This Row],[FAKTUR]]))</f>
        <v/>
      </c>
      <c r="AL673" s="35" t="str">
        <f ca="1">IF(NOTA[[#This Row],[ID]]="","",COUNTIF(NOTA[ID_H],NOTA[[#This Row],[ID_H]]))</f>
        <v/>
      </c>
      <c r="AM673" s="35" t="str">
        <f ca="1">IF(NOTA[[#This Row],[TGL.NOTA]]="",IF(NOTA[[#This Row],[SUPPLIER_H]]="","",AM672),MONTH(NOTA[[#This Row],[TGL.NOTA]]))</f>
        <v/>
      </c>
      <c r="AN6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3" s="35" t="str">
        <f>IF(NOTA[[#This Row],[CONCAT1]]="","",MATCH(NOTA[[#This Row],[CONCAT1]],[3]!db[NB NOTA_C],0))</f>
        <v/>
      </c>
      <c r="AS673" s="35" t="str">
        <f>IF(NOTA[[#This Row],[Column5]]="","",TRUE)</f>
        <v/>
      </c>
      <c r="AT673" s="35" t="str">
        <f ca="1">IF(NOTA[[#This Row],[ID_H]]="","",IF(NOTA[[#This Row],[Column3]]=TRUE,NOTA[[#This Row],[Column5]],INDEX([3]!db[QTY/ CTN],NOTA[[#This Row],[//DB]])))</f>
        <v/>
      </c>
      <c r="AU6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3" s="35" t="str">
        <f ca="1">IF(NOTA[[#This Row],[ID_H]]="","",MATCH(NOTA[[#This Row],[NB NOTA_C_QTY]],[3]!db[NB NOTA_C_QTY+F],0))</f>
        <v/>
      </c>
      <c r="AW673" s="43" t="str">
        <f ca="1">IF(NOTA[[#This Row],[NB NOTA_C_QTY]]="","",ROW()-2)</f>
        <v/>
      </c>
    </row>
    <row r="674" spans="1:49" ht="20.100000000000001" customHeight="1">
      <c r="A6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5" t="str">
        <f ca="1">IF(NOTA[[#This Row],[NAMA BARANG]]="","",INDEX(NOTA[ID],MATCH(,INDIRECT(ADDRESS(ROW(NOTA[ID]),COLUMN(NOTA[ID]))&amp;":"&amp;ADDRESS(ROW(),COLUMN(NOTA[ID]))),-1)))</f>
        <v/>
      </c>
      <c r="C674" s="45"/>
      <c r="F674" s="46"/>
      <c r="G674" s="35"/>
      <c r="H674" s="36"/>
      <c r="I674" s="35"/>
      <c r="K674" s="37"/>
      <c r="L674" s="35"/>
      <c r="N674" s="38"/>
      <c r="O674" s="39"/>
      <c r="P674" s="47"/>
      <c r="Q674" s="48"/>
      <c r="R674" s="41"/>
      <c r="T674" s="42"/>
      <c r="U674" s="44"/>
      <c r="V674" s="42" t="str">
        <f>IF(NOTA[[#This Row],[HARGA/ CTN]]="",NOTA[[#This Row],[JUMLAH_H]],NOTA[[#This Row],[HARGA/ CTN]]*IF(NOTA[[#This Row],[C]]="",0,NOTA[[#This Row],[C]]))</f>
        <v/>
      </c>
      <c r="W674" s="42" t="str">
        <f>IF(NOTA[[#This Row],[JUMLAH]]="","",NOTA[[#This Row],[JUMLAH]]*NOTA[[#This Row],[Column6]])</f>
        <v/>
      </c>
      <c r="X674" s="42" t="str">
        <f>IF(NOTA[[#This Row],[JUMLAH]]="","",(NOTA[[#This Row],[JUMLAH]]-NOTA[[#This Row],[DISC 1-]])*NOTA[[#This Row],[Column7]])</f>
        <v/>
      </c>
      <c r="Y674" s="42" t="str">
        <f>IF(NOTA[[#This Row],[JUMLAH]]="","",(NOTA[[#This Row],[JUMLAH]]-NOTA[[#This Row],[DISC 1-]]-NOTA[[#This Row],[DISC 2-]])*NOTA[[#This Row],[Column8]])</f>
        <v/>
      </c>
      <c r="Z674" s="42" t="str">
        <f>IF(NOTA[[#This Row],[JUMLAH]]="","",NOTA[[#This Row],[DISC 1-]]+NOTA[[#This Row],[DISC 2-]]+NOTA[[#This Row],[DISC 3-]])</f>
        <v/>
      </c>
      <c r="AA674" s="42" t="str">
        <f>IF(NOTA[[#This Row],[JUMLAH]]="","",NOTA[[#This Row],[JUMLAH]]-NOTA[[#This Row],[DISC]])</f>
        <v/>
      </c>
      <c r="AB674" s="42"/>
      <c r="AC6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42" t="str">
        <f>IF(OR(NOTA[[#This Row],[QTY]]="",NOTA[[#This Row],[HARGA SATUAN]]="",),"",NOTA[[#This Row],[QTY]]*NOTA[[#This Row],[HARGA SATUAN]])</f>
        <v/>
      </c>
      <c r="AG674" s="36" t="str">
        <f ca="1">IF(NOTA[[#This Row],[ID_H]]="","",INDEX(NOTA[TANGGAL],MATCH(,INDIRECT(ADDRESS(ROW(NOTA[TANGGAL]),COLUMN(NOTA[TANGGAL]))&amp;":"&amp;ADDRESS(ROW(),COLUMN(NOTA[TANGGAL]))),-1)))</f>
        <v/>
      </c>
      <c r="AH674" s="36" t="str">
        <f ca="1">IF(NOTA[[#This Row],[ID_H]]="","",INDEX(NOTA[TGL.NOTA],MATCH(,INDIRECT(ADDRESS(ROW(NOTA[TGL.NOTA]),COLUMN(NOTA[TGL.NOTA]))&amp;":"&amp;ADDRESS(ROW(),COLUMN(NOTA[TGL.NOTA]))),-1)))</f>
        <v/>
      </c>
      <c r="AI674" s="36" t="str">
        <f ca="1">IF(NOTA[[#This Row],[ID_H]]="","",INDEX(NOTA[NO.NOTA],MATCH(NOTA[[#This Row],[ID_H]],NOTA[ID_H],0)))</f>
        <v/>
      </c>
      <c r="AJ674" s="38" t="str">
        <f ca="1">IF(NOTA[[#This Row],[NAMA BARANG]]="","",INDEX(NOTA[SUPPLIER],MATCH(,INDIRECT(ADDRESS(ROW(NOTA[ID]),COLUMN(NOTA[ID]))&amp;":"&amp;ADDRESS(ROW(),COLUMN(NOTA[ID]))),-1)))</f>
        <v/>
      </c>
      <c r="AK674" s="38" t="str">
        <f ca="1">IF(NOTA[[#This Row],[ID_H]]="","",IF(NOTA[[#This Row],[FAKTUR]]="",INDIRECT(ADDRESS(ROW()-1,COLUMN())),NOTA[[#This Row],[FAKTUR]]))</f>
        <v/>
      </c>
      <c r="AL674" s="35" t="str">
        <f ca="1">IF(NOTA[[#This Row],[ID]]="","",COUNTIF(NOTA[ID_H],NOTA[[#This Row],[ID_H]]))</f>
        <v/>
      </c>
      <c r="AM674" s="35" t="str">
        <f ca="1">IF(NOTA[[#This Row],[TGL.NOTA]]="",IF(NOTA[[#This Row],[SUPPLIER_H]]="","",AM673),MONTH(NOTA[[#This Row],[TGL.NOTA]]))</f>
        <v/>
      </c>
      <c r="AN6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4" s="35" t="str">
        <f>IF(NOTA[[#This Row],[CONCAT1]]="","",MATCH(NOTA[[#This Row],[CONCAT1]],[3]!db[NB NOTA_C],0))</f>
        <v/>
      </c>
      <c r="AS674" s="35" t="str">
        <f>IF(NOTA[[#This Row],[Column5]]="","",TRUE)</f>
        <v/>
      </c>
      <c r="AT674" s="35" t="str">
        <f ca="1">IF(NOTA[[#This Row],[ID_H]]="","",IF(NOTA[[#This Row],[Column3]]=TRUE,NOTA[[#This Row],[Column5]],INDEX([3]!db[QTY/ CTN],NOTA[[#This Row],[//DB]])))</f>
        <v/>
      </c>
      <c r="AU6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4" s="35" t="str">
        <f ca="1">IF(NOTA[[#This Row],[ID_H]]="","",MATCH(NOTA[[#This Row],[NB NOTA_C_QTY]],[3]!db[NB NOTA_C_QTY+F],0))</f>
        <v/>
      </c>
      <c r="AW674" s="43" t="str">
        <f ca="1">IF(NOTA[[#This Row],[NB NOTA_C_QTY]]="","",ROW()-2)</f>
        <v/>
      </c>
    </row>
    <row r="675" spans="1:49" ht="20.100000000000001" customHeight="1">
      <c r="A6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5" t="str">
        <f ca="1">IF(NOTA[[#This Row],[NAMA BARANG]]="","",INDEX(NOTA[ID],MATCH(,INDIRECT(ADDRESS(ROW(NOTA[ID]),COLUMN(NOTA[ID]))&amp;":"&amp;ADDRESS(ROW(),COLUMN(NOTA[ID]))),-1)))</f>
        <v/>
      </c>
      <c r="C675" s="45"/>
      <c r="F675" s="46"/>
      <c r="G675" s="35"/>
      <c r="H675" s="36"/>
      <c r="I675" s="35"/>
      <c r="K675" s="37"/>
      <c r="L675" s="35"/>
      <c r="N675" s="38"/>
      <c r="O675" s="39"/>
      <c r="P675" s="47"/>
      <c r="Q675" s="48"/>
      <c r="R675" s="41"/>
      <c r="T675" s="42"/>
      <c r="U675" s="44"/>
      <c r="V675" s="42" t="str">
        <f>IF(NOTA[[#This Row],[HARGA/ CTN]]="",NOTA[[#This Row],[JUMLAH_H]],NOTA[[#This Row],[HARGA/ CTN]]*IF(NOTA[[#This Row],[C]]="",0,NOTA[[#This Row],[C]]))</f>
        <v/>
      </c>
      <c r="W675" s="42" t="str">
        <f>IF(NOTA[[#This Row],[JUMLAH]]="","",NOTA[[#This Row],[JUMLAH]]*NOTA[[#This Row],[Column6]])</f>
        <v/>
      </c>
      <c r="X675" s="42" t="str">
        <f>IF(NOTA[[#This Row],[JUMLAH]]="","",(NOTA[[#This Row],[JUMLAH]]-NOTA[[#This Row],[DISC 1-]])*NOTA[[#This Row],[Column7]])</f>
        <v/>
      </c>
      <c r="Y675" s="42" t="str">
        <f>IF(NOTA[[#This Row],[JUMLAH]]="","",(NOTA[[#This Row],[JUMLAH]]-NOTA[[#This Row],[DISC 1-]]-NOTA[[#This Row],[DISC 2-]])*NOTA[[#This Row],[Column8]])</f>
        <v/>
      </c>
      <c r="Z675" s="42" t="str">
        <f>IF(NOTA[[#This Row],[JUMLAH]]="","",NOTA[[#This Row],[DISC 1-]]+NOTA[[#This Row],[DISC 2-]]+NOTA[[#This Row],[DISC 3-]])</f>
        <v/>
      </c>
      <c r="AA675" s="42" t="str">
        <f>IF(NOTA[[#This Row],[JUMLAH]]="","",NOTA[[#This Row],[JUMLAH]]-NOTA[[#This Row],[DISC]])</f>
        <v/>
      </c>
      <c r="AB675" s="42"/>
      <c r="AC6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42" t="str">
        <f>IF(OR(NOTA[[#This Row],[QTY]]="",NOTA[[#This Row],[HARGA SATUAN]]="",),"",NOTA[[#This Row],[QTY]]*NOTA[[#This Row],[HARGA SATUAN]])</f>
        <v/>
      </c>
      <c r="AG675" s="36" t="str">
        <f ca="1">IF(NOTA[[#This Row],[ID_H]]="","",INDEX(NOTA[TANGGAL],MATCH(,INDIRECT(ADDRESS(ROW(NOTA[TANGGAL]),COLUMN(NOTA[TANGGAL]))&amp;":"&amp;ADDRESS(ROW(),COLUMN(NOTA[TANGGAL]))),-1)))</f>
        <v/>
      </c>
      <c r="AH675" s="36" t="str">
        <f ca="1">IF(NOTA[[#This Row],[ID_H]]="","",INDEX(NOTA[TGL.NOTA],MATCH(,INDIRECT(ADDRESS(ROW(NOTA[TGL.NOTA]),COLUMN(NOTA[TGL.NOTA]))&amp;":"&amp;ADDRESS(ROW(),COLUMN(NOTA[TGL.NOTA]))),-1)))</f>
        <v/>
      </c>
      <c r="AI675" s="36" t="str">
        <f ca="1">IF(NOTA[[#This Row],[ID_H]]="","",INDEX(NOTA[NO.NOTA],MATCH(NOTA[[#This Row],[ID_H]],NOTA[ID_H],0)))</f>
        <v/>
      </c>
      <c r="AJ675" s="38" t="str">
        <f ca="1">IF(NOTA[[#This Row],[NAMA BARANG]]="","",INDEX(NOTA[SUPPLIER],MATCH(,INDIRECT(ADDRESS(ROW(NOTA[ID]),COLUMN(NOTA[ID]))&amp;":"&amp;ADDRESS(ROW(),COLUMN(NOTA[ID]))),-1)))</f>
        <v/>
      </c>
      <c r="AK675" s="38" t="str">
        <f ca="1">IF(NOTA[[#This Row],[ID_H]]="","",IF(NOTA[[#This Row],[FAKTUR]]="",INDIRECT(ADDRESS(ROW()-1,COLUMN())),NOTA[[#This Row],[FAKTUR]]))</f>
        <v/>
      </c>
      <c r="AL675" s="35" t="str">
        <f ca="1">IF(NOTA[[#This Row],[ID]]="","",COUNTIF(NOTA[ID_H],NOTA[[#This Row],[ID_H]]))</f>
        <v/>
      </c>
      <c r="AM675" s="35" t="str">
        <f ca="1">IF(NOTA[[#This Row],[TGL.NOTA]]="",IF(NOTA[[#This Row],[SUPPLIER_H]]="","",AM674),MONTH(NOTA[[#This Row],[TGL.NOTA]]))</f>
        <v/>
      </c>
      <c r="AN6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5" s="35" t="str">
        <f>IF(NOTA[[#This Row],[CONCAT1]]="","",MATCH(NOTA[[#This Row],[CONCAT1]],[3]!db[NB NOTA_C],0))</f>
        <v/>
      </c>
      <c r="AS675" s="35" t="str">
        <f>IF(NOTA[[#This Row],[Column5]]="","",TRUE)</f>
        <v/>
      </c>
      <c r="AT675" s="35" t="str">
        <f ca="1">IF(NOTA[[#This Row],[ID_H]]="","",IF(NOTA[[#This Row],[Column3]]=TRUE,NOTA[[#This Row],[Column5]],INDEX([3]!db[QTY/ CTN],NOTA[[#This Row],[//DB]])))</f>
        <v/>
      </c>
      <c r="AU6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5" s="35" t="str">
        <f ca="1">IF(NOTA[[#This Row],[ID_H]]="","",MATCH(NOTA[[#This Row],[NB NOTA_C_QTY]],[3]!db[NB NOTA_C_QTY+F],0))</f>
        <v/>
      </c>
      <c r="AW675" s="43" t="str">
        <f ca="1">IF(NOTA[[#This Row],[NB NOTA_C_QTY]]="","",ROW()-2)</f>
        <v/>
      </c>
    </row>
    <row r="676" spans="1:49" ht="20.100000000000001" customHeight="1">
      <c r="A6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5" t="str">
        <f ca="1">IF(NOTA[[#This Row],[NAMA BARANG]]="","",INDEX(NOTA[ID],MATCH(,INDIRECT(ADDRESS(ROW(NOTA[ID]),COLUMN(NOTA[ID]))&amp;":"&amp;ADDRESS(ROW(),COLUMN(NOTA[ID]))),-1)))</f>
        <v/>
      </c>
      <c r="C676" s="45"/>
      <c r="F676" s="46"/>
      <c r="G676" s="35"/>
      <c r="H676" s="36"/>
      <c r="I676" s="35"/>
      <c r="K676" s="37"/>
      <c r="L676" s="35"/>
      <c r="N676" s="38"/>
      <c r="O676" s="39"/>
      <c r="P676" s="47"/>
      <c r="Q676" s="48"/>
      <c r="R676" s="41"/>
      <c r="T676" s="42"/>
      <c r="U676" s="44"/>
      <c r="V676" s="42" t="str">
        <f>IF(NOTA[[#This Row],[HARGA/ CTN]]="",NOTA[[#This Row],[JUMLAH_H]],NOTA[[#This Row],[HARGA/ CTN]]*IF(NOTA[[#This Row],[C]]="",0,NOTA[[#This Row],[C]]))</f>
        <v/>
      </c>
      <c r="W676" s="42" t="str">
        <f>IF(NOTA[[#This Row],[JUMLAH]]="","",NOTA[[#This Row],[JUMLAH]]*NOTA[[#This Row],[Column6]])</f>
        <v/>
      </c>
      <c r="X676" s="42" t="str">
        <f>IF(NOTA[[#This Row],[JUMLAH]]="","",(NOTA[[#This Row],[JUMLAH]]-NOTA[[#This Row],[DISC 1-]])*NOTA[[#This Row],[Column7]])</f>
        <v/>
      </c>
      <c r="Y676" s="42" t="str">
        <f>IF(NOTA[[#This Row],[JUMLAH]]="","",(NOTA[[#This Row],[JUMLAH]]-NOTA[[#This Row],[DISC 1-]]-NOTA[[#This Row],[DISC 2-]])*NOTA[[#This Row],[Column8]])</f>
        <v/>
      </c>
      <c r="Z676" s="42" t="str">
        <f>IF(NOTA[[#This Row],[JUMLAH]]="","",NOTA[[#This Row],[DISC 1-]]+NOTA[[#This Row],[DISC 2-]]+NOTA[[#This Row],[DISC 3-]])</f>
        <v/>
      </c>
      <c r="AA676" s="42" t="str">
        <f>IF(NOTA[[#This Row],[JUMLAH]]="","",NOTA[[#This Row],[JUMLAH]]-NOTA[[#This Row],[DISC]])</f>
        <v/>
      </c>
      <c r="AB676" s="42"/>
      <c r="AC6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42" t="str">
        <f>IF(OR(NOTA[[#This Row],[QTY]]="",NOTA[[#This Row],[HARGA SATUAN]]="",),"",NOTA[[#This Row],[QTY]]*NOTA[[#This Row],[HARGA SATUAN]])</f>
        <v/>
      </c>
      <c r="AG676" s="36" t="str">
        <f ca="1">IF(NOTA[[#This Row],[ID_H]]="","",INDEX(NOTA[TANGGAL],MATCH(,INDIRECT(ADDRESS(ROW(NOTA[TANGGAL]),COLUMN(NOTA[TANGGAL]))&amp;":"&amp;ADDRESS(ROW(),COLUMN(NOTA[TANGGAL]))),-1)))</f>
        <v/>
      </c>
      <c r="AH676" s="36" t="str">
        <f ca="1">IF(NOTA[[#This Row],[ID_H]]="","",INDEX(NOTA[TGL.NOTA],MATCH(,INDIRECT(ADDRESS(ROW(NOTA[TGL.NOTA]),COLUMN(NOTA[TGL.NOTA]))&amp;":"&amp;ADDRESS(ROW(),COLUMN(NOTA[TGL.NOTA]))),-1)))</f>
        <v/>
      </c>
      <c r="AI676" s="36" t="str">
        <f ca="1">IF(NOTA[[#This Row],[ID_H]]="","",INDEX(NOTA[NO.NOTA],MATCH(NOTA[[#This Row],[ID_H]],NOTA[ID_H],0)))</f>
        <v/>
      </c>
      <c r="AJ676" s="38" t="str">
        <f ca="1">IF(NOTA[[#This Row],[NAMA BARANG]]="","",INDEX(NOTA[SUPPLIER],MATCH(,INDIRECT(ADDRESS(ROW(NOTA[ID]),COLUMN(NOTA[ID]))&amp;":"&amp;ADDRESS(ROW(),COLUMN(NOTA[ID]))),-1)))</f>
        <v/>
      </c>
      <c r="AK676" s="38" t="str">
        <f ca="1">IF(NOTA[[#This Row],[ID_H]]="","",IF(NOTA[[#This Row],[FAKTUR]]="",INDIRECT(ADDRESS(ROW()-1,COLUMN())),NOTA[[#This Row],[FAKTUR]]))</f>
        <v/>
      </c>
      <c r="AL676" s="35" t="str">
        <f ca="1">IF(NOTA[[#This Row],[ID]]="","",COUNTIF(NOTA[ID_H],NOTA[[#This Row],[ID_H]]))</f>
        <v/>
      </c>
      <c r="AM676" s="35" t="str">
        <f ca="1">IF(NOTA[[#This Row],[TGL.NOTA]]="",IF(NOTA[[#This Row],[SUPPLIER_H]]="","",AM675),MONTH(NOTA[[#This Row],[TGL.NOTA]]))</f>
        <v/>
      </c>
      <c r="AN6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6" s="35" t="str">
        <f>IF(NOTA[[#This Row],[CONCAT1]]="","",MATCH(NOTA[[#This Row],[CONCAT1]],[3]!db[NB NOTA_C],0))</f>
        <v/>
      </c>
      <c r="AS676" s="35" t="str">
        <f>IF(NOTA[[#This Row],[Column5]]="","",TRUE)</f>
        <v/>
      </c>
      <c r="AT676" s="35" t="str">
        <f ca="1">IF(NOTA[[#This Row],[ID_H]]="","",IF(NOTA[[#This Row],[Column3]]=TRUE,NOTA[[#This Row],[Column5]],INDEX([3]!db[QTY/ CTN],NOTA[[#This Row],[//DB]])))</f>
        <v/>
      </c>
      <c r="AU6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6" s="35" t="str">
        <f ca="1">IF(NOTA[[#This Row],[ID_H]]="","",MATCH(NOTA[[#This Row],[NB NOTA_C_QTY]],[3]!db[NB NOTA_C_QTY+F],0))</f>
        <v/>
      </c>
      <c r="AW676" s="43" t="str">
        <f ca="1">IF(NOTA[[#This Row],[NB NOTA_C_QTY]]="","",ROW()-2)</f>
        <v/>
      </c>
    </row>
    <row r="677" spans="1:49" ht="20.100000000000001" customHeight="1">
      <c r="A6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5" t="str">
        <f ca="1">IF(NOTA[[#This Row],[NAMA BARANG]]="","",INDEX(NOTA[ID],MATCH(,INDIRECT(ADDRESS(ROW(NOTA[ID]),COLUMN(NOTA[ID]))&amp;":"&amp;ADDRESS(ROW(),COLUMN(NOTA[ID]))),-1)))</f>
        <v/>
      </c>
      <c r="C677" s="45"/>
      <c r="F677" s="46"/>
      <c r="G677" s="35"/>
      <c r="H677" s="36"/>
      <c r="I677" s="35"/>
      <c r="K677" s="37"/>
      <c r="L677" s="35"/>
      <c r="N677" s="38"/>
      <c r="O677" s="39"/>
      <c r="P677" s="47"/>
      <c r="Q677" s="48"/>
      <c r="R677" s="41"/>
      <c r="T677" s="42"/>
      <c r="U677" s="44"/>
      <c r="V677" s="42" t="str">
        <f>IF(NOTA[[#This Row],[HARGA/ CTN]]="",NOTA[[#This Row],[JUMLAH_H]],NOTA[[#This Row],[HARGA/ CTN]]*IF(NOTA[[#This Row],[C]]="",0,NOTA[[#This Row],[C]]))</f>
        <v/>
      </c>
      <c r="W677" s="42" t="str">
        <f>IF(NOTA[[#This Row],[JUMLAH]]="","",NOTA[[#This Row],[JUMLAH]]*NOTA[[#This Row],[Column6]])</f>
        <v/>
      </c>
      <c r="X677" s="42" t="str">
        <f>IF(NOTA[[#This Row],[JUMLAH]]="","",(NOTA[[#This Row],[JUMLAH]]-NOTA[[#This Row],[DISC 1-]])*NOTA[[#This Row],[Column7]])</f>
        <v/>
      </c>
      <c r="Y677" s="42" t="str">
        <f>IF(NOTA[[#This Row],[JUMLAH]]="","",(NOTA[[#This Row],[JUMLAH]]-NOTA[[#This Row],[DISC 1-]]-NOTA[[#This Row],[DISC 2-]])*NOTA[[#This Row],[Column8]])</f>
        <v/>
      </c>
      <c r="Z677" s="42" t="str">
        <f>IF(NOTA[[#This Row],[JUMLAH]]="","",NOTA[[#This Row],[DISC 1-]]+NOTA[[#This Row],[DISC 2-]]+NOTA[[#This Row],[DISC 3-]])</f>
        <v/>
      </c>
      <c r="AA677" s="42" t="str">
        <f>IF(NOTA[[#This Row],[JUMLAH]]="","",NOTA[[#This Row],[JUMLAH]]-NOTA[[#This Row],[DISC]])</f>
        <v/>
      </c>
      <c r="AB677" s="42"/>
      <c r="AC6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42" t="str">
        <f>IF(OR(NOTA[[#This Row],[QTY]]="",NOTA[[#This Row],[HARGA SATUAN]]="",),"",NOTA[[#This Row],[QTY]]*NOTA[[#This Row],[HARGA SATUAN]])</f>
        <v/>
      </c>
      <c r="AG677" s="36" t="str">
        <f ca="1">IF(NOTA[[#This Row],[ID_H]]="","",INDEX(NOTA[TANGGAL],MATCH(,INDIRECT(ADDRESS(ROW(NOTA[TANGGAL]),COLUMN(NOTA[TANGGAL]))&amp;":"&amp;ADDRESS(ROW(),COLUMN(NOTA[TANGGAL]))),-1)))</f>
        <v/>
      </c>
      <c r="AH677" s="36" t="str">
        <f ca="1">IF(NOTA[[#This Row],[ID_H]]="","",INDEX(NOTA[TGL.NOTA],MATCH(,INDIRECT(ADDRESS(ROW(NOTA[TGL.NOTA]),COLUMN(NOTA[TGL.NOTA]))&amp;":"&amp;ADDRESS(ROW(),COLUMN(NOTA[TGL.NOTA]))),-1)))</f>
        <v/>
      </c>
      <c r="AI677" s="36" t="str">
        <f ca="1">IF(NOTA[[#This Row],[ID_H]]="","",INDEX(NOTA[NO.NOTA],MATCH(NOTA[[#This Row],[ID_H]],NOTA[ID_H],0)))</f>
        <v/>
      </c>
      <c r="AJ677" s="38" t="str">
        <f ca="1">IF(NOTA[[#This Row],[NAMA BARANG]]="","",INDEX(NOTA[SUPPLIER],MATCH(,INDIRECT(ADDRESS(ROW(NOTA[ID]),COLUMN(NOTA[ID]))&amp;":"&amp;ADDRESS(ROW(),COLUMN(NOTA[ID]))),-1)))</f>
        <v/>
      </c>
      <c r="AK677" s="38" t="str">
        <f ca="1">IF(NOTA[[#This Row],[ID_H]]="","",IF(NOTA[[#This Row],[FAKTUR]]="",INDIRECT(ADDRESS(ROW()-1,COLUMN())),NOTA[[#This Row],[FAKTUR]]))</f>
        <v/>
      </c>
      <c r="AL677" s="35" t="str">
        <f ca="1">IF(NOTA[[#This Row],[ID]]="","",COUNTIF(NOTA[ID_H],NOTA[[#This Row],[ID_H]]))</f>
        <v/>
      </c>
      <c r="AM677" s="35" t="str">
        <f ca="1">IF(NOTA[[#This Row],[TGL.NOTA]]="",IF(NOTA[[#This Row],[SUPPLIER_H]]="","",AM676),MONTH(NOTA[[#This Row],[TGL.NOTA]]))</f>
        <v/>
      </c>
      <c r="AN6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7" s="35" t="str">
        <f>IF(NOTA[[#This Row],[CONCAT1]]="","",MATCH(NOTA[[#This Row],[CONCAT1]],[3]!db[NB NOTA_C],0))</f>
        <v/>
      </c>
      <c r="AS677" s="35" t="str">
        <f>IF(NOTA[[#This Row],[Column5]]="","",TRUE)</f>
        <v/>
      </c>
      <c r="AT677" s="35" t="str">
        <f ca="1">IF(NOTA[[#This Row],[ID_H]]="","",IF(NOTA[[#This Row],[Column3]]=TRUE,NOTA[[#This Row],[Column5]],INDEX([3]!db[QTY/ CTN],NOTA[[#This Row],[//DB]])))</f>
        <v/>
      </c>
      <c r="AU6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7" s="35" t="str">
        <f ca="1">IF(NOTA[[#This Row],[ID_H]]="","",MATCH(NOTA[[#This Row],[NB NOTA_C_QTY]],[3]!db[NB NOTA_C_QTY+F],0))</f>
        <v/>
      </c>
      <c r="AW677" s="43" t="str">
        <f ca="1">IF(NOTA[[#This Row],[NB NOTA_C_QTY]]="","",ROW()-2)</f>
        <v/>
      </c>
    </row>
    <row r="678" spans="1:49" ht="20.100000000000001" customHeight="1">
      <c r="A6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5" t="str">
        <f ca="1">IF(NOTA[[#This Row],[NAMA BARANG]]="","",INDEX(NOTA[ID],MATCH(,INDIRECT(ADDRESS(ROW(NOTA[ID]),COLUMN(NOTA[ID]))&amp;":"&amp;ADDRESS(ROW(),COLUMN(NOTA[ID]))),-1)))</f>
        <v/>
      </c>
      <c r="C678" s="45"/>
      <c r="F678" s="46"/>
      <c r="G678" s="35"/>
      <c r="H678" s="36"/>
      <c r="I678" s="35"/>
      <c r="K678" s="37"/>
      <c r="L678" s="35"/>
      <c r="N678" s="38"/>
      <c r="O678" s="39"/>
      <c r="P678" s="47"/>
      <c r="Q678" s="48"/>
      <c r="R678" s="41"/>
      <c r="T678" s="42"/>
      <c r="U678" s="44"/>
      <c r="V678" s="42" t="str">
        <f>IF(NOTA[[#This Row],[HARGA/ CTN]]="",NOTA[[#This Row],[JUMLAH_H]],NOTA[[#This Row],[HARGA/ CTN]]*IF(NOTA[[#This Row],[C]]="",0,NOTA[[#This Row],[C]]))</f>
        <v/>
      </c>
      <c r="W678" s="42" t="str">
        <f>IF(NOTA[[#This Row],[JUMLAH]]="","",NOTA[[#This Row],[JUMLAH]]*NOTA[[#This Row],[Column6]])</f>
        <v/>
      </c>
      <c r="X678" s="42" t="str">
        <f>IF(NOTA[[#This Row],[JUMLAH]]="","",(NOTA[[#This Row],[JUMLAH]]-NOTA[[#This Row],[DISC 1-]])*NOTA[[#This Row],[Column7]])</f>
        <v/>
      </c>
      <c r="Y678" s="42" t="str">
        <f>IF(NOTA[[#This Row],[JUMLAH]]="","",(NOTA[[#This Row],[JUMLAH]]-NOTA[[#This Row],[DISC 1-]]-NOTA[[#This Row],[DISC 2-]])*NOTA[[#This Row],[Column8]])</f>
        <v/>
      </c>
      <c r="Z678" s="42" t="str">
        <f>IF(NOTA[[#This Row],[JUMLAH]]="","",NOTA[[#This Row],[DISC 1-]]+NOTA[[#This Row],[DISC 2-]]+NOTA[[#This Row],[DISC 3-]])</f>
        <v/>
      </c>
      <c r="AA678" s="42" t="str">
        <f>IF(NOTA[[#This Row],[JUMLAH]]="","",NOTA[[#This Row],[JUMLAH]]-NOTA[[#This Row],[DISC]])</f>
        <v/>
      </c>
      <c r="AB678" s="42"/>
      <c r="AC6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42" t="str">
        <f>IF(OR(NOTA[[#This Row],[QTY]]="",NOTA[[#This Row],[HARGA SATUAN]]="",),"",NOTA[[#This Row],[QTY]]*NOTA[[#This Row],[HARGA SATUAN]])</f>
        <v/>
      </c>
      <c r="AG678" s="36" t="str">
        <f ca="1">IF(NOTA[[#This Row],[ID_H]]="","",INDEX(NOTA[TANGGAL],MATCH(,INDIRECT(ADDRESS(ROW(NOTA[TANGGAL]),COLUMN(NOTA[TANGGAL]))&amp;":"&amp;ADDRESS(ROW(),COLUMN(NOTA[TANGGAL]))),-1)))</f>
        <v/>
      </c>
      <c r="AH678" s="36" t="str">
        <f ca="1">IF(NOTA[[#This Row],[ID_H]]="","",INDEX(NOTA[TGL.NOTA],MATCH(,INDIRECT(ADDRESS(ROW(NOTA[TGL.NOTA]),COLUMN(NOTA[TGL.NOTA]))&amp;":"&amp;ADDRESS(ROW(),COLUMN(NOTA[TGL.NOTA]))),-1)))</f>
        <v/>
      </c>
      <c r="AI678" s="36" t="str">
        <f ca="1">IF(NOTA[[#This Row],[ID_H]]="","",INDEX(NOTA[NO.NOTA],MATCH(NOTA[[#This Row],[ID_H]],NOTA[ID_H],0)))</f>
        <v/>
      </c>
      <c r="AJ678" s="38" t="str">
        <f ca="1">IF(NOTA[[#This Row],[NAMA BARANG]]="","",INDEX(NOTA[SUPPLIER],MATCH(,INDIRECT(ADDRESS(ROW(NOTA[ID]),COLUMN(NOTA[ID]))&amp;":"&amp;ADDRESS(ROW(),COLUMN(NOTA[ID]))),-1)))</f>
        <v/>
      </c>
      <c r="AK678" s="38" t="str">
        <f ca="1">IF(NOTA[[#This Row],[ID_H]]="","",IF(NOTA[[#This Row],[FAKTUR]]="",INDIRECT(ADDRESS(ROW()-1,COLUMN())),NOTA[[#This Row],[FAKTUR]]))</f>
        <v/>
      </c>
      <c r="AL678" s="35" t="str">
        <f ca="1">IF(NOTA[[#This Row],[ID]]="","",COUNTIF(NOTA[ID_H],NOTA[[#This Row],[ID_H]]))</f>
        <v/>
      </c>
      <c r="AM678" s="35" t="str">
        <f ca="1">IF(NOTA[[#This Row],[TGL.NOTA]]="",IF(NOTA[[#This Row],[SUPPLIER_H]]="","",AM677),MONTH(NOTA[[#This Row],[TGL.NOTA]]))</f>
        <v/>
      </c>
      <c r="AN6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8" s="35" t="str">
        <f>IF(NOTA[[#This Row],[CONCAT1]]="","",MATCH(NOTA[[#This Row],[CONCAT1]],[3]!db[NB NOTA_C],0))</f>
        <v/>
      </c>
      <c r="AS678" s="35" t="str">
        <f>IF(NOTA[[#This Row],[Column5]]="","",TRUE)</f>
        <v/>
      </c>
      <c r="AT678" s="35" t="str">
        <f ca="1">IF(NOTA[[#This Row],[ID_H]]="","",IF(NOTA[[#This Row],[Column3]]=TRUE,NOTA[[#This Row],[Column5]],INDEX([3]!db[QTY/ CTN],NOTA[[#This Row],[//DB]])))</f>
        <v/>
      </c>
      <c r="AU6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8" s="35" t="str">
        <f ca="1">IF(NOTA[[#This Row],[ID_H]]="","",MATCH(NOTA[[#This Row],[NB NOTA_C_QTY]],[3]!db[NB NOTA_C_QTY+F],0))</f>
        <v/>
      </c>
      <c r="AW678" s="43" t="str">
        <f ca="1">IF(NOTA[[#This Row],[NB NOTA_C_QTY]]="","",ROW()-2)</f>
        <v/>
      </c>
    </row>
    <row r="679" spans="1:49" ht="20.100000000000001" customHeight="1">
      <c r="A6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5" t="str">
        <f ca="1">IF(NOTA[[#This Row],[NAMA BARANG]]="","",INDEX(NOTA[ID],MATCH(,INDIRECT(ADDRESS(ROW(NOTA[ID]),COLUMN(NOTA[ID]))&amp;":"&amp;ADDRESS(ROW(),COLUMN(NOTA[ID]))),-1)))</f>
        <v/>
      </c>
      <c r="C679" s="45"/>
      <c r="F679" s="46"/>
      <c r="G679" s="35"/>
      <c r="H679" s="36"/>
      <c r="I679" s="35"/>
      <c r="K679" s="37"/>
      <c r="L679" s="35"/>
      <c r="N679" s="38"/>
      <c r="O679" s="39"/>
      <c r="P679" s="47"/>
      <c r="Q679" s="48"/>
      <c r="R679" s="41"/>
      <c r="T679" s="42"/>
      <c r="U679" s="44"/>
      <c r="V679" s="42" t="str">
        <f>IF(NOTA[[#This Row],[HARGA/ CTN]]="",NOTA[[#This Row],[JUMLAH_H]],NOTA[[#This Row],[HARGA/ CTN]]*IF(NOTA[[#This Row],[C]]="",0,NOTA[[#This Row],[C]]))</f>
        <v/>
      </c>
      <c r="W679" s="42" t="str">
        <f>IF(NOTA[[#This Row],[JUMLAH]]="","",NOTA[[#This Row],[JUMLAH]]*NOTA[[#This Row],[Column6]])</f>
        <v/>
      </c>
      <c r="X679" s="42" t="str">
        <f>IF(NOTA[[#This Row],[JUMLAH]]="","",(NOTA[[#This Row],[JUMLAH]]-NOTA[[#This Row],[DISC 1-]])*NOTA[[#This Row],[Column7]])</f>
        <v/>
      </c>
      <c r="Y679" s="42" t="str">
        <f>IF(NOTA[[#This Row],[JUMLAH]]="","",(NOTA[[#This Row],[JUMLAH]]-NOTA[[#This Row],[DISC 1-]]-NOTA[[#This Row],[DISC 2-]])*NOTA[[#This Row],[Column8]])</f>
        <v/>
      </c>
      <c r="Z679" s="42" t="str">
        <f>IF(NOTA[[#This Row],[JUMLAH]]="","",NOTA[[#This Row],[DISC 1-]]+NOTA[[#This Row],[DISC 2-]]+NOTA[[#This Row],[DISC 3-]])</f>
        <v/>
      </c>
      <c r="AA679" s="42" t="str">
        <f>IF(NOTA[[#This Row],[JUMLAH]]="","",NOTA[[#This Row],[JUMLAH]]-NOTA[[#This Row],[DISC]])</f>
        <v/>
      </c>
      <c r="AB679" s="42"/>
      <c r="AC6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42" t="str">
        <f>IF(OR(NOTA[[#This Row],[QTY]]="",NOTA[[#This Row],[HARGA SATUAN]]="",),"",NOTA[[#This Row],[QTY]]*NOTA[[#This Row],[HARGA SATUAN]])</f>
        <v/>
      </c>
      <c r="AG679" s="36" t="str">
        <f ca="1">IF(NOTA[[#This Row],[ID_H]]="","",INDEX(NOTA[TANGGAL],MATCH(,INDIRECT(ADDRESS(ROW(NOTA[TANGGAL]),COLUMN(NOTA[TANGGAL]))&amp;":"&amp;ADDRESS(ROW(),COLUMN(NOTA[TANGGAL]))),-1)))</f>
        <v/>
      </c>
      <c r="AH679" s="36" t="str">
        <f ca="1">IF(NOTA[[#This Row],[ID_H]]="","",INDEX(NOTA[TGL.NOTA],MATCH(,INDIRECT(ADDRESS(ROW(NOTA[TGL.NOTA]),COLUMN(NOTA[TGL.NOTA]))&amp;":"&amp;ADDRESS(ROW(),COLUMN(NOTA[TGL.NOTA]))),-1)))</f>
        <v/>
      </c>
      <c r="AI679" s="36" t="str">
        <f ca="1">IF(NOTA[[#This Row],[ID_H]]="","",INDEX(NOTA[NO.NOTA],MATCH(NOTA[[#This Row],[ID_H]],NOTA[ID_H],0)))</f>
        <v/>
      </c>
      <c r="AJ679" s="38" t="str">
        <f ca="1">IF(NOTA[[#This Row],[NAMA BARANG]]="","",INDEX(NOTA[SUPPLIER],MATCH(,INDIRECT(ADDRESS(ROW(NOTA[ID]),COLUMN(NOTA[ID]))&amp;":"&amp;ADDRESS(ROW(),COLUMN(NOTA[ID]))),-1)))</f>
        <v/>
      </c>
      <c r="AK679" s="38" t="str">
        <f ca="1">IF(NOTA[[#This Row],[ID_H]]="","",IF(NOTA[[#This Row],[FAKTUR]]="",INDIRECT(ADDRESS(ROW()-1,COLUMN())),NOTA[[#This Row],[FAKTUR]]))</f>
        <v/>
      </c>
      <c r="AL679" s="35" t="str">
        <f ca="1">IF(NOTA[[#This Row],[ID]]="","",COUNTIF(NOTA[ID_H],NOTA[[#This Row],[ID_H]]))</f>
        <v/>
      </c>
      <c r="AM679" s="35" t="str">
        <f ca="1">IF(NOTA[[#This Row],[TGL.NOTA]]="",IF(NOTA[[#This Row],[SUPPLIER_H]]="","",AM678),MONTH(NOTA[[#This Row],[TGL.NOTA]]))</f>
        <v/>
      </c>
      <c r="AN6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9" s="35" t="str">
        <f>IF(NOTA[[#This Row],[CONCAT1]]="","",MATCH(NOTA[[#This Row],[CONCAT1]],[3]!db[NB NOTA_C],0))</f>
        <v/>
      </c>
      <c r="AS679" s="35" t="str">
        <f>IF(NOTA[[#This Row],[Column5]]="","",TRUE)</f>
        <v/>
      </c>
      <c r="AT679" s="35" t="str">
        <f ca="1">IF(NOTA[[#This Row],[ID_H]]="","",IF(NOTA[[#This Row],[Column3]]=TRUE,NOTA[[#This Row],[Column5]],INDEX([3]!db[QTY/ CTN],NOTA[[#This Row],[//DB]])))</f>
        <v/>
      </c>
      <c r="AU6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79" s="35" t="str">
        <f ca="1">IF(NOTA[[#This Row],[ID_H]]="","",MATCH(NOTA[[#This Row],[NB NOTA_C_QTY]],[3]!db[NB NOTA_C_QTY+F],0))</f>
        <v/>
      </c>
      <c r="AW679" s="43" t="str">
        <f ca="1">IF(NOTA[[#This Row],[NB NOTA_C_QTY]]="","",ROW()-2)</f>
        <v/>
      </c>
    </row>
    <row r="680" spans="1:49" ht="20.100000000000001" customHeight="1">
      <c r="A6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5" t="str">
        <f ca="1">IF(NOTA[[#This Row],[NAMA BARANG]]="","",INDEX(NOTA[ID],MATCH(,INDIRECT(ADDRESS(ROW(NOTA[ID]),COLUMN(NOTA[ID]))&amp;":"&amp;ADDRESS(ROW(),COLUMN(NOTA[ID]))),-1)))</f>
        <v/>
      </c>
      <c r="C680" s="45"/>
      <c r="F680" s="46"/>
      <c r="G680" s="35"/>
      <c r="H680" s="36"/>
      <c r="I680" s="35"/>
      <c r="K680" s="37"/>
      <c r="L680" s="35"/>
      <c r="N680" s="38"/>
      <c r="O680" s="39"/>
      <c r="P680" s="47"/>
      <c r="Q680" s="48"/>
      <c r="R680" s="41"/>
      <c r="T680" s="42"/>
      <c r="U680" s="44"/>
      <c r="V680" s="42" t="str">
        <f>IF(NOTA[[#This Row],[HARGA/ CTN]]="",NOTA[[#This Row],[JUMLAH_H]],NOTA[[#This Row],[HARGA/ CTN]]*IF(NOTA[[#This Row],[C]]="",0,NOTA[[#This Row],[C]]))</f>
        <v/>
      </c>
      <c r="W680" s="42" t="str">
        <f>IF(NOTA[[#This Row],[JUMLAH]]="","",NOTA[[#This Row],[JUMLAH]]*NOTA[[#This Row],[Column6]])</f>
        <v/>
      </c>
      <c r="X680" s="42" t="str">
        <f>IF(NOTA[[#This Row],[JUMLAH]]="","",(NOTA[[#This Row],[JUMLAH]]-NOTA[[#This Row],[DISC 1-]])*NOTA[[#This Row],[Column7]])</f>
        <v/>
      </c>
      <c r="Y680" s="42" t="str">
        <f>IF(NOTA[[#This Row],[JUMLAH]]="","",(NOTA[[#This Row],[JUMLAH]]-NOTA[[#This Row],[DISC 1-]]-NOTA[[#This Row],[DISC 2-]])*NOTA[[#This Row],[Column8]])</f>
        <v/>
      </c>
      <c r="Z680" s="42" t="str">
        <f>IF(NOTA[[#This Row],[JUMLAH]]="","",NOTA[[#This Row],[DISC 1-]]+NOTA[[#This Row],[DISC 2-]]+NOTA[[#This Row],[DISC 3-]])</f>
        <v/>
      </c>
      <c r="AA680" s="42" t="str">
        <f>IF(NOTA[[#This Row],[JUMLAH]]="","",NOTA[[#This Row],[JUMLAH]]-NOTA[[#This Row],[DISC]])</f>
        <v/>
      </c>
      <c r="AB680" s="42"/>
      <c r="AC6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42" t="str">
        <f>IF(OR(NOTA[[#This Row],[QTY]]="",NOTA[[#This Row],[HARGA SATUAN]]="",),"",NOTA[[#This Row],[QTY]]*NOTA[[#This Row],[HARGA SATUAN]])</f>
        <v/>
      </c>
      <c r="AG680" s="36" t="str">
        <f ca="1">IF(NOTA[[#This Row],[ID_H]]="","",INDEX(NOTA[TANGGAL],MATCH(,INDIRECT(ADDRESS(ROW(NOTA[TANGGAL]),COLUMN(NOTA[TANGGAL]))&amp;":"&amp;ADDRESS(ROW(),COLUMN(NOTA[TANGGAL]))),-1)))</f>
        <v/>
      </c>
      <c r="AH680" s="36" t="str">
        <f ca="1">IF(NOTA[[#This Row],[ID_H]]="","",INDEX(NOTA[TGL.NOTA],MATCH(,INDIRECT(ADDRESS(ROW(NOTA[TGL.NOTA]),COLUMN(NOTA[TGL.NOTA]))&amp;":"&amp;ADDRESS(ROW(),COLUMN(NOTA[TGL.NOTA]))),-1)))</f>
        <v/>
      </c>
      <c r="AI680" s="36" t="str">
        <f ca="1">IF(NOTA[[#This Row],[ID_H]]="","",INDEX(NOTA[NO.NOTA],MATCH(NOTA[[#This Row],[ID_H]],NOTA[ID_H],0)))</f>
        <v/>
      </c>
      <c r="AJ680" s="38" t="str">
        <f ca="1">IF(NOTA[[#This Row],[NAMA BARANG]]="","",INDEX(NOTA[SUPPLIER],MATCH(,INDIRECT(ADDRESS(ROW(NOTA[ID]),COLUMN(NOTA[ID]))&amp;":"&amp;ADDRESS(ROW(),COLUMN(NOTA[ID]))),-1)))</f>
        <v/>
      </c>
      <c r="AK680" s="38" t="str">
        <f ca="1">IF(NOTA[[#This Row],[ID_H]]="","",IF(NOTA[[#This Row],[FAKTUR]]="",INDIRECT(ADDRESS(ROW()-1,COLUMN())),NOTA[[#This Row],[FAKTUR]]))</f>
        <v/>
      </c>
      <c r="AL680" s="35" t="str">
        <f ca="1">IF(NOTA[[#This Row],[ID]]="","",COUNTIF(NOTA[ID_H],NOTA[[#This Row],[ID_H]]))</f>
        <v/>
      </c>
      <c r="AM680" s="35" t="str">
        <f ca="1">IF(NOTA[[#This Row],[TGL.NOTA]]="",IF(NOTA[[#This Row],[SUPPLIER_H]]="","",AM679),MONTH(NOTA[[#This Row],[TGL.NOTA]]))</f>
        <v/>
      </c>
      <c r="AN6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0" s="35" t="str">
        <f>IF(NOTA[[#This Row],[CONCAT1]]="","",MATCH(NOTA[[#This Row],[CONCAT1]],[3]!db[NB NOTA_C],0))</f>
        <v/>
      </c>
      <c r="AS680" s="35" t="str">
        <f>IF(NOTA[[#This Row],[Column5]]="","",TRUE)</f>
        <v/>
      </c>
      <c r="AT680" s="35" t="str">
        <f ca="1">IF(NOTA[[#This Row],[ID_H]]="","",IF(NOTA[[#This Row],[Column3]]=TRUE,NOTA[[#This Row],[Column5]],INDEX([3]!db[QTY/ CTN],NOTA[[#This Row],[//DB]])))</f>
        <v/>
      </c>
      <c r="AU6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0" s="35" t="str">
        <f ca="1">IF(NOTA[[#This Row],[ID_H]]="","",MATCH(NOTA[[#This Row],[NB NOTA_C_QTY]],[3]!db[NB NOTA_C_QTY+F],0))</f>
        <v/>
      </c>
      <c r="AW680" s="43" t="str">
        <f ca="1">IF(NOTA[[#This Row],[NB NOTA_C_QTY]]="","",ROW()-2)</f>
        <v/>
      </c>
    </row>
    <row r="681" spans="1:49" ht="20.100000000000001" customHeight="1">
      <c r="A6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5" t="str">
        <f ca="1">IF(NOTA[[#This Row],[NAMA BARANG]]="","",INDEX(NOTA[ID],MATCH(,INDIRECT(ADDRESS(ROW(NOTA[ID]),COLUMN(NOTA[ID]))&amp;":"&amp;ADDRESS(ROW(),COLUMN(NOTA[ID]))),-1)))</f>
        <v/>
      </c>
      <c r="C681" s="45"/>
      <c r="F681" s="46"/>
      <c r="G681" s="35"/>
      <c r="H681" s="36"/>
      <c r="I681" s="35"/>
      <c r="K681" s="37"/>
      <c r="L681" s="35"/>
      <c r="N681" s="38"/>
      <c r="O681" s="39"/>
      <c r="P681" s="47"/>
      <c r="Q681" s="48"/>
      <c r="R681" s="41"/>
      <c r="T681" s="42"/>
      <c r="U681" s="44"/>
      <c r="V681" s="42" t="str">
        <f>IF(NOTA[[#This Row],[HARGA/ CTN]]="",NOTA[[#This Row],[JUMLAH_H]],NOTA[[#This Row],[HARGA/ CTN]]*IF(NOTA[[#This Row],[C]]="",0,NOTA[[#This Row],[C]]))</f>
        <v/>
      </c>
      <c r="W681" s="42" t="str">
        <f>IF(NOTA[[#This Row],[JUMLAH]]="","",NOTA[[#This Row],[JUMLAH]]*NOTA[[#This Row],[Column6]])</f>
        <v/>
      </c>
      <c r="X681" s="42" t="str">
        <f>IF(NOTA[[#This Row],[JUMLAH]]="","",(NOTA[[#This Row],[JUMLAH]]-NOTA[[#This Row],[DISC 1-]])*NOTA[[#This Row],[Column7]])</f>
        <v/>
      </c>
      <c r="Y681" s="42" t="str">
        <f>IF(NOTA[[#This Row],[JUMLAH]]="","",(NOTA[[#This Row],[JUMLAH]]-NOTA[[#This Row],[DISC 1-]]-NOTA[[#This Row],[DISC 2-]])*NOTA[[#This Row],[Column8]])</f>
        <v/>
      </c>
      <c r="Z681" s="42" t="str">
        <f>IF(NOTA[[#This Row],[JUMLAH]]="","",NOTA[[#This Row],[DISC 1-]]+NOTA[[#This Row],[DISC 2-]]+NOTA[[#This Row],[DISC 3-]])</f>
        <v/>
      </c>
      <c r="AA681" s="42" t="str">
        <f>IF(NOTA[[#This Row],[JUMLAH]]="","",NOTA[[#This Row],[JUMLAH]]-NOTA[[#This Row],[DISC]])</f>
        <v/>
      </c>
      <c r="AB681" s="42"/>
      <c r="AC6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42" t="str">
        <f>IF(OR(NOTA[[#This Row],[QTY]]="",NOTA[[#This Row],[HARGA SATUAN]]="",),"",NOTA[[#This Row],[QTY]]*NOTA[[#This Row],[HARGA SATUAN]])</f>
        <v/>
      </c>
      <c r="AG681" s="36" t="str">
        <f ca="1">IF(NOTA[[#This Row],[ID_H]]="","",INDEX(NOTA[TANGGAL],MATCH(,INDIRECT(ADDRESS(ROW(NOTA[TANGGAL]),COLUMN(NOTA[TANGGAL]))&amp;":"&amp;ADDRESS(ROW(),COLUMN(NOTA[TANGGAL]))),-1)))</f>
        <v/>
      </c>
      <c r="AH681" s="36" t="str">
        <f ca="1">IF(NOTA[[#This Row],[ID_H]]="","",INDEX(NOTA[TGL.NOTA],MATCH(,INDIRECT(ADDRESS(ROW(NOTA[TGL.NOTA]),COLUMN(NOTA[TGL.NOTA]))&amp;":"&amp;ADDRESS(ROW(),COLUMN(NOTA[TGL.NOTA]))),-1)))</f>
        <v/>
      </c>
      <c r="AI681" s="36" t="str">
        <f ca="1">IF(NOTA[[#This Row],[ID_H]]="","",INDEX(NOTA[NO.NOTA],MATCH(NOTA[[#This Row],[ID_H]],NOTA[ID_H],0)))</f>
        <v/>
      </c>
      <c r="AJ681" s="38" t="str">
        <f ca="1">IF(NOTA[[#This Row],[NAMA BARANG]]="","",INDEX(NOTA[SUPPLIER],MATCH(,INDIRECT(ADDRESS(ROW(NOTA[ID]),COLUMN(NOTA[ID]))&amp;":"&amp;ADDRESS(ROW(),COLUMN(NOTA[ID]))),-1)))</f>
        <v/>
      </c>
      <c r="AK681" s="38" t="str">
        <f ca="1">IF(NOTA[[#This Row],[ID_H]]="","",IF(NOTA[[#This Row],[FAKTUR]]="",INDIRECT(ADDRESS(ROW()-1,COLUMN())),NOTA[[#This Row],[FAKTUR]]))</f>
        <v/>
      </c>
      <c r="AL681" s="35" t="str">
        <f ca="1">IF(NOTA[[#This Row],[ID]]="","",COUNTIF(NOTA[ID_H],NOTA[[#This Row],[ID_H]]))</f>
        <v/>
      </c>
      <c r="AM681" s="35" t="str">
        <f ca="1">IF(NOTA[[#This Row],[TGL.NOTA]]="",IF(NOTA[[#This Row],[SUPPLIER_H]]="","",AM680),MONTH(NOTA[[#This Row],[TGL.NOTA]]))</f>
        <v/>
      </c>
      <c r="AN6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1" s="35" t="str">
        <f>IF(NOTA[[#This Row],[CONCAT1]]="","",MATCH(NOTA[[#This Row],[CONCAT1]],[3]!db[NB NOTA_C],0))</f>
        <v/>
      </c>
      <c r="AS681" s="35" t="str">
        <f>IF(NOTA[[#This Row],[Column5]]="","",TRUE)</f>
        <v/>
      </c>
      <c r="AT681" s="35" t="str">
        <f ca="1">IF(NOTA[[#This Row],[ID_H]]="","",IF(NOTA[[#This Row],[Column3]]=TRUE,NOTA[[#This Row],[Column5]],INDEX([3]!db[QTY/ CTN],NOTA[[#This Row],[//DB]])))</f>
        <v/>
      </c>
      <c r="AU6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1" s="35" t="str">
        <f ca="1">IF(NOTA[[#This Row],[ID_H]]="","",MATCH(NOTA[[#This Row],[NB NOTA_C_QTY]],[3]!db[NB NOTA_C_QTY+F],0))</f>
        <v/>
      </c>
      <c r="AW681" s="43" t="str">
        <f ca="1">IF(NOTA[[#This Row],[NB NOTA_C_QTY]]="","",ROW()-2)</f>
        <v/>
      </c>
    </row>
    <row r="682" spans="1:49" ht="20.100000000000001" customHeight="1">
      <c r="A6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5" t="str">
        <f ca="1">IF(NOTA[[#This Row],[NAMA BARANG]]="","",INDEX(NOTA[ID],MATCH(,INDIRECT(ADDRESS(ROW(NOTA[ID]),COLUMN(NOTA[ID]))&amp;":"&amp;ADDRESS(ROW(),COLUMN(NOTA[ID]))),-1)))</f>
        <v/>
      </c>
      <c r="C682" s="45"/>
      <c r="F682" s="46"/>
      <c r="G682" s="35"/>
      <c r="H682" s="36"/>
      <c r="I682" s="35"/>
      <c r="K682" s="37"/>
      <c r="L682" s="35"/>
      <c r="N682" s="38"/>
      <c r="O682" s="39"/>
      <c r="P682" s="47"/>
      <c r="Q682" s="48"/>
      <c r="R682" s="41"/>
      <c r="T682" s="42"/>
      <c r="U682" s="44"/>
      <c r="V682" s="42" t="str">
        <f>IF(NOTA[[#This Row],[HARGA/ CTN]]="",NOTA[[#This Row],[JUMLAH_H]],NOTA[[#This Row],[HARGA/ CTN]]*IF(NOTA[[#This Row],[C]]="",0,NOTA[[#This Row],[C]]))</f>
        <v/>
      </c>
      <c r="W682" s="42" t="str">
        <f>IF(NOTA[[#This Row],[JUMLAH]]="","",NOTA[[#This Row],[JUMLAH]]*NOTA[[#This Row],[Column6]])</f>
        <v/>
      </c>
      <c r="X682" s="42" t="str">
        <f>IF(NOTA[[#This Row],[JUMLAH]]="","",(NOTA[[#This Row],[JUMLAH]]-NOTA[[#This Row],[DISC 1-]])*NOTA[[#This Row],[Column7]])</f>
        <v/>
      </c>
      <c r="Y682" s="42" t="str">
        <f>IF(NOTA[[#This Row],[JUMLAH]]="","",(NOTA[[#This Row],[JUMLAH]]-NOTA[[#This Row],[DISC 1-]]-NOTA[[#This Row],[DISC 2-]])*NOTA[[#This Row],[Column8]])</f>
        <v/>
      </c>
      <c r="Z682" s="42" t="str">
        <f>IF(NOTA[[#This Row],[JUMLAH]]="","",NOTA[[#This Row],[DISC 1-]]+NOTA[[#This Row],[DISC 2-]]+NOTA[[#This Row],[DISC 3-]])</f>
        <v/>
      </c>
      <c r="AA682" s="42" t="str">
        <f>IF(NOTA[[#This Row],[JUMLAH]]="","",NOTA[[#This Row],[JUMLAH]]-NOTA[[#This Row],[DISC]])</f>
        <v/>
      </c>
      <c r="AB682" s="42"/>
      <c r="AC6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42" t="str">
        <f>IF(OR(NOTA[[#This Row],[QTY]]="",NOTA[[#This Row],[HARGA SATUAN]]="",),"",NOTA[[#This Row],[QTY]]*NOTA[[#This Row],[HARGA SATUAN]])</f>
        <v/>
      </c>
      <c r="AG682" s="36" t="str">
        <f ca="1">IF(NOTA[[#This Row],[ID_H]]="","",INDEX(NOTA[TANGGAL],MATCH(,INDIRECT(ADDRESS(ROW(NOTA[TANGGAL]),COLUMN(NOTA[TANGGAL]))&amp;":"&amp;ADDRESS(ROW(),COLUMN(NOTA[TANGGAL]))),-1)))</f>
        <v/>
      </c>
      <c r="AH682" s="36" t="str">
        <f ca="1">IF(NOTA[[#This Row],[ID_H]]="","",INDEX(NOTA[TGL.NOTA],MATCH(,INDIRECT(ADDRESS(ROW(NOTA[TGL.NOTA]),COLUMN(NOTA[TGL.NOTA]))&amp;":"&amp;ADDRESS(ROW(),COLUMN(NOTA[TGL.NOTA]))),-1)))</f>
        <v/>
      </c>
      <c r="AI682" s="36" t="str">
        <f ca="1">IF(NOTA[[#This Row],[ID_H]]="","",INDEX(NOTA[NO.NOTA],MATCH(NOTA[[#This Row],[ID_H]],NOTA[ID_H],0)))</f>
        <v/>
      </c>
      <c r="AJ682" s="38" t="str">
        <f ca="1">IF(NOTA[[#This Row],[NAMA BARANG]]="","",INDEX(NOTA[SUPPLIER],MATCH(,INDIRECT(ADDRESS(ROW(NOTA[ID]),COLUMN(NOTA[ID]))&amp;":"&amp;ADDRESS(ROW(),COLUMN(NOTA[ID]))),-1)))</f>
        <v/>
      </c>
      <c r="AK682" s="38" t="str">
        <f ca="1">IF(NOTA[[#This Row],[ID_H]]="","",IF(NOTA[[#This Row],[FAKTUR]]="",INDIRECT(ADDRESS(ROW()-1,COLUMN())),NOTA[[#This Row],[FAKTUR]]))</f>
        <v/>
      </c>
      <c r="AL682" s="35" t="str">
        <f ca="1">IF(NOTA[[#This Row],[ID]]="","",COUNTIF(NOTA[ID_H],NOTA[[#This Row],[ID_H]]))</f>
        <v/>
      </c>
      <c r="AM682" s="35" t="str">
        <f ca="1">IF(NOTA[[#This Row],[TGL.NOTA]]="",IF(NOTA[[#This Row],[SUPPLIER_H]]="","",AM681),MONTH(NOTA[[#This Row],[TGL.NOTA]]))</f>
        <v/>
      </c>
      <c r="AN6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2" s="35" t="str">
        <f>IF(NOTA[[#This Row],[CONCAT1]]="","",MATCH(NOTA[[#This Row],[CONCAT1]],[3]!db[NB NOTA_C],0))</f>
        <v/>
      </c>
      <c r="AS682" s="35" t="str">
        <f>IF(NOTA[[#This Row],[Column5]]="","",TRUE)</f>
        <v/>
      </c>
      <c r="AT682" s="35" t="str">
        <f ca="1">IF(NOTA[[#This Row],[ID_H]]="","",IF(NOTA[[#This Row],[Column3]]=TRUE,NOTA[[#This Row],[Column5]],INDEX([3]!db[QTY/ CTN],NOTA[[#This Row],[//DB]])))</f>
        <v/>
      </c>
      <c r="AU6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2" s="35" t="str">
        <f ca="1">IF(NOTA[[#This Row],[ID_H]]="","",MATCH(NOTA[[#This Row],[NB NOTA_C_QTY]],[3]!db[NB NOTA_C_QTY+F],0))</f>
        <v/>
      </c>
      <c r="AW682" s="43" t="str">
        <f ca="1">IF(NOTA[[#This Row],[NB NOTA_C_QTY]]="","",ROW()-2)</f>
        <v/>
      </c>
    </row>
    <row r="683" spans="1:49" ht="20.100000000000001" customHeight="1">
      <c r="A6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5" t="str">
        <f ca="1">IF(NOTA[[#This Row],[NAMA BARANG]]="","",INDEX(NOTA[ID],MATCH(,INDIRECT(ADDRESS(ROW(NOTA[ID]),COLUMN(NOTA[ID]))&amp;":"&amp;ADDRESS(ROW(),COLUMN(NOTA[ID]))),-1)))</f>
        <v/>
      </c>
      <c r="C683" s="45"/>
      <c r="F683" s="46"/>
      <c r="G683" s="35"/>
      <c r="H683" s="36"/>
      <c r="I683" s="35"/>
      <c r="K683" s="37"/>
      <c r="L683" s="35"/>
      <c r="N683" s="38"/>
      <c r="O683" s="39"/>
      <c r="P683" s="47"/>
      <c r="Q683" s="48"/>
      <c r="R683" s="41"/>
      <c r="T683" s="42"/>
      <c r="U683" s="44"/>
      <c r="V683" s="42" t="str">
        <f>IF(NOTA[[#This Row],[HARGA/ CTN]]="",NOTA[[#This Row],[JUMLAH_H]],NOTA[[#This Row],[HARGA/ CTN]]*IF(NOTA[[#This Row],[C]]="",0,NOTA[[#This Row],[C]]))</f>
        <v/>
      </c>
      <c r="W683" s="42" t="str">
        <f>IF(NOTA[[#This Row],[JUMLAH]]="","",NOTA[[#This Row],[JUMLAH]]*NOTA[[#This Row],[Column6]])</f>
        <v/>
      </c>
      <c r="X683" s="42" t="str">
        <f>IF(NOTA[[#This Row],[JUMLAH]]="","",(NOTA[[#This Row],[JUMLAH]]-NOTA[[#This Row],[DISC 1-]])*NOTA[[#This Row],[Column7]])</f>
        <v/>
      </c>
      <c r="Y683" s="42" t="str">
        <f>IF(NOTA[[#This Row],[JUMLAH]]="","",(NOTA[[#This Row],[JUMLAH]]-NOTA[[#This Row],[DISC 1-]]-NOTA[[#This Row],[DISC 2-]])*NOTA[[#This Row],[Column8]])</f>
        <v/>
      </c>
      <c r="Z683" s="42" t="str">
        <f>IF(NOTA[[#This Row],[JUMLAH]]="","",NOTA[[#This Row],[DISC 1-]]+NOTA[[#This Row],[DISC 2-]]+NOTA[[#This Row],[DISC 3-]])</f>
        <v/>
      </c>
      <c r="AA683" s="42" t="str">
        <f>IF(NOTA[[#This Row],[JUMLAH]]="","",NOTA[[#This Row],[JUMLAH]]-NOTA[[#This Row],[DISC]])</f>
        <v/>
      </c>
      <c r="AB683" s="42"/>
      <c r="AC6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42" t="str">
        <f>IF(OR(NOTA[[#This Row],[QTY]]="",NOTA[[#This Row],[HARGA SATUAN]]="",),"",NOTA[[#This Row],[QTY]]*NOTA[[#This Row],[HARGA SATUAN]])</f>
        <v/>
      </c>
      <c r="AG683" s="36" t="str">
        <f ca="1">IF(NOTA[[#This Row],[ID_H]]="","",INDEX(NOTA[TANGGAL],MATCH(,INDIRECT(ADDRESS(ROW(NOTA[TANGGAL]),COLUMN(NOTA[TANGGAL]))&amp;":"&amp;ADDRESS(ROW(),COLUMN(NOTA[TANGGAL]))),-1)))</f>
        <v/>
      </c>
      <c r="AH683" s="36" t="str">
        <f ca="1">IF(NOTA[[#This Row],[ID_H]]="","",INDEX(NOTA[TGL.NOTA],MATCH(,INDIRECT(ADDRESS(ROW(NOTA[TGL.NOTA]),COLUMN(NOTA[TGL.NOTA]))&amp;":"&amp;ADDRESS(ROW(),COLUMN(NOTA[TGL.NOTA]))),-1)))</f>
        <v/>
      </c>
      <c r="AI683" s="36" t="str">
        <f ca="1">IF(NOTA[[#This Row],[ID_H]]="","",INDEX(NOTA[NO.NOTA],MATCH(NOTA[[#This Row],[ID_H]],NOTA[ID_H],0)))</f>
        <v/>
      </c>
      <c r="AJ683" s="38" t="str">
        <f ca="1">IF(NOTA[[#This Row],[NAMA BARANG]]="","",INDEX(NOTA[SUPPLIER],MATCH(,INDIRECT(ADDRESS(ROW(NOTA[ID]),COLUMN(NOTA[ID]))&amp;":"&amp;ADDRESS(ROW(),COLUMN(NOTA[ID]))),-1)))</f>
        <v/>
      </c>
      <c r="AK683" s="38" t="str">
        <f ca="1">IF(NOTA[[#This Row],[ID_H]]="","",IF(NOTA[[#This Row],[FAKTUR]]="",INDIRECT(ADDRESS(ROW()-1,COLUMN())),NOTA[[#This Row],[FAKTUR]]))</f>
        <v/>
      </c>
      <c r="AL683" s="35" t="str">
        <f ca="1">IF(NOTA[[#This Row],[ID]]="","",COUNTIF(NOTA[ID_H],NOTA[[#This Row],[ID_H]]))</f>
        <v/>
      </c>
      <c r="AM683" s="35" t="str">
        <f ca="1">IF(NOTA[[#This Row],[TGL.NOTA]]="",IF(NOTA[[#This Row],[SUPPLIER_H]]="","",AM682),MONTH(NOTA[[#This Row],[TGL.NOTA]]))</f>
        <v/>
      </c>
      <c r="AN6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3" s="35" t="str">
        <f>IF(NOTA[[#This Row],[CONCAT1]]="","",MATCH(NOTA[[#This Row],[CONCAT1]],[3]!db[NB NOTA_C],0))</f>
        <v/>
      </c>
      <c r="AS683" s="35" t="str">
        <f>IF(NOTA[[#This Row],[Column5]]="","",TRUE)</f>
        <v/>
      </c>
      <c r="AT683" s="35" t="str">
        <f ca="1">IF(NOTA[[#This Row],[ID_H]]="","",IF(NOTA[[#This Row],[Column3]]=TRUE,NOTA[[#This Row],[Column5]],INDEX([3]!db[QTY/ CTN],NOTA[[#This Row],[//DB]])))</f>
        <v/>
      </c>
      <c r="AU6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3" s="35" t="str">
        <f ca="1">IF(NOTA[[#This Row],[ID_H]]="","",MATCH(NOTA[[#This Row],[NB NOTA_C_QTY]],[3]!db[NB NOTA_C_QTY+F],0))</f>
        <v/>
      </c>
      <c r="AW683" s="43" t="str">
        <f ca="1">IF(NOTA[[#This Row],[NB NOTA_C_QTY]]="","",ROW()-2)</f>
        <v/>
      </c>
    </row>
    <row r="684" spans="1:49" ht="20.100000000000001" customHeight="1">
      <c r="A6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5" t="str">
        <f ca="1">IF(NOTA[[#This Row],[NAMA BARANG]]="","",INDEX(NOTA[ID],MATCH(,INDIRECT(ADDRESS(ROW(NOTA[ID]),COLUMN(NOTA[ID]))&amp;":"&amp;ADDRESS(ROW(),COLUMN(NOTA[ID]))),-1)))</f>
        <v/>
      </c>
      <c r="C684" s="45"/>
      <c r="F684" s="46"/>
      <c r="G684" s="35"/>
      <c r="H684" s="36"/>
      <c r="I684" s="35"/>
      <c r="K684" s="37"/>
      <c r="L684" s="35"/>
      <c r="N684" s="38"/>
      <c r="O684" s="39"/>
      <c r="P684" s="47"/>
      <c r="Q684" s="48"/>
      <c r="R684" s="41"/>
      <c r="T684" s="42"/>
      <c r="U684" s="44"/>
      <c r="V684" s="42" t="str">
        <f>IF(NOTA[[#This Row],[HARGA/ CTN]]="",NOTA[[#This Row],[JUMLAH_H]],NOTA[[#This Row],[HARGA/ CTN]]*IF(NOTA[[#This Row],[C]]="",0,NOTA[[#This Row],[C]]))</f>
        <v/>
      </c>
      <c r="W684" s="42" t="str">
        <f>IF(NOTA[[#This Row],[JUMLAH]]="","",NOTA[[#This Row],[JUMLAH]]*NOTA[[#This Row],[Column6]])</f>
        <v/>
      </c>
      <c r="X684" s="42" t="str">
        <f>IF(NOTA[[#This Row],[JUMLAH]]="","",(NOTA[[#This Row],[JUMLAH]]-NOTA[[#This Row],[DISC 1-]])*NOTA[[#This Row],[Column7]])</f>
        <v/>
      </c>
      <c r="Y684" s="42" t="str">
        <f>IF(NOTA[[#This Row],[JUMLAH]]="","",(NOTA[[#This Row],[JUMLAH]]-NOTA[[#This Row],[DISC 1-]]-NOTA[[#This Row],[DISC 2-]])*NOTA[[#This Row],[Column8]])</f>
        <v/>
      </c>
      <c r="Z684" s="42" t="str">
        <f>IF(NOTA[[#This Row],[JUMLAH]]="","",NOTA[[#This Row],[DISC 1-]]+NOTA[[#This Row],[DISC 2-]]+NOTA[[#This Row],[DISC 3-]])</f>
        <v/>
      </c>
      <c r="AA684" s="42" t="str">
        <f>IF(NOTA[[#This Row],[JUMLAH]]="","",NOTA[[#This Row],[JUMLAH]]-NOTA[[#This Row],[DISC]])</f>
        <v/>
      </c>
      <c r="AB684" s="42"/>
      <c r="AC6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42" t="str">
        <f>IF(OR(NOTA[[#This Row],[QTY]]="",NOTA[[#This Row],[HARGA SATUAN]]="",),"",NOTA[[#This Row],[QTY]]*NOTA[[#This Row],[HARGA SATUAN]])</f>
        <v/>
      </c>
      <c r="AG684" s="36" t="str">
        <f ca="1">IF(NOTA[[#This Row],[ID_H]]="","",INDEX(NOTA[TANGGAL],MATCH(,INDIRECT(ADDRESS(ROW(NOTA[TANGGAL]),COLUMN(NOTA[TANGGAL]))&amp;":"&amp;ADDRESS(ROW(),COLUMN(NOTA[TANGGAL]))),-1)))</f>
        <v/>
      </c>
      <c r="AH684" s="36" t="str">
        <f ca="1">IF(NOTA[[#This Row],[ID_H]]="","",INDEX(NOTA[TGL.NOTA],MATCH(,INDIRECT(ADDRESS(ROW(NOTA[TGL.NOTA]),COLUMN(NOTA[TGL.NOTA]))&amp;":"&amp;ADDRESS(ROW(),COLUMN(NOTA[TGL.NOTA]))),-1)))</f>
        <v/>
      </c>
      <c r="AI684" s="36" t="str">
        <f ca="1">IF(NOTA[[#This Row],[ID_H]]="","",INDEX(NOTA[NO.NOTA],MATCH(NOTA[[#This Row],[ID_H]],NOTA[ID_H],0)))</f>
        <v/>
      </c>
      <c r="AJ684" s="38" t="str">
        <f ca="1">IF(NOTA[[#This Row],[NAMA BARANG]]="","",INDEX(NOTA[SUPPLIER],MATCH(,INDIRECT(ADDRESS(ROW(NOTA[ID]),COLUMN(NOTA[ID]))&amp;":"&amp;ADDRESS(ROW(),COLUMN(NOTA[ID]))),-1)))</f>
        <v/>
      </c>
      <c r="AK684" s="38" t="str">
        <f ca="1">IF(NOTA[[#This Row],[ID_H]]="","",IF(NOTA[[#This Row],[FAKTUR]]="",INDIRECT(ADDRESS(ROW()-1,COLUMN())),NOTA[[#This Row],[FAKTUR]]))</f>
        <v/>
      </c>
      <c r="AL684" s="35" t="str">
        <f ca="1">IF(NOTA[[#This Row],[ID]]="","",COUNTIF(NOTA[ID_H],NOTA[[#This Row],[ID_H]]))</f>
        <v/>
      </c>
      <c r="AM684" s="35" t="str">
        <f ca="1">IF(NOTA[[#This Row],[TGL.NOTA]]="",IF(NOTA[[#This Row],[SUPPLIER_H]]="","",AM683),MONTH(NOTA[[#This Row],[TGL.NOTA]]))</f>
        <v/>
      </c>
      <c r="AN6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4" s="35" t="str">
        <f>IF(NOTA[[#This Row],[CONCAT1]]="","",MATCH(NOTA[[#This Row],[CONCAT1]],[3]!db[NB NOTA_C],0))</f>
        <v/>
      </c>
      <c r="AS684" s="35" t="str">
        <f>IF(NOTA[[#This Row],[Column5]]="","",TRUE)</f>
        <v/>
      </c>
      <c r="AT684" s="35" t="str">
        <f ca="1">IF(NOTA[[#This Row],[ID_H]]="","",IF(NOTA[[#This Row],[Column3]]=TRUE,NOTA[[#This Row],[Column5]],INDEX([3]!db[QTY/ CTN],NOTA[[#This Row],[//DB]])))</f>
        <v/>
      </c>
      <c r="AU6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4" s="35" t="str">
        <f ca="1">IF(NOTA[[#This Row],[ID_H]]="","",MATCH(NOTA[[#This Row],[NB NOTA_C_QTY]],[3]!db[NB NOTA_C_QTY+F],0))</f>
        <v/>
      </c>
      <c r="AW684" s="43" t="str">
        <f ca="1">IF(NOTA[[#This Row],[NB NOTA_C_QTY]]="","",ROW()-2)</f>
        <v/>
      </c>
    </row>
    <row r="685" spans="1:49" ht="20.100000000000001" customHeight="1">
      <c r="A6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5" t="str">
        <f ca="1">IF(NOTA[[#This Row],[NAMA BARANG]]="","",INDEX(NOTA[ID],MATCH(,INDIRECT(ADDRESS(ROW(NOTA[ID]),COLUMN(NOTA[ID]))&amp;":"&amp;ADDRESS(ROW(),COLUMN(NOTA[ID]))),-1)))</f>
        <v/>
      </c>
      <c r="C685" s="45"/>
      <c r="F685" s="46"/>
      <c r="G685" s="35"/>
      <c r="H685" s="36"/>
      <c r="I685" s="35"/>
      <c r="K685" s="37"/>
      <c r="L685" s="35"/>
      <c r="N685" s="38"/>
      <c r="O685" s="39"/>
      <c r="P685" s="47"/>
      <c r="Q685" s="48"/>
      <c r="R685" s="41"/>
      <c r="T685" s="42"/>
      <c r="U685" s="44"/>
      <c r="V685" s="42" t="str">
        <f>IF(NOTA[[#This Row],[HARGA/ CTN]]="",NOTA[[#This Row],[JUMLAH_H]],NOTA[[#This Row],[HARGA/ CTN]]*IF(NOTA[[#This Row],[C]]="",0,NOTA[[#This Row],[C]]))</f>
        <v/>
      </c>
      <c r="W685" s="42" t="str">
        <f>IF(NOTA[[#This Row],[JUMLAH]]="","",NOTA[[#This Row],[JUMLAH]]*NOTA[[#This Row],[Column6]])</f>
        <v/>
      </c>
      <c r="X685" s="42" t="str">
        <f>IF(NOTA[[#This Row],[JUMLAH]]="","",(NOTA[[#This Row],[JUMLAH]]-NOTA[[#This Row],[DISC 1-]])*NOTA[[#This Row],[Column7]])</f>
        <v/>
      </c>
      <c r="Y685" s="42" t="str">
        <f>IF(NOTA[[#This Row],[JUMLAH]]="","",(NOTA[[#This Row],[JUMLAH]]-NOTA[[#This Row],[DISC 1-]]-NOTA[[#This Row],[DISC 2-]])*NOTA[[#This Row],[Column8]])</f>
        <v/>
      </c>
      <c r="Z685" s="42" t="str">
        <f>IF(NOTA[[#This Row],[JUMLAH]]="","",NOTA[[#This Row],[DISC 1-]]+NOTA[[#This Row],[DISC 2-]]+NOTA[[#This Row],[DISC 3-]])</f>
        <v/>
      </c>
      <c r="AA685" s="42" t="str">
        <f>IF(NOTA[[#This Row],[JUMLAH]]="","",NOTA[[#This Row],[JUMLAH]]-NOTA[[#This Row],[DISC]])</f>
        <v/>
      </c>
      <c r="AB685" s="42"/>
      <c r="AC6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42" t="str">
        <f>IF(OR(NOTA[[#This Row],[QTY]]="",NOTA[[#This Row],[HARGA SATUAN]]="",),"",NOTA[[#This Row],[QTY]]*NOTA[[#This Row],[HARGA SATUAN]])</f>
        <v/>
      </c>
      <c r="AG685" s="36" t="str">
        <f ca="1">IF(NOTA[[#This Row],[ID_H]]="","",INDEX(NOTA[TANGGAL],MATCH(,INDIRECT(ADDRESS(ROW(NOTA[TANGGAL]),COLUMN(NOTA[TANGGAL]))&amp;":"&amp;ADDRESS(ROW(),COLUMN(NOTA[TANGGAL]))),-1)))</f>
        <v/>
      </c>
      <c r="AH685" s="36" t="str">
        <f ca="1">IF(NOTA[[#This Row],[ID_H]]="","",INDEX(NOTA[TGL.NOTA],MATCH(,INDIRECT(ADDRESS(ROW(NOTA[TGL.NOTA]),COLUMN(NOTA[TGL.NOTA]))&amp;":"&amp;ADDRESS(ROW(),COLUMN(NOTA[TGL.NOTA]))),-1)))</f>
        <v/>
      </c>
      <c r="AI685" s="36" t="str">
        <f ca="1">IF(NOTA[[#This Row],[ID_H]]="","",INDEX(NOTA[NO.NOTA],MATCH(NOTA[[#This Row],[ID_H]],NOTA[ID_H],0)))</f>
        <v/>
      </c>
      <c r="AJ685" s="38" t="str">
        <f ca="1">IF(NOTA[[#This Row],[NAMA BARANG]]="","",INDEX(NOTA[SUPPLIER],MATCH(,INDIRECT(ADDRESS(ROW(NOTA[ID]),COLUMN(NOTA[ID]))&amp;":"&amp;ADDRESS(ROW(),COLUMN(NOTA[ID]))),-1)))</f>
        <v/>
      </c>
      <c r="AK685" s="38" t="str">
        <f ca="1">IF(NOTA[[#This Row],[ID_H]]="","",IF(NOTA[[#This Row],[FAKTUR]]="",INDIRECT(ADDRESS(ROW()-1,COLUMN())),NOTA[[#This Row],[FAKTUR]]))</f>
        <v/>
      </c>
      <c r="AL685" s="35" t="str">
        <f ca="1">IF(NOTA[[#This Row],[ID]]="","",COUNTIF(NOTA[ID_H],NOTA[[#This Row],[ID_H]]))</f>
        <v/>
      </c>
      <c r="AM685" s="35" t="str">
        <f ca="1">IF(NOTA[[#This Row],[TGL.NOTA]]="",IF(NOTA[[#This Row],[SUPPLIER_H]]="","",AM684),MONTH(NOTA[[#This Row],[TGL.NOTA]]))</f>
        <v/>
      </c>
      <c r="AN6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5" s="35" t="str">
        <f>IF(NOTA[[#This Row],[CONCAT1]]="","",MATCH(NOTA[[#This Row],[CONCAT1]],[3]!db[NB NOTA_C],0))</f>
        <v/>
      </c>
      <c r="AS685" s="35" t="str">
        <f>IF(NOTA[[#This Row],[Column5]]="","",TRUE)</f>
        <v/>
      </c>
      <c r="AT685" s="35" t="str">
        <f ca="1">IF(NOTA[[#This Row],[ID_H]]="","",IF(NOTA[[#This Row],[Column3]]=TRUE,NOTA[[#This Row],[Column5]],INDEX([3]!db[QTY/ CTN],NOTA[[#This Row],[//DB]])))</f>
        <v/>
      </c>
      <c r="AU6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5" s="35" t="str">
        <f ca="1">IF(NOTA[[#This Row],[ID_H]]="","",MATCH(NOTA[[#This Row],[NB NOTA_C_QTY]],[3]!db[NB NOTA_C_QTY+F],0))</f>
        <v/>
      </c>
      <c r="AW685" s="43" t="str">
        <f ca="1">IF(NOTA[[#This Row],[NB NOTA_C_QTY]]="","",ROW()-2)</f>
        <v/>
      </c>
    </row>
    <row r="686" spans="1:49" ht="20.100000000000001" customHeight="1">
      <c r="A6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5" t="str">
        <f ca="1">IF(NOTA[[#This Row],[NAMA BARANG]]="","",INDEX(NOTA[ID],MATCH(,INDIRECT(ADDRESS(ROW(NOTA[ID]),COLUMN(NOTA[ID]))&amp;":"&amp;ADDRESS(ROW(),COLUMN(NOTA[ID]))),-1)))</f>
        <v/>
      </c>
      <c r="C686" s="45"/>
      <c r="F686" s="46"/>
      <c r="G686" s="35"/>
      <c r="H686" s="36"/>
      <c r="I686" s="35"/>
      <c r="K686" s="37"/>
      <c r="L686" s="35"/>
      <c r="N686" s="38"/>
      <c r="O686" s="39"/>
      <c r="P686" s="47"/>
      <c r="Q686" s="48"/>
      <c r="R686" s="41"/>
      <c r="T686" s="42"/>
      <c r="U686" s="44"/>
      <c r="V686" s="42" t="str">
        <f>IF(NOTA[[#This Row],[HARGA/ CTN]]="",NOTA[[#This Row],[JUMLAH_H]],NOTA[[#This Row],[HARGA/ CTN]]*IF(NOTA[[#This Row],[C]]="",0,NOTA[[#This Row],[C]]))</f>
        <v/>
      </c>
      <c r="W686" s="42" t="str">
        <f>IF(NOTA[[#This Row],[JUMLAH]]="","",NOTA[[#This Row],[JUMLAH]]*NOTA[[#This Row],[Column6]])</f>
        <v/>
      </c>
      <c r="X686" s="42" t="str">
        <f>IF(NOTA[[#This Row],[JUMLAH]]="","",(NOTA[[#This Row],[JUMLAH]]-NOTA[[#This Row],[DISC 1-]])*NOTA[[#This Row],[Column7]])</f>
        <v/>
      </c>
      <c r="Y686" s="42" t="str">
        <f>IF(NOTA[[#This Row],[JUMLAH]]="","",(NOTA[[#This Row],[JUMLAH]]-NOTA[[#This Row],[DISC 1-]]-NOTA[[#This Row],[DISC 2-]])*NOTA[[#This Row],[Column8]])</f>
        <v/>
      </c>
      <c r="Z686" s="42" t="str">
        <f>IF(NOTA[[#This Row],[JUMLAH]]="","",NOTA[[#This Row],[DISC 1-]]+NOTA[[#This Row],[DISC 2-]]+NOTA[[#This Row],[DISC 3-]])</f>
        <v/>
      </c>
      <c r="AA686" s="42" t="str">
        <f>IF(NOTA[[#This Row],[JUMLAH]]="","",NOTA[[#This Row],[JUMLAH]]-NOTA[[#This Row],[DISC]])</f>
        <v/>
      </c>
      <c r="AB686" s="42"/>
      <c r="AC6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42" t="str">
        <f>IF(OR(NOTA[[#This Row],[QTY]]="",NOTA[[#This Row],[HARGA SATUAN]]="",),"",NOTA[[#This Row],[QTY]]*NOTA[[#This Row],[HARGA SATUAN]])</f>
        <v/>
      </c>
      <c r="AG686" s="36" t="str">
        <f ca="1">IF(NOTA[[#This Row],[ID_H]]="","",INDEX(NOTA[TANGGAL],MATCH(,INDIRECT(ADDRESS(ROW(NOTA[TANGGAL]),COLUMN(NOTA[TANGGAL]))&amp;":"&amp;ADDRESS(ROW(),COLUMN(NOTA[TANGGAL]))),-1)))</f>
        <v/>
      </c>
      <c r="AH686" s="36" t="str">
        <f ca="1">IF(NOTA[[#This Row],[ID_H]]="","",INDEX(NOTA[TGL.NOTA],MATCH(,INDIRECT(ADDRESS(ROW(NOTA[TGL.NOTA]),COLUMN(NOTA[TGL.NOTA]))&amp;":"&amp;ADDRESS(ROW(),COLUMN(NOTA[TGL.NOTA]))),-1)))</f>
        <v/>
      </c>
      <c r="AI686" s="36" t="str">
        <f ca="1">IF(NOTA[[#This Row],[ID_H]]="","",INDEX(NOTA[NO.NOTA],MATCH(NOTA[[#This Row],[ID_H]],NOTA[ID_H],0)))</f>
        <v/>
      </c>
      <c r="AJ686" s="38" t="str">
        <f ca="1">IF(NOTA[[#This Row],[NAMA BARANG]]="","",INDEX(NOTA[SUPPLIER],MATCH(,INDIRECT(ADDRESS(ROW(NOTA[ID]),COLUMN(NOTA[ID]))&amp;":"&amp;ADDRESS(ROW(),COLUMN(NOTA[ID]))),-1)))</f>
        <v/>
      </c>
      <c r="AK686" s="38" t="str">
        <f ca="1">IF(NOTA[[#This Row],[ID_H]]="","",IF(NOTA[[#This Row],[FAKTUR]]="",INDIRECT(ADDRESS(ROW()-1,COLUMN())),NOTA[[#This Row],[FAKTUR]]))</f>
        <v/>
      </c>
      <c r="AL686" s="35" t="str">
        <f ca="1">IF(NOTA[[#This Row],[ID]]="","",COUNTIF(NOTA[ID_H],NOTA[[#This Row],[ID_H]]))</f>
        <v/>
      </c>
      <c r="AM686" s="35" t="str">
        <f ca="1">IF(NOTA[[#This Row],[TGL.NOTA]]="",IF(NOTA[[#This Row],[SUPPLIER_H]]="","",AM685),MONTH(NOTA[[#This Row],[TGL.NOTA]]))</f>
        <v/>
      </c>
      <c r="AN6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6" s="35" t="str">
        <f>IF(NOTA[[#This Row],[CONCAT1]]="","",MATCH(NOTA[[#This Row],[CONCAT1]],[3]!db[NB NOTA_C],0))</f>
        <v/>
      </c>
      <c r="AS686" s="35" t="str">
        <f>IF(NOTA[[#This Row],[Column5]]="","",TRUE)</f>
        <v/>
      </c>
      <c r="AT686" s="35" t="str">
        <f ca="1">IF(NOTA[[#This Row],[ID_H]]="","",IF(NOTA[[#This Row],[Column3]]=TRUE,NOTA[[#This Row],[Column5]],INDEX([3]!db[QTY/ CTN],NOTA[[#This Row],[//DB]])))</f>
        <v/>
      </c>
      <c r="AU6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6" s="35" t="str">
        <f ca="1">IF(NOTA[[#This Row],[ID_H]]="","",MATCH(NOTA[[#This Row],[NB NOTA_C_QTY]],[3]!db[NB NOTA_C_QTY+F],0))</f>
        <v/>
      </c>
      <c r="AW686" s="43" t="str">
        <f ca="1">IF(NOTA[[#This Row],[NB NOTA_C_QTY]]="","",ROW()-2)</f>
        <v/>
      </c>
    </row>
    <row r="687" spans="1:49" ht="20.100000000000001" customHeight="1">
      <c r="A6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5" t="str">
        <f ca="1">IF(NOTA[[#This Row],[NAMA BARANG]]="","",INDEX(NOTA[ID],MATCH(,INDIRECT(ADDRESS(ROW(NOTA[ID]),COLUMN(NOTA[ID]))&amp;":"&amp;ADDRESS(ROW(),COLUMN(NOTA[ID]))),-1)))</f>
        <v/>
      </c>
      <c r="C687" s="45"/>
      <c r="F687" s="46"/>
      <c r="G687" s="35"/>
      <c r="H687" s="36"/>
      <c r="I687" s="35"/>
      <c r="K687" s="37"/>
      <c r="L687" s="35"/>
      <c r="N687" s="38"/>
      <c r="O687" s="39"/>
      <c r="P687" s="47"/>
      <c r="Q687" s="48"/>
      <c r="R687" s="41"/>
      <c r="T687" s="42"/>
      <c r="U687" s="44"/>
      <c r="V687" s="42" t="str">
        <f>IF(NOTA[[#This Row],[HARGA/ CTN]]="",NOTA[[#This Row],[JUMLAH_H]],NOTA[[#This Row],[HARGA/ CTN]]*IF(NOTA[[#This Row],[C]]="",0,NOTA[[#This Row],[C]]))</f>
        <v/>
      </c>
      <c r="W687" s="42" t="str">
        <f>IF(NOTA[[#This Row],[JUMLAH]]="","",NOTA[[#This Row],[JUMLAH]]*NOTA[[#This Row],[Column6]])</f>
        <v/>
      </c>
      <c r="X687" s="42" t="str">
        <f>IF(NOTA[[#This Row],[JUMLAH]]="","",(NOTA[[#This Row],[JUMLAH]]-NOTA[[#This Row],[DISC 1-]])*NOTA[[#This Row],[Column7]])</f>
        <v/>
      </c>
      <c r="Y687" s="42" t="str">
        <f>IF(NOTA[[#This Row],[JUMLAH]]="","",(NOTA[[#This Row],[JUMLAH]]-NOTA[[#This Row],[DISC 1-]]-NOTA[[#This Row],[DISC 2-]])*NOTA[[#This Row],[Column8]])</f>
        <v/>
      </c>
      <c r="Z687" s="42" t="str">
        <f>IF(NOTA[[#This Row],[JUMLAH]]="","",NOTA[[#This Row],[DISC 1-]]+NOTA[[#This Row],[DISC 2-]]+NOTA[[#This Row],[DISC 3-]])</f>
        <v/>
      </c>
      <c r="AA687" s="42" t="str">
        <f>IF(NOTA[[#This Row],[JUMLAH]]="","",NOTA[[#This Row],[JUMLAH]]-NOTA[[#This Row],[DISC]])</f>
        <v/>
      </c>
      <c r="AB687" s="42"/>
      <c r="AC6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42" t="str">
        <f>IF(OR(NOTA[[#This Row],[QTY]]="",NOTA[[#This Row],[HARGA SATUAN]]="",),"",NOTA[[#This Row],[QTY]]*NOTA[[#This Row],[HARGA SATUAN]])</f>
        <v/>
      </c>
      <c r="AG687" s="36" t="str">
        <f ca="1">IF(NOTA[[#This Row],[ID_H]]="","",INDEX(NOTA[TANGGAL],MATCH(,INDIRECT(ADDRESS(ROW(NOTA[TANGGAL]),COLUMN(NOTA[TANGGAL]))&amp;":"&amp;ADDRESS(ROW(),COLUMN(NOTA[TANGGAL]))),-1)))</f>
        <v/>
      </c>
      <c r="AH687" s="36" t="str">
        <f ca="1">IF(NOTA[[#This Row],[ID_H]]="","",INDEX(NOTA[TGL.NOTA],MATCH(,INDIRECT(ADDRESS(ROW(NOTA[TGL.NOTA]),COLUMN(NOTA[TGL.NOTA]))&amp;":"&amp;ADDRESS(ROW(),COLUMN(NOTA[TGL.NOTA]))),-1)))</f>
        <v/>
      </c>
      <c r="AI687" s="36" t="str">
        <f ca="1">IF(NOTA[[#This Row],[ID_H]]="","",INDEX(NOTA[NO.NOTA],MATCH(NOTA[[#This Row],[ID_H]],NOTA[ID_H],0)))</f>
        <v/>
      </c>
      <c r="AJ687" s="38" t="str">
        <f ca="1">IF(NOTA[[#This Row],[NAMA BARANG]]="","",INDEX(NOTA[SUPPLIER],MATCH(,INDIRECT(ADDRESS(ROW(NOTA[ID]),COLUMN(NOTA[ID]))&amp;":"&amp;ADDRESS(ROW(),COLUMN(NOTA[ID]))),-1)))</f>
        <v/>
      </c>
      <c r="AK687" s="38" t="str">
        <f ca="1">IF(NOTA[[#This Row],[ID_H]]="","",IF(NOTA[[#This Row],[FAKTUR]]="",INDIRECT(ADDRESS(ROW()-1,COLUMN())),NOTA[[#This Row],[FAKTUR]]))</f>
        <v/>
      </c>
      <c r="AL687" s="35" t="str">
        <f ca="1">IF(NOTA[[#This Row],[ID]]="","",COUNTIF(NOTA[ID_H],NOTA[[#This Row],[ID_H]]))</f>
        <v/>
      </c>
      <c r="AM687" s="35" t="str">
        <f ca="1">IF(NOTA[[#This Row],[TGL.NOTA]]="",IF(NOTA[[#This Row],[SUPPLIER_H]]="","",AM686),MONTH(NOTA[[#This Row],[TGL.NOTA]]))</f>
        <v/>
      </c>
      <c r="AN6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7" s="35" t="str">
        <f>IF(NOTA[[#This Row],[CONCAT1]]="","",MATCH(NOTA[[#This Row],[CONCAT1]],[3]!db[NB NOTA_C],0))</f>
        <v/>
      </c>
      <c r="AS687" s="35" t="str">
        <f>IF(NOTA[[#This Row],[Column5]]="","",TRUE)</f>
        <v/>
      </c>
      <c r="AT687" s="35" t="str">
        <f ca="1">IF(NOTA[[#This Row],[ID_H]]="","",IF(NOTA[[#This Row],[Column3]]=TRUE,NOTA[[#This Row],[Column5]],INDEX([3]!db[QTY/ CTN],NOTA[[#This Row],[//DB]])))</f>
        <v/>
      </c>
      <c r="AU6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7" s="35" t="str">
        <f ca="1">IF(NOTA[[#This Row],[ID_H]]="","",MATCH(NOTA[[#This Row],[NB NOTA_C_QTY]],[3]!db[NB NOTA_C_QTY+F],0))</f>
        <v/>
      </c>
      <c r="AW687" s="43" t="str">
        <f ca="1">IF(NOTA[[#This Row],[NB NOTA_C_QTY]]="","",ROW()-2)</f>
        <v/>
      </c>
    </row>
    <row r="688" spans="1:49" ht="20.100000000000001" customHeight="1">
      <c r="A6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5" t="str">
        <f ca="1">IF(NOTA[[#This Row],[NAMA BARANG]]="","",INDEX(NOTA[ID],MATCH(,INDIRECT(ADDRESS(ROW(NOTA[ID]),COLUMN(NOTA[ID]))&amp;":"&amp;ADDRESS(ROW(),COLUMN(NOTA[ID]))),-1)))</f>
        <v/>
      </c>
      <c r="C688" s="45"/>
      <c r="F688" s="46"/>
      <c r="G688" s="35"/>
      <c r="H688" s="36"/>
      <c r="I688" s="35"/>
      <c r="K688" s="37"/>
      <c r="L688" s="35"/>
      <c r="N688" s="38"/>
      <c r="O688" s="39"/>
      <c r="P688" s="47"/>
      <c r="Q688" s="48"/>
      <c r="R688" s="41"/>
      <c r="T688" s="42"/>
      <c r="U688" s="44"/>
      <c r="V688" s="42" t="str">
        <f>IF(NOTA[[#This Row],[HARGA/ CTN]]="",NOTA[[#This Row],[JUMLAH_H]],NOTA[[#This Row],[HARGA/ CTN]]*IF(NOTA[[#This Row],[C]]="",0,NOTA[[#This Row],[C]]))</f>
        <v/>
      </c>
      <c r="W688" s="42" t="str">
        <f>IF(NOTA[[#This Row],[JUMLAH]]="","",NOTA[[#This Row],[JUMLAH]]*NOTA[[#This Row],[Column6]])</f>
        <v/>
      </c>
      <c r="X688" s="42" t="str">
        <f>IF(NOTA[[#This Row],[JUMLAH]]="","",(NOTA[[#This Row],[JUMLAH]]-NOTA[[#This Row],[DISC 1-]])*NOTA[[#This Row],[Column7]])</f>
        <v/>
      </c>
      <c r="Y688" s="42" t="str">
        <f>IF(NOTA[[#This Row],[JUMLAH]]="","",(NOTA[[#This Row],[JUMLAH]]-NOTA[[#This Row],[DISC 1-]]-NOTA[[#This Row],[DISC 2-]])*NOTA[[#This Row],[Column8]])</f>
        <v/>
      </c>
      <c r="Z688" s="42" t="str">
        <f>IF(NOTA[[#This Row],[JUMLAH]]="","",NOTA[[#This Row],[DISC 1-]]+NOTA[[#This Row],[DISC 2-]]+NOTA[[#This Row],[DISC 3-]])</f>
        <v/>
      </c>
      <c r="AA688" s="42" t="str">
        <f>IF(NOTA[[#This Row],[JUMLAH]]="","",NOTA[[#This Row],[JUMLAH]]-NOTA[[#This Row],[DISC]])</f>
        <v/>
      </c>
      <c r="AB688" s="42"/>
      <c r="AC6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42" t="str">
        <f>IF(OR(NOTA[[#This Row],[QTY]]="",NOTA[[#This Row],[HARGA SATUAN]]="",),"",NOTA[[#This Row],[QTY]]*NOTA[[#This Row],[HARGA SATUAN]])</f>
        <v/>
      </c>
      <c r="AG688" s="36" t="str">
        <f ca="1">IF(NOTA[[#This Row],[ID_H]]="","",INDEX(NOTA[TANGGAL],MATCH(,INDIRECT(ADDRESS(ROW(NOTA[TANGGAL]),COLUMN(NOTA[TANGGAL]))&amp;":"&amp;ADDRESS(ROW(),COLUMN(NOTA[TANGGAL]))),-1)))</f>
        <v/>
      </c>
      <c r="AH688" s="36" t="str">
        <f ca="1">IF(NOTA[[#This Row],[ID_H]]="","",INDEX(NOTA[TGL.NOTA],MATCH(,INDIRECT(ADDRESS(ROW(NOTA[TGL.NOTA]),COLUMN(NOTA[TGL.NOTA]))&amp;":"&amp;ADDRESS(ROW(),COLUMN(NOTA[TGL.NOTA]))),-1)))</f>
        <v/>
      </c>
      <c r="AI688" s="36" t="str">
        <f ca="1">IF(NOTA[[#This Row],[ID_H]]="","",INDEX(NOTA[NO.NOTA],MATCH(NOTA[[#This Row],[ID_H]],NOTA[ID_H],0)))</f>
        <v/>
      </c>
      <c r="AJ688" s="38" t="str">
        <f ca="1">IF(NOTA[[#This Row],[NAMA BARANG]]="","",INDEX(NOTA[SUPPLIER],MATCH(,INDIRECT(ADDRESS(ROW(NOTA[ID]),COLUMN(NOTA[ID]))&amp;":"&amp;ADDRESS(ROW(),COLUMN(NOTA[ID]))),-1)))</f>
        <v/>
      </c>
      <c r="AK688" s="38" t="str">
        <f ca="1">IF(NOTA[[#This Row],[ID_H]]="","",IF(NOTA[[#This Row],[FAKTUR]]="",INDIRECT(ADDRESS(ROW()-1,COLUMN())),NOTA[[#This Row],[FAKTUR]]))</f>
        <v/>
      </c>
      <c r="AL688" s="35" t="str">
        <f ca="1">IF(NOTA[[#This Row],[ID]]="","",COUNTIF(NOTA[ID_H],NOTA[[#This Row],[ID_H]]))</f>
        <v/>
      </c>
      <c r="AM688" s="35" t="str">
        <f ca="1">IF(NOTA[[#This Row],[TGL.NOTA]]="",IF(NOTA[[#This Row],[SUPPLIER_H]]="","",AM687),MONTH(NOTA[[#This Row],[TGL.NOTA]]))</f>
        <v/>
      </c>
      <c r="AN6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8" s="35" t="str">
        <f>IF(NOTA[[#This Row],[CONCAT1]]="","",MATCH(NOTA[[#This Row],[CONCAT1]],[3]!db[NB NOTA_C],0))</f>
        <v/>
      </c>
      <c r="AS688" s="35" t="str">
        <f>IF(NOTA[[#This Row],[Column5]]="","",TRUE)</f>
        <v/>
      </c>
      <c r="AT688" s="35" t="str">
        <f ca="1">IF(NOTA[[#This Row],[ID_H]]="","",IF(NOTA[[#This Row],[Column3]]=TRUE,NOTA[[#This Row],[Column5]],INDEX([3]!db[QTY/ CTN],NOTA[[#This Row],[//DB]])))</f>
        <v/>
      </c>
      <c r="AU6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8" s="35" t="str">
        <f ca="1">IF(NOTA[[#This Row],[ID_H]]="","",MATCH(NOTA[[#This Row],[NB NOTA_C_QTY]],[3]!db[NB NOTA_C_QTY+F],0))</f>
        <v/>
      </c>
      <c r="AW688" s="43" t="str">
        <f ca="1">IF(NOTA[[#This Row],[NB NOTA_C_QTY]]="","",ROW()-2)</f>
        <v/>
      </c>
    </row>
    <row r="689" spans="1:49" ht="20.100000000000001" customHeight="1">
      <c r="A6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5" t="str">
        <f ca="1">IF(NOTA[[#This Row],[NAMA BARANG]]="","",INDEX(NOTA[ID],MATCH(,INDIRECT(ADDRESS(ROW(NOTA[ID]),COLUMN(NOTA[ID]))&amp;":"&amp;ADDRESS(ROW(),COLUMN(NOTA[ID]))),-1)))</f>
        <v/>
      </c>
      <c r="C689" s="45"/>
      <c r="F689" s="46"/>
      <c r="G689" s="35"/>
      <c r="H689" s="36"/>
      <c r="I689" s="35"/>
      <c r="K689" s="37"/>
      <c r="L689" s="35"/>
      <c r="N689" s="38"/>
      <c r="O689" s="39"/>
      <c r="P689" s="47"/>
      <c r="Q689" s="48"/>
      <c r="R689" s="41"/>
      <c r="T689" s="42"/>
      <c r="U689" s="44"/>
      <c r="V689" s="42" t="str">
        <f>IF(NOTA[[#This Row],[HARGA/ CTN]]="",NOTA[[#This Row],[JUMLAH_H]],NOTA[[#This Row],[HARGA/ CTN]]*IF(NOTA[[#This Row],[C]]="",0,NOTA[[#This Row],[C]]))</f>
        <v/>
      </c>
      <c r="W689" s="42" t="str">
        <f>IF(NOTA[[#This Row],[JUMLAH]]="","",NOTA[[#This Row],[JUMLAH]]*NOTA[[#This Row],[Column6]])</f>
        <v/>
      </c>
      <c r="X689" s="42" t="str">
        <f>IF(NOTA[[#This Row],[JUMLAH]]="","",(NOTA[[#This Row],[JUMLAH]]-NOTA[[#This Row],[DISC 1-]])*NOTA[[#This Row],[Column7]])</f>
        <v/>
      </c>
      <c r="Y689" s="42" t="str">
        <f>IF(NOTA[[#This Row],[JUMLAH]]="","",(NOTA[[#This Row],[JUMLAH]]-NOTA[[#This Row],[DISC 1-]]-NOTA[[#This Row],[DISC 2-]])*NOTA[[#This Row],[Column8]])</f>
        <v/>
      </c>
      <c r="Z689" s="42" t="str">
        <f>IF(NOTA[[#This Row],[JUMLAH]]="","",NOTA[[#This Row],[DISC 1-]]+NOTA[[#This Row],[DISC 2-]]+NOTA[[#This Row],[DISC 3-]])</f>
        <v/>
      </c>
      <c r="AA689" s="42" t="str">
        <f>IF(NOTA[[#This Row],[JUMLAH]]="","",NOTA[[#This Row],[JUMLAH]]-NOTA[[#This Row],[DISC]])</f>
        <v/>
      </c>
      <c r="AB689" s="42"/>
      <c r="AC6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42" t="str">
        <f>IF(OR(NOTA[[#This Row],[QTY]]="",NOTA[[#This Row],[HARGA SATUAN]]="",),"",NOTA[[#This Row],[QTY]]*NOTA[[#This Row],[HARGA SATUAN]])</f>
        <v/>
      </c>
      <c r="AG689" s="36" t="str">
        <f ca="1">IF(NOTA[[#This Row],[ID_H]]="","",INDEX(NOTA[TANGGAL],MATCH(,INDIRECT(ADDRESS(ROW(NOTA[TANGGAL]),COLUMN(NOTA[TANGGAL]))&amp;":"&amp;ADDRESS(ROW(),COLUMN(NOTA[TANGGAL]))),-1)))</f>
        <v/>
      </c>
      <c r="AH689" s="36" t="str">
        <f ca="1">IF(NOTA[[#This Row],[ID_H]]="","",INDEX(NOTA[TGL.NOTA],MATCH(,INDIRECT(ADDRESS(ROW(NOTA[TGL.NOTA]),COLUMN(NOTA[TGL.NOTA]))&amp;":"&amp;ADDRESS(ROW(),COLUMN(NOTA[TGL.NOTA]))),-1)))</f>
        <v/>
      </c>
      <c r="AI689" s="36" t="str">
        <f ca="1">IF(NOTA[[#This Row],[ID_H]]="","",INDEX(NOTA[NO.NOTA],MATCH(NOTA[[#This Row],[ID_H]],NOTA[ID_H],0)))</f>
        <v/>
      </c>
      <c r="AJ689" s="38" t="str">
        <f ca="1">IF(NOTA[[#This Row],[NAMA BARANG]]="","",INDEX(NOTA[SUPPLIER],MATCH(,INDIRECT(ADDRESS(ROW(NOTA[ID]),COLUMN(NOTA[ID]))&amp;":"&amp;ADDRESS(ROW(),COLUMN(NOTA[ID]))),-1)))</f>
        <v/>
      </c>
      <c r="AK689" s="38" t="str">
        <f ca="1">IF(NOTA[[#This Row],[ID_H]]="","",IF(NOTA[[#This Row],[FAKTUR]]="",INDIRECT(ADDRESS(ROW()-1,COLUMN())),NOTA[[#This Row],[FAKTUR]]))</f>
        <v/>
      </c>
      <c r="AL689" s="35" t="str">
        <f ca="1">IF(NOTA[[#This Row],[ID]]="","",COUNTIF(NOTA[ID_H],NOTA[[#This Row],[ID_H]]))</f>
        <v/>
      </c>
      <c r="AM689" s="35" t="str">
        <f ca="1">IF(NOTA[[#This Row],[TGL.NOTA]]="",IF(NOTA[[#This Row],[SUPPLIER_H]]="","",AM688),MONTH(NOTA[[#This Row],[TGL.NOTA]]))</f>
        <v/>
      </c>
      <c r="AN6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9" s="35" t="str">
        <f>IF(NOTA[[#This Row],[CONCAT1]]="","",MATCH(NOTA[[#This Row],[CONCAT1]],[3]!db[NB NOTA_C],0))</f>
        <v/>
      </c>
      <c r="AS689" s="35" t="str">
        <f>IF(NOTA[[#This Row],[Column5]]="","",TRUE)</f>
        <v/>
      </c>
      <c r="AT689" s="35" t="str">
        <f ca="1">IF(NOTA[[#This Row],[ID_H]]="","",IF(NOTA[[#This Row],[Column3]]=TRUE,NOTA[[#This Row],[Column5]],INDEX([3]!db[QTY/ CTN],NOTA[[#This Row],[//DB]])))</f>
        <v/>
      </c>
      <c r="AU6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89" s="35" t="str">
        <f ca="1">IF(NOTA[[#This Row],[ID_H]]="","",MATCH(NOTA[[#This Row],[NB NOTA_C_QTY]],[3]!db[NB NOTA_C_QTY+F],0))</f>
        <v/>
      </c>
      <c r="AW689" s="43" t="str">
        <f ca="1">IF(NOTA[[#This Row],[NB NOTA_C_QTY]]="","",ROW()-2)</f>
        <v/>
      </c>
    </row>
    <row r="690" spans="1:49" ht="20.100000000000001" customHeight="1">
      <c r="A6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5" t="str">
        <f ca="1">IF(NOTA[[#This Row],[NAMA BARANG]]="","",INDEX(NOTA[ID],MATCH(,INDIRECT(ADDRESS(ROW(NOTA[ID]),COLUMN(NOTA[ID]))&amp;":"&amp;ADDRESS(ROW(),COLUMN(NOTA[ID]))),-1)))</f>
        <v/>
      </c>
      <c r="C690" s="45"/>
      <c r="F690" s="46"/>
      <c r="G690" s="35"/>
      <c r="H690" s="36"/>
      <c r="I690" s="35"/>
      <c r="K690" s="37"/>
      <c r="L690" s="35"/>
      <c r="N690" s="38"/>
      <c r="O690" s="39"/>
      <c r="P690" s="47"/>
      <c r="Q690" s="48"/>
      <c r="R690" s="41"/>
      <c r="T690" s="42"/>
      <c r="U690" s="44"/>
      <c r="V690" s="42" t="str">
        <f>IF(NOTA[[#This Row],[HARGA/ CTN]]="",NOTA[[#This Row],[JUMLAH_H]],NOTA[[#This Row],[HARGA/ CTN]]*IF(NOTA[[#This Row],[C]]="",0,NOTA[[#This Row],[C]]))</f>
        <v/>
      </c>
      <c r="W690" s="42" t="str">
        <f>IF(NOTA[[#This Row],[JUMLAH]]="","",NOTA[[#This Row],[JUMLAH]]*NOTA[[#This Row],[Column6]])</f>
        <v/>
      </c>
      <c r="X690" s="42" t="str">
        <f>IF(NOTA[[#This Row],[JUMLAH]]="","",(NOTA[[#This Row],[JUMLAH]]-NOTA[[#This Row],[DISC 1-]])*NOTA[[#This Row],[Column7]])</f>
        <v/>
      </c>
      <c r="Y690" s="42" t="str">
        <f>IF(NOTA[[#This Row],[JUMLAH]]="","",(NOTA[[#This Row],[JUMLAH]]-NOTA[[#This Row],[DISC 1-]]-NOTA[[#This Row],[DISC 2-]])*NOTA[[#This Row],[Column8]])</f>
        <v/>
      </c>
      <c r="Z690" s="42" t="str">
        <f>IF(NOTA[[#This Row],[JUMLAH]]="","",NOTA[[#This Row],[DISC 1-]]+NOTA[[#This Row],[DISC 2-]]+NOTA[[#This Row],[DISC 3-]])</f>
        <v/>
      </c>
      <c r="AA690" s="42" t="str">
        <f>IF(NOTA[[#This Row],[JUMLAH]]="","",NOTA[[#This Row],[JUMLAH]]-NOTA[[#This Row],[DISC]])</f>
        <v/>
      </c>
      <c r="AB690" s="42"/>
      <c r="AC6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42" t="str">
        <f>IF(OR(NOTA[[#This Row],[QTY]]="",NOTA[[#This Row],[HARGA SATUAN]]="",),"",NOTA[[#This Row],[QTY]]*NOTA[[#This Row],[HARGA SATUAN]])</f>
        <v/>
      </c>
      <c r="AG690" s="36" t="str">
        <f ca="1">IF(NOTA[[#This Row],[ID_H]]="","",INDEX(NOTA[TANGGAL],MATCH(,INDIRECT(ADDRESS(ROW(NOTA[TANGGAL]),COLUMN(NOTA[TANGGAL]))&amp;":"&amp;ADDRESS(ROW(),COLUMN(NOTA[TANGGAL]))),-1)))</f>
        <v/>
      </c>
      <c r="AH690" s="36" t="str">
        <f ca="1">IF(NOTA[[#This Row],[ID_H]]="","",INDEX(NOTA[TGL.NOTA],MATCH(,INDIRECT(ADDRESS(ROW(NOTA[TGL.NOTA]),COLUMN(NOTA[TGL.NOTA]))&amp;":"&amp;ADDRESS(ROW(),COLUMN(NOTA[TGL.NOTA]))),-1)))</f>
        <v/>
      </c>
      <c r="AI690" s="36" t="str">
        <f ca="1">IF(NOTA[[#This Row],[ID_H]]="","",INDEX(NOTA[NO.NOTA],MATCH(NOTA[[#This Row],[ID_H]],NOTA[ID_H],0)))</f>
        <v/>
      </c>
      <c r="AJ690" s="38" t="str">
        <f ca="1">IF(NOTA[[#This Row],[NAMA BARANG]]="","",INDEX(NOTA[SUPPLIER],MATCH(,INDIRECT(ADDRESS(ROW(NOTA[ID]),COLUMN(NOTA[ID]))&amp;":"&amp;ADDRESS(ROW(),COLUMN(NOTA[ID]))),-1)))</f>
        <v/>
      </c>
      <c r="AK690" s="38" t="str">
        <f ca="1">IF(NOTA[[#This Row],[ID_H]]="","",IF(NOTA[[#This Row],[FAKTUR]]="",INDIRECT(ADDRESS(ROW()-1,COLUMN())),NOTA[[#This Row],[FAKTUR]]))</f>
        <v/>
      </c>
      <c r="AL690" s="35" t="str">
        <f ca="1">IF(NOTA[[#This Row],[ID]]="","",COUNTIF(NOTA[ID_H],NOTA[[#This Row],[ID_H]]))</f>
        <v/>
      </c>
      <c r="AM690" s="35" t="str">
        <f ca="1">IF(NOTA[[#This Row],[TGL.NOTA]]="",IF(NOTA[[#This Row],[SUPPLIER_H]]="","",AM689),MONTH(NOTA[[#This Row],[TGL.NOTA]]))</f>
        <v/>
      </c>
      <c r="AN6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0" s="35" t="str">
        <f>IF(NOTA[[#This Row],[CONCAT1]]="","",MATCH(NOTA[[#This Row],[CONCAT1]],[3]!db[NB NOTA_C],0))</f>
        <v/>
      </c>
      <c r="AS690" s="35" t="str">
        <f>IF(NOTA[[#This Row],[Column5]]="","",TRUE)</f>
        <v/>
      </c>
      <c r="AT690" s="35" t="str">
        <f ca="1">IF(NOTA[[#This Row],[ID_H]]="","",IF(NOTA[[#This Row],[Column3]]=TRUE,NOTA[[#This Row],[Column5]],INDEX([3]!db[QTY/ CTN],NOTA[[#This Row],[//DB]])))</f>
        <v/>
      </c>
      <c r="AU6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0" s="35" t="str">
        <f ca="1">IF(NOTA[[#This Row],[ID_H]]="","",MATCH(NOTA[[#This Row],[NB NOTA_C_QTY]],[3]!db[NB NOTA_C_QTY+F],0))</f>
        <v/>
      </c>
      <c r="AW690" s="43" t="str">
        <f ca="1">IF(NOTA[[#This Row],[NB NOTA_C_QTY]]="","",ROW()-2)</f>
        <v/>
      </c>
    </row>
    <row r="691" spans="1:49" ht="20.100000000000001" customHeight="1">
      <c r="A6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5" t="str">
        <f ca="1">IF(NOTA[[#This Row],[NAMA BARANG]]="","",INDEX(NOTA[ID],MATCH(,INDIRECT(ADDRESS(ROW(NOTA[ID]),COLUMN(NOTA[ID]))&amp;":"&amp;ADDRESS(ROW(),COLUMN(NOTA[ID]))),-1)))</f>
        <v/>
      </c>
      <c r="C691" s="45"/>
      <c r="F691" s="46"/>
      <c r="G691" s="35"/>
      <c r="H691" s="36"/>
      <c r="I691" s="35"/>
      <c r="K691" s="37"/>
      <c r="L691" s="35"/>
      <c r="N691" s="38"/>
      <c r="O691" s="39"/>
      <c r="P691" s="47"/>
      <c r="Q691" s="48"/>
      <c r="R691" s="41"/>
      <c r="T691" s="42"/>
      <c r="U691" s="44"/>
      <c r="V691" s="42" t="str">
        <f>IF(NOTA[[#This Row],[HARGA/ CTN]]="",NOTA[[#This Row],[JUMLAH_H]],NOTA[[#This Row],[HARGA/ CTN]]*IF(NOTA[[#This Row],[C]]="",0,NOTA[[#This Row],[C]]))</f>
        <v/>
      </c>
      <c r="W691" s="42" t="str">
        <f>IF(NOTA[[#This Row],[JUMLAH]]="","",NOTA[[#This Row],[JUMLAH]]*NOTA[[#This Row],[Column6]])</f>
        <v/>
      </c>
      <c r="X691" s="42" t="str">
        <f>IF(NOTA[[#This Row],[JUMLAH]]="","",(NOTA[[#This Row],[JUMLAH]]-NOTA[[#This Row],[DISC 1-]])*NOTA[[#This Row],[Column7]])</f>
        <v/>
      </c>
      <c r="Y691" s="42" t="str">
        <f>IF(NOTA[[#This Row],[JUMLAH]]="","",(NOTA[[#This Row],[JUMLAH]]-NOTA[[#This Row],[DISC 1-]]-NOTA[[#This Row],[DISC 2-]])*NOTA[[#This Row],[Column8]])</f>
        <v/>
      </c>
      <c r="Z691" s="42" t="str">
        <f>IF(NOTA[[#This Row],[JUMLAH]]="","",NOTA[[#This Row],[DISC 1-]]+NOTA[[#This Row],[DISC 2-]]+NOTA[[#This Row],[DISC 3-]])</f>
        <v/>
      </c>
      <c r="AA691" s="42" t="str">
        <f>IF(NOTA[[#This Row],[JUMLAH]]="","",NOTA[[#This Row],[JUMLAH]]-NOTA[[#This Row],[DISC]])</f>
        <v/>
      </c>
      <c r="AB691" s="42"/>
      <c r="AC6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42" t="str">
        <f>IF(OR(NOTA[[#This Row],[QTY]]="",NOTA[[#This Row],[HARGA SATUAN]]="",),"",NOTA[[#This Row],[QTY]]*NOTA[[#This Row],[HARGA SATUAN]])</f>
        <v/>
      </c>
      <c r="AG691" s="36" t="str">
        <f ca="1">IF(NOTA[[#This Row],[ID_H]]="","",INDEX(NOTA[TANGGAL],MATCH(,INDIRECT(ADDRESS(ROW(NOTA[TANGGAL]),COLUMN(NOTA[TANGGAL]))&amp;":"&amp;ADDRESS(ROW(),COLUMN(NOTA[TANGGAL]))),-1)))</f>
        <v/>
      </c>
      <c r="AH691" s="36" t="str">
        <f ca="1">IF(NOTA[[#This Row],[ID_H]]="","",INDEX(NOTA[TGL.NOTA],MATCH(,INDIRECT(ADDRESS(ROW(NOTA[TGL.NOTA]),COLUMN(NOTA[TGL.NOTA]))&amp;":"&amp;ADDRESS(ROW(),COLUMN(NOTA[TGL.NOTA]))),-1)))</f>
        <v/>
      </c>
      <c r="AI691" s="36" t="str">
        <f ca="1">IF(NOTA[[#This Row],[ID_H]]="","",INDEX(NOTA[NO.NOTA],MATCH(NOTA[[#This Row],[ID_H]],NOTA[ID_H],0)))</f>
        <v/>
      </c>
      <c r="AJ691" s="38" t="str">
        <f ca="1">IF(NOTA[[#This Row],[NAMA BARANG]]="","",INDEX(NOTA[SUPPLIER],MATCH(,INDIRECT(ADDRESS(ROW(NOTA[ID]),COLUMN(NOTA[ID]))&amp;":"&amp;ADDRESS(ROW(),COLUMN(NOTA[ID]))),-1)))</f>
        <v/>
      </c>
      <c r="AK691" s="38" t="str">
        <f ca="1">IF(NOTA[[#This Row],[ID_H]]="","",IF(NOTA[[#This Row],[FAKTUR]]="",INDIRECT(ADDRESS(ROW()-1,COLUMN())),NOTA[[#This Row],[FAKTUR]]))</f>
        <v/>
      </c>
      <c r="AL691" s="35" t="str">
        <f ca="1">IF(NOTA[[#This Row],[ID]]="","",COUNTIF(NOTA[ID_H],NOTA[[#This Row],[ID_H]]))</f>
        <v/>
      </c>
      <c r="AM691" s="35" t="str">
        <f ca="1">IF(NOTA[[#This Row],[TGL.NOTA]]="",IF(NOTA[[#This Row],[SUPPLIER_H]]="","",AM690),MONTH(NOTA[[#This Row],[TGL.NOTA]]))</f>
        <v/>
      </c>
      <c r="AN6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1" s="35" t="str">
        <f>IF(NOTA[[#This Row],[CONCAT1]]="","",MATCH(NOTA[[#This Row],[CONCAT1]],[3]!db[NB NOTA_C],0))</f>
        <v/>
      </c>
      <c r="AS691" s="35" t="str">
        <f>IF(NOTA[[#This Row],[Column5]]="","",TRUE)</f>
        <v/>
      </c>
      <c r="AT691" s="35" t="str">
        <f ca="1">IF(NOTA[[#This Row],[ID_H]]="","",IF(NOTA[[#This Row],[Column3]]=TRUE,NOTA[[#This Row],[Column5]],INDEX([3]!db[QTY/ CTN],NOTA[[#This Row],[//DB]])))</f>
        <v/>
      </c>
      <c r="AU6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1" s="35" t="str">
        <f ca="1">IF(NOTA[[#This Row],[ID_H]]="","",MATCH(NOTA[[#This Row],[NB NOTA_C_QTY]],[3]!db[NB NOTA_C_QTY+F],0))</f>
        <v/>
      </c>
      <c r="AW691" s="43" t="str">
        <f ca="1">IF(NOTA[[#This Row],[NB NOTA_C_QTY]]="","",ROW()-2)</f>
        <v/>
      </c>
    </row>
    <row r="692" spans="1:49" ht="20.100000000000001" customHeight="1">
      <c r="A6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5" t="str">
        <f ca="1">IF(NOTA[[#This Row],[NAMA BARANG]]="","",INDEX(NOTA[ID],MATCH(,INDIRECT(ADDRESS(ROW(NOTA[ID]),COLUMN(NOTA[ID]))&amp;":"&amp;ADDRESS(ROW(),COLUMN(NOTA[ID]))),-1)))</f>
        <v/>
      </c>
      <c r="C692" s="45"/>
      <c r="F692" s="46"/>
      <c r="G692" s="35"/>
      <c r="H692" s="36"/>
      <c r="I692" s="35"/>
      <c r="K692" s="37"/>
      <c r="L692" s="35"/>
      <c r="N692" s="38"/>
      <c r="O692" s="39"/>
      <c r="P692" s="47"/>
      <c r="Q692" s="48"/>
      <c r="R692" s="41"/>
      <c r="T692" s="42"/>
      <c r="U692" s="44"/>
      <c r="V692" s="42" t="str">
        <f>IF(NOTA[[#This Row],[HARGA/ CTN]]="",NOTA[[#This Row],[JUMLAH_H]],NOTA[[#This Row],[HARGA/ CTN]]*IF(NOTA[[#This Row],[C]]="",0,NOTA[[#This Row],[C]]))</f>
        <v/>
      </c>
      <c r="W692" s="42" t="str">
        <f>IF(NOTA[[#This Row],[JUMLAH]]="","",NOTA[[#This Row],[JUMLAH]]*NOTA[[#This Row],[Column6]])</f>
        <v/>
      </c>
      <c r="X692" s="42" t="str">
        <f>IF(NOTA[[#This Row],[JUMLAH]]="","",(NOTA[[#This Row],[JUMLAH]]-NOTA[[#This Row],[DISC 1-]])*NOTA[[#This Row],[Column7]])</f>
        <v/>
      </c>
      <c r="Y692" s="42" t="str">
        <f>IF(NOTA[[#This Row],[JUMLAH]]="","",(NOTA[[#This Row],[JUMLAH]]-NOTA[[#This Row],[DISC 1-]]-NOTA[[#This Row],[DISC 2-]])*NOTA[[#This Row],[Column8]])</f>
        <v/>
      </c>
      <c r="Z692" s="42" t="str">
        <f>IF(NOTA[[#This Row],[JUMLAH]]="","",NOTA[[#This Row],[DISC 1-]]+NOTA[[#This Row],[DISC 2-]]+NOTA[[#This Row],[DISC 3-]])</f>
        <v/>
      </c>
      <c r="AA692" s="42" t="str">
        <f>IF(NOTA[[#This Row],[JUMLAH]]="","",NOTA[[#This Row],[JUMLAH]]-NOTA[[#This Row],[DISC]])</f>
        <v/>
      </c>
      <c r="AB692" s="42"/>
      <c r="AC6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42" t="str">
        <f>IF(OR(NOTA[[#This Row],[QTY]]="",NOTA[[#This Row],[HARGA SATUAN]]="",),"",NOTA[[#This Row],[QTY]]*NOTA[[#This Row],[HARGA SATUAN]])</f>
        <v/>
      </c>
      <c r="AG692" s="36" t="str">
        <f ca="1">IF(NOTA[[#This Row],[ID_H]]="","",INDEX(NOTA[TANGGAL],MATCH(,INDIRECT(ADDRESS(ROW(NOTA[TANGGAL]),COLUMN(NOTA[TANGGAL]))&amp;":"&amp;ADDRESS(ROW(),COLUMN(NOTA[TANGGAL]))),-1)))</f>
        <v/>
      </c>
      <c r="AH692" s="36" t="str">
        <f ca="1">IF(NOTA[[#This Row],[ID_H]]="","",INDEX(NOTA[TGL.NOTA],MATCH(,INDIRECT(ADDRESS(ROW(NOTA[TGL.NOTA]),COLUMN(NOTA[TGL.NOTA]))&amp;":"&amp;ADDRESS(ROW(),COLUMN(NOTA[TGL.NOTA]))),-1)))</f>
        <v/>
      </c>
      <c r="AI692" s="36" t="str">
        <f ca="1">IF(NOTA[[#This Row],[ID_H]]="","",INDEX(NOTA[NO.NOTA],MATCH(NOTA[[#This Row],[ID_H]],NOTA[ID_H],0)))</f>
        <v/>
      </c>
      <c r="AJ692" s="38" t="str">
        <f ca="1">IF(NOTA[[#This Row],[NAMA BARANG]]="","",INDEX(NOTA[SUPPLIER],MATCH(,INDIRECT(ADDRESS(ROW(NOTA[ID]),COLUMN(NOTA[ID]))&amp;":"&amp;ADDRESS(ROW(),COLUMN(NOTA[ID]))),-1)))</f>
        <v/>
      </c>
      <c r="AK692" s="38" t="str">
        <f ca="1">IF(NOTA[[#This Row],[ID_H]]="","",IF(NOTA[[#This Row],[FAKTUR]]="",INDIRECT(ADDRESS(ROW()-1,COLUMN())),NOTA[[#This Row],[FAKTUR]]))</f>
        <v/>
      </c>
      <c r="AL692" s="35" t="str">
        <f ca="1">IF(NOTA[[#This Row],[ID]]="","",COUNTIF(NOTA[ID_H],NOTA[[#This Row],[ID_H]]))</f>
        <v/>
      </c>
      <c r="AM692" s="35" t="str">
        <f ca="1">IF(NOTA[[#This Row],[TGL.NOTA]]="",IF(NOTA[[#This Row],[SUPPLIER_H]]="","",AM691),MONTH(NOTA[[#This Row],[TGL.NOTA]]))</f>
        <v/>
      </c>
      <c r="AN6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2" s="35" t="str">
        <f>IF(NOTA[[#This Row],[CONCAT1]]="","",MATCH(NOTA[[#This Row],[CONCAT1]],[3]!db[NB NOTA_C],0))</f>
        <v/>
      </c>
      <c r="AS692" s="35" t="str">
        <f>IF(NOTA[[#This Row],[Column5]]="","",TRUE)</f>
        <v/>
      </c>
      <c r="AT692" s="35" t="str">
        <f ca="1">IF(NOTA[[#This Row],[ID_H]]="","",IF(NOTA[[#This Row],[Column3]]=TRUE,NOTA[[#This Row],[Column5]],INDEX([3]!db[QTY/ CTN],NOTA[[#This Row],[//DB]])))</f>
        <v/>
      </c>
      <c r="AU6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2" s="35" t="str">
        <f ca="1">IF(NOTA[[#This Row],[ID_H]]="","",MATCH(NOTA[[#This Row],[NB NOTA_C_QTY]],[3]!db[NB NOTA_C_QTY+F],0))</f>
        <v/>
      </c>
      <c r="AW692" s="43" t="str">
        <f ca="1">IF(NOTA[[#This Row],[NB NOTA_C_QTY]]="","",ROW()-2)</f>
        <v/>
      </c>
    </row>
    <row r="693" spans="1:49" ht="20.100000000000001" customHeight="1">
      <c r="A6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5" t="str">
        <f ca="1">IF(NOTA[[#This Row],[NAMA BARANG]]="","",INDEX(NOTA[ID],MATCH(,INDIRECT(ADDRESS(ROW(NOTA[ID]),COLUMN(NOTA[ID]))&amp;":"&amp;ADDRESS(ROW(),COLUMN(NOTA[ID]))),-1)))</f>
        <v/>
      </c>
      <c r="C693" s="45"/>
      <c r="F693" s="46"/>
      <c r="G693" s="35"/>
      <c r="H693" s="36"/>
      <c r="I693" s="35"/>
      <c r="K693" s="37"/>
      <c r="L693" s="35"/>
      <c r="N693" s="38"/>
      <c r="O693" s="39"/>
      <c r="P693" s="47"/>
      <c r="Q693" s="48"/>
      <c r="R693" s="41"/>
      <c r="T693" s="42"/>
      <c r="U693" s="44"/>
      <c r="V693" s="42" t="str">
        <f>IF(NOTA[[#This Row],[HARGA/ CTN]]="",NOTA[[#This Row],[JUMLAH_H]],NOTA[[#This Row],[HARGA/ CTN]]*IF(NOTA[[#This Row],[C]]="",0,NOTA[[#This Row],[C]]))</f>
        <v/>
      </c>
      <c r="W693" s="42" t="str">
        <f>IF(NOTA[[#This Row],[JUMLAH]]="","",NOTA[[#This Row],[JUMLAH]]*NOTA[[#This Row],[Column6]])</f>
        <v/>
      </c>
      <c r="X693" s="42" t="str">
        <f>IF(NOTA[[#This Row],[JUMLAH]]="","",(NOTA[[#This Row],[JUMLAH]]-NOTA[[#This Row],[DISC 1-]])*NOTA[[#This Row],[Column7]])</f>
        <v/>
      </c>
      <c r="Y693" s="42" t="str">
        <f>IF(NOTA[[#This Row],[JUMLAH]]="","",(NOTA[[#This Row],[JUMLAH]]-NOTA[[#This Row],[DISC 1-]]-NOTA[[#This Row],[DISC 2-]])*NOTA[[#This Row],[Column8]])</f>
        <v/>
      </c>
      <c r="Z693" s="42" t="str">
        <f>IF(NOTA[[#This Row],[JUMLAH]]="","",NOTA[[#This Row],[DISC 1-]]+NOTA[[#This Row],[DISC 2-]]+NOTA[[#This Row],[DISC 3-]])</f>
        <v/>
      </c>
      <c r="AA693" s="42" t="str">
        <f>IF(NOTA[[#This Row],[JUMLAH]]="","",NOTA[[#This Row],[JUMLAH]]-NOTA[[#This Row],[DISC]])</f>
        <v/>
      </c>
      <c r="AB693" s="42"/>
      <c r="AC6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42" t="str">
        <f>IF(OR(NOTA[[#This Row],[QTY]]="",NOTA[[#This Row],[HARGA SATUAN]]="",),"",NOTA[[#This Row],[QTY]]*NOTA[[#This Row],[HARGA SATUAN]])</f>
        <v/>
      </c>
      <c r="AG693" s="36" t="str">
        <f ca="1">IF(NOTA[[#This Row],[ID_H]]="","",INDEX(NOTA[TANGGAL],MATCH(,INDIRECT(ADDRESS(ROW(NOTA[TANGGAL]),COLUMN(NOTA[TANGGAL]))&amp;":"&amp;ADDRESS(ROW(),COLUMN(NOTA[TANGGAL]))),-1)))</f>
        <v/>
      </c>
      <c r="AH693" s="36" t="str">
        <f ca="1">IF(NOTA[[#This Row],[ID_H]]="","",INDEX(NOTA[TGL.NOTA],MATCH(,INDIRECT(ADDRESS(ROW(NOTA[TGL.NOTA]),COLUMN(NOTA[TGL.NOTA]))&amp;":"&amp;ADDRESS(ROW(),COLUMN(NOTA[TGL.NOTA]))),-1)))</f>
        <v/>
      </c>
      <c r="AI693" s="36" t="str">
        <f ca="1">IF(NOTA[[#This Row],[ID_H]]="","",INDEX(NOTA[NO.NOTA],MATCH(NOTA[[#This Row],[ID_H]],NOTA[ID_H],0)))</f>
        <v/>
      </c>
      <c r="AJ693" s="38" t="str">
        <f ca="1">IF(NOTA[[#This Row],[NAMA BARANG]]="","",INDEX(NOTA[SUPPLIER],MATCH(,INDIRECT(ADDRESS(ROW(NOTA[ID]),COLUMN(NOTA[ID]))&amp;":"&amp;ADDRESS(ROW(),COLUMN(NOTA[ID]))),-1)))</f>
        <v/>
      </c>
      <c r="AK693" s="38" t="str">
        <f ca="1">IF(NOTA[[#This Row],[ID_H]]="","",IF(NOTA[[#This Row],[FAKTUR]]="",INDIRECT(ADDRESS(ROW()-1,COLUMN())),NOTA[[#This Row],[FAKTUR]]))</f>
        <v/>
      </c>
      <c r="AL693" s="35" t="str">
        <f ca="1">IF(NOTA[[#This Row],[ID]]="","",COUNTIF(NOTA[ID_H],NOTA[[#This Row],[ID_H]]))</f>
        <v/>
      </c>
      <c r="AM693" s="35" t="str">
        <f ca="1">IF(NOTA[[#This Row],[TGL.NOTA]]="",IF(NOTA[[#This Row],[SUPPLIER_H]]="","",AM692),MONTH(NOTA[[#This Row],[TGL.NOTA]]))</f>
        <v/>
      </c>
      <c r="AN6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3" s="35" t="str">
        <f>IF(NOTA[[#This Row],[CONCAT1]]="","",MATCH(NOTA[[#This Row],[CONCAT1]],[3]!db[NB NOTA_C],0))</f>
        <v/>
      </c>
      <c r="AS693" s="35" t="str">
        <f>IF(NOTA[[#This Row],[Column5]]="","",TRUE)</f>
        <v/>
      </c>
      <c r="AT693" s="35" t="str">
        <f ca="1">IF(NOTA[[#This Row],[ID_H]]="","",IF(NOTA[[#This Row],[Column3]]=TRUE,NOTA[[#This Row],[Column5]],INDEX([3]!db[QTY/ CTN],NOTA[[#This Row],[//DB]])))</f>
        <v/>
      </c>
      <c r="AU6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3" s="35" t="str">
        <f ca="1">IF(NOTA[[#This Row],[ID_H]]="","",MATCH(NOTA[[#This Row],[NB NOTA_C_QTY]],[3]!db[NB NOTA_C_QTY+F],0))</f>
        <v/>
      </c>
      <c r="AW693" s="43" t="str">
        <f ca="1">IF(NOTA[[#This Row],[NB NOTA_C_QTY]]="","",ROW()-2)</f>
        <v/>
      </c>
    </row>
    <row r="694" spans="1:49" ht="20.100000000000001" customHeight="1">
      <c r="A6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5" t="str">
        <f ca="1">IF(NOTA[[#This Row],[NAMA BARANG]]="","",INDEX(NOTA[ID],MATCH(,INDIRECT(ADDRESS(ROW(NOTA[ID]),COLUMN(NOTA[ID]))&amp;":"&amp;ADDRESS(ROW(),COLUMN(NOTA[ID]))),-1)))</f>
        <v/>
      </c>
      <c r="C694" s="45"/>
      <c r="F694" s="46"/>
      <c r="G694" s="35"/>
      <c r="H694" s="36"/>
      <c r="I694" s="35"/>
      <c r="K694" s="37"/>
      <c r="L694" s="35"/>
      <c r="N694" s="38"/>
      <c r="O694" s="39"/>
      <c r="P694" s="47"/>
      <c r="Q694" s="48"/>
      <c r="R694" s="41"/>
      <c r="T694" s="42"/>
      <c r="U694" s="44"/>
      <c r="V694" s="42" t="str">
        <f>IF(NOTA[[#This Row],[HARGA/ CTN]]="",NOTA[[#This Row],[JUMLAH_H]],NOTA[[#This Row],[HARGA/ CTN]]*IF(NOTA[[#This Row],[C]]="",0,NOTA[[#This Row],[C]]))</f>
        <v/>
      </c>
      <c r="W694" s="42" t="str">
        <f>IF(NOTA[[#This Row],[JUMLAH]]="","",NOTA[[#This Row],[JUMLAH]]*NOTA[[#This Row],[Column6]])</f>
        <v/>
      </c>
      <c r="X694" s="42" t="str">
        <f>IF(NOTA[[#This Row],[JUMLAH]]="","",(NOTA[[#This Row],[JUMLAH]]-NOTA[[#This Row],[DISC 1-]])*NOTA[[#This Row],[Column7]])</f>
        <v/>
      </c>
      <c r="Y694" s="42" t="str">
        <f>IF(NOTA[[#This Row],[JUMLAH]]="","",(NOTA[[#This Row],[JUMLAH]]-NOTA[[#This Row],[DISC 1-]]-NOTA[[#This Row],[DISC 2-]])*NOTA[[#This Row],[Column8]])</f>
        <v/>
      </c>
      <c r="Z694" s="42" t="str">
        <f>IF(NOTA[[#This Row],[JUMLAH]]="","",NOTA[[#This Row],[DISC 1-]]+NOTA[[#This Row],[DISC 2-]]+NOTA[[#This Row],[DISC 3-]])</f>
        <v/>
      </c>
      <c r="AA694" s="42" t="str">
        <f>IF(NOTA[[#This Row],[JUMLAH]]="","",NOTA[[#This Row],[JUMLAH]]-NOTA[[#This Row],[DISC]])</f>
        <v/>
      </c>
      <c r="AB694" s="42"/>
      <c r="AC6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42" t="str">
        <f>IF(OR(NOTA[[#This Row],[QTY]]="",NOTA[[#This Row],[HARGA SATUAN]]="",),"",NOTA[[#This Row],[QTY]]*NOTA[[#This Row],[HARGA SATUAN]])</f>
        <v/>
      </c>
      <c r="AG694" s="36" t="str">
        <f ca="1">IF(NOTA[[#This Row],[ID_H]]="","",INDEX(NOTA[TANGGAL],MATCH(,INDIRECT(ADDRESS(ROW(NOTA[TANGGAL]),COLUMN(NOTA[TANGGAL]))&amp;":"&amp;ADDRESS(ROW(),COLUMN(NOTA[TANGGAL]))),-1)))</f>
        <v/>
      </c>
      <c r="AH694" s="36" t="str">
        <f ca="1">IF(NOTA[[#This Row],[ID_H]]="","",INDEX(NOTA[TGL.NOTA],MATCH(,INDIRECT(ADDRESS(ROW(NOTA[TGL.NOTA]),COLUMN(NOTA[TGL.NOTA]))&amp;":"&amp;ADDRESS(ROW(),COLUMN(NOTA[TGL.NOTA]))),-1)))</f>
        <v/>
      </c>
      <c r="AI694" s="36" t="str">
        <f ca="1">IF(NOTA[[#This Row],[ID_H]]="","",INDEX(NOTA[NO.NOTA],MATCH(NOTA[[#This Row],[ID_H]],NOTA[ID_H],0)))</f>
        <v/>
      </c>
      <c r="AJ694" s="38" t="str">
        <f ca="1">IF(NOTA[[#This Row],[NAMA BARANG]]="","",INDEX(NOTA[SUPPLIER],MATCH(,INDIRECT(ADDRESS(ROW(NOTA[ID]),COLUMN(NOTA[ID]))&amp;":"&amp;ADDRESS(ROW(),COLUMN(NOTA[ID]))),-1)))</f>
        <v/>
      </c>
      <c r="AK694" s="38" t="str">
        <f ca="1">IF(NOTA[[#This Row],[ID_H]]="","",IF(NOTA[[#This Row],[FAKTUR]]="",INDIRECT(ADDRESS(ROW()-1,COLUMN())),NOTA[[#This Row],[FAKTUR]]))</f>
        <v/>
      </c>
      <c r="AL694" s="35" t="str">
        <f ca="1">IF(NOTA[[#This Row],[ID]]="","",COUNTIF(NOTA[ID_H],NOTA[[#This Row],[ID_H]]))</f>
        <v/>
      </c>
      <c r="AM694" s="35" t="str">
        <f ca="1">IF(NOTA[[#This Row],[TGL.NOTA]]="",IF(NOTA[[#This Row],[SUPPLIER_H]]="","",AM693),MONTH(NOTA[[#This Row],[TGL.NOTA]]))</f>
        <v/>
      </c>
      <c r="AN6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4" s="35" t="str">
        <f>IF(NOTA[[#This Row],[CONCAT1]]="","",MATCH(NOTA[[#This Row],[CONCAT1]],[3]!db[NB NOTA_C],0))</f>
        <v/>
      </c>
      <c r="AS694" s="35" t="str">
        <f>IF(NOTA[[#This Row],[Column5]]="","",TRUE)</f>
        <v/>
      </c>
      <c r="AT694" s="35" t="str">
        <f ca="1">IF(NOTA[[#This Row],[ID_H]]="","",IF(NOTA[[#This Row],[Column3]]=TRUE,NOTA[[#This Row],[Column5]],INDEX([3]!db[QTY/ CTN],NOTA[[#This Row],[//DB]])))</f>
        <v/>
      </c>
      <c r="AU6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4" s="35" t="str">
        <f ca="1">IF(NOTA[[#This Row],[ID_H]]="","",MATCH(NOTA[[#This Row],[NB NOTA_C_QTY]],[3]!db[NB NOTA_C_QTY+F],0))</f>
        <v/>
      </c>
      <c r="AW694" s="43" t="str">
        <f ca="1">IF(NOTA[[#This Row],[NB NOTA_C_QTY]]="","",ROW()-2)</f>
        <v/>
      </c>
    </row>
    <row r="695" spans="1:49" ht="20.100000000000001" customHeight="1">
      <c r="A6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5" t="str">
        <f ca="1">IF(NOTA[[#This Row],[NAMA BARANG]]="","",INDEX(NOTA[ID],MATCH(,INDIRECT(ADDRESS(ROW(NOTA[ID]),COLUMN(NOTA[ID]))&amp;":"&amp;ADDRESS(ROW(),COLUMN(NOTA[ID]))),-1)))</f>
        <v/>
      </c>
      <c r="C695" s="45"/>
      <c r="F695" s="46"/>
      <c r="G695" s="35"/>
      <c r="H695" s="36"/>
      <c r="I695" s="35"/>
      <c r="K695" s="37"/>
      <c r="L695" s="35"/>
      <c r="N695" s="38"/>
      <c r="O695" s="39"/>
      <c r="P695" s="47"/>
      <c r="Q695" s="48"/>
      <c r="R695" s="41"/>
      <c r="T695" s="42"/>
      <c r="U695" s="44"/>
      <c r="V695" s="42" t="str">
        <f>IF(NOTA[[#This Row],[HARGA/ CTN]]="",NOTA[[#This Row],[JUMLAH_H]],NOTA[[#This Row],[HARGA/ CTN]]*IF(NOTA[[#This Row],[C]]="",0,NOTA[[#This Row],[C]]))</f>
        <v/>
      </c>
      <c r="W695" s="42" t="str">
        <f>IF(NOTA[[#This Row],[JUMLAH]]="","",NOTA[[#This Row],[JUMLAH]]*NOTA[[#This Row],[Column6]])</f>
        <v/>
      </c>
      <c r="X695" s="42" t="str">
        <f>IF(NOTA[[#This Row],[JUMLAH]]="","",(NOTA[[#This Row],[JUMLAH]]-NOTA[[#This Row],[DISC 1-]])*NOTA[[#This Row],[Column7]])</f>
        <v/>
      </c>
      <c r="Y695" s="42" t="str">
        <f>IF(NOTA[[#This Row],[JUMLAH]]="","",(NOTA[[#This Row],[JUMLAH]]-NOTA[[#This Row],[DISC 1-]]-NOTA[[#This Row],[DISC 2-]])*NOTA[[#This Row],[Column8]])</f>
        <v/>
      </c>
      <c r="Z695" s="42" t="str">
        <f>IF(NOTA[[#This Row],[JUMLAH]]="","",NOTA[[#This Row],[DISC 1-]]+NOTA[[#This Row],[DISC 2-]]+NOTA[[#This Row],[DISC 3-]])</f>
        <v/>
      </c>
      <c r="AA695" s="42" t="str">
        <f>IF(NOTA[[#This Row],[JUMLAH]]="","",NOTA[[#This Row],[JUMLAH]]-NOTA[[#This Row],[DISC]])</f>
        <v/>
      </c>
      <c r="AB695" s="42"/>
      <c r="AC6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42" t="str">
        <f>IF(OR(NOTA[[#This Row],[QTY]]="",NOTA[[#This Row],[HARGA SATUAN]]="",),"",NOTA[[#This Row],[QTY]]*NOTA[[#This Row],[HARGA SATUAN]])</f>
        <v/>
      </c>
      <c r="AG695" s="36" t="str">
        <f ca="1">IF(NOTA[[#This Row],[ID_H]]="","",INDEX(NOTA[TANGGAL],MATCH(,INDIRECT(ADDRESS(ROW(NOTA[TANGGAL]),COLUMN(NOTA[TANGGAL]))&amp;":"&amp;ADDRESS(ROW(),COLUMN(NOTA[TANGGAL]))),-1)))</f>
        <v/>
      </c>
      <c r="AH695" s="36" t="str">
        <f ca="1">IF(NOTA[[#This Row],[ID_H]]="","",INDEX(NOTA[TGL.NOTA],MATCH(,INDIRECT(ADDRESS(ROW(NOTA[TGL.NOTA]),COLUMN(NOTA[TGL.NOTA]))&amp;":"&amp;ADDRESS(ROW(),COLUMN(NOTA[TGL.NOTA]))),-1)))</f>
        <v/>
      </c>
      <c r="AI695" s="36" t="str">
        <f ca="1">IF(NOTA[[#This Row],[ID_H]]="","",INDEX(NOTA[NO.NOTA],MATCH(NOTA[[#This Row],[ID_H]],NOTA[ID_H],0)))</f>
        <v/>
      </c>
      <c r="AJ695" s="38" t="str">
        <f ca="1">IF(NOTA[[#This Row],[NAMA BARANG]]="","",INDEX(NOTA[SUPPLIER],MATCH(,INDIRECT(ADDRESS(ROW(NOTA[ID]),COLUMN(NOTA[ID]))&amp;":"&amp;ADDRESS(ROW(),COLUMN(NOTA[ID]))),-1)))</f>
        <v/>
      </c>
      <c r="AK695" s="38" t="str">
        <f ca="1">IF(NOTA[[#This Row],[ID_H]]="","",IF(NOTA[[#This Row],[FAKTUR]]="",INDIRECT(ADDRESS(ROW()-1,COLUMN())),NOTA[[#This Row],[FAKTUR]]))</f>
        <v/>
      </c>
      <c r="AL695" s="35" t="str">
        <f ca="1">IF(NOTA[[#This Row],[ID]]="","",COUNTIF(NOTA[ID_H],NOTA[[#This Row],[ID_H]]))</f>
        <v/>
      </c>
      <c r="AM695" s="35" t="str">
        <f ca="1">IF(NOTA[[#This Row],[TGL.NOTA]]="",IF(NOTA[[#This Row],[SUPPLIER_H]]="","",AM694),MONTH(NOTA[[#This Row],[TGL.NOTA]]))</f>
        <v/>
      </c>
      <c r="AN6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5" s="35" t="str">
        <f>IF(NOTA[[#This Row],[CONCAT1]]="","",MATCH(NOTA[[#This Row],[CONCAT1]],[3]!db[NB NOTA_C],0))</f>
        <v/>
      </c>
      <c r="AS695" s="35" t="str">
        <f>IF(NOTA[[#This Row],[Column5]]="","",TRUE)</f>
        <v/>
      </c>
      <c r="AT695" s="35" t="str">
        <f ca="1">IF(NOTA[[#This Row],[ID_H]]="","",IF(NOTA[[#This Row],[Column3]]=TRUE,NOTA[[#This Row],[Column5]],INDEX([3]!db[QTY/ CTN],NOTA[[#This Row],[//DB]])))</f>
        <v/>
      </c>
      <c r="AU6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5" s="35" t="str">
        <f ca="1">IF(NOTA[[#This Row],[ID_H]]="","",MATCH(NOTA[[#This Row],[NB NOTA_C_QTY]],[3]!db[NB NOTA_C_QTY+F],0))</f>
        <v/>
      </c>
      <c r="AW695" s="43" t="str">
        <f ca="1">IF(NOTA[[#This Row],[NB NOTA_C_QTY]]="","",ROW()-2)</f>
        <v/>
      </c>
    </row>
    <row r="696" spans="1:49" ht="20.100000000000001" customHeight="1">
      <c r="A6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5" t="str">
        <f ca="1">IF(NOTA[[#This Row],[NAMA BARANG]]="","",INDEX(NOTA[ID],MATCH(,INDIRECT(ADDRESS(ROW(NOTA[ID]),COLUMN(NOTA[ID]))&amp;":"&amp;ADDRESS(ROW(),COLUMN(NOTA[ID]))),-1)))</f>
        <v/>
      </c>
      <c r="C696" s="45"/>
      <c r="F696" s="46"/>
      <c r="G696" s="35"/>
      <c r="H696" s="36"/>
      <c r="I696" s="35"/>
      <c r="K696" s="37"/>
      <c r="L696" s="35"/>
      <c r="N696" s="38"/>
      <c r="O696" s="39"/>
      <c r="P696" s="47"/>
      <c r="Q696" s="48"/>
      <c r="R696" s="41"/>
      <c r="T696" s="42"/>
      <c r="U696" s="44"/>
      <c r="V696" s="42" t="str">
        <f>IF(NOTA[[#This Row],[HARGA/ CTN]]="",NOTA[[#This Row],[JUMLAH_H]],NOTA[[#This Row],[HARGA/ CTN]]*IF(NOTA[[#This Row],[C]]="",0,NOTA[[#This Row],[C]]))</f>
        <v/>
      </c>
      <c r="W696" s="42" t="str">
        <f>IF(NOTA[[#This Row],[JUMLAH]]="","",NOTA[[#This Row],[JUMLAH]]*NOTA[[#This Row],[Column6]])</f>
        <v/>
      </c>
      <c r="X696" s="42" t="str">
        <f>IF(NOTA[[#This Row],[JUMLAH]]="","",(NOTA[[#This Row],[JUMLAH]]-NOTA[[#This Row],[DISC 1-]])*NOTA[[#This Row],[Column7]])</f>
        <v/>
      </c>
      <c r="Y696" s="42" t="str">
        <f>IF(NOTA[[#This Row],[JUMLAH]]="","",(NOTA[[#This Row],[JUMLAH]]-NOTA[[#This Row],[DISC 1-]]-NOTA[[#This Row],[DISC 2-]])*NOTA[[#This Row],[Column8]])</f>
        <v/>
      </c>
      <c r="Z696" s="42" t="str">
        <f>IF(NOTA[[#This Row],[JUMLAH]]="","",NOTA[[#This Row],[DISC 1-]]+NOTA[[#This Row],[DISC 2-]]+NOTA[[#This Row],[DISC 3-]])</f>
        <v/>
      </c>
      <c r="AA696" s="42" t="str">
        <f>IF(NOTA[[#This Row],[JUMLAH]]="","",NOTA[[#This Row],[JUMLAH]]-NOTA[[#This Row],[DISC]])</f>
        <v/>
      </c>
      <c r="AB696" s="42"/>
      <c r="AC6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42" t="str">
        <f>IF(OR(NOTA[[#This Row],[QTY]]="",NOTA[[#This Row],[HARGA SATUAN]]="",),"",NOTA[[#This Row],[QTY]]*NOTA[[#This Row],[HARGA SATUAN]])</f>
        <v/>
      </c>
      <c r="AG696" s="36" t="str">
        <f ca="1">IF(NOTA[[#This Row],[ID_H]]="","",INDEX(NOTA[TANGGAL],MATCH(,INDIRECT(ADDRESS(ROW(NOTA[TANGGAL]),COLUMN(NOTA[TANGGAL]))&amp;":"&amp;ADDRESS(ROW(),COLUMN(NOTA[TANGGAL]))),-1)))</f>
        <v/>
      </c>
      <c r="AH696" s="36" t="str">
        <f ca="1">IF(NOTA[[#This Row],[ID_H]]="","",INDEX(NOTA[TGL.NOTA],MATCH(,INDIRECT(ADDRESS(ROW(NOTA[TGL.NOTA]),COLUMN(NOTA[TGL.NOTA]))&amp;":"&amp;ADDRESS(ROW(),COLUMN(NOTA[TGL.NOTA]))),-1)))</f>
        <v/>
      </c>
      <c r="AI696" s="36" t="str">
        <f ca="1">IF(NOTA[[#This Row],[ID_H]]="","",INDEX(NOTA[NO.NOTA],MATCH(NOTA[[#This Row],[ID_H]],NOTA[ID_H],0)))</f>
        <v/>
      </c>
      <c r="AJ696" s="38" t="str">
        <f ca="1">IF(NOTA[[#This Row],[NAMA BARANG]]="","",INDEX(NOTA[SUPPLIER],MATCH(,INDIRECT(ADDRESS(ROW(NOTA[ID]),COLUMN(NOTA[ID]))&amp;":"&amp;ADDRESS(ROW(),COLUMN(NOTA[ID]))),-1)))</f>
        <v/>
      </c>
      <c r="AK696" s="38" t="str">
        <f ca="1">IF(NOTA[[#This Row],[ID_H]]="","",IF(NOTA[[#This Row],[FAKTUR]]="",INDIRECT(ADDRESS(ROW()-1,COLUMN())),NOTA[[#This Row],[FAKTUR]]))</f>
        <v/>
      </c>
      <c r="AL696" s="35" t="str">
        <f ca="1">IF(NOTA[[#This Row],[ID]]="","",COUNTIF(NOTA[ID_H],NOTA[[#This Row],[ID_H]]))</f>
        <v/>
      </c>
      <c r="AM696" s="35" t="str">
        <f ca="1">IF(NOTA[[#This Row],[TGL.NOTA]]="",IF(NOTA[[#This Row],[SUPPLIER_H]]="","",AM695),MONTH(NOTA[[#This Row],[TGL.NOTA]]))</f>
        <v/>
      </c>
      <c r="AN6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6" s="35" t="str">
        <f>IF(NOTA[[#This Row],[CONCAT1]]="","",MATCH(NOTA[[#This Row],[CONCAT1]],[3]!db[NB NOTA_C],0))</f>
        <v/>
      </c>
      <c r="AS696" s="35" t="str">
        <f>IF(NOTA[[#This Row],[Column5]]="","",TRUE)</f>
        <v/>
      </c>
      <c r="AT696" s="35" t="str">
        <f ca="1">IF(NOTA[[#This Row],[ID_H]]="","",IF(NOTA[[#This Row],[Column3]]=TRUE,NOTA[[#This Row],[Column5]],INDEX([3]!db[QTY/ CTN],NOTA[[#This Row],[//DB]])))</f>
        <v/>
      </c>
      <c r="AU6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6" s="35" t="str">
        <f ca="1">IF(NOTA[[#This Row],[ID_H]]="","",MATCH(NOTA[[#This Row],[NB NOTA_C_QTY]],[3]!db[NB NOTA_C_QTY+F],0))</f>
        <v/>
      </c>
      <c r="AW696" s="43" t="str">
        <f ca="1">IF(NOTA[[#This Row],[NB NOTA_C_QTY]]="","",ROW()-2)</f>
        <v/>
      </c>
    </row>
    <row r="697" spans="1:49" ht="20.100000000000001" customHeight="1">
      <c r="A6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5" t="str">
        <f ca="1">IF(NOTA[[#This Row],[NAMA BARANG]]="","",INDEX(NOTA[ID],MATCH(,INDIRECT(ADDRESS(ROW(NOTA[ID]),COLUMN(NOTA[ID]))&amp;":"&amp;ADDRESS(ROW(),COLUMN(NOTA[ID]))),-1)))</f>
        <v/>
      </c>
      <c r="C697" s="45"/>
      <c r="F697" s="46"/>
      <c r="G697" s="35"/>
      <c r="H697" s="36"/>
      <c r="I697" s="35"/>
      <c r="K697" s="37"/>
      <c r="L697" s="35"/>
      <c r="N697" s="38"/>
      <c r="O697" s="39"/>
      <c r="P697" s="47"/>
      <c r="Q697" s="48"/>
      <c r="R697" s="41"/>
      <c r="T697" s="42"/>
      <c r="U697" s="44"/>
      <c r="V697" s="42" t="str">
        <f>IF(NOTA[[#This Row],[HARGA/ CTN]]="",NOTA[[#This Row],[JUMLAH_H]],NOTA[[#This Row],[HARGA/ CTN]]*IF(NOTA[[#This Row],[C]]="",0,NOTA[[#This Row],[C]]))</f>
        <v/>
      </c>
      <c r="W697" s="42" t="str">
        <f>IF(NOTA[[#This Row],[JUMLAH]]="","",NOTA[[#This Row],[JUMLAH]]*NOTA[[#This Row],[Column6]])</f>
        <v/>
      </c>
      <c r="X697" s="42" t="str">
        <f>IF(NOTA[[#This Row],[JUMLAH]]="","",(NOTA[[#This Row],[JUMLAH]]-NOTA[[#This Row],[DISC 1-]])*NOTA[[#This Row],[Column7]])</f>
        <v/>
      </c>
      <c r="Y697" s="42" t="str">
        <f>IF(NOTA[[#This Row],[JUMLAH]]="","",(NOTA[[#This Row],[JUMLAH]]-NOTA[[#This Row],[DISC 1-]]-NOTA[[#This Row],[DISC 2-]])*NOTA[[#This Row],[Column8]])</f>
        <v/>
      </c>
      <c r="Z697" s="42" t="str">
        <f>IF(NOTA[[#This Row],[JUMLAH]]="","",NOTA[[#This Row],[DISC 1-]]+NOTA[[#This Row],[DISC 2-]]+NOTA[[#This Row],[DISC 3-]])</f>
        <v/>
      </c>
      <c r="AA697" s="42" t="str">
        <f>IF(NOTA[[#This Row],[JUMLAH]]="","",NOTA[[#This Row],[JUMLAH]]-NOTA[[#This Row],[DISC]])</f>
        <v/>
      </c>
      <c r="AB697" s="42"/>
      <c r="AC6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42" t="str">
        <f>IF(OR(NOTA[[#This Row],[QTY]]="",NOTA[[#This Row],[HARGA SATUAN]]="",),"",NOTA[[#This Row],[QTY]]*NOTA[[#This Row],[HARGA SATUAN]])</f>
        <v/>
      </c>
      <c r="AG697" s="36" t="str">
        <f ca="1">IF(NOTA[[#This Row],[ID_H]]="","",INDEX(NOTA[TANGGAL],MATCH(,INDIRECT(ADDRESS(ROW(NOTA[TANGGAL]),COLUMN(NOTA[TANGGAL]))&amp;":"&amp;ADDRESS(ROW(),COLUMN(NOTA[TANGGAL]))),-1)))</f>
        <v/>
      </c>
      <c r="AH697" s="36" t="str">
        <f ca="1">IF(NOTA[[#This Row],[ID_H]]="","",INDEX(NOTA[TGL.NOTA],MATCH(,INDIRECT(ADDRESS(ROW(NOTA[TGL.NOTA]),COLUMN(NOTA[TGL.NOTA]))&amp;":"&amp;ADDRESS(ROW(),COLUMN(NOTA[TGL.NOTA]))),-1)))</f>
        <v/>
      </c>
      <c r="AI697" s="36" t="str">
        <f ca="1">IF(NOTA[[#This Row],[ID_H]]="","",INDEX(NOTA[NO.NOTA],MATCH(NOTA[[#This Row],[ID_H]],NOTA[ID_H],0)))</f>
        <v/>
      </c>
      <c r="AJ697" s="38" t="str">
        <f ca="1">IF(NOTA[[#This Row],[NAMA BARANG]]="","",INDEX(NOTA[SUPPLIER],MATCH(,INDIRECT(ADDRESS(ROW(NOTA[ID]),COLUMN(NOTA[ID]))&amp;":"&amp;ADDRESS(ROW(),COLUMN(NOTA[ID]))),-1)))</f>
        <v/>
      </c>
      <c r="AK697" s="38" t="str">
        <f ca="1">IF(NOTA[[#This Row],[ID_H]]="","",IF(NOTA[[#This Row],[FAKTUR]]="",INDIRECT(ADDRESS(ROW()-1,COLUMN())),NOTA[[#This Row],[FAKTUR]]))</f>
        <v/>
      </c>
      <c r="AL697" s="35" t="str">
        <f ca="1">IF(NOTA[[#This Row],[ID]]="","",COUNTIF(NOTA[ID_H],NOTA[[#This Row],[ID_H]]))</f>
        <v/>
      </c>
      <c r="AM697" s="35" t="str">
        <f ca="1">IF(NOTA[[#This Row],[TGL.NOTA]]="",IF(NOTA[[#This Row],[SUPPLIER_H]]="","",AM696),MONTH(NOTA[[#This Row],[TGL.NOTA]]))</f>
        <v/>
      </c>
      <c r="AN6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7" s="35" t="str">
        <f>IF(NOTA[[#This Row],[CONCAT1]]="","",MATCH(NOTA[[#This Row],[CONCAT1]],[3]!db[NB NOTA_C],0))</f>
        <v/>
      </c>
      <c r="AS697" s="35" t="str">
        <f>IF(NOTA[[#This Row],[Column5]]="","",TRUE)</f>
        <v/>
      </c>
      <c r="AT697" s="35" t="str">
        <f ca="1">IF(NOTA[[#This Row],[ID_H]]="","",IF(NOTA[[#This Row],[Column3]]=TRUE,NOTA[[#This Row],[Column5]],INDEX([3]!db[QTY/ CTN],NOTA[[#This Row],[//DB]])))</f>
        <v/>
      </c>
      <c r="AU6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7" s="35" t="str">
        <f ca="1">IF(NOTA[[#This Row],[ID_H]]="","",MATCH(NOTA[[#This Row],[NB NOTA_C_QTY]],[3]!db[NB NOTA_C_QTY+F],0))</f>
        <v/>
      </c>
      <c r="AW697" s="43" t="str">
        <f ca="1">IF(NOTA[[#This Row],[NB NOTA_C_QTY]]="","",ROW()-2)</f>
        <v/>
      </c>
    </row>
    <row r="698" spans="1:49" ht="20.100000000000001" customHeight="1">
      <c r="A6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5" t="str">
        <f ca="1">IF(NOTA[[#This Row],[NAMA BARANG]]="","",INDEX(NOTA[ID],MATCH(,INDIRECT(ADDRESS(ROW(NOTA[ID]),COLUMN(NOTA[ID]))&amp;":"&amp;ADDRESS(ROW(),COLUMN(NOTA[ID]))),-1)))</f>
        <v/>
      </c>
      <c r="C698" s="45"/>
      <c r="F698" s="46"/>
      <c r="G698" s="35"/>
      <c r="H698" s="36"/>
      <c r="I698" s="35"/>
      <c r="K698" s="37"/>
      <c r="L698" s="35"/>
      <c r="N698" s="38"/>
      <c r="O698" s="39"/>
      <c r="P698" s="47"/>
      <c r="Q698" s="48"/>
      <c r="R698" s="41"/>
      <c r="T698" s="42"/>
      <c r="U698" s="44"/>
      <c r="V698" s="42" t="str">
        <f>IF(NOTA[[#This Row],[HARGA/ CTN]]="",NOTA[[#This Row],[JUMLAH_H]],NOTA[[#This Row],[HARGA/ CTN]]*IF(NOTA[[#This Row],[C]]="",0,NOTA[[#This Row],[C]]))</f>
        <v/>
      </c>
      <c r="W698" s="42" t="str">
        <f>IF(NOTA[[#This Row],[JUMLAH]]="","",NOTA[[#This Row],[JUMLAH]]*NOTA[[#This Row],[Column6]])</f>
        <v/>
      </c>
      <c r="X698" s="42" t="str">
        <f>IF(NOTA[[#This Row],[JUMLAH]]="","",(NOTA[[#This Row],[JUMLAH]]-NOTA[[#This Row],[DISC 1-]])*NOTA[[#This Row],[Column7]])</f>
        <v/>
      </c>
      <c r="Y698" s="42" t="str">
        <f>IF(NOTA[[#This Row],[JUMLAH]]="","",(NOTA[[#This Row],[JUMLAH]]-NOTA[[#This Row],[DISC 1-]]-NOTA[[#This Row],[DISC 2-]])*NOTA[[#This Row],[Column8]])</f>
        <v/>
      </c>
      <c r="Z698" s="42" t="str">
        <f>IF(NOTA[[#This Row],[JUMLAH]]="","",NOTA[[#This Row],[DISC 1-]]+NOTA[[#This Row],[DISC 2-]]+NOTA[[#This Row],[DISC 3-]])</f>
        <v/>
      </c>
      <c r="AA698" s="42" t="str">
        <f>IF(NOTA[[#This Row],[JUMLAH]]="","",NOTA[[#This Row],[JUMLAH]]-NOTA[[#This Row],[DISC]])</f>
        <v/>
      </c>
      <c r="AB698" s="42"/>
      <c r="AC6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42" t="str">
        <f>IF(OR(NOTA[[#This Row],[QTY]]="",NOTA[[#This Row],[HARGA SATUAN]]="",),"",NOTA[[#This Row],[QTY]]*NOTA[[#This Row],[HARGA SATUAN]])</f>
        <v/>
      </c>
      <c r="AG698" s="36" t="str">
        <f ca="1">IF(NOTA[[#This Row],[ID_H]]="","",INDEX(NOTA[TANGGAL],MATCH(,INDIRECT(ADDRESS(ROW(NOTA[TANGGAL]),COLUMN(NOTA[TANGGAL]))&amp;":"&amp;ADDRESS(ROW(),COLUMN(NOTA[TANGGAL]))),-1)))</f>
        <v/>
      </c>
      <c r="AH698" s="36" t="str">
        <f ca="1">IF(NOTA[[#This Row],[ID_H]]="","",INDEX(NOTA[TGL.NOTA],MATCH(,INDIRECT(ADDRESS(ROW(NOTA[TGL.NOTA]),COLUMN(NOTA[TGL.NOTA]))&amp;":"&amp;ADDRESS(ROW(),COLUMN(NOTA[TGL.NOTA]))),-1)))</f>
        <v/>
      </c>
      <c r="AI698" s="36" t="str">
        <f ca="1">IF(NOTA[[#This Row],[ID_H]]="","",INDEX(NOTA[NO.NOTA],MATCH(NOTA[[#This Row],[ID_H]],NOTA[ID_H],0)))</f>
        <v/>
      </c>
      <c r="AJ698" s="38" t="str">
        <f ca="1">IF(NOTA[[#This Row],[NAMA BARANG]]="","",INDEX(NOTA[SUPPLIER],MATCH(,INDIRECT(ADDRESS(ROW(NOTA[ID]),COLUMN(NOTA[ID]))&amp;":"&amp;ADDRESS(ROW(),COLUMN(NOTA[ID]))),-1)))</f>
        <v/>
      </c>
      <c r="AK698" s="38" t="str">
        <f ca="1">IF(NOTA[[#This Row],[ID_H]]="","",IF(NOTA[[#This Row],[FAKTUR]]="",INDIRECT(ADDRESS(ROW()-1,COLUMN())),NOTA[[#This Row],[FAKTUR]]))</f>
        <v/>
      </c>
      <c r="AL698" s="35" t="str">
        <f ca="1">IF(NOTA[[#This Row],[ID]]="","",COUNTIF(NOTA[ID_H],NOTA[[#This Row],[ID_H]]))</f>
        <v/>
      </c>
      <c r="AM698" s="35" t="str">
        <f ca="1">IF(NOTA[[#This Row],[TGL.NOTA]]="",IF(NOTA[[#This Row],[SUPPLIER_H]]="","",AM697),MONTH(NOTA[[#This Row],[TGL.NOTA]]))</f>
        <v/>
      </c>
      <c r="AN6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8" s="35" t="str">
        <f>IF(NOTA[[#This Row],[CONCAT1]]="","",MATCH(NOTA[[#This Row],[CONCAT1]],[3]!db[NB NOTA_C],0))</f>
        <v/>
      </c>
      <c r="AS698" s="35" t="str">
        <f>IF(NOTA[[#This Row],[Column5]]="","",TRUE)</f>
        <v/>
      </c>
      <c r="AT698" s="35" t="str">
        <f ca="1">IF(NOTA[[#This Row],[ID_H]]="","",IF(NOTA[[#This Row],[Column3]]=TRUE,NOTA[[#This Row],[Column5]],INDEX([3]!db[QTY/ CTN],NOTA[[#This Row],[//DB]])))</f>
        <v/>
      </c>
      <c r="AU6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8" s="35" t="str">
        <f ca="1">IF(NOTA[[#This Row],[ID_H]]="","",MATCH(NOTA[[#This Row],[NB NOTA_C_QTY]],[3]!db[NB NOTA_C_QTY+F],0))</f>
        <v/>
      </c>
      <c r="AW698" s="43" t="str">
        <f ca="1">IF(NOTA[[#This Row],[NB NOTA_C_QTY]]="","",ROW()-2)</f>
        <v/>
      </c>
    </row>
    <row r="699" spans="1:49" ht="20.100000000000001" customHeight="1">
      <c r="A6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5" t="str">
        <f ca="1">IF(NOTA[[#This Row],[NAMA BARANG]]="","",INDEX(NOTA[ID],MATCH(,INDIRECT(ADDRESS(ROW(NOTA[ID]),COLUMN(NOTA[ID]))&amp;":"&amp;ADDRESS(ROW(),COLUMN(NOTA[ID]))),-1)))</f>
        <v/>
      </c>
      <c r="C699" s="45"/>
      <c r="F699" s="46"/>
      <c r="G699" s="35"/>
      <c r="H699" s="36"/>
      <c r="I699" s="35"/>
      <c r="K699" s="37"/>
      <c r="L699" s="35"/>
      <c r="N699" s="38"/>
      <c r="O699" s="39"/>
      <c r="P699" s="47"/>
      <c r="Q699" s="48"/>
      <c r="R699" s="41"/>
      <c r="T699" s="42"/>
      <c r="U699" s="44"/>
      <c r="V699" s="42" t="str">
        <f>IF(NOTA[[#This Row],[HARGA/ CTN]]="",NOTA[[#This Row],[JUMLAH_H]],NOTA[[#This Row],[HARGA/ CTN]]*IF(NOTA[[#This Row],[C]]="",0,NOTA[[#This Row],[C]]))</f>
        <v/>
      </c>
      <c r="W699" s="42" t="str">
        <f>IF(NOTA[[#This Row],[JUMLAH]]="","",NOTA[[#This Row],[JUMLAH]]*NOTA[[#This Row],[Column6]])</f>
        <v/>
      </c>
      <c r="X699" s="42" t="str">
        <f>IF(NOTA[[#This Row],[JUMLAH]]="","",(NOTA[[#This Row],[JUMLAH]]-NOTA[[#This Row],[DISC 1-]])*NOTA[[#This Row],[Column7]])</f>
        <v/>
      </c>
      <c r="Y699" s="42" t="str">
        <f>IF(NOTA[[#This Row],[JUMLAH]]="","",(NOTA[[#This Row],[JUMLAH]]-NOTA[[#This Row],[DISC 1-]]-NOTA[[#This Row],[DISC 2-]])*NOTA[[#This Row],[Column8]])</f>
        <v/>
      </c>
      <c r="Z699" s="42" t="str">
        <f>IF(NOTA[[#This Row],[JUMLAH]]="","",NOTA[[#This Row],[DISC 1-]]+NOTA[[#This Row],[DISC 2-]]+NOTA[[#This Row],[DISC 3-]])</f>
        <v/>
      </c>
      <c r="AA699" s="42" t="str">
        <f>IF(NOTA[[#This Row],[JUMLAH]]="","",NOTA[[#This Row],[JUMLAH]]-NOTA[[#This Row],[DISC]])</f>
        <v/>
      </c>
      <c r="AB699" s="42"/>
      <c r="AC6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6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6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42" t="str">
        <f>IF(OR(NOTA[[#This Row],[QTY]]="",NOTA[[#This Row],[HARGA SATUAN]]="",),"",NOTA[[#This Row],[QTY]]*NOTA[[#This Row],[HARGA SATUAN]])</f>
        <v/>
      </c>
      <c r="AG699" s="36" t="str">
        <f ca="1">IF(NOTA[[#This Row],[ID_H]]="","",INDEX(NOTA[TANGGAL],MATCH(,INDIRECT(ADDRESS(ROW(NOTA[TANGGAL]),COLUMN(NOTA[TANGGAL]))&amp;":"&amp;ADDRESS(ROW(),COLUMN(NOTA[TANGGAL]))),-1)))</f>
        <v/>
      </c>
      <c r="AH699" s="36" t="str">
        <f ca="1">IF(NOTA[[#This Row],[ID_H]]="","",INDEX(NOTA[TGL.NOTA],MATCH(,INDIRECT(ADDRESS(ROW(NOTA[TGL.NOTA]),COLUMN(NOTA[TGL.NOTA]))&amp;":"&amp;ADDRESS(ROW(),COLUMN(NOTA[TGL.NOTA]))),-1)))</f>
        <v/>
      </c>
      <c r="AI699" s="36" t="str">
        <f ca="1">IF(NOTA[[#This Row],[ID_H]]="","",INDEX(NOTA[NO.NOTA],MATCH(NOTA[[#This Row],[ID_H]],NOTA[ID_H],0)))</f>
        <v/>
      </c>
      <c r="AJ699" s="38" t="str">
        <f ca="1">IF(NOTA[[#This Row],[NAMA BARANG]]="","",INDEX(NOTA[SUPPLIER],MATCH(,INDIRECT(ADDRESS(ROW(NOTA[ID]),COLUMN(NOTA[ID]))&amp;":"&amp;ADDRESS(ROW(),COLUMN(NOTA[ID]))),-1)))</f>
        <v/>
      </c>
      <c r="AK699" s="38" t="str">
        <f ca="1">IF(NOTA[[#This Row],[ID_H]]="","",IF(NOTA[[#This Row],[FAKTUR]]="",INDIRECT(ADDRESS(ROW()-1,COLUMN())),NOTA[[#This Row],[FAKTUR]]))</f>
        <v/>
      </c>
      <c r="AL699" s="35" t="str">
        <f ca="1">IF(NOTA[[#This Row],[ID]]="","",COUNTIF(NOTA[ID_H],NOTA[[#This Row],[ID_H]]))</f>
        <v/>
      </c>
      <c r="AM699" s="35" t="str">
        <f ca="1">IF(NOTA[[#This Row],[TGL.NOTA]]="",IF(NOTA[[#This Row],[SUPPLIER_H]]="","",AM698),MONTH(NOTA[[#This Row],[TGL.NOTA]]))</f>
        <v/>
      </c>
      <c r="AN6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6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6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6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9" s="35" t="str">
        <f>IF(NOTA[[#This Row],[CONCAT1]]="","",MATCH(NOTA[[#This Row],[CONCAT1]],[3]!db[NB NOTA_C],0))</f>
        <v/>
      </c>
      <c r="AS699" s="35" t="str">
        <f>IF(NOTA[[#This Row],[Column5]]="","",TRUE)</f>
        <v/>
      </c>
      <c r="AT699" s="35" t="str">
        <f ca="1">IF(NOTA[[#This Row],[ID_H]]="","",IF(NOTA[[#This Row],[Column3]]=TRUE,NOTA[[#This Row],[Column5]],INDEX([3]!db[QTY/ CTN],NOTA[[#This Row],[//DB]])))</f>
        <v/>
      </c>
      <c r="AU6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699" s="35" t="str">
        <f ca="1">IF(NOTA[[#This Row],[ID_H]]="","",MATCH(NOTA[[#This Row],[NB NOTA_C_QTY]],[3]!db[NB NOTA_C_QTY+F],0))</f>
        <v/>
      </c>
      <c r="AW699" s="43" t="str">
        <f ca="1">IF(NOTA[[#This Row],[NB NOTA_C_QTY]]="","",ROW()-2)</f>
        <v/>
      </c>
    </row>
    <row r="700" spans="1:49" ht="20.100000000000001" customHeight="1">
      <c r="A7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5" t="str">
        <f ca="1">IF(NOTA[[#This Row],[NAMA BARANG]]="","",INDEX(NOTA[ID],MATCH(,INDIRECT(ADDRESS(ROW(NOTA[ID]),COLUMN(NOTA[ID]))&amp;":"&amp;ADDRESS(ROW(),COLUMN(NOTA[ID]))),-1)))</f>
        <v/>
      </c>
      <c r="C700" s="45"/>
      <c r="F700" s="46"/>
      <c r="G700" s="35"/>
      <c r="H700" s="36"/>
      <c r="I700" s="35"/>
      <c r="K700" s="37"/>
      <c r="L700" s="35"/>
      <c r="N700" s="38"/>
      <c r="O700" s="39"/>
      <c r="P700" s="47"/>
      <c r="Q700" s="48"/>
      <c r="R700" s="41"/>
      <c r="T700" s="42"/>
      <c r="U700" s="44"/>
      <c r="V700" s="42" t="str">
        <f>IF(NOTA[[#This Row],[HARGA/ CTN]]="",NOTA[[#This Row],[JUMLAH_H]],NOTA[[#This Row],[HARGA/ CTN]]*IF(NOTA[[#This Row],[C]]="",0,NOTA[[#This Row],[C]]))</f>
        <v/>
      </c>
      <c r="W700" s="42" t="str">
        <f>IF(NOTA[[#This Row],[JUMLAH]]="","",NOTA[[#This Row],[JUMLAH]]*NOTA[[#This Row],[Column6]])</f>
        <v/>
      </c>
      <c r="X700" s="42" t="str">
        <f>IF(NOTA[[#This Row],[JUMLAH]]="","",(NOTA[[#This Row],[JUMLAH]]-NOTA[[#This Row],[DISC 1-]])*NOTA[[#This Row],[Column7]])</f>
        <v/>
      </c>
      <c r="Y700" s="42" t="str">
        <f>IF(NOTA[[#This Row],[JUMLAH]]="","",(NOTA[[#This Row],[JUMLAH]]-NOTA[[#This Row],[DISC 1-]]-NOTA[[#This Row],[DISC 2-]])*NOTA[[#This Row],[Column8]])</f>
        <v/>
      </c>
      <c r="Z700" s="42" t="str">
        <f>IF(NOTA[[#This Row],[JUMLAH]]="","",NOTA[[#This Row],[DISC 1-]]+NOTA[[#This Row],[DISC 2-]]+NOTA[[#This Row],[DISC 3-]])</f>
        <v/>
      </c>
      <c r="AA700" s="42" t="str">
        <f>IF(NOTA[[#This Row],[JUMLAH]]="","",NOTA[[#This Row],[JUMLAH]]-NOTA[[#This Row],[DISC]])</f>
        <v/>
      </c>
      <c r="AB700" s="42"/>
      <c r="AC7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42" t="str">
        <f>IF(OR(NOTA[[#This Row],[QTY]]="",NOTA[[#This Row],[HARGA SATUAN]]="",),"",NOTA[[#This Row],[QTY]]*NOTA[[#This Row],[HARGA SATUAN]])</f>
        <v/>
      </c>
      <c r="AG700" s="36" t="str">
        <f ca="1">IF(NOTA[[#This Row],[ID_H]]="","",INDEX(NOTA[TANGGAL],MATCH(,INDIRECT(ADDRESS(ROW(NOTA[TANGGAL]),COLUMN(NOTA[TANGGAL]))&amp;":"&amp;ADDRESS(ROW(),COLUMN(NOTA[TANGGAL]))),-1)))</f>
        <v/>
      </c>
      <c r="AH700" s="36" t="str">
        <f ca="1">IF(NOTA[[#This Row],[ID_H]]="","",INDEX(NOTA[TGL.NOTA],MATCH(,INDIRECT(ADDRESS(ROW(NOTA[TGL.NOTA]),COLUMN(NOTA[TGL.NOTA]))&amp;":"&amp;ADDRESS(ROW(),COLUMN(NOTA[TGL.NOTA]))),-1)))</f>
        <v/>
      </c>
      <c r="AI700" s="36" t="str">
        <f ca="1">IF(NOTA[[#This Row],[ID_H]]="","",INDEX(NOTA[NO.NOTA],MATCH(NOTA[[#This Row],[ID_H]],NOTA[ID_H],0)))</f>
        <v/>
      </c>
      <c r="AJ700" s="38" t="str">
        <f ca="1">IF(NOTA[[#This Row],[NAMA BARANG]]="","",INDEX(NOTA[SUPPLIER],MATCH(,INDIRECT(ADDRESS(ROW(NOTA[ID]),COLUMN(NOTA[ID]))&amp;":"&amp;ADDRESS(ROW(),COLUMN(NOTA[ID]))),-1)))</f>
        <v/>
      </c>
      <c r="AK700" s="38" t="str">
        <f ca="1">IF(NOTA[[#This Row],[ID_H]]="","",IF(NOTA[[#This Row],[FAKTUR]]="",INDIRECT(ADDRESS(ROW()-1,COLUMN())),NOTA[[#This Row],[FAKTUR]]))</f>
        <v/>
      </c>
      <c r="AL700" s="35" t="str">
        <f ca="1">IF(NOTA[[#This Row],[ID]]="","",COUNTIF(NOTA[ID_H],NOTA[[#This Row],[ID_H]]))</f>
        <v/>
      </c>
      <c r="AM700" s="35" t="str">
        <f ca="1">IF(NOTA[[#This Row],[TGL.NOTA]]="",IF(NOTA[[#This Row],[SUPPLIER_H]]="","",AM699),MONTH(NOTA[[#This Row],[TGL.NOTA]]))</f>
        <v/>
      </c>
      <c r="AN7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0" s="35" t="str">
        <f>IF(NOTA[[#This Row],[CONCAT1]]="","",MATCH(NOTA[[#This Row],[CONCAT1]],[3]!db[NB NOTA_C],0))</f>
        <v/>
      </c>
      <c r="AS700" s="35" t="str">
        <f>IF(NOTA[[#This Row],[Column5]]="","",TRUE)</f>
        <v/>
      </c>
      <c r="AT700" s="35" t="str">
        <f ca="1">IF(NOTA[[#This Row],[ID_H]]="","",IF(NOTA[[#This Row],[Column3]]=TRUE,NOTA[[#This Row],[Column5]],INDEX([3]!db[QTY/ CTN],NOTA[[#This Row],[//DB]])))</f>
        <v/>
      </c>
      <c r="AU7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0" s="35" t="str">
        <f ca="1">IF(NOTA[[#This Row],[ID_H]]="","",MATCH(NOTA[[#This Row],[NB NOTA_C_QTY]],[3]!db[NB NOTA_C_QTY+F],0))</f>
        <v/>
      </c>
      <c r="AW700" s="43" t="str">
        <f ca="1">IF(NOTA[[#This Row],[NB NOTA_C_QTY]]="","",ROW()-2)</f>
        <v/>
      </c>
    </row>
    <row r="701" spans="1:49" ht="20.100000000000001" customHeight="1">
      <c r="A7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5" t="str">
        <f ca="1">IF(NOTA[[#This Row],[NAMA BARANG]]="","",INDEX(NOTA[ID],MATCH(,INDIRECT(ADDRESS(ROW(NOTA[ID]),COLUMN(NOTA[ID]))&amp;":"&amp;ADDRESS(ROW(),COLUMN(NOTA[ID]))),-1)))</f>
        <v/>
      </c>
      <c r="C701" s="45"/>
      <c r="F701" s="46"/>
      <c r="G701" s="35"/>
      <c r="H701" s="36"/>
      <c r="I701" s="35"/>
      <c r="K701" s="37"/>
      <c r="L701" s="35"/>
      <c r="N701" s="38"/>
      <c r="O701" s="39"/>
      <c r="P701" s="47"/>
      <c r="Q701" s="48"/>
      <c r="R701" s="41"/>
      <c r="T701" s="42"/>
      <c r="U701" s="44"/>
      <c r="V701" s="42" t="str">
        <f>IF(NOTA[[#This Row],[HARGA/ CTN]]="",NOTA[[#This Row],[JUMLAH_H]],NOTA[[#This Row],[HARGA/ CTN]]*IF(NOTA[[#This Row],[C]]="",0,NOTA[[#This Row],[C]]))</f>
        <v/>
      </c>
      <c r="W701" s="42" t="str">
        <f>IF(NOTA[[#This Row],[JUMLAH]]="","",NOTA[[#This Row],[JUMLAH]]*NOTA[[#This Row],[Column6]])</f>
        <v/>
      </c>
      <c r="X701" s="42" t="str">
        <f>IF(NOTA[[#This Row],[JUMLAH]]="","",(NOTA[[#This Row],[JUMLAH]]-NOTA[[#This Row],[DISC 1-]])*NOTA[[#This Row],[Column7]])</f>
        <v/>
      </c>
      <c r="Y701" s="42" t="str">
        <f>IF(NOTA[[#This Row],[JUMLAH]]="","",(NOTA[[#This Row],[JUMLAH]]-NOTA[[#This Row],[DISC 1-]]-NOTA[[#This Row],[DISC 2-]])*NOTA[[#This Row],[Column8]])</f>
        <v/>
      </c>
      <c r="Z701" s="42" t="str">
        <f>IF(NOTA[[#This Row],[JUMLAH]]="","",NOTA[[#This Row],[DISC 1-]]+NOTA[[#This Row],[DISC 2-]]+NOTA[[#This Row],[DISC 3-]])</f>
        <v/>
      </c>
      <c r="AA701" s="42" t="str">
        <f>IF(NOTA[[#This Row],[JUMLAH]]="","",NOTA[[#This Row],[JUMLAH]]-NOTA[[#This Row],[DISC]])</f>
        <v/>
      </c>
      <c r="AB701" s="42"/>
      <c r="AC7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42" t="str">
        <f>IF(OR(NOTA[[#This Row],[QTY]]="",NOTA[[#This Row],[HARGA SATUAN]]="",),"",NOTA[[#This Row],[QTY]]*NOTA[[#This Row],[HARGA SATUAN]])</f>
        <v/>
      </c>
      <c r="AG701" s="36" t="str">
        <f ca="1">IF(NOTA[[#This Row],[ID_H]]="","",INDEX(NOTA[TANGGAL],MATCH(,INDIRECT(ADDRESS(ROW(NOTA[TANGGAL]),COLUMN(NOTA[TANGGAL]))&amp;":"&amp;ADDRESS(ROW(),COLUMN(NOTA[TANGGAL]))),-1)))</f>
        <v/>
      </c>
      <c r="AH701" s="36" t="str">
        <f ca="1">IF(NOTA[[#This Row],[ID_H]]="","",INDEX(NOTA[TGL.NOTA],MATCH(,INDIRECT(ADDRESS(ROW(NOTA[TGL.NOTA]),COLUMN(NOTA[TGL.NOTA]))&amp;":"&amp;ADDRESS(ROW(),COLUMN(NOTA[TGL.NOTA]))),-1)))</f>
        <v/>
      </c>
      <c r="AI701" s="36" t="str">
        <f ca="1">IF(NOTA[[#This Row],[ID_H]]="","",INDEX(NOTA[NO.NOTA],MATCH(NOTA[[#This Row],[ID_H]],NOTA[ID_H],0)))</f>
        <v/>
      </c>
      <c r="AJ701" s="38" t="str">
        <f ca="1">IF(NOTA[[#This Row],[NAMA BARANG]]="","",INDEX(NOTA[SUPPLIER],MATCH(,INDIRECT(ADDRESS(ROW(NOTA[ID]),COLUMN(NOTA[ID]))&amp;":"&amp;ADDRESS(ROW(),COLUMN(NOTA[ID]))),-1)))</f>
        <v/>
      </c>
      <c r="AK701" s="38" t="str">
        <f ca="1">IF(NOTA[[#This Row],[ID_H]]="","",IF(NOTA[[#This Row],[FAKTUR]]="",INDIRECT(ADDRESS(ROW()-1,COLUMN())),NOTA[[#This Row],[FAKTUR]]))</f>
        <v/>
      </c>
      <c r="AL701" s="35" t="str">
        <f ca="1">IF(NOTA[[#This Row],[ID]]="","",COUNTIF(NOTA[ID_H],NOTA[[#This Row],[ID_H]]))</f>
        <v/>
      </c>
      <c r="AM701" s="35" t="str">
        <f ca="1">IF(NOTA[[#This Row],[TGL.NOTA]]="",IF(NOTA[[#This Row],[SUPPLIER_H]]="","",AM700),MONTH(NOTA[[#This Row],[TGL.NOTA]]))</f>
        <v/>
      </c>
      <c r="AN7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1" s="35" t="str">
        <f>IF(NOTA[[#This Row],[CONCAT1]]="","",MATCH(NOTA[[#This Row],[CONCAT1]],[3]!db[NB NOTA_C],0))</f>
        <v/>
      </c>
      <c r="AS701" s="35" t="str">
        <f>IF(NOTA[[#This Row],[Column5]]="","",TRUE)</f>
        <v/>
      </c>
      <c r="AT701" s="35" t="str">
        <f ca="1">IF(NOTA[[#This Row],[ID_H]]="","",IF(NOTA[[#This Row],[Column3]]=TRUE,NOTA[[#This Row],[Column5]],INDEX([3]!db[QTY/ CTN],NOTA[[#This Row],[//DB]])))</f>
        <v/>
      </c>
      <c r="AU7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1" s="35" t="str">
        <f ca="1">IF(NOTA[[#This Row],[ID_H]]="","",MATCH(NOTA[[#This Row],[NB NOTA_C_QTY]],[3]!db[NB NOTA_C_QTY+F],0))</f>
        <v/>
      </c>
      <c r="AW701" s="43" t="str">
        <f ca="1">IF(NOTA[[#This Row],[NB NOTA_C_QTY]]="","",ROW()-2)</f>
        <v/>
      </c>
    </row>
    <row r="702" spans="1:49" ht="20.100000000000001" customHeight="1">
      <c r="A7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5" t="str">
        <f ca="1">IF(NOTA[[#This Row],[NAMA BARANG]]="","",INDEX(NOTA[ID],MATCH(,INDIRECT(ADDRESS(ROW(NOTA[ID]),COLUMN(NOTA[ID]))&amp;":"&amp;ADDRESS(ROW(),COLUMN(NOTA[ID]))),-1)))</f>
        <v/>
      </c>
      <c r="C702" s="45"/>
      <c r="F702" s="46"/>
      <c r="G702" s="35"/>
      <c r="H702" s="36"/>
      <c r="I702" s="35"/>
      <c r="K702" s="37"/>
      <c r="L702" s="35"/>
      <c r="N702" s="38"/>
      <c r="O702" s="39"/>
      <c r="P702" s="47"/>
      <c r="Q702" s="48"/>
      <c r="R702" s="41"/>
      <c r="T702" s="42"/>
      <c r="U702" s="44"/>
      <c r="V702" s="42" t="str">
        <f>IF(NOTA[[#This Row],[HARGA/ CTN]]="",NOTA[[#This Row],[JUMLAH_H]],NOTA[[#This Row],[HARGA/ CTN]]*IF(NOTA[[#This Row],[C]]="",0,NOTA[[#This Row],[C]]))</f>
        <v/>
      </c>
      <c r="W702" s="42" t="str">
        <f>IF(NOTA[[#This Row],[JUMLAH]]="","",NOTA[[#This Row],[JUMLAH]]*NOTA[[#This Row],[Column6]])</f>
        <v/>
      </c>
      <c r="X702" s="42" t="str">
        <f>IF(NOTA[[#This Row],[JUMLAH]]="","",(NOTA[[#This Row],[JUMLAH]]-NOTA[[#This Row],[DISC 1-]])*NOTA[[#This Row],[Column7]])</f>
        <v/>
      </c>
      <c r="Y702" s="42" t="str">
        <f>IF(NOTA[[#This Row],[JUMLAH]]="","",(NOTA[[#This Row],[JUMLAH]]-NOTA[[#This Row],[DISC 1-]]-NOTA[[#This Row],[DISC 2-]])*NOTA[[#This Row],[Column8]])</f>
        <v/>
      </c>
      <c r="Z702" s="42" t="str">
        <f>IF(NOTA[[#This Row],[JUMLAH]]="","",NOTA[[#This Row],[DISC 1-]]+NOTA[[#This Row],[DISC 2-]]+NOTA[[#This Row],[DISC 3-]])</f>
        <v/>
      </c>
      <c r="AA702" s="42" t="str">
        <f>IF(NOTA[[#This Row],[JUMLAH]]="","",NOTA[[#This Row],[JUMLAH]]-NOTA[[#This Row],[DISC]])</f>
        <v/>
      </c>
      <c r="AB702" s="42"/>
      <c r="AC7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42" t="str">
        <f>IF(OR(NOTA[[#This Row],[QTY]]="",NOTA[[#This Row],[HARGA SATUAN]]="",),"",NOTA[[#This Row],[QTY]]*NOTA[[#This Row],[HARGA SATUAN]])</f>
        <v/>
      </c>
      <c r="AG702" s="36" t="str">
        <f ca="1">IF(NOTA[[#This Row],[ID_H]]="","",INDEX(NOTA[TANGGAL],MATCH(,INDIRECT(ADDRESS(ROW(NOTA[TANGGAL]),COLUMN(NOTA[TANGGAL]))&amp;":"&amp;ADDRESS(ROW(),COLUMN(NOTA[TANGGAL]))),-1)))</f>
        <v/>
      </c>
      <c r="AH702" s="36" t="str">
        <f ca="1">IF(NOTA[[#This Row],[ID_H]]="","",INDEX(NOTA[TGL.NOTA],MATCH(,INDIRECT(ADDRESS(ROW(NOTA[TGL.NOTA]),COLUMN(NOTA[TGL.NOTA]))&amp;":"&amp;ADDRESS(ROW(),COLUMN(NOTA[TGL.NOTA]))),-1)))</f>
        <v/>
      </c>
      <c r="AI702" s="36" t="str">
        <f ca="1">IF(NOTA[[#This Row],[ID_H]]="","",INDEX(NOTA[NO.NOTA],MATCH(NOTA[[#This Row],[ID_H]],NOTA[ID_H],0)))</f>
        <v/>
      </c>
      <c r="AJ702" s="38" t="str">
        <f ca="1">IF(NOTA[[#This Row],[NAMA BARANG]]="","",INDEX(NOTA[SUPPLIER],MATCH(,INDIRECT(ADDRESS(ROW(NOTA[ID]),COLUMN(NOTA[ID]))&amp;":"&amp;ADDRESS(ROW(),COLUMN(NOTA[ID]))),-1)))</f>
        <v/>
      </c>
      <c r="AK702" s="38" t="str">
        <f ca="1">IF(NOTA[[#This Row],[ID_H]]="","",IF(NOTA[[#This Row],[FAKTUR]]="",INDIRECT(ADDRESS(ROW()-1,COLUMN())),NOTA[[#This Row],[FAKTUR]]))</f>
        <v/>
      </c>
      <c r="AL702" s="35" t="str">
        <f ca="1">IF(NOTA[[#This Row],[ID]]="","",COUNTIF(NOTA[ID_H],NOTA[[#This Row],[ID_H]]))</f>
        <v/>
      </c>
      <c r="AM702" s="35" t="str">
        <f ca="1">IF(NOTA[[#This Row],[TGL.NOTA]]="",IF(NOTA[[#This Row],[SUPPLIER_H]]="","",AM701),MONTH(NOTA[[#This Row],[TGL.NOTA]]))</f>
        <v/>
      </c>
      <c r="AN7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2" s="35" t="str">
        <f>IF(NOTA[[#This Row],[CONCAT1]]="","",MATCH(NOTA[[#This Row],[CONCAT1]],[3]!db[NB NOTA_C],0))</f>
        <v/>
      </c>
      <c r="AS702" s="35" t="str">
        <f>IF(NOTA[[#This Row],[Column5]]="","",TRUE)</f>
        <v/>
      </c>
      <c r="AT702" s="35" t="str">
        <f ca="1">IF(NOTA[[#This Row],[ID_H]]="","",IF(NOTA[[#This Row],[Column3]]=TRUE,NOTA[[#This Row],[Column5]],INDEX([3]!db[QTY/ CTN],NOTA[[#This Row],[//DB]])))</f>
        <v/>
      </c>
      <c r="AU7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2" s="35" t="str">
        <f ca="1">IF(NOTA[[#This Row],[ID_H]]="","",MATCH(NOTA[[#This Row],[NB NOTA_C_QTY]],[3]!db[NB NOTA_C_QTY+F],0))</f>
        <v/>
      </c>
      <c r="AW702" s="43" t="str">
        <f ca="1">IF(NOTA[[#This Row],[NB NOTA_C_QTY]]="","",ROW()-2)</f>
        <v/>
      </c>
    </row>
    <row r="703" spans="1:49" ht="20.100000000000001" customHeight="1">
      <c r="A7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5" t="str">
        <f ca="1">IF(NOTA[[#This Row],[NAMA BARANG]]="","",INDEX(NOTA[ID],MATCH(,INDIRECT(ADDRESS(ROW(NOTA[ID]),COLUMN(NOTA[ID]))&amp;":"&amp;ADDRESS(ROW(),COLUMN(NOTA[ID]))),-1)))</f>
        <v/>
      </c>
      <c r="C703" s="45"/>
      <c r="F703" s="46"/>
      <c r="G703" s="35"/>
      <c r="H703" s="36"/>
      <c r="I703" s="35"/>
      <c r="K703" s="37"/>
      <c r="L703" s="35"/>
      <c r="N703" s="38"/>
      <c r="O703" s="39"/>
      <c r="P703" s="47"/>
      <c r="Q703" s="48"/>
      <c r="R703" s="41"/>
      <c r="T703" s="42"/>
      <c r="U703" s="44"/>
      <c r="V703" s="42" t="str">
        <f>IF(NOTA[[#This Row],[HARGA/ CTN]]="",NOTA[[#This Row],[JUMLAH_H]],NOTA[[#This Row],[HARGA/ CTN]]*IF(NOTA[[#This Row],[C]]="",0,NOTA[[#This Row],[C]]))</f>
        <v/>
      </c>
      <c r="W703" s="42" t="str">
        <f>IF(NOTA[[#This Row],[JUMLAH]]="","",NOTA[[#This Row],[JUMLAH]]*NOTA[[#This Row],[Column6]])</f>
        <v/>
      </c>
      <c r="X703" s="42" t="str">
        <f>IF(NOTA[[#This Row],[JUMLAH]]="","",(NOTA[[#This Row],[JUMLAH]]-NOTA[[#This Row],[DISC 1-]])*NOTA[[#This Row],[Column7]])</f>
        <v/>
      </c>
      <c r="Y703" s="42" t="str">
        <f>IF(NOTA[[#This Row],[JUMLAH]]="","",(NOTA[[#This Row],[JUMLAH]]-NOTA[[#This Row],[DISC 1-]]-NOTA[[#This Row],[DISC 2-]])*NOTA[[#This Row],[Column8]])</f>
        <v/>
      </c>
      <c r="Z703" s="42" t="str">
        <f>IF(NOTA[[#This Row],[JUMLAH]]="","",NOTA[[#This Row],[DISC 1-]]+NOTA[[#This Row],[DISC 2-]]+NOTA[[#This Row],[DISC 3-]])</f>
        <v/>
      </c>
      <c r="AA703" s="42" t="str">
        <f>IF(NOTA[[#This Row],[JUMLAH]]="","",NOTA[[#This Row],[JUMLAH]]-NOTA[[#This Row],[DISC]])</f>
        <v/>
      </c>
      <c r="AB703" s="42"/>
      <c r="AC7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42" t="str">
        <f>IF(OR(NOTA[[#This Row],[QTY]]="",NOTA[[#This Row],[HARGA SATUAN]]="",),"",NOTA[[#This Row],[QTY]]*NOTA[[#This Row],[HARGA SATUAN]])</f>
        <v/>
      </c>
      <c r="AG703" s="36" t="str">
        <f ca="1">IF(NOTA[[#This Row],[ID_H]]="","",INDEX(NOTA[TANGGAL],MATCH(,INDIRECT(ADDRESS(ROW(NOTA[TANGGAL]),COLUMN(NOTA[TANGGAL]))&amp;":"&amp;ADDRESS(ROW(),COLUMN(NOTA[TANGGAL]))),-1)))</f>
        <v/>
      </c>
      <c r="AH703" s="36" t="str">
        <f ca="1">IF(NOTA[[#This Row],[ID_H]]="","",INDEX(NOTA[TGL.NOTA],MATCH(,INDIRECT(ADDRESS(ROW(NOTA[TGL.NOTA]),COLUMN(NOTA[TGL.NOTA]))&amp;":"&amp;ADDRESS(ROW(),COLUMN(NOTA[TGL.NOTA]))),-1)))</f>
        <v/>
      </c>
      <c r="AI703" s="36" t="str">
        <f ca="1">IF(NOTA[[#This Row],[ID_H]]="","",INDEX(NOTA[NO.NOTA],MATCH(NOTA[[#This Row],[ID_H]],NOTA[ID_H],0)))</f>
        <v/>
      </c>
      <c r="AJ703" s="38" t="str">
        <f ca="1">IF(NOTA[[#This Row],[NAMA BARANG]]="","",INDEX(NOTA[SUPPLIER],MATCH(,INDIRECT(ADDRESS(ROW(NOTA[ID]),COLUMN(NOTA[ID]))&amp;":"&amp;ADDRESS(ROW(),COLUMN(NOTA[ID]))),-1)))</f>
        <v/>
      </c>
      <c r="AK703" s="38" t="str">
        <f ca="1">IF(NOTA[[#This Row],[ID_H]]="","",IF(NOTA[[#This Row],[FAKTUR]]="",INDIRECT(ADDRESS(ROW()-1,COLUMN())),NOTA[[#This Row],[FAKTUR]]))</f>
        <v/>
      </c>
      <c r="AL703" s="35" t="str">
        <f ca="1">IF(NOTA[[#This Row],[ID]]="","",COUNTIF(NOTA[ID_H],NOTA[[#This Row],[ID_H]]))</f>
        <v/>
      </c>
      <c r="AM703" s="35" t="str">
        <f ca="1">IF(NOTA[[#This Row],[TGL.NOTA]]="",IF(NOTA[[#This Row],[SUPPLIER_H]]="","",AM702),MONTH(NOTA[[#This Row],[TGL.NOTA]]))</f>
        <v/>
      </c>
      <c r="AN7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3" s="35" t="str">
        <f>IF(NOTA[[#This Row],[CONCAT1]]="","",MATCH(NOTA[[#This Row],[CONCAT1]],[3]!db[NB NOTA_C],0))</f>
        <v/>
      </c>
      <c r="AS703" s="35" t="str">
        <f>IF(NOTA[[#This Row],[Column5]]="","",TRUE)</f>
        <v/>
      </c>
      <c r="AT703" s="35" t="str">
        <f ca="1">IF(NOTA[[#This Row],[ID_H]]="","",IF(NOTA[[#This Row],[Column3]]=TRUE,NOTA[[#This Row],[Column5]],INDEX([3]!db[QTY/ CTN],NOTA[[#This Row],[//DB]])))</f>
        <v/>
      </c>
      <c r="AU7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3" s="35" t="str">
        <f ca="1">IF(NOTA[[#This Row],[ID_H]]="","",MATCH(NOTA[[#This Row],[NB NOTA_C_QTY]],[3]!db[NB NOTA_C_QTY+F],0))</f>
        <v/>
      </c>
      <c r="AW703" s="43" t="str">
        <f ca="1">IF(NOTA[[#This Row],[NB NOTA_C_QTY]]="","",ROW()-2)</f>
        <v/>
      </c>
    </row>
    <row r="704" spans="1:49" ht="20.100000000000001" customHeight="1">
      <c r="A7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5" t="str">
        <f ca="1">IF(NOTA[[#This Row],[NAMA BARANG]]="","",INDEX(NOTA[ID],MATCH(,INDIRECT(ADDRESS(ROW(NOTA[ID]),COLUMN(NOTA[ID]))&amp;":"&amp;ADDRESS(ROW(),COLUMN(NOTA[ID]))),-1)))</f>
        <v/>
      </c>
      <c r="C704" s="45"/>
      <c r="F704" s="46"/>
      <c r="G704" s="35"/>
      <c r="H704" s="36"/>
      <c r="I704" s="35"/>
      <c r="K704" s="37"/>
      <c r="L704" s="35"/>
      <c r="N704" s="38"/>
      <c r="O704" s="39"/>
      <c r="P704" s="47"/>
      <c r="Q704" s="48"/>
      <c r="R704" s="41"/>
      <c r="T704" s="42"/>
      <c r="U704" s="44"/>
      <c r="V704" s="42" t="str">
        <f>IF(NOTA[[#This Row],[HARGA/ CTN]]="",NOTA[[#This Row],[JUMLAH_H]],NOTA[[#This Row],[HARGA/ CTN]]*IF(NOTA[[#This Row],[C]]="",0,NOTA[[#This Row],[C]]))</f>
        <v/>
      </c>
      <c r="W704" s="42" t="str">
        <f>IF(NOTA[[#This Row],[JUMLAH]]="","",NOTA[[#This Row],[JUMLAH]]*NOTA[[#This Row],[Column6]])</f>
        <v/>
      </c>
      <c r="X704" s="42" t="str">
        <f>IF(NOTA[[#This Row],[JUMLAH]]="","",(NOTA[[#This Row],[JUMLAH]]-NOTA[[#This Row],[DISC 1-]])*NOTA[[#This Row],[Column7]])</f>
        <v/>
      </c>
      <c r="Y704" s="42" t="str">
        <f>IF(NOTA[[#This Row],[JUMLAH]]="","",(NOTA[[#This Row],[JUMLAH]]-NOTA[[#This Row],[DISC 1-]]-NOTA[[#This Row],[DISC 2-]])*NOTA[[#This Row],[Column8]])</f>
        <v/>
      </c>
      <c r="Z704" s="42" t="str">
        <f>IF(NOTA[[#This Row],[JUMLAH]]="","",NOTA[[#This Row],[DISC 1-]]+NOTA[[#This Row],[DISC 2-]]+NOTA[[#This Row],[DISC 3-]])</f>
        <v/>
      </c>
      <c r="AA704" s="42" t="str">
        <f>IF(NOTA[[#This Row],[JUMLAH]]="","",NOTA[[#This Row],[JUMLAH]]-NOTA[[#This Row],[DISC]])</f>
        <v/>
      </c>
      <c r="AB704" s="42"/>
      <c r="AC7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42" t="str">
        <f>IF(OR(NOTA[[#This Row],[QTY]]="",NOTA[[#This Row],[HARGA SATUAN]]="",),"",NOTA[[#This Row],[QTY]]*NOTA[[#This Row],[HARGA SATUAN]])</f>
        <v/>
      </c>
      <c r="AG704" s="36" t="str">
        <f ca="1">IF(NOTA[[#This Row],[ID_H]]="","",INDEX(NOTA[TANGGAL],MATCH(,INDIRECT(ADDRESS(ROW(NOTA[TANGGAL]),COLUMN(NOTA[TANGGAL]))&amp;":"&amp;ADDRESS(ROW(),COLUMN(NOTA[TANGGAL]))),-1)))</f>
        <v/>
      </c>
      <c r="AH704" s="36" t="str">
        <f ca="1">IF(NOTA[[#This Row],[ID_H]]="","",INDEX(NOTA[TGL.NOTA],MATCH(,INDIRECT(ADDRESS(ROW(NOTA[TGL.NOTA]),COLUMN(NOTA[TGL.NOTA]))&amp;":"&amp;ADDRESS(ROW(),COLUMN(NOTA[TGL.NOTA]))),-1)))</f>
        <v/>
      </c>
      <c r="AI704" s="36" t="str">
        <f ca="1">IF(NOTA[[#This Row],[ID_H]]="","",INDEX(NOTA[NO.NOTA],MATCH(NOTA[[#This Row],[ID_H]],NOTA[ID_H],0)))</f>
        <v/>
      </c>
      <c r="AJ704" s="38" t="str">
        <f ca="1">IF(NOTA[[#This Row],[NAMA BARANG]]="","",INDEX(NOTA[SUPPLIER],MATCH(,INDIRECT(ADDRESS(ROW(NOTA[ID]),COLUMN(NOTA[ID]))&amp;":"&amp;ADDRESS(ROW(),COLUMN(NOTA[ID]))),-1)))</f>
        <v/>
      </c>
      <c r="AK704" s="38" t="str">
        <f ca="1">IF(NOTA[[#This Row],[ID_H]]="","",IF(NOTA[[#This Row],[FAKTUR]]="",INDIRECT(ADDRESS(ROW()-1,COLUMN())),NOTA[[#This Row],[FAKTUR]]))</f>
        <v/>
      </c>
      <c r="AL704" s="35" t="str">
        <f ca="1">IF(NOTA[[#This Row],[ID]]="","",COUNTIF(NOTA[ID_H],NOTA[[#This Row],[ID_H]]))</f>
        <v/>
      </c>
      <c r="AM704" s="35" t="str">
        <f ca="1">IF(NOTA[[#This Row],[TGL.NOTA]]="",IF(NOTA[[#This Row],[SUPPLIER_H]]="","",AM703),MONTH(NOTA[[#This Row],[TGL.NOTA]]))</f>
        <v/>
      </c>
      <c r="AN7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4" s="35" t="str">
        <f>IF(NOTA[[#This Row],[CONCAT1]]="","",MATCH(NOTA[[#This Row],[CONCAT1]],[3]!db[NB NOTA_C],0))</f>
        <v/>
      </c>
      <c r="AS704" s="35" t="str">
        <f>IF(NOTA[[#This Row],[Column5]]="","",TRUE)</f>
        <v/>
      </c>
      <c r="AT704" s="35" t="str">
        <f ca="1">IF(NOTA[[#This Row],[ID_H]]="","",IF(NOTA[[#This Row],[Column3]]=TRUE,NOTA[[#This Row],[Column5]],INDEX([3]!db[QTY/ CTN],NOTA[[#This Row],[//DB]])))</f>
        <v/>
      </c>
      <c r="AU7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4" s="35" t="str">
        <f ca="1">IF(NOTA[[#This Row],[ID_H]]="","",MATCH(NOTA[[#This Row],[NB NOTA_C_QTY]],[3]!db[NB NOTA_C_QTY+F],0))</f>
        <v/>
      </c>
      <c r="AW704" s="43" t="str">
        <f ca="1">IF(NOTA[[#This Row],[NB NOTA_C_QTY]]="","",ROW()-2)</f>
        <v/>
      </c>
    </row>
    <row r="705" spans="1:49" ht="20.100000000000001" customHeight="1">
      <c r="A7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5" t="str">
        <f ca="1">IF(NOTA[[#This Row],[NAMA BARANG]]="","",INDEX(NOTA[ID],MATCH(,INDIRECT(ADDRESS(ROW(NOTA[ID]),COLUMN(NOTA[ID]))&amp;":"&amp;ADDRESS(ROW(),COLUMN(NOTA[ID]))),-1)))</f>
        <v/>
      </c>
      <c r="C705" s="45"/>
      <c r="F705" s="46"/>
      <c r="G705" s="35"/>
      <c r="H705" s="36"/>
      <c r="I705" s="35"/>
      <c r="K705" s="37"/>
      <c r="L705" s="35"/>
      <c r="N705" s="38"/>
      <c r="O705" s="39"/>
      <c r="P705" s="47"/>
      <c r="Q705" s="48"/>
      <c r="R705" s="41"/>
      <c r="T705" s="42"/>
      <c r="U705" s="44"/>
      <c r="V705" s="42" t="str">
        <f>IF(NOTA[[#This Row],[HARGA/ CTN]]="",NOTA[[#This Row],[JUMLAH_H]],NOTA[[#This Row],[HARGA/ CTN]]*IF(NOTA[[#This Row],[C]]="",0,NOTA[[#This Row],[C]]))</f>
        <v/>
      </c>
      <c r="W705" s="42" t="str">
        <f>IF(NOTA[[#This Row],[JUMLAH]]="","",NOTA[[#This Row],[JUMLAH]]*NOTA[[#This Row],[Column6]])</f>
        <v/>
      </c>
      <c r="X705" s="42" t="str">
        <f>IF(NOTA[[#This Row],[JUMLAH]]="","",(NOTA[[#This Row],[JUMLAH]]-NOTA[[#This Row],[DISC 1-]])*NOTA[[#This Row],[Column7]])</f>
        <v/>
      </c>
      <c r="Y705" s="42" t="str">
        <f>IF(NOTA[[#This Row],[JUMLAH]]="","",(NOTA[[#This Row],[JUMLAH]]-NOTA[[#This Row],[DISC 1-]]-NOTA[[#This Row],[DISC 2-]])*NOTA[[#This Row],[Column8]])</f>
        <v/>
      </c>
      <c r="Z705" s="42" t="str">
        <f>IF(NOTA[[#This Row],[JUMLAH]]="","",NOTA[[#This Row],[DISC 1-]]+NOTA[[#This Row],[DISC 2-]]+NOTA[[#This Row],[DISC 3-]])</f>
        <v/>
      </c>
      <c r="AA705" s="42" t="str">
        <f>IF(NOTA[[#This Row],[JUMLAH]]="","",NOTA[[#This Row],[JUMLAH]]-NOTA[[#This Row],[DISC]])</f>
        <v/>
      </c>
      <c r="AB705" s="42"/>
      <c r="AC7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42" t="str">
        <f>IF(OR(NOTA[[#This Row],[QTY]]="",NOTA[[#This Row],[HARGA SATUAN]]="",),"",NOTA[[#This Row],[QTY]]*NOTA[[#This Row],[HARGA SATUAN]])</f>
        <v/>
      </c>
      <c r="AG705" s="36" t="str">
        <f ca="1">IF(NOTA[[#This Row],[ID_H]]="","",INDEX(NOTA[TANGGAL],MATCH(,INDIRECT(ADDRESS(ROW(NOTA[TANGGAL]),COLUMN(NOTA[TANGGAL]))&amp;":"&amp;ADDRESS(ROW(),COLUMN(NOTA[TANGGAL]))),-1)))</f>
        <v/>
      </c>
      <c r="AH705" s="36" t="str">
        <f ca="1">IF(NOTA[[#This Row],[ID_H]]="","",INDEX(NOTA[TGL.NOTA],MATCH(,INDIRECT(ADDRESS(ROW(NOTA[TGL.NOTA]),COLUMN(NOTA[TGL.NOTA]))&amp;":"&amp;ADDRESS(ROW(),COLUMN(NOTA[TGL.NOTA]))),-1)))</f>
        <v/>
      </c>
      <c r="AI705" s="36" t="str">
        <f ca="1">IF(NOTA[[#This Row],[ID_H]]="","",INDEX(NOTA[NO.NOTA],MATCH(NOTA[[#This Row],[ID_H]],NOTA[ID_H],0)))</f>
        <v/>
      </c>
      <c r="AJ705" s="38" t="str">
        <f ca="1">IF(NOTA[[#This Row],[NAMA BARANG]]="","",INDEX(NOTA[SUPPLIER],MATCH(,INDIRECT(ADDRESS(ROW(NOTA[ID]),COLUMN(NOTA[ID]))&amp;":"&amp;ADDRESS(ROW(),COLUMN(NOTA[ID]))),-1)))</f>
        <v/>
      </c>
      <c r="AK705" s="38" t="str">
        <f ca="1">IF(NOTA[[#This Row],[ID_H]]="","",IF(NOTA[[#This Row],[FAKTUR]]="",INDIRECT(ADDRESS(ROW()-1,COLUMN())),NOTA[[#This Row],[FAKTUR]]))</f>
        <v/>
      </c>
      <c r="AL705" s="35" t="str">
        <f ca="1">IF(NOTA[[#This Row],[ID]]="","",COUNTIF(NOTA[ID_H],NOTA[[#This Row],[ID_H]]))</f>
        <v/>
      </c>
      <c r="AM705" s="35" t="str">
        <f ca="1">IF(NOTA[[#This Row],[TGL.NOTA]]="",IF(NOTA[[#This Row],[SUPPLIER_H]]="","",AM704),MONTH(NOTA[[#This Row],[TGL.NOTA]]))</f>
        <v/>
      </c>
      <c r="AN7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5" s="35" t="str">
        <f>IF(NOTA[[#This Row],[CONCAT1]]="","",MATCH(NOTA[[#This Row],[CONCAT1]],[3]!db[NB NOTA_C],0))</f>
        <v/>
      </c>
      <c r="AS705" s="35" t="str">
        <f>IF(NOTA[[#This Row],[Column5]]="","",TRUE)</f>
        <v/>
      </c>
      <c r="AT705" s="35" t="str">
        <f ca="1">IF(NOTA[[#This Row],[ID_H]]="","",IF(NOTA[[#This Row],[Column3]]=TRUE,NOTA[[#This Row],[Column5]],INDEX([3]!db[QTY/ CTN],NOTA[[#This Row],[//DB]])))</f>
        <v/>
      </c>
      <c r="AU7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5" s="35" t="str">
        <f ca="1">IF(NOTA[[#This Row],[ID_H]]="","",MATCH(NOTA[[#This Row],[NB NOTA_C_QTY]],[3]!db[NB NOTA_C_QTY+F],0))</f>
        <v/>
      </c>
      <c r="AW705" s="43" t="str">
        <f ca="1">IF(NOTA[[#This Row],[NB NOTA_C_QTY]]="","",ROW()-2)</f>
        <v/>
      </c>
    </row>
    <row r="706" spans="1:49" ht="20.100000000000001" customHeight="1">
      <c r="A7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5" t="str">
        <f ca="1">IF(NOTA[[#This Row],[NAMA BARANG]]="","",INDEX(NOTA[ID],MATCH(,INDIRECT(ADDRESS(ROW(NOTA[ID]),COLUMN(NOTA[ID]))&amp;":"&amp;ADDRESS(ROW(),COLUMN(NOTA[ID]))),-1)))</f>
        <v/>
      </c>
      <c r="C706" s="45"/>
      <c r="F706" s="46"/>
      <c r="G706" s="35"/>
      <c r="H706" s="36"/>
      <c r="I706" s="35"/>
      <c r="K706" s="37"/>
      <c r="L706" s="35"/>
      <c r="N706" s="38"/>
      <c r="O706" s="39"/>
      <c r="P706" s="47"/>
      <c r="Q706" s="48"/>
      <c r="R706" s="41"/>
      <c r="T706" s="42"/>
      <c r="U706" s="44"/>
      <c r="V706" s="42" t="str">
        <f>IF(NOTA[[#This Row],[HARGA/ CTN]]="",NOTA[[#This Row],[JUMLAH_H]],NOTA[[#This Row],[HARGA/ CTN]]*IF(NOTA[[#This Row],[C]]="",0,NOTA[[#This Row],[C]]))</f>
        <v/>
      </c>
      <c r="W706" s="42" t="str">
        <f>IF(NOTA[[#This Row],[JUMLAH]]="","",NOTA[[#This Row],[JUMLAH]]*NOTA[[#This Row],[Column6]])</f>
        <v/>
      </c>
      <c r="X706" s="42" t="str">
        <f>IF(NOTA[[#This Row],[JUMLAH]]="","",(NOTA[[#This Row],[JUMLAH]]-NOTA[[#This Row],[DISC 1-]])*NOTA[[#This Row],[Column7]])</f>
        <v/>
      </c>
      <c r="Y706" s="42" t="str">
        <f>IF(NOTA[[#This Row],[JUMLAH]]="","",(NOTA[[#This Row],[JUMLAH]]-NOTA[[#This Row],[DISC 1-]]-NOTA[[#This Row],[DISC 2-]])*NOTA[[#This Row],[Column8]])</f>
        <v/>
      </c>
      <c r="Z706" s="42" t="str">
        <f>IF(NOTA[[#This Row],[JUMLAH]]="","",NOTA[[#This Row],[DISC 1-]]+NOTA[[#This Row],[DISC 2-]]+NOTA[[#This Row],[DISC 3-]])</f>
        <v/>
      </c>
      <c r="AA706" s="42" t="str">
        <f>IF(NOTA[[#This Row],[JUMLAH]]="","",NOTA[[#This Row],[JUMLAH]]-NOTA[[#This Row],[DISC]])</f>
        <v/>
      </c>
      <c r="AB706" s="42"/>
      <c r="AC7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42" t="str">
        <f>IF(OR(NOTA[[#This Row],[QTY]]="",NOTA[[#This Row],[HARGA SATUAN]]="",),"",NOTA[[#This Row],[QTY]]*NOTA[[#This Row],[HARGA SATUAN]])</f>
        <v/>
      </c>
      <c r="AG706" s="36" t="str">
        <f ca="1">IF(NOTA[[#This Row],[ID_H]]="","",INDEX(NOTA[TANGGAL],MATCH(,INDIRECT(ADDRESS(ROW(NOTA[TANGGAL]),COLUMN(NOTA[TANGGAL]))&amp;":"&amp;ADDRESS(ROW(),COLUMN(NOTA[TANGGAL]))),-1)))</f>
        <v/>
      </c>
      <c r="AH706" s="36" t="str">
        <f ca="1">IF(NOTA[[#This Row],[ID_H]]="","",INDEX(NOTA[TGL.NOTA],MATCH(,INDIRECT(ADDRESS(ROW(NOTA[TGL.NOTA]),COLUMN(NOTA[TGL.NOTA]))&amp;":"&amp;ADDRESS(ROW(),COLUMN(NOTA[TGL.NOTA]))),-1)))</f>
        <v/>
      </c>
      <c r="AI706" s="36" t="str">
        <f ca="1">IF(NOTA[[#This Row],[ID_H]]="","",INDEX(NOTA[NO.NOTA],MATCH(NOTA[[#This Row],[ID_H]],NOTA[ID_H],0)))</f>
        <v/>
      </c>
      <c r="AJ706" s="38" t="str">
        <f ca="1">IF(NOTA[[#This Row],[NAMA BARANG]]="","",INDEX(NOTA[SUPPLIER],MATCH(,INDIRECT(ADDRESS(ROW(NOTA[ID]),COLUMN(NOTA[ID]))&amp;":"&amp;ADDRESS(ROW(),COLUMN(NOTA[ID]))),-1)))</f>
        <v/>
      </c>
      <c r="AK706" s="38" t="str">
        <f ca="1">IF(NOTA[[#This Row],[ID_H]]="","",IF(NOTA[[#This Row],[FAKTUR]]="",INDIRECT(ADDRESS(ROW()-1,COLUMN())),NOTA[[#This Row],[FAKTUR]]))</f>
        <v/>
      </c>
      <c r="AL706" s="35" t="str">
        <f ca="1">IF(NOTA[[#This Row],[ID]]="","",COUNTIF(NOTA[ID_H],NOTA[[#This Row],[ID_H]]))</f>
        <v/>
      </c>
      <c r="AM706" s="35" t="str">
        <f ca="1">IF(NOTA[[#This Row],[TGL.NOTA]]="",IF(NOTA[[#This Row],[SUPPLIER_H]]="","",AM705),MONTH(NOTA[[#This Row],[TGL.NOTA]]))</f>
        <v/>
      </c>
      <c r="AN7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6" s="35" t="str">
        <f>IF(NOTA[[#This Row],[CONCAT1]]="","",MATCH(NOTA[[#This Row],[CONCAT1]],[3]!db[NB NOTA_C],0))</f>
        <v/>
      </c>
      <c r="AS706" s="35" t="str">
        <f>IF(NOTA[[#This Row],[Column5]]="","",TRUE)</f>
        <v/>
      </c>
      <c r="AT706" s="35" t="str">
        <f ca="1">IF(NOTA[[#This Row],[ID_H]]="","",IF(NOTA[[#This Row],[Column3]]=TRUE,NOTA[[#This Row],[Column5]],INDEX([3]!db[QTY/ CTN],NOTA[[#This Row],[//DB]])))</f>
        <v/>
      </c>
      <c r="AU7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6" s="35" t="str">
        <f ca="1">IF(NOTA[[#This Row],[ID_H]]="","",MATCH(NOTA[[#This Row],[NB NOTA_C_QTY]],[3]!db[NB NOTA_C_QTY+F],0))</f>
        <v/>
      </c>
      <c r="AW706" s="43" t="str">
        <f ca="1">IF(NOTA[[#This Row],[NB NOTA_C_QTY]]="","",ROW()-2)</f>
        <v/>
      </c>
    </row>
    <row r="707" spans="1:49" ht="20.100000000000001" customHeight="1">
      <c r="A7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5" t="str">
        <f ca="1">IF(NOTA[[#This Row],[NAMA BARANG]]="","",INDEX(NOTA[ID],MATCH(,INDIRECT(ADDRESS(ROW(NOTA[ID]),COLUMN(NOTA[ID]))&amp;":"&amp;ADDRESS(ROW(),COLUMN(NOTA[ID]))),-1)))</f>
        <v/>
      </c>
      <c r="C707" s="45"/>
      <c r="F707" s="46"/>
      <c r="G707" s="35"/>
      <c r="H707" s="36"/>
      <c r="I707" s="35"/>
      <c r="K707" s="37"/>
      <c r="L707" s="35"/>
      <c r="N707" s="38"/>
      <c r="O707" s="39"/>
      <c r="P707" s="47"/>
      <c r="Q707" s="48"/>
      <c r="R707" s="41"/>
      <c r="T707" s="42"/>
      <c r="U707" s="44"/>
      <c r="V707" s="42" t="str">
        <f>IF(NOTA[[#This Row],[HARGA/ CTN]]="",NOTA[[#This Row],[JUMLAH_H]],NOTA[[#This Row],[HARGA/ CTN]]*IF(NOTA[[#This Row],[C]]="",0,NOTA[[#This Row],[C]]))</f>
        <v/>
      </c>
      <c r="W707" s="42" t="str">
        <f>IF(NOTA[[#This Row],[JUMLAH]]="","",NOTA[[#This Row],[JUMLAH]]*NOTA[[#This Row],[Column6]])</f>
        <v/>
      </c>
      <c r="X707" s="42" t="str">
        <f>IF(NOTA[[#This Row],[JUMLAH]]="","",(NOTA[[#This Row],[JUMLAH]]-NOTA[[#This Row],[DISC 1-]])*NOTA[[#This Row],[Column7]])</f>
        <v/>
      </c>
      <c r="Y707" s="42" t="str">
        <f>IF(NOTA[[#This Row],[JUMLAH]]="","",(NOTA[[#This Row],[JUMLAH]]-NOTA[[#This Row],[DISC 1-]]-NOTA[[#This Row],[DISC 2-]])*NOTA[[#This Row],[Column8]])</f>
        <v/>
      </c>
      <c r="Z707" s="42" t="str">
        <f>IF(NOTA[[#This Row],[JUMLAH]]="","",NOTA[[#This Row],[DISC 1-]]+NOTA[[#This Row],[DISC 2-]]+NOTA[[#This Row],[DISC 3-]])</f>
        <v/>
      </c>
      <c r="AA707" s="42" t="str">
        <f>IF(NOTA[[#This Row],[JUMLAH]]="","",NOTA[[#This Row],[JUMLAH]]-NOTA[[#This Row],[DISC]])</f>
        <v/>
      </c>
      <c r="AB707" s="42"/>
      <c r="AC7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42" t="str">
        <f>IF(OR(NOTA[[#This Row],[QTY]]="",NOTA[[#This Row],[HARGA SATUAN]]="",),"",NOTA[[#This Row],[QTY]]*NOTA[[#This Row],[HARGA SATUAN]])</f>
        <v/>
      </c>
      <c r="AG707" s="36" t="str">
        <f ca="1">IF(NOTA[[#This Row],[ID_H]]="","",INDEX(NOTA[TANGGAL],MATCH(,INDIRECT(ADDRESS(ROW(NOTA[TANGGAL]),COLUMN(NOTA[TANGGAL]))&amp;":"&amp;ADDRESS(ROW(),COLUMN(NOTA[TANGGAL]))),-1)))</f>
        <v/>
      </c>
      <c r="AH707" s="36" t="str">
        <f ca="1">IF(NOTA[[#This Row],[ID_H]]="","",INDEX(NOTA[TGL.NOTA],MATCH(,INDIRECT(ADDRESS(ROW(NOTA[TGL.NOTA]),COLUMN(NOTA[TGL.NOTA]))&amp;":"&amp;ADDRESS(ROW(),COLUMN(NOTA[TGL.NOTA]))),-1)))</f>
        <v/>
      </c>
      <c r="AI707" s="36" t="str">
        <f ca="1">IF(NOTA[[#This Row],[ID_H]]="","",INDEX(NOTA[NO.NOTA],MATCH(NOTA[[#This Row],[ID_H]],NOTA[ID_H],0)))</f>
        <v/>
      </c>
      <c r="AJ707" s="38" t="str">
        <f ca="1">IF(NOTA[[#This Row],[NAMA BARANG]]="","",INDEX(NOTA[SUPPLIER],MATCH(,INDIRECT(ADDRESS(ROW(NOTA[ID]),COLUMN(NOTA[ID]))&amp;":"&amp;ADDRESS(ROW(),COLUMN(NOTA[ID]))),-1)))</f>
        <v/>
      </c>
      <c r="AK707" s="38" t="str">
        <f ca="1">IF(NOTA[[#This Row],[ID_H]]="","",IF(NOTA[[#This Row],[FAKTUR]]="",INDIRECT(ADDRESS(ROW()-1,COLUMN())),NOTA[[#This Row],[FAKTUR]]))</f>
        <v/>
      </c>
      <c r="AL707" s="35" t="str">
        <f ca="1">IF(NOTA[[#This Row],[ID]]="","",COUNTIF(NOTA[ID_H],NOTA[[#This Row],[ID_H]]))</f>
        <v/>
      </c>
      <c r="AM707" s="35" t="str">
        <f ca="1">IF(NOTA[[#This Row],[TGL.NOTA]]="",IF(NOTA[[#This Row],[SUPPLIER_H]]="","",AM706),MONTH(NOTA[[#This Row],[TGL.NOTA]]))</f>
        <v/>
      </c>
      <c r="AN7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7" s="35" t="str">
        <f>IF(NOTA[[#This Row],[CONCAT1]]="","",MATCH(NOTA[[#This Row],[CONCAT1]],[3]!db[NB NOTA_C],0))</f>
        <v/>
      </c>
      <c r="AS707" s="35" t="str">
        <f>IF(NOTA[[#This Row],[Column5]]="","",TRUE)</f>
        <v/>
      </c>
      <c r="AT707" s="35" t="str">
        <f ca="1">IF(NOTA[[#This Row],[ID_H]]="","",IF(NOTA[[#This Row],[Column3]]=TRUE,NOTA[[#This Row],[Column5]],INDEX([3]!db[QTY/ CTN],NOTA[[#This Row],[//DB]])))</f>
        <v/>
      </c>
      <c r="AU7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7" s="35" t="str">
        <f ca="1">IF(NOTA[[#This Row],[ID_H]]="","",MATCH(NOTA[[#This Row],[NB NOTA_C_QTY]],[3]!db[NB NOTA_C_QTY+F],0))</f>
        <v/>
      </c>
      <c r="AW707" s="43" t="str">
        <f ca="1">IF(NOTA[[#This Row],[NB NOTA_C_QTY]]="","",ROW()-2)</f>
        <v/>
      </c>
    </row>
    <row r="708" spans="1:49" ht="20.100000000000001" customHeight="1">
      <c r="A7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5" t="str">
        <f ca="1">IF(NOTA[[#This Row],[NAMA BARANG]]="","",INDEX(NOTA[ID],MATCH(,INDIRECT(ADDRESS(ROW(NOTA[ID]),COLUMN(NOTA[ID]))&amp;":"&amp;ADDRESS(ROW(),COLUMN(NOTA[ID]))),-1)))</f>
        <v/>
      </c>
      <c r="C708" s="45"/>
      <c r="F708" s="46"/>
      <c r="G708" s="35"/>
      <c r="H708" s="36"/>
      <c r="I708" s="35"/>
      <c r="K708" s="37"/>
      <c r="L708" s="35"/>
      <c r="N708" s="38"/>
      <c r="O708" s="39"/>
      <c r="P708" s="47"/>
      <c r="Q708" s="48"/>
      <c r="R708" s="41"/>
      <c r="T708" s="42"/>
      <c r="U708" s="44"/>
      <c r="V708" s="42" t="str">
        <f>IF(NOTA[[#This Row],[HARGA/ CTN]]="",NOTA[[#This Row],[JUMLAH_H]],NOTA[[#This Row],[HARGA/ CTN]]*IF(NOTA[[#This Row],[C]]="",0,NOTA[[#This Row],[C]]))</f>
        <v/>
      </c>
      <c r="W708" s="42" t="str">
        <f>IF(NOTA[[#This Row],[JUMLAH]]="","",NOTA[[#This Row],[JUMLAH]]*NOTA[[#This Row],[Column6]])</f>
        <v/>
      </c>
      <c r="X708" s="42" t="str">
        <f>IF(NOTA[[#This Row],[JUMLAH]]="","",(NOTA[[#This Row],[JUMLAH]]-NOTA[[#This Row],[DISC 1-]])*NOTA[[#This Row],[Column7]])</f>
        <v/>
      </c>
      <c r="Y708" s="42" t="str">
        <f>IF(NOTA[[#This Row],[JUMLAH]]="","",(NOTA[[#This Row],[JUMLAH]]-NOTA[[#This Row],[DISC 1-]]-NOTA[[#This Row],[DISC 2-]])*NOTA[[#This Row],[Column8]])</f>
        <v/>
      </c>
      <c r="Z708" s="42" t="str">
        <f>IF(NOTA[[#This Row],[JUMLAH]]="","",NOTA[[#This Row],[DISC 1-]]+NOTA[[#This Row],[DISC 2-]]+NOTA[[#This Row],[DISC 3-]])</f>
        <v/>
      </c>
      <c r="AA708" s="42" t="str">
        <f>IF(NOTA[[#This Row],[JUMLAH]]="","",NOTA[[#This Row],[JUMLAH]]-NOTA[[#This Row],[DISC]])</f>
        <v/>
      </c>
      <c r="AB708" s="42"/>
      <c r="AC7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42" t="str">
        <f>IF(OR(NOTA[[#This Row],[QTY]]="",NOTA[[#This Row],[HARGA SATUAN]]="",),"",NOTA[[#This Row],[QTY]]*NOTA[[#This Row],[HARGA SATUAN]])</f>
        <v/>
      </c>
      <c r="AG708" s="36" t="str">
        <f ca="1">IF(NOTA[[#This Row],[ID_H]]="","",INDEX(NOTA[TANGGAL],MATCH(,INDIRECT(ADDRESS(ROW(NOTA[TANGGAL]),COLUMN(NOTA[TANGGAL]))&amp;":"&amp;ADDRESS(ROW(),COLUMN(NOTA[TANGGAL]))),-1)))</f>
        <v/>
      </c>
      <c r="AH708" s="36" t="str">
        <f ca="1">IF(NOTA[[#This Row],[ID_H]]="","",INDEX(NOTA[TGL.NOTA],MATCH(,INDIRECT(ADDRESS(ROW(NOTA[TGL.NOTA]),COLUMN(NOTA[TGL.NOTA]))&amp;":"&amp;ADDRESS(ROW(),COLUMN(NOTA[TGL.NOTA]))),-1)))</f>
        <v/>
      </c>
      <c r="AI708" s="36" t="str">
        <f ca="1">IF(NOTA[[#This Row],[ID_H]]="","",INDEX(NOTA[NO.NOTA],MATCH(NOTA[[#This Row],[ID_H]],NOTA[ID_H],0)))</f>
        <v/>
      </c>
      <c r="AJ708" s="38" t="str">
        <f ca="1">IF(NOTA[[#This Row],[NAMA BARANG]]="","",INDEX(NOTA[SUPPLIER],MATCH(,INDIRECT(ADDRESS(ROW(NOTA[ID]),COLUMN(NOTA[ID]))&amp;":"&amp;ADDRESS(ROW(),COLUMN(NOTA[ID]))),-1)))</f>
        <v/>
      </c>
      <c r="AK708" s="38" t="str">
        <f ca="1">IF(NOTA[[#This Row],[ID_H]]="","",IF(NOTA[[#This Row],[FAKTUR]]="",INDIRECT(ADDRESS(ROW()-1,COLUMN())),NOTA[[#This Row],[FAKTUR]]))</f>
        <v/>
      </c>
      <c r="AL708" s="35" t="str">
        <f ca="1">IF(NOTA[[#This Row],[ID]]="","",COUNTIF(NOTA[ID_H],NOTA[[#This Row],[ID_H]]))</f>
        <v/>
      </c>
      <c r="AM708" s="35" t="str">
        <f ca="1">IF(NOTA[[#This Row],[TGL.NOTA]]="",IF(NOTA[[#This Row],[SUPPLIER_H]]="","",AM707),MONTH(NOTA[[#This Row],[TGL.NOTA]]))</f>
        <v/>
      </c>
      <c r="AN7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8" s="35" t="str">
        <f>IF(NOTA[[#This Row],[CONCAT1]]="","",MATCH(NOTA[[#This Row],[CONCAT1]],[3]!db[NB NOTA_C],0))</f>
        <v/>
      </c>
      <c r="AS708" s="35" t="str">
        <f>IF(NOTA[[#This Row],[Column5]]="","",TRUE)</f>
        <v/>
      </c>
      <c r="AT708" s="35" t="str">
        <f ca="1">IF(NOTA[[#This Row],[ID_H]]="","",IF(NOTA[[#This Row],[Column3]]=TRUE,NOTA[[#This Row],[Column5]],INDEX([3]!db[QTY/ CTN],NOTA[[#This Row],[//DB]])))</f>
        <v/>
      </c>
      <c r="AU7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8" s="35" t="str">
        <f ca="1">IF(NOTA[[#This Row],[ID_H]]="","",MATCH(NOTA[[#This Row],[NB NOTA_C_QTY]],[3]!db[NB NOTA_C_QTY+F],0))</f>
        <v/>
      </c>
      <c r="AW708" s="43" t="str">
        <f ca="1">IF(NOTA[[#This Row],[NB NOTA_C_QTY]]="","",ROW()-2)</f>
        <v/>
      </c>
    </row>
    <row r="709" spans="1:49" ht="20.100000000000001" customHeight="1">
      <c r="A7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5" t="str">
        <f ca="1">IF(NOTA[[#This Row],[NAMA BARANG]]="","",INDEX(NOTA[ID],MATCH(,INDIRECT(ADDRESS(ROW(NOTA[ID]),COLUMN(NOTA[ID]))&amp;":"&amp;ADDRESS(ROW(),COLUMN(NOTA[ID]))),-1)))</f>
        <v/>
      </c>
      <c r="C709" s="45"/>
      <c r="F709" s="46"/>
      <c r="G709" s="35"/>
      <c r="H709" s="36"/>
      <c r="I709" s="35"/>
      <c r="K709" s="37"/>
      <c r="L709" s="35"/>
      <c r="N709" s="38"/>
      <c r="O709" s="39"/>
      <c r="P709" s="47"/>
      <c r="Q709" s="48"/>
      <c r="R709" s="41"/>
      <c r="T709" s="42"/>
      <c r="U709" s="44"/>
      <c r="V709" s="42" t="str">
        <f>IF(NOTA[[#This Row],[HARGA/ CTN]]="",NOTA[[#This Row],[JUMLAH_H]],NOTA[[#This Row],[HARGA/ CTN]]*IF(NOTA[[#This Row],[C]]="",0,NOTA[[#This Row],[C]]))</f>
        <v/>
      </c>
      <c r="W709" s="42" t="str">
        <f>IF(NOTA[[#This Row],[JUMLAH]]="","",NOTA[[#This Row],[JUMLAH]]*NOTA[[#This Row],[Column6]])</f>
        <v/>
      </c>
      <c r="X709" s="42" t="str">
        <f>IF(NOTA[[#This Row],[JUMLAH]]="","",(NOTA[[#This Row],[JUMLAH]]-NOTA[[#This Row],[DISC 1-]])*NOTA[[#This Row],[Column7]])</f>
        <v/>
      </c>
      <c r="Y709" s="42" t="str">
        <f>IF(NOTA[[#This Row],[JUMLAH]]="","",(NOTA[[#This Row],[JUMLAH]]-NOTA[[#This Row],[DISC 1-]]-NOTA[[#This Row],[DISC 2-]])*NOTA[[#This Row],[Column8]])</f>
        <v/>
      </c>
      <c r="Z709" s="42" t="str">
        <f>IF(NOTA[[#This Row],[JUMLAH]]="","",NOTA[[#This Row],[DISC 1-]]+NOTA[[#This Row],[DISC 2-]]+NOTA[[#This Row],[DISC 3-]])</f>
        <v/>
      </c>
      <c r="AA709" s="42" t="str">
        <f>IF(NOTA[[#This Row],[JUMLAH]]="","",NOTA[[#This Row],[JUMLAH]]-NOTA[[#This Row],[DISC]])</f>
        <v/>
      </c>
      <c r="AB709" s="42"/>
      <c r="AC7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42" t="str">
        <f>IF(OR(NOTA[[#This Row],[QTY]]="",NOTA[[#This Row],[HARGA SATUAN]]="",),"",NOTA[[#This Row],[QTY]]*NOTA[[#This Row],[HARGA SATUAN]])</f>
        <v/>
      </c>
      <c r="AG709" s="36" t="str">
        <f ca="1">IF(NOTA[[#This Row],[ID_H]]="","",INDEX(NOTA[TANGGAL],MATCH(,INDIRECT(ADDRESS(ROW(NOTA[TANGGAL]),COLUMN(NOTA[TANGGAL]))&amp;":"&amp;ADDRESS(ROW(),COLUMN(NOTA[TANGGAL]))),-1)))</f>
        <v/>
      </c>
      <c r="AH709" s="36" t="str">
        <f ca="1">IF(NOTA[[#This Row],[ID_H]]="","",INDEX(NOTA[TGL.NOTA],MATCH(,INDIRECT(ADDRESS(ROW(NOTA[TGL.NOTA]),COLUMN(NOTA[TGL.NOTA]))&amp;":"&amp;ADDRESS(ROW(),COLUMN(NOTA[TGL.NOTA]))),-1)))</f>
        <v/>
      </c>
      <c r="AI709" s="36" t="str">
        <f ca="1">IF(NOTA[[#This Row],[ID_H]]="","",INDEX(NOTA[NO.NOTA],MATCH(NOTA[[#This Row],[ID_H]],NOTA[ID_H],0)))</f>
        <v/>
      </c>
      <c r="AJ709" s="38" t="str">
        <f ca="1">IF(NOTA[[#This Row],[NAMA BARANG]]="","",INDEX(NOTA[SUPPLIER],MATCH(,INDIRECT(ADDRESS(ROW(NOTA[ID]),COLUMN(NOTA[ID]))&amp;":"&amp;ADDRESS(ROW(),COLUMN(NOTA[ID]))),-1)))</f>
        <v/>
      </c>
      <c r="AK709" s="38" t="str">
        <f ca="1">IF(NOTA[[#This Row],[ID_H]]="","",IF(NOTA[[#This Row],[FAKTUR]]="",INDIRECT(ADDRESS(ROW()-1,COLUMN())),NOTA[[#This Row],[FAKTUR]]))</f>
        <v/>
      </c>
      <c r="AL709" s="35" t="str">
        <f ca="1">IF(NOTA[[#This Row],[ID]]="","",COUNTIF(NOTA[ID_H],NOTA[[#This Row],[ID_H]]))</f>
        <v/>
      </c>
      <c r="AM709" s="35" t="str">
        <f ca="1">IF(NOTA[[#This Row],[TGL.NOTA]]="",IF(NOTA[[#This Row],[SUPPLIER_H]]="","",AM708),MONTH(NOTA[[#This Row],[TGL.NOTA]]))</f>
        <v/>
      </c>
      <c r="AN7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9" s="35" t="str">
        <f>IF(NOTA[[#This Row],[CONCAT1]]="","",MATCH(NOTA[[#This Row],[CONCAT1]],[3]!db[NB NOTA_C],0))</f>
        <v/>
      </c>
      <c r="AS709" s="35" t="str">
        <f>IF(NOTA[[#This Row],[Column5]]="","",TRUE)</f>
        <v/>
      </c>
      <c r="AT709" s="35" t="str">
        <f ca="1">IF(NOTA[[#This Row],[ID_H]]="","",IF(NOTA[[#This Row],[Column3]]=TRUE,NOTA[[#This Row],[Column5]],INDEX([3]!db[QTY/ CTN],NOTA[[#This Row],[//DB]])))</f>
        <v/>
      </c>
      <c r="AU7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09" s="35" t="str">
        <f ca="1">IF(NOTA[[#This Row],[ID_H]]="","",MATCH(NOTA[[#This Row],[NB NOTA_C_QTY]],[3]!db[NB NOTA_C_QTY+F],0))</f>
        <v/>
      </c>
      <c r="AW709" s="43" t="str">
        <f ca="1">IF(NOTA[[#This Row],[NB NOTA_C_QTY]]="","",ROW()-2)</f>
        <v/>
      </c>
    </row>
    <row r="710" spans="1:49" ht="20.100000000000001" customHeight="1">
      <c r="A7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5" t="str">
        <f ca="1">IF(NOTA[[#This Row],[NAMA BARANG]]="","",INDEX(NOTA[ID],MATCH(,INDIRECT(ADDRESS(ROW(NOTA[ID]),COLUMN(NOTA[ID]))&amp;":"&amp;ADDRESS(ROW(),COLUMN(NOTA[ID]))),-1)))</f>
        <v/>
      </c>
      <c r="C710" s="45"/>
      <c r="F710" s="46"/>
      <c r="G710" s="35"/>
      <c r="H710" s="36"/>
      <c r="I710" s="35"/>
      <c r="K710" s="37"/>
      <c r="L710" s="35"/>
      <c r="N710" s="38"/>
      <c r="O710" s="39"/>
      <c r="P710" s="47"/>
      <c r="Q710" s="48"/>
      <c r="R710" s="41"/>
      <c r="T710" s="42"/>
      <c r="U710" s="44"/>
      <c r="V710" s="42" t="str">
        <f>IF(NOTA[[#This Row],[HARGA/ CTN]]="",NOTA[[#This Row],[JUMLAH_H]],NOTA[[#This Row],[HARGA/ CTN]]*IF(NOTA[[#This Row],[C]]="",0,NOTA[[#This Row],[C]]))</f>
        <v/>
      </c>
      <c r="W710" s="42" t="str">
        <f>IF(NOTA[[#This Row],[JUMLAH]]="","",NOTA[[#This Row],[JUMLAH]]*NOTA[[#This Row],[Column6]])</f>
        <v/>
      </c>
      <c r="X710" s="42" t="str">
        <f>IF(NOTA[[#This Row],[JUMLAH]]="","",(NOTA[[#This Row],[JUMLAH]]-NOTA[[#This Row],[DISC 1-]])*NOTA[[#This Row],[Column7]])</f>
        <v/>
      </c>
      <c r="Y710" s="42" t="str">
        <f>IF(NOTA[[#This Row],[JUMLAH]]="","",(NOTA[[#This Row],[JUMLAH]]-NOTA[[#This Row],[DISC 1-]]-NOTA[[#This Row],[DISC 2-]])*NOTA[[#This Row],[Column8]])</f>
        <v/>
      </c>
      <c r="Z710" s="42" t="str">
        <f>IF(NOTA[[#This Row],[JUMLAH]]="","",NOTA[[#This Row],[DISC 1-]]+NOTA[[#This Row],[DISC 2-]]+NOTA[[#This Row],[DISC 3-]])</f>
        <v/>
      </c>
      <c r="AA710" s="42" t="str">
        <f>IF(NOTA[[#This Row],[JUMLAH]]="","",NOTA[[#This Row],[JUMLAH]]-NOTA[[#This Row],[DISC]])</f>
        <v/>
      </c>
      <c r="AB710" s="42"/>
      <c r="AC7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42" t="str">
        <f>IF(OR(NOTA[[#This Row],[QTY]]="",NOTA[[#This Row],[HARGA SATUAN]]="",),"",NOTA[[#This Row],[QTY]]*NOTA[[#This Row],[HARGA SATUAN]])</f>
        <v/>
      </c>
      <c r="AG710" s="36" t="str">
        <f ca="1">IF(NOTA[[#This Row],[ID_H]]="","",INDEX(NOTA[TANGGAL],MATCH(,INDIRECT(ADDRESS(ROW(NOTA[TANGGAL]),COLUMN(NOTA[TANGGAL]))&amp;":"&amp;ADDRESS(ROW(),COLUMN(NOTA[TANGGAL]))),-1)))</f>
        <v/>
      </c>
      <c r="AH710" s="36" t="str">
        <f ca="1">IF(NOTA[[#This Row],[ID_H]]="","",INDEX(NOTA[TGL.NOTA],MATCH(,INDIRECT(ADDRESS(ROW(NOTA[TGL.NOTA]),COLUMN(NOTA[TGL.NOTA]))&amp;":"&amp;ADDRESS(ROW(),COLUMN(NOTA[TGL.NOTA]))),-1)))</f>
        <v/>
      </c>
      <c r="AI710" s="36" t="str">
        <f ca="1">IF(NOTA[[#This Row],[ID_H]]="","",INDEX(NOTA[NO.NOTA],MATCH(NOTA[[#This Row],[ID_H]],NOTA[ID_H],0)))</f>
        <v/>
      </c>
      <c r="AJ710" s="38" t="str">
        <f ca="1">IF(NOTA[[#This Row],[NAMA BARANG]]="","",INDEX(NOTA[SUPPLIER],MATCH(,INDIRECT(ADDRESS(ROW(NOTA[ID]),COLUMN(NOTA[ID]))&amp;":"&amp;ADDRESS(ROW(),COLUMN(NOTA[ID]))),-1)))</f>
        <v/>
      </c>
      <c r="AK710" s="38" t="str">
        <f ca="1">IF(NOTA[[#This Row],[ID_H]]="","",IF(NOTA[[#This Row],[FAKTUR]]="",INDIRECT(ADDRESS(ROW()-1,COLUMN())),NOTA[[#This Row],[FAKTUR]]))</f>
        <v/>
      </c>
      <c r="AL710" s="35" t="str">
        <f ca="1">IF(NOTA[[#This Row],[ID]]="","",COUNTIF(NOTA[ID_H],NOTA[[#This Row],[ID_H]]))</f>
        <v/>
      </c>
      <c r="AM710" s="35" t="str">
        <f ca="1">IF(NOTA[[#This Row],[TGL.NOTA]]="",IF(NOTA[[#This Row],[SUPPLIER_H]]="","",AM709),MONTH(NOTA[[#This Row],[TGL.NOTA]]))</f>
        <v/>
      </c>
      <c r="AN7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0" s="35" t="str">
        <f>IF(NOTA[[#This Row],[CONCAT1]]="","",MATCH(NOTA[[#This Row],[CONCAT1]],[3]!db[NB NOTA_C],0))</f>
        <v/>
      </c>
      <c r="AS710" s="35" t="str">
        <f>IF(NOTA[[#This Row],[Column5]]="","",TRUE)</f>
        <v/>
      </c>
      <c r="AT710" s="35" t="str">
        <f ca="1">IF(NOTA[[#This Row],[ID_H]]="","",IF(NOTA[[#This Row],[Column3]]=TRUE,NOTA[[#This Row],[Column5]],INDEX([3]!db[QTY/ CTN],NOTA[[#This Row],[//DB]])))</f>
        <v/>
      </c>
      <c r="AU7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0" s="35" t="str">
        <f ca="1">IF(NOTA[[#This Row],[ID_H]]="","",MATCH(NOTA[[#This Row],[NB NOTA_C_QTY]],[3]!db[NB NOTA_C_QTY+F],0))</f>
        <v/>
      </c>
      <c r="AW710" s="43" t="str">
        <f ca="1">IF(NOTA[[#This Row],[NB NOTA_C_QTY]]="","",ROW()-2)</f>
        <v/>
      </c>
    </row>
    <row r="711" spans="1:49" ht="20.100000000000001" customHeight="1">
      <c r="A7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5" t="str">
        <f ca="1">IF(NOTA[[#This Row],[NAMA BARANG]]="","",INDEX(NOTA[ID],MATCH(,INDIRECT(ADDRESS(ROW(NOTA[ID]),COLUMN(NOTA[ID]))&amp;":"&amp;ADDRESS(ROW(),COLUMN(NOTA[ID]))),-1)))</f>
        <v/>
      </c>
      <c r="C711" s="45"/>
      <c r="F711" s="46"/>
      <c r="G711" s="35"/>
      <c r="H711" s="36"/>
      <c r="I711" s="35"/>
      <c r="K711" s="37"/>
      <c r="L711" s="35"/>
      <c r="N711" s="38"/>
      <c r="O711" s="39"/>
      <c r="P711" s="47"/>
      <c r="Q711" s="48"/>
      <c r="R711" s="41"/>
      <c r="T711" s="42"/>
      <c r="U711" s="44"/>
      <c r="V711" s="42" t="str">
        <f>IF(NOTA[[#This Row],[HARGA/ CTN]]="",NOTA[[#This Row],[JUMLAH_H]],NOTA[[#This Row],[HARGA/ CTN]]*IF(NOTA[[#This Row],[C]]="",0,NOTA[[#This Row],[C]]))</f>
        <v/>
      </c>
      <c r="W711" s="42" t="str">
        <f>IF(NOTA[[#This Row],[JUMLAH]]="","",NOTA[[#This Row],[JUMLAH]]*NOTA[[#This Row],[Column6]])</f>
        <v/>
      </c>
      <c r="X711" s="42" t="str">
        <f>IF(NOTA[[#This Row],[JUMLAH]]="","",(NOTA[[#This Row],[JUMLAH]]-NOTA[[#This Row],[DISC 1-]])*NOTA[[#This Row],[Column7]])</f>
        <v/>
      </c>
      <c r="Y711" s="42" t="str">
        <f>IF(NOTA[[#This Row],[JUMLAH]]="","",(NOTA[[#This Row],[JUMLAH]]-NOTA[[#This Row],[DISC 1-]]-NOTA[[#This Row],[DISC 2-]])*NOTA[[#This Row],[Column8]])</f>
        <v/>
      </c>
      <c r="Z711" s="42" t="str">
        <f>IF(NOTA[[#This Row],[JUMLAH]]="","",NOTA[[#This Row],[DISC 1-]]+NOTA[[#This Row],[DISC 2-]]+NOTA[[#This Row],[DISC 3-]])</f>
        <v/>
      </c>
      <c r="AA711" s="42" t="str">
        <f>IF(NOTA[[#This Row],[JUMLAH]]="","",NOTA[[#This Row],[JUMLAH]]-NOTA[[#This Row],[DISC]])</f>
        <v/>
      </c>
      <c r="AB711" s="42"/>
      <c r="AC7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42" t="str">
        <f>IF(OR(NOTA[[#This Row],[QTY]]="",NOTA[[#This Row],[HARGA SATUAN]]="",),"",NOTA[[#This Row],[QTY]]*NOTA[[#This Row],[HARGA SATUAN]])</f>
        <v/>
      </c>
      <c r="AG711" s="36" t="str">
        <f ca="1">IF(NOTA[[#This Row],[ID_H]]="","",INDEX(NOTA[TANGGAL],MATCH(,INDIRECT(ADDRESS(ROW(NOTA[TANGGAL]),COLUMN(NOTA[TANGGAL]))&amp;":"&amp;ADDRESS(ROW(),COLUMN(NOTA[TANGGAL]))),-1)))</f>
        <v/>
      </c>
      <c r="AH711" s="36" t="str">
        <f ca="1">IF(NOTA[[#This Row],[ID_H]]="","",INDEX(NOTA[TGL.NOTA],MATCH(,INDIRECT(ADDRESS(ROW(NOTA[TGL.NOTA]),COLUMN(NOTA[TGL.NOTA]))&amp;":"&amp;ADDRESS(ROW(),COLUMN(NOTA[TGL.NOTA]))),-1)))</f>
        <v/>
      </c>
      <c r="AI711" s="36" t="str">
        <f ca="1">IF(NOTA[[#This Row],[ID_H]]="","",INDEX(NOTA[NO.NOTA],MATCH(NOTA[[#This Row],[ID_H]],NOTA[ID_H],0)))</f>
        <v/>
      </c>
      <c r="AJ711" s="38" t="str">
        <f ca="1">IF(NOTA[[#This Row],[NAMA BARANG]]="","",INDEX(NOTA[SUPPLIER],MATCH(,INDIRECT(ADDRESS(ROW(NOTA[ID]),COLUMN(NOTA[ID]))&amp;":"&amp;ADDRESS(ROW(),COLUMN(NOTA[ID]))),-1)))</f>
        <v/>
      </c>
      <c r="AK711" s="38" t="str">
        <f ca="1">IF(NOTA[[#This Row],[ID_H]]="","",IF(NOTA[[#This Row],[FAKTUR]]="",INDIRECT(ADDRESS(ROW()-1,COLUMN())),NOTA[[#This Row],[FAKTUR]]))</f>
        <v/>
      </c>
      <c r="AL711" s="35" t="str">
        <f ca="1">IF(NOTA[[#This Row],[ID]]="","",COUNTIF(NOTA[ID_H],NOTA[[#This Row],[ID_H]]))</f>
        <v/>
      </c>
      <c r="AM711" s="35" t="str">
        <f ca="1">IF(NOTA[[#This Row],[TGL.NOTA]]="",IF(NOTA[[#This Row],[SUPPLIER_H]]="","",AM710),MONTH(NOTA[[#This Row],[TGL.NOTA]]))</f>
        <v/>
      </c>
      <c r="AN7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1" s="35" t="str">
        <f>IF(NOTA[[#This Row],[CONCAT1]]="","",MATCH(NOTA[[#This Row],[CONCAT1]],[3]!db[NB NOTA_C],0))</f>
        <v/>
      </c>
      <c r="AS711" s="35" t="str">
        <f>IF(NOTA[[#This Row],[Column5]]="","",TRUE)</f>
        <v/>
      </c>
      <c r="AT711" s="35" t="str">
        <f ca="1">IF(NOTA[[#This Row],[ID_H]]="","",IF(NOTA[[#This Row],[Column3]]=TRUE,NOTA[[#This Row],[Column5]],INDEX([3]!db[QTY/ CTN],NOTA[[#This Row],[//DB]])))</f>
        <v/>
      </c>
      <c r="AU7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1" s="35" t="str">
        <f ca="1">IF(NOTA[[#This Row],[ID_H]]="","",MATCH(NOTA[[#This Row],[NB NOTA_C_QTY]],[3]!db[NB NOTA_C_QTY+F],0))</f>
        <v/>
      </c>
      <c r="AW711" s="43" t="str">
        <f ca="1">IF(NOTA[[#This Row],[NB NOTA_C_QTY]]="","",ROW()-2)</f>
        <v/>
      </c>
    </row>
    <row r="712" spans="1:49" ht="20.100000000000001" customHeight="1">
      <c r="A7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5" t="str">
        <f ca="1">IF(NOTA[[#This Row],[NAMA BARANG]]="","",INDEX(NOTA[ID],MATCH(,INDIRECT(ADDRESS(ROW(NOTA[ID]),COLUMN(NOTA[ID]))&amp;":"&amp;ADDRESS(ROW(),COLUMN(NOTA[ID]))),-1)))</f>
        <v/>
      </c>
      <c r="C712" s="45"/>
      <c r="F712" s="46"/>
      <c r="G712" s="35"/>
      <c r="H712" s="36"/>
      <c r="I712" s="35"/>
      <c r="K712" s="37"/>
      <c r="L712" s="35"/>
      <c r="N712" s="38"/>
      <c r="O712" s="39"/>
      <c r="P712" s="47"/>
      <c r="Q712" s="48"/>
      <c r="R712" s="41"/>
      <c r="T712" s="42"/>
      <c r="U712" s="44"/>
      <c r="V712" s="42" t="str">
        <f>IF(NOTA[[#This Row],[HARGA/ CTN]]="",NOTA[[#This Row],[JUMLAH_H]],NOTA[[#This Row],[HARGA/ CTN]]*IF(NOTA[[#This Row],[C]]="",0,NOTA[[#This Row],[C]]))</f>
        <v/>
      </c>
      <c r="W712" s="42" t="str">
        <f>IF(NOTA[[#This Row],[JUMLAH]]="","",NOTA[[#This Row],[JUMLAH]]*NOTA[[#This Row],[Column6]])</f>
        <v/>
      </c>
      <c r="X712" s="42" t="str">
        <f>IF(NOTA[[#This Row],[JUMLAH]]="","",(NOTA[[#This Row],[JUMLAH]]-NOTA[[#This Row],[DISC 1-]])*NOTA[[#This Row],[Column7]])</f>
        <v/>
      </c>
      <c r="Y712" s="42" t="str">
        <f>IF(NOTA[[#This Row],[JUMLAH]]="","",(NOTA[[#This Row],[JUMLAH]]-NOTA[[#This Row],[DISC 1-]]-NOTA[[#This Row],[DISC 2-]])*NOTA[[#This Row],[Column8]])</f>
        <v/>
      </c>
      <c r="Z712" s="42" t="str">
        <f>IF(NOTA[[#This Row],[JUMLAH]]="","",NOTA[[#This Row],[DISC 1-]]+NOTA[[#This Row],[DISC 2-]]+NOTA[[#This Row],[DISC 3-]])</f>
        <v/>
      </c>
      <c r="AA712" s="42" t="str">
        <f>IF(NOTA[[#This Row],[JUMLAH]]="","",NOTA[[#This Row],[JUMLAH]]-NOTA[[#This Row],[DISC]])</f>
        <v/>
      </c>
      <c r="AB712" s="42"/>
      <c r="AC7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42" t="str">
        <f>IF(OR(NOTA[[#This Row],[QTY]]="",NOTA[[#This Row],[HARGA SATUAN]]="",),"",NOTA[[#This Row],[QTY]]*NOTA[[#This Row],[HARGA SATUAN]])</f>
        <v/>
      </c>
      <c r="AG712" s="36" t="str">
        <f ca="1">IF(NOTA[[#This Row],[ID_H]]="","",INDEX(NOTA[TANGGAL],MATCH(,INDIRECT(ADDRESS(ROW(NOTA[TANGGAL]),COLUMN(NOTA[TANGGAL]))&amp;":"&amp;ADDRESS(ROW(),COLUMN(NOTA[TANGGAL]))),-1)))</f>
        <v/>
      </c>
      <c r="AH712" s="36" t="str">
        <f ca="1">IF(NOTA[[#This Row],[ID_H]]="","",INDEX(NOTA[TGL.NOTA],MATCH(,INDIRECT(ADDRESS(ROW(NOTA[TGL.NOTA]),COLUMN(NOTA[TGL.NOTA]))&amp;":"&amp;ADDRESS(ROW(),COLUMN(NOTA[TGL.NOTA]))),-1)))</f>
        <v/>
      </c>
      <c r="AI712" s="36" t="str">
        <f ca="1">IF(NOTA[[#This Row],[ID_H]]="","",INDEX(NOTA[NO.NOTA],MATCH(NOTA[[#This Row],[ID_H]],NOTA[ID_H],0)))</f>
        <v/>
      </c>
      <c r="AJ712" s="38" t="str">
        <f ca="1">IF(NOTA[[#This Row],[NAMA BARANG]]="","",INDEX(NOTA[SUPPLIER],MATCH(,INDIRECT(ADDRESS(ROW(NOTA[ID]),COLUMN(NOTA[ID]))&amp;":"&amp;ADDRESS(ROW(),COLUMN(NOTA[ID]))),-1)))</f>
        <v/>
      </c>
      <c r="AK712" s="38" t="str">
        <f ca="1">IF(NOTA[[#This Row],[ID_H]]="","",IF(NOTA[[#This Row],[FAKTUR]]="",INDIRECT(ADDRESS(ROW()-1,COLUMN())),NOTA[[#This Row],[FAKTUR]]))</f>
        <v/>
      </c>
      <c r="AL712" s="35" t="str">
        <f ca="1">IF(NOTA[[#This Row],[ID]]="","",COUNTIF(NOTA[ID_H],NOTA[[#This Row],[ID_H]]))</f>
        <v/>
      </c>
      <c r="AM712" s="35" t="str">
        <f ca="1">IF(NOTA[[#This Row],[TGL.NOTA]]="",IF(NOTA[[#This Row],[SUPPLIER_H]]="","",AM711),MONTH(NOTA[[#This Row],[TGL.NOTA]]))</f>
        <v/>
      </c>
      <c r="AN7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2" s="35" t="str">
        <f>IF(NOTA[[#This Row],[CONCAT1]]="","",MATCH(NOTA[[#This Row],[CONCAT1]],[3]!db[NB NOTA_C],0))</f>
        <v/>
      </c>
      <c r="AS712" s="35" t="str">
        <f>IF(NOTA[[#This Row],[Column5]]="","",TRUE)</f>
        <v/>
      </c>
      <c r="AT712" s="35" t="str">
        <f ca="1">IF(NOTA[[#This Row],[ID_H]]="","",IF(NOTA[[#This Row],[Column3]]=TRUE,NOTA[[#This Row],[Column5]],INDEX([3]!db[QTY/ CTN],NOTA[[#This Row],[//DB]])))</f>
        <v/>
      </c>
      <c r="AU7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2" s="35" t="str">
        <f ca="1">IF(NOTA[[#This Row],[ID_H]]="","",MATCH(NOTA[[#This Row],[NB NOTA_C_QTY]],[3]!db[NB NOTA_C_QTY+F],0))</f>
        <v/>
      </c>
      <c r="AW712" s="43" t="str">
        <f ca="1">IF(NOTA[[#This Row],[NB NOTA_C_QTY]]="","",ROW()-2)</f>
        <v/>
      </c>
    </row>
    <row r="713" spans="1:49" ht="20.100000000000001" customHeight="1">
      <c r="A7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5" t="str">
        <f ca="1">IF(NOTA[[#This Row],[NAMA BARANG]]="","",INDEX(NOTA[ID],MATCH(,INDIRECT(ADDRESS(ROW(NOTA[ID]),COLUMN(NOTA[ID]))&amp;":"&amp;ADDRESS(ROW(),COLUMN(NOTA[ID]))),-1)))</f>
        <v/>
      </c>
      <c r="C713" s="45"/>
      <c r="F713" s="46"/>
      <c r="G713" s="35"/>
      <c r="H713" s="36"/>
      <c r="I713" s="35"/>
      <c r="K713" s="37"/>
      <c r="L713" s="35"/>
      <c r="N713" s="38"/>
      <c r="O713" s="39"/>
      <c r="P713" s="47"/>
      <c r="Q713" s="48"/>
      <c r="R713" s="41"/>
      <c r="T713" s="42"/>
      <c r="U713" s="44"/>
      <c r="V713" s="42" t="str">
        <f>IF(NOTA[[#This Row],[HARGA/ CTN]]="",NOTA[[#This Row],[JUMLAH_H]],NOTA[[#This Row],[HARGA/ CTN]]*IF(NOTA[[#This Row],[C]]="",0,NOTA[[#This Row],[C]]))</f>
        <v/>
      </c>
      <c r="W713" s="42" t="str">
        <f>IF(NOTA[[#This Row],[JUMLAH]]="","",NOTA[[#This Row],[JUMLAH]]*NOTA[[#This Row],[Column6]])</f>
        <v/>
      </c>
      <c r="X713" s="42" t="str">
        <f>IF(NOTA[[#This Row],[JUMLAH]]="","",(NOTA[[#This Row],[JUMLAH]]-NOTA[[#This Row],[DISC 1-]])*NOTA[[#This Row],[Column7]])</f>
        <v/>
      </c>
      <c r="Y713" s="42" t="str">
        <f>IF(NOTA[[#This Row],[JUMLAH]]="","",(NOTA[[#This Row],[JUMLAH]]-NOTA[[#This Row],[DISC 1-]]-NOTA[[#This Row],[DISC 2-]])*NOTA[[#This Row],[Column8]])</f>
        <v/>
      </c>
      <c r="Z713" s="42" t="str">
        <f>IF(NOTA[[#This Row],[JUMLAH]]="","",NOTA[[#This Row],[DISC 1-]]+NOTA[[#This Row],[DISC 2-]]+NOTA[[#This Row],[DISC 3-]])</f>
        <v/>
      </c>
      <c r="AA713" s="42" t="str">
        <f>IF(NOTA[[#This Row],[JUMLAH]]="","",NOTA[[#This Row],[JUMLAH]]-NOTA[[#This Row],[DISC]])</f>
        <v/>
      </c>
      <c r="AB713" s="42"/>
      <c r="AC7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42" t="str">
        <f>IF(OR(NOTA[[#This Row],[QTY]]="",NOTA[[#This Row],[HARGA SATUAN]]="",),"",NOTA[[#This Row],[QTY]]*NOTA[[#This Row],[HARGA SATUAN]])</f>
        <v/>
      </c>
      <c r="AG713" s="36" t="str">
        <f ca="1">IF(NOTA[[#This Row],[ID_H]]="","",INDEX(NOTA[TANGGAL],MATCH(,INDIRECT(ADDRESS(ROW(NOTA[TANGGAL]),COLUMN(NOTA[TANGGAL]))&amp;":"&amp;ADDRESS(ROW(),COLUMN(NOTA[TANGGAL]))),-1)))</f>
        <v/>
      </c>
      <c r="AH713" s="36" t="str">
        <f ca="1">IF(NOTA[[#This Row],[ID_H]]="","",INDEX(NOTA[TGL.NOTA],MATCH(,INDIRECT(ADDRESS(ROW(NOTA[TGL.NOTA]),COLUMN(NOTA[TGL.NOTA]))&amp;":"&amp;ADDRESS(ROW(),COLUMN(NOTA[TGL.NOTA]))),-1)))</f>
        <v/>
      </c>
      <c r="AI713" s="36" t="str">
        <f ca="1">IF(NOTA[[#This Row],[ID_H]]="","",INDEX(NOTA[NO.NOTA],MATCH(NOTA[[#This Row],[ID_H]],NOTA[ID_H],0)))</f>
        <v/>
      </c>
      <c r="AJ713" s="38" t="str">
        <f ca="1">IF(NOTA[[#This Row],[NAMA BARANG]]="","",INDEX(NOTA[SUPPLIER],MATCH(,INDIRECT(ADDRESS(ROW(NOTA[ID]),COLUMN(NOTA[ID]))&amp;":"&amp;ADDRESS(ROW(),COLUMN(NOTA[ID]))),-1)))</f>
        <v/>
      </c>
      <c r="AK713" s="38" t="str">
        <f ca="1">IF(NOTA[[#This Row],[ID_H]]="","",IF(NOTA[[#This Row],[FAKTUR]]="",INDIRECT(ADDRESS(ROW()-1,COLUMN())),NOTA[[#This Row],[FAKTUR]]))</f>
        <v/>
      </c>
      <c r="AL713" s="35" t="str">
        <f ca="1">IF(NOTA[[#This Row],[ID]]="","",COUNTIF(NOTA[ID_H],NOTA[[#This Row],[ID_H]]))</f>
        <v/>
      </c>
      <c r="AM713" s="35" t="str">
        <f ca="1">IF(NOTA[[#This Row],[TGL.NOTA]]="",IF(NOTA[[#This Row],[SUPPLIER_H]]="","",AM712),MONTH(NOTA[[#This Row],[TGL.NOTA]]))</f>
        <v/>
      </c>
      <c r="AN7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3" s="35" t="str">
        <f>IF(NOTA[[#This Row],[CONCAT1]]="","",MATCH(NOTA[[#This Row],[CONCAT1]],[3]!db[NB NOTA_C],0))</f>
        <v/>
      </c>
      <c r="AS713" s="35" t="str">
        <f>IF(NOTA[[#This Row],[Column5]]="","",TRUE)</f>
        <v/>
      </c>
      <c r="AT713" s="35" t="str">
        <f ca="1">IF(NOTA[[#This Row],[ID_H]]="","",IF(NOTA[[#This Row],[Column3]]=TRUE,NOTA[[#This Row],[Column5]],INDEX([3]!db[QTY/ CTN],NOTA[[#This Row],[//DB]])))</f>
        <v/>
      </c>
      <c r="AU7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3" s="35" t="str">
        <f ca="1">IF(NOTA[[#This Row],[ID_H]]="","",MATCH(NOTA[[#This Row],[NB NOTA_C_QTY]],[3]!db[NB NOTA_C_QTY+F],0))</f>
        <v/>
      </c>
      <c r="AW713" s="43" t="str">
        <f ca="1">IF(NOTA[[#This Row],[NB NOTA_C_QTY]]="","",ROW()-2)</f>
        <v/>
      </c>
    </row>
    <row r="714" spans="1:49" ht="20.100000000000001" customHeight="1">
      <c r="A7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5" t="str">
        <f ca="1">IF(NOTA[[#This Row],[NAMA BARANG]]="","",INDEX(NOTA[ID],MATCH(,INDIRECT(ADDRESS(ROW(NOTA[ID]),COLUMN(NOTA[ID]))&amp;":"&amp;ADDRESS(ROW(),COLUMN(NOTA[ID]))),-1)))</f>
        <v/>
      </c>
      <c r="C714" s="45"/>
      <c r="F714" s="46"/>
      <c r="G714" s="35"/>
      <c r="H714" s="36"/>
      <c r="I714" s="35"/>
      <c r="K714" s="37"/>
      <c r="L714" s="35"/>
      <c r="N714" s="38"/>
      <c r="O714" s="39"/>
      <c r="P714" s="47"/>
      <c r="Q714" s="48"/>
      <c r="R714" s="41"/>
      <c r="T714" s="42"/>
      <c r="U714" s="44"/>
      <c r="V714" s="42" t="str">
        <f>IF(NOTA[[#This Row],[HARGA/ CTN]]="",NOTA[[#This Row],[JUMLAH_H]],NOTA[[#This Row],[HARGA/ CTN]]*IF(NOTA[[#This Row],[C]]="",0,NOTA[[#This Row],[C]]))</f>
        <v/>
      </c>
      <c r="W714" s="42" t="str">
        <f>IF(NOTA[[#This Row],[JUMLAH]]="","",NOTA[[#This Row],[JUMLAH]]*NOTA[[#This Row],[Column6]])</f>
        <v/>
      </c>
      <c r="X714" s="42" t="str">
        <f>IF(NOTA[[#This Row],[JUMLAH]]="","",(NOTA[[#This Row],[JUMLAH]]-NOTA[[#This Row],[DISC 1-]])*NOTA[[#This Row],[Column7]])</f>
        <v/>
      </c>
      <c r="Y714" s="42" t="str">
        <f>IF(NOTA[[#This Row],[JUMLAH]]="","",(NOTA[[#This Row],[JUMLAH]]-NOTA[[#This Row],[DISC 1-]]-NOTA[[#This Row],[DISC 2-]])*NOTA[[#This Row],[Column8]])</f>
        <v/>
      </c>
      <c r="Z714" s="42" t="str">
        <f>IF(NOTA[[#This Row],[JUMLAH]]="","",NOTA[[#This Row],[DISC 1-]]+NOTA[[#This Row],[DISC 2-]]+NOTA[[#This Row],[DISC 3-]])</f>
        <v/>
      </c>
      <c r="AA714" s="42" t="str">
        <f>IF(NOTA[[#This Row],[JUMLAH]]="","",NOTA[[#This Row],[JUMLAH]]-NOTA[[#This Row],[DISC]])</f>
        <v/>
      </c>
      <c r="AB714" s="42"/>
      <c r="AC7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42" t="str">
        <f>IF(OR(NOTA[[#This Row],[QTY]]="",NOTA[[#This Row],[HARGA SATUAN]]="",),"",NOTA[[#This Row],[QTY]]*NOTA[[#This Row],[HARGA SATUAN]])</f>
        <v/>
      </c>
      <c r="AG714" s="36" t="str">
        <f ca="1">IF(NOTA[[#This Row],[ID_H]]="","",INDEX(NOTA[TANGGAL],MATCH(,INDIRECT(ADDRESS(ROW(NOTA[TANGGAL]),COLUMN(NOTA[TANGGAL]))&amp;":"&amp;ADDRESS(ROW(),COLUMN(NOTA[TANGGAL]))),-1)))</f>
        <v/>
      </c>
      <c r="AH714" s="36" t="str">
        <f ca="1">IF(NOTA[[#This Row],[ID_H]]="","",INDEX(NOTA[TGL.NOTA],MATCH(,INDIRECT(ADDRESS(ROW(NOTA[TGL.NOTA]),COLUMN(NOTA[TGL.NOTA]))&amp;":"&amp;ADDRESS(ROW(),COLUMN(NOTA[TGL.NOTA]))),-1)))</f>
        <v/>
      </c>
      <c r="AI714" s="36" t="str">
        <f ca="1">IF(NOTA[[#This Row],[ID_H]]="","",INDEX(NOTA[NO.NOTA],MATCH(NOTA[[#This Row],[ID_H]],NOTA[ID_H],0)))</f>
        <v/>
      </c>
      <c r="AJ714" s="38" t="str">
        <f ca="1">IF(NOTA[[#This Row],[NAMA BARANG]]="","",INDEX(NOTA[SUPPLIER],MATCH(,INDIRECT(ADDRESS(ROW(NOTA[ID]),COLUMN(NOTA[ID]))&amp;":"&amp;ADDRESS(ROW(),COLUMN(NOTA[ID]))),-1)))</f>
        <v/>
      </c>
      <c r="AK714" s="38" t="str">
        <f ca="1">IF(NOTA[[#This Row],[ID_H]]="","",IF(NOTA[[#This Row],[FAKTUR]]="",INDIRECT(ADDRESS(ROW()-1,COLUMN())),NOTA[[#This Row],[FAKTUR]]))</f>
        <v/>
      </c>
      <c r="AL714" s="35" t="str">
        <f ca="1">IF(NOTA[[#This Row],[ID]]="","",COUNTIF(NOTA[ID_H],NOTA[[#This Row],[ID_H]]))</f>
        <v/>
      </c>
      <c r="AM714" s="35" t="str">
        <f ca="1">IF(NOTA[[#This Row],[TGL.NOTA]]="",IF(NOTA[[#This Row],[SUPPLIER_H]]="","",AM713),MONTH(NOTA[[#This Row],[TGL.NOTA]]))</f>
        <v/>
      </c>
      <c r="AN7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4" s="35" t="str">
        <f>IF(NOTA[[#This Row],[CONCAT1]]="","",MATCH(NOTA[[#This Row],[CONCAT1]],[3]!db[NB NOTA_C],0))</f>
        <v/>
      </c>
      <c r="AS714" s="35" t="str">
        <f>IF(NOTA[[#This Row],[Column5]]="","",TRUE)</f>
        <v/>
      </c>
      <c r="AT714" s="35" t="str">
        <f ca="1">IF(NOTA[[#This Row],[ID_H]]="","",IF(NOTA[[#This Row],[Column3]]=TRUE,NOTA[[#This Row],[Column5]],INDEX([3]!db[QTY/ CTN],NOTA[[#This Row],[//DB]])))</f>
        <v/>
      </c>
      <c r="AU7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4" s="35" t="str">
        <f ca="1">IF(NOTA[[#This Row],[ID_H]]="","",MATCH(NOTA[[#This Row],[NB NOTA_C_QTY]],[3]!db[NB NOTA_C_QTY+F],0))</f>
        <v/>
      </c>
      <c r="AW714" s="43" t="str">
        <f ca="1">IF(NOTA[[#This Row],[NB NOTA_C_QTY]]="","",ROW()-2)</f>
        <v/>
      </c>
    </row>
    <row r="715" spans="1:49" ht="20.100000000000001" customHeight="1">
      <c r="A7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5" t="str">
        <f ca="1">IF(NOTA[[#This Row],[NAMA BARANG]]="","",INDEX(NOTA[ID],MATCH(,INDIRECT(ADDRESS(ROW(NOTA[ID]),COLUMN(NOTA[ID]))&amp;":"&amp;ADDRESS(ROW(),COLUMN(NOTA[ID]))),-1)))</f>
        <v/>
      </c>
      <c r="C715" s="45"/>
      <c r="F715" s="46"/>
      <c r="G715" s="35"/>
      <c r="H715" s="36"/>
      <c r="I715" s="35"/>
      <c r="K715" s="37"/>
      <c r="L715" s="35"/>
      <c r="N715" s="38"/>
      <c r="O715" s="39"/>
      <c r="P715" s="47"/>
      <c r="Q715" s="48"/>
      <c r="R715" s="41"/>
      <c r="T715" s="42"/>
      <c r="U715" s="44"/>
      <c r="V715" s="42" t="str">
        <f>IF(NOTA[[#This Row],[HARGA/ CTN]]="",NOTA[[#This Row],[JUMLAH_H]],NOTA[[#This Row],[HARGA/ CTN]]*IF(NOTA[[#This Row],[C]]="",0,NOTA[[#This Row],[C]]))</f>
        <v/>
      </c>
      <c r="W715" s="42" t="str">
        <f>IF(NOTA[[#This Row],[JUMLAH]]="","",NOTA[[#This Row],[JUMLAH]]*NOTA[[#This Row],[Column6]])</f>
        <v/>
      </c>
      <c r="X715" s="42" t="str">
        <f>IF(NOTA[[#This Row],[JUMLAH]]="","",(NOTA[[#This Row],[JUMLAH]]-NOTA[[#This Row],[DISC 1-]])*NOTA[[#This Row],[Column7]])</f>
        <v/>
      </c>
      <c r="Y715" s="42" t="str">
        <f>IF(NOTA[[#This Row],[JUMLAH]]="","",(NOTA[[#This Row],[JUMLAH]]-NOTA[[#This Row],[DISC 1-]]-NOTA[[#This Row],[DISC 2-]])*NOTA[[#This Row],[Column8]])</f>
        <v/>
      </c>
      <c r="Z715" s="42" t="str">
        <f>IF(NOTA[[#This Row],[JUMLAH]]="","",NOTA[[#This Row],[DISC 1-]]+NOTA[[#This Row],[DISC 2-]]+NOTA[[#This Row],[DISC 3-]])</f>
        <v/>
      </c>
      <c r="AA715" s="42" t="str">
        <f>IF(NOTA[[#This Row],[JUMLAH]]="","",NOTA[[#This Row],[JUMLAH]]-NOTA[[#This Row],[DISC]])</f>
        <v/>
      </c>
      <c r="AB715" s="42"/>
      <c r="AC7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42" t="str">
        <f>IF(OR(NOTA[[#This Row],[QTY]]="",NOTA[[#This Row],[HARGA SATUAN]]="",),"",NOTA[[#This Row],[QTY]]*NOTA[[#This Row],[HARGA SATUAN]])</f>
        <v/>
      </c>
      <c r="AG715" s="36" t="str">
        <f ca="1">IF(NOTA[[#This Row],[ID_H]]="","",INDEX(NOTA[TANGGAL],MATCH(,INDIRECT(ADDRESS(ROW(NOTA[TANGGAL]),COLUMN(NOTA[TANGGAL]))&amp;":"&amp;ADDRESS(ROW(),COLUMN(NOTA[TANGGAL]))),-1)))</f>
        <v/>
      </c>
      <c r="AH715" s="36" t="str">
        <f ca="1">IF(NOTA[[#This Row],[ID_H]]="","",INDEX(NOTA[TGL.NOTA],MATCH(,INDIRECT(ADDRESS(ROW(NOTA[TGL.NOTA]),COLUMN(NOTA[TGL.NOTA]))&amp;":"&amp;ADDRESS(ROW(),COLUMN(NOTA[TGL.NOTA]))),-1)))</f>
        <v/>
      </c>
      <c r="AI715" s="36" t="str">
        <f ca="1">IF(NOTA[[#This Row],[ID_H]]="","",INDEX(NOTA[NO.NOTA],MATCH(NOTA[[#This Row],[ID_H]],NOTA[ID_H],0)))</f>
        <v/>
      </c>
      <c r="AJ715" s="38" t="str">
        <f ca="1">IF(NOTA[[#This Row],[NAMA BARANG]]="","",INDEX(NOTA[SUPPLIER],MATCH(,INDIRECT(ADDRESS(ROW(NOTA[ID]),COLUMN(NOTA[ID]))&amp;":"&amp;ADDRESS(ROW(),COLUMN(NOTA[ID]))),-1)))</f>
        <v/>
      </c>
      <c r="AK715" s="38" t="str">
        <f ca="1">IF(NOTA[[#This Row],[ID_H]]="","",IF(NOTA[[#This Row],[FAKTUR]]="",INDIRECT(ADDRESS(ROW()-1,COLUMN())),NOTA[[#This Row],[FAKTUR]]))</f>
        <v/>
      </c>
      <c r="AL715" s="35" t="str">
        <f ca="1">IF(NOTA[[#This Row],[ID]]="","",COUNTIF(NOTA[ID_H],NOTA[[#This Row],[ID_H]]))</f>
        <v/>
      </c>
      <c r="AM715" s="35" t="str">
        <f ca="1">IF(NOTA[[#This Row],[TGL.NOTA]]="",IF(NOTA[[#This Row],[SUPPLIER_H]]="","",AM714),MONTH(NOTA[[#This Row],[TGL.NOTA]]))</f>
        <v/>
      </c>
      <c r="AN7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5" s="35" t="str">
        <f>IF(NOTA[[#This Row],[CONCAT1]]="","",MATCH(NOTA[[#This Row],[CONCAT1]],[3]!db[NB NOTA_C],0))</f>
        <v/>
      </c>
      <c r="AS715" s="35" t="str">
        <f>IF(NOTA[[#This Row],[Column5]]="","",TRUE)</f>
        <v/>
      </c>
      <c r="AT715" s="35" t="str">
        <f ca="1">IF(NOTA[[#This Row],[ID_H]]="","",IF(NOTA[[#This Row],[Column3]]=TRUE,NOTA[[#This Row],[Column5]],INDEX([3]!db[QTY/ CTN],NOTA[[#This Row],[//DB]])))</f>
        <v/>
      </c>
      <c r="AU7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5" s="35" t="str">
        <f ca="1">IF(NOTA[[#This Row],[ID_H]]="","",MATCH(NOTA[[#This Row],[NB NOTA_C_QTY]],[3]!db[NB NOTA_C_QTY+F],0))</f>
        <v/>
      </c>
      <c r="AW715" s="43" t="str">
        <f ca="1">IF(NOTA[[#This Row],[NB NOTA_C_QTY]]="","",ROW()-2)</f>
        <v/>
      </c>
    </row>
    <row r="716" spans="1:49" ht="20.100000000000001" customHeight="1">
      <c r="A7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5" t="str">
        <f ca="1">IF(NOTA[[#This Row],[NAMA BARANG]]="","",INDEX(NOTA[ID],MATCH(,INDIRECT(ADDRESS(ROW(NOTA[ID]),COLUMN(NOTA[ID]))&amp;":"&amp;ADDRESS(ROW(),COLUMN(NOTA[ID]))),-1)))</f>
        <v/>
      </c>
      <c r="C716" s="45"/>
      <c r="F716" s="46"/>
      <c r="G716" s="35"/>
      <c r="H716" s="36"/>
      <c r="I716" s="35"/>
      <c r="K716" s="37"/>
      <c r="L716" s="35"/>
      <c r="N716" s="38"/>
      <c r="O716" s="39"/>
      <c r="P716" s="47"/>
      <c r="Q716" s="48"/>
      <c r="R716" s="41"/>
      <c r="T716" s="42"/>
      <c r="U716" s="44"/>
      <c r="V716" s="42" t="str">
        <f>IF(NOTA[[#This Row],[HARGA/ CTN]]="",NOTA[[#This Row],[JUMLAH_H]],NOTA[[#This Row],[HARGA/ CTN]]*IF(NOTA[[#This Row],[C]]="",0,NOTA[[#This Row],[C]]))</f>
        <v/>
      </c>
      <c r="W716" s="42" t="str">
        <f>IF(NOTA[[#This Row],[JUMLAH]]="","",NOTA[[#This Row],[JUMLAH]]*NOTA[[#This Row],[Column6]])</f>
        <v/>
      </c>
      <c r="X716" s="42" t="str">
        <f>IF(NOTA[[#This Row],[JUMLAH]]="","",(NOTA[[#This Row],[JUMLAH]]-NOTA[[#This Row],[DISC 1-]])*NOTA[[#This Row],[Column7]])</f>
        <v/>
      </c>
      <c r="Y716" s="42" t="str">
        <f>IF(NOTA[[#This Row],[JUMLAH]]="","",(NOTA[[#This Row],[JUMLAH]]-NOTA[[#This Row],[DISC 1-]]-NOTA[[#This Row],[DISC 2-]])*NOTA[[#This Row],[Column8]])</f>
        <v/>
      </c>
      <c r="Z716" s="42" t="str">
        <f>IF(NOTA[[#This Row],[JUMLAH]]="","",NOTA[[#This Row],[DISC 1-]]+NOTA[[#This Row],[DISC 2-]]+NOTA[[#This Row],[DISC 3-]])</f>
        <v/>
      </c>
      <c r="AA716" s="42" t="str">
        <f>IF(NOTA[[#This Row],[JUMLAH]]="","",NOTA[[#This Row],[JUMLAH]]-NOTA[[#This Row],[DISC]])</f>
        <v/>
      </c>
      <c r="AB716" s="42"/>
      <c r="AC7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42" t="str">
        <f>IF(OR(NOTA[[#This Row],[QTY]]="",NOTA[[#This Row],[HARGA SATUAN]]="",),"",NOTA[[#This Row],[QTY]]*NOTA[[#This Row],[HARGA SATUAN]])</f>
        <v/>
      </c>
      <c r="AG716" s="36" t="str">
        <f ca="1">IF(NOTA[[#This Row],[ID_H]]="","",INDEX(NOTA[TANGGAL],MATCH(,INDIRECT(ADDRESS(ROW(NOTA[TANGGAL]),COLUMN(NOTA[TANGGAL]))&amp;":"&amp;ADDRESS(ROW(),COLUMN(NOTA[TANGGAL]))),-1)))</f>
        <v/>
      </c>
      <c r="AH716" s="36" t="str">
        <f ca="1">IF(NOTA[[#This Row],[ID_H]]="","",INDEX(NOTA[TGL.NOTA],MATCH(,INDIRECT(ADDRESS(ROW(NOTA[TGL.NOTA]),COLUMN(NOTA[TGL.NOTA]))&amp;":"&amp;ADDRESS(ROW(),COLUMN(NOTA[TGL.NOTA]))),-1)))</f>
        <v/>
      </c>
      <c r="AI716" s="36" t="str">
        <f ca="1">IF(NOTA[[#This Row],[ID_H]]="","",INDEX(NOTA[NO.NOTA],MATCH(NOTA[[#This Row],[ID_H]],NOTA[ID_H],0)))</f>
        <v/>
      </c>
      <c r="AJ716" s="38" t="str">
        <f ca="1">IF(NOTA[[#This Row],[NAMA BARANG]]="","",INDEX(NOTA[SUPPLIER],MATCH(,INDIRECT(ADDRESS(ROW(NOTA[ID]),COLUMN(NOTA[ID]))&amp;":"&amp;ADDRESS(ROW(),COLUMN(NOTA[ID]))),-1)))</f>
        <v/>
      </c>
      <c r="AK716" s="38" t="str">
        <f ca="1">IF(NOTA[[#This Row],[ID_H]]="","",IF(NOTA[[#This Row],[FAKTUR]]="",INDIRECT(ADDRESS(ROW()-1,COLUMN())),NOTA[[#This Row],[FAKTUR]]))</f>
        <v/>
      </c>
      <c r="AL716" s="35" t="str">
        <f ca="1">IF(NOTA[[#This Row],[ID]]="","",COUNTIF(NOTA[ID_H],NOTA[[#This Row],[ID_H]]))</f>
        <v/>
      </c>
      <c r="AM716" s="35" t="str">
        <f ca="1">IF(NOTA[[#This Row],[TGL.NOTA]]="",IF(NOTA[[#This Row],[SUPPLIER_H]]="","",AM715),MONTH(NOTA[[#This Row],[TGL.NOTA]]))</f>
        <v/>
      </c>
      <c r="AN7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6" s="35" t="str">
        <f>IF(NOTA[[#This Row],[CONCAT1]]="","",MATCH(NOTA[[#This Row],[CONCAT1]],[3]!db[NB NOTA_C],0))</f>
        <v/>
      </c>
      <c r="AS716" s="35" t="str">
        <f>IF(NOTA[[#This Row],[Column5]]="","",TRUE)</f>
        <v/>
      </c>
      <c r="AT716" s="35" t="str">
        <f ca="1">IF(NOTA[[#This Row],[ID_H]]="","",IF(NOTA[[#This Row],[Column3]]=TRUE,NOTA[[#This Row],[Column5]],INDEX([3]!db[QTY/ CTN],NOTA[[#This Row],[//DB]])))</f>
        <v/>
      </c>
      <c r="AU7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6" s="35" t="str">
        <f ca="1">IF(NOTA[[#This Row],[ID_H]]="","",MATCH(NOTA[[#This Row],[NB NOTA_C_QTY]],[3]!db[NB NOTA_C_QTY+F],0))</f>
        <v/>
      </c>
      <c r="AW716" s="43" t="str">
        <f ca="1">IF(NOTA[[#This Row],[NB NOTA_C_QTY]]="","",ROW()-2)</f>
        <v/>
      </c>
    </row>
    <row r="717" spans="1:49" ht="20.100000000000001" customHeight="1">
      <c r="A7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5" t="str">
        <f ca="1">IF(NOTA[[#This Row],[NAMA BARANG]]="","",INDEX(NOTA[ID],MATCH(,INDIRECT(ADDRESS(ROW(NOTA[ID]),COLUMN(NOTA[ID]))&amp;":"&amp;ADDRESS(ROW(),COLUMN(NOTA[ID]))),-1)))</f>
        <v/>
      </c>
      <c r="C717" s="45"/>
      <c r="F717" s="46"/>
      <c r="G717" s="35"/>
      <c r="H717" s="36"/>
      <c r="I717" s="35"/>
      <c r="K717" s="37"/>
      <c r="L717" s="35"/>
      <c r="N717" s="38"/>
      <c r="O717" s="39"/>
      <c r="P717" s="47"/>
      <c r="Q717" s="48"/>
      <c r="R717" s="41"/>
      <c r="T717" s="42"/>
      <c r="U717" s="44"/>
      <c r="V717" s="42" t="str">
        <f>IF(NOTA[[#This Row],[HARGA/ CTN]]="",NOTA[[#This Row],[JUMLAH_H]],NOTA[[#This Row],[HARGA/ CTN]]*IF(NOTA[[#This Row],[C]]="",0,NOTA[[#This Row],[C]]))</f>
        <v/>
      </c>
      <c r="W717" s="42" t="str">
        <f>IF(NOTA[[#This Row],[JUMLAH]]="","",NOTA[[#This Row],[JUMLAH]]*NOTA[[#This Row],[Column6]])</f>
        <v/>
      </c>
      <c r="X717" s="42" t="str">
        <f>IF(NOTA[[#This Row],[JUMLAH]]="","",(NOTA[[#This Row],[JUMLAH]]-NOTA[[#This Row],[DISC 1-]])*NOTA[[#This Row],[Column7]])</f>
        <v/>
      </c>
      <c r="Y717" s="42" t="str">
        <f>IF(NOTA[[#This Row],[JUMLAH]]="","",(NOTA[[#This Row],[JUMLAH]]-NOTA[[#This Row],[DISC 1-]]-NOTA[[#This Row],[DISC 2-]])*NOTA[[#This Row],[Column8]])</f>
        <v/>
      </c>
      <c r="Z717" s="42" t="str">
        <f>IF(NOTA[[#This Row],[JUMLAH]]="","",NOTA[[#This Row],[DISC 1-]]+NOTA[[#This Row],[DISC 2-]]+NOTA[[#This Row],[DISC 3-]])</f>
        <v/>
      </c>
      <c r="AA717" s="42" t="str">
        <f>IF(NOTA[[#This Row],[JUMLAH]]="","",NOTA[[#This Row],[JUMLAH]]-NOTA[[#This Row],[DISC]])</f>
        <v/>
      </c>
      <c r="AB717" s="42"/>
      <c r="AC7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42" t="str">
        <f>IF(OR(NOTA[[#This Row],[QTY]]="",NOTA[[#This Row],[HARGA SATUAN]]="",),"",NOTA[[#This Row],[QTY]]*NOTA[[#This Row],[HARGA SATUAN]])</f>
        <v/>
      </c>
      <c r="AG717" s="36" t="str">
        <f ca="1">IF(NOTA[[#This Row],[ID_H]]="","",INDEX(NOTA[TANGGAL],MATCH(,INDIRECT(ADDRESS(ROW(NOTA[TANGGAL]),COLUMN(NOTA[TANGGAL]))&amp;":"&amp;ADDRESS(ROW(),COLUMN(NOTA[TANGGAL]))),-1)))</f>
        <v/>
      </c>
      <c r="AH717" s="36" t="str">
        <f ca="1">IF(NOTA[[#This Row],[ID_H]]="","",INDEX(NOTA[TGL.NOTA],MATCH(,INDIRECT(ADDRESS(ROW(NOTA[TGL.NOTA]),COLUMN(NOTA[TGL.NOTA]))&amp;":"&amp;ADDRESS(ROW(),COLUMN(NOTA[TGL.NOTA]))),-1)))</f>
        <v/>
      </c>
      <c r="AI717" s="36" t="str">
        <f ca="1">IF(NOTA[[#This Row],[ID_H]]="","",INDEX(NOTA[NO.NOTA],MATCH(NOTA[[#This Row],[ID_H]],NOTA[ID_H],0)))</f>
        <v/>
      </c>
      <c r="AJ717" s="38" t="str">
        <f ca="1">IF(NOTA[[#This Row],[NAMA BARANG]]="","",INDEX(NOTA[SUPPLIER],MATCH(,INDIRECT(ADDRESS(ROW(NOTA[ID]),COLUMN(NOTA[ID]))&amp;":"&amp;ADDRESS(ROW(),COLUMN(NOTA[ID]))),-1)))</f>
        <v/>
      </c>
      <c r="AK717" s="38" t="str">
        <f ca="1">IF(NOTA[[#This Row],[ID_H]]="","",IF(NOTA[[#This Row],[FAKTUR]]="",INDIRECT(ADDRESS(ROW()-1,COLUMN())),NOTA[[#This Row],[FAKTUR]]))</f>
        <v/>
      </c>
      <c r="AL717" s="35" t="str">
        <f ca="1">IF(NOTA[[#This Row],[ID]]="","",COUNTIF(NOTA[ID_H],NOTA[[#This Row],[ID_H]]))</f>
        <v/>
      </c>
      <c r="AM717" s="35" t="str">
        <f ca="1">IF(NOTA[[#This Row],[TGL.NOTA]]="",IF(NOTA[[#This Row],[SUPPLIER_H]]="","",AM716),MONTH(NOTA[[#This Row],[TGL.NOTA]]))</f>
        <v/>
      </c>
      <c r="AN7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7" s="35" t="str">
        <f>IF(NOTA[[#This Row],[CONCAT1]]="","",MATCH(NOTA[[#This Row],[CONCAT1]],[3]!db[NB NOTA_C],0))</f>
        <v/>
      </c>
      <c r="AS717" s="35" t="str">
        <f>IF(NOTA[[#This Row],[Column5]]="","",TRUE)</f>
        <v/>
      </c>
      <c r="AT717" s="35" t="str">
        <f ca="1">IF(NOTA[[#This Row],[ID_H]]="","",IF(NOTA[[#This Row],[Column3]]=TRUE,NOTA[[#This Row],[Column5]],INDEX([3]!db[QTY/ CTN],NOTA[[#This Row],[//DB]])))</f>
        <v/>
      </c>
      <c r="AU7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7" s="35" t="str">
        <f ca="1">IF(NOTA[[#This Row],[ID_H]]="","",MATCH(NOTA[[#This Row],[NB NOTA_C_QTY]],[3]!db[NB NOTA_C_QTY+F],0))</f>
        <v/>
      </c>
      <c r="AW717" s="43" t="str">
        <f ca="1">IF(NOTA[[#This Row],[NB NOTA_C_QTY]]="","",ROW()-2)</f>
        <v/>
      </c>
    </row>
    <row r="718" spans="1:49" ht="20.100000000000001" customHeight="1">
      <c r="A7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5" t="str">
        <f ca="1">IF(NOTA[[#This Row],[NAMA BARANG]]="","",INDEX(NOTA[ID],MATCH(,INDIRECT(ADDRESS(ROW(NOTA[ID]),COLUMN(NOTA[ID]))&amp;":"&amp;ADDRESS(ROW(),COLUMN(NOTA[ID]))),-1)))</f>
        <v/>
      </c>
      <c r="C718" s="45"/>
      <c r="F718" s="46"/>
      <c r="G718" s="35"/>
      <c r="H718" s="36"/>
      <c r="I718" s="35"/>
      <c r="K718" s="37"/>
      <c r="L718" s="35"/>
      <c r="N718" s="38"/>
      <c r="O718" s="39"/>
      <c r="P718" s="47"/>
      <c r="Q718" s="48"/>
      <c r="R718" s="41"/>
      <c r="T718" s="42"/>
      <c r="U718" s="44"/>
      <c r="V718" s="42" t="str">
        <f>IF(NOTA[[#This Row],[HARGA/ CTN]]="",NOTA[[#This Row],[JUMLAH_H]],NOTA[[#This Row],[HARGA/ CTN]]*IF(NOTA[[#This Row],[C]]="",0,NOTA[[#This Row],[C]]))</f>
        <v/>
      </c>
      <c r="W718" s="42" t="str">
        <f>IF(NOTA[[#This Row],[JUMLAH]]="","",NOTA[[#This Row],[JUMLAH]]*NOTA[[#This Row],[Column6]])</f>
        <v/>
      </c>
      <c r="X718" s="42" t="str">
        <f>IF(NOTA[[#This Row],[JUMLAH]]="","",(NOTA[[#This Row],[JUMLAH]]-NOTA[[#This Row],[DISC 1-]])*NOTA[[#This Row],[Column7]])</f>
        <v/>
      </c>
      <c r="Y718" s="42" t="str">
        <f>IF(NOTA[[#This Row],[JUMLAH]]="","",(NOTA[[#This Row],[JUMLAH]]-NOTA[[#This Row],[DISC 1-]]-NOTA[[#This Row],[DISC 2-]])*NOTA[[#This Row],[Column8]])</f>
        <v/>
      </c>
      <c r="Z718" s="42" t="str">
        <f>IF(NOTA[[#This Row],[JUMLAH]]="","",NOTA[[#This Row],[DISC 1-]]+NOTA[[#This Row],[DISC 2-]]+NOTA[[#This Row],[DISC 3-]])</f>
        <v/>
      </c>
      <c r="AA718" s="42" t="str">
        <f>IF(NOTA[[#This Row],[JUMLAH]]="","",NOTA[[#This Row],[JUMLAH]]-NOTA[[#This Row],[DISC]])</f>
        <v/>
      </c>
      <c r="AB718" s="42"/>
      <c r="AC7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42" t="str">
        <f>IF(OR(NOTA[[#This Row],[QTY]]="",NOTA[[#This Row],[HARGA SATUAN]]="",),"",NOTA[[#This Row],[QTY]]*NOTA[[#This Row],[HARGA SATUAN]])</f>
        <v/>
      </c>
      <c r="AG718" s="36" t="str">
        <f ca="1">IF(NOTA[[#This Row],[ID_H]]="","",INDEX(NOTA[TANGGAL],MATCH(,INDIRECT(ADDRESS(ROW(NOTA[TANGGAL]),COLUMN(NOTA[TANGGAL]))&amp;":"&amp;ADDRESS(ROW(),COLUMN(NOTA[TANGGAL]))),-1)))</f>
        <v/>
      </c>
      <c r="AH718" s="36" t="str">
        <f ca="1">IF(NOTA[[#This Row],[ID_H]]="","",INDEX(NOTA[TGL.NOTA],MATCH(,INDIRECT(ADDRESS(ROW(NOTA[TGL.NOTA]),COLUMN(NOTA[TGL.NOTA]))&amp;":"&amp;ADDRESS(ROW(),COLUMN(NOTA[TGL.NOTA]))),-1)))</f>
        <v/>
      </c>
      <c r="AI718" s="36" t="str">
        <f ca="1">IF(NOTA[[#This Row],[ID_H]]="","",INDEX(NOTA[NO.NOTA],MATCH(NOTA[[#This Row],[ID_H]],NOTA[ID_H],0)))</f>
        <v/>
      </c>
      <c r="AJ718" s="38" t="str">
        <f ca="1">IF(NOTA[[#This Row],[NAMA BARANG]]="","",INDEX(NOTA[SUPPLIER],MATCH(,INDIRECT(ADDRESS(ROW(NOTA[ID]),COLUMN(NOTA[ID]))&amp;":"&amp;ADDRESS(ROW(),COLUMN(NOTA[ID]))),-1)))</f>
        <v/>
      </c>
      <c r="AK718" s="38" t="str">
        <f ca="1">IF(NOTA[[#This Row],[ID_H]]="","",IF(NOTA[[#This Row],[FAKTUR]]="",INDIRECT(ADDRESS(ROW()-1,COLUMN())),NOTA[[#This Row],[FAKTUR]]))</f>
        <v/>
      </c>
      <c r="AL718" s="35" t="str">
        <f ca="1">IF(NOTA[[#This Row],[ID]]="","",COUNTIF(NOTA[ID_H],NOTA[[#This Row],[ID_H]]))</f>
        <v/>
      </c>
      <c r="AM718" s="35" t="str">
        <f ca="1">IF(NOTA[[#This Row],[TGL.NOTA]]="",IF(NOTA[[#This Row],[SUPPLIER_H]]="","",AM717),MONTH(NOTA[[#This Row],[TGL.NOTA]]))</f>
        <v/>
      </c>
      <c r="AN7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8" s="35" t="str">
        <f>IF(NOTA[[#This Row],[CONCAT1]]="","",MATCH(NOTA[[#This Row],[CONCAT1]],[3]!db[NB NOTA_C],0))</f>
        <v/>
      </c>
      <c r="AS718" s="35" t="str">
        <f>IF(NOTA[[#This Row],[Column5]]="","",TRUE)</f>
        <v/>
      </c>
      <c r="AT718" s="35" t="str">
        <f ca="1">IF(NOTA[[#This Row],[ID_H]]="","",IF(NOTA[[#This Row],[Column3]]=TRUE,NOTA[[#This Row],[Column5]],INDEX([3]!db[QTY/ CTN],NOTA[[#This Row],[//DB]])))</f>
        <v/>
      </c>
      <c r="AU7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8" s="35" t="str">
        <f ca="1">IF(NOTA[[#This Row],[ID_H]]="","",MATCH(NOTA[[#This Row],[NB NOTA_C_QTY]],[3]!db[NB NOTA_C_QTY+F],0))</f>
        <v/>
      </c>
      <c r="AW718" s="43" t="str">
        <f ca="1">IF(NOTA[[#This Row],[NB NOTA_C_QTY]]="","",ROW()-2)</f>
        <v/>
      </c>
    </row>
    <row r="719" spans="1:49" ht="20.100000000000001" customHeight="1">
      <c r="A7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5" t="str">
        <f ca="1">IF(NOTA[[#This Row],[NAMA BARANG]]="","",INDEX(NOTA[ID],MATCH(,INDIRECT(ADDRESS(ROW(NOTA[ID]),COLUMN(NOTA[ID]))&amp;":"&amp;ADDRESS(ROW(),COLUMN(NOTA[ID]))),-1)))</f>
        <v/>
      </c>
      <c r="C719" s="45"/>
      <c r="F719" s="46"/>
      <c r="G719" s="35"/>
      <c r="H719" s="36"/>
      <c r="I719" s="35"/>
      <c r="K719" s="37"/>
      <c r="L719" s="35"/>
      <c r="N719" s="38"/>
      <c r="O719" s="39"/>
      <c r="P719" s="47"/>
      <c r="Q719" s="48"/>
      <c r="R719" s="41"/>
      <c r="T719" s="42"/>
      <c r="U719" s="44"/>
      <c r="V719" s="42" t="str">
        <f>IF(NOTA[[#This Row],[HARGA/ CTN]]="",NOTA[[#This Row],[JUMLAH_H]],NOTA[[#This Row],[HARGA/ CTN]]*IF(NOTA[[#This Row],[C]]="",0,NOTA[[#This Row],[C]]))</f>
        <v/>
      </c>
      <c r="W719" s="42" t="str">
        <f>IF(NOTA[[#This Row],[JUMLAH]]="","",NOTA[[#This Row],[JUMLAH]]*NOTA[[#This Row],[Column6]])</f>
        <v/>
      </c>
      <c r="X719" s="42" t="str">
        <f>IF(NOTA[[#This Row],[JUMLAH]]="","",(NOTA[[#This Row],[JUMLAH]]-NOTA[[#This Row],[DISC 1-]])*NOTA[[#This Row],[Column7]])</f>
        <v/>
      </c>
      <c r="Y719" s="42" t="str">
        <f>IF(NOTA[[#This Row],[JUMLAH]]="","",(NOTA[[#This Row],[JUMLAH]]-NOTA[[#This Row],[DISC 1-]]-NOTA[[#This Row],[DISC 2-]])*NOTA[[#This Row],[Column8]])</f>
        <v/>
      </c>
      <c r="Z719" s="42" t="str">
        <f>IF(NOTA[[#This Row],[JUMLAH]]="","",NOTA[[#This Row],[DISC 1-]]+NOTA[[#This Row],[DISC 2-]]+NOTA[[#This Row],[DISC 3-]])</f>
        <v/>
      </c>
      <c r="AA719" s="42" t="str">
        <f>IF(NOTA[[#This Row],[JUMLAH]]="","",NOTA[[#This Row],[JUMLAH]]-NOTA[[#This Row],[DISC]])</f>
        <v/>
      </c>
      <c r="AB719" s="42"/>
      <c r="AC7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42" t="str">
        <f>IF(OR(NOTA[[#This Row],[QTY]]="",NOTA[[#This Row],[HARGA SATUAN]]="",),"",NOTA[[#This Row],[QTY]]*NOTA[[#This Row],[HARGA SATUAN]])</f>
        <v/>
      </c>
      <c r="AG719" s="36" t="str">
        <f ca="1">IF(NOTA[[#This Row],[ID_H]]="","",INDEX(NOTA[TANGGAL],MATCH(,INDIRECT(ADDRESS(ROW(NOTA[TANGGAL]),COLUMN(NOTA[TANGGAL]))&amp;":"&amp;ADDRESS(ROW(),COLUMN(NOTA[TANGGAL]))),-1)))</f>
        <v/>
      </c>
      <c r="AH719" s="36" t="str">
        <f ca="1">IF(NOTA[[#This Row],[ID_H]]="","",INDEX(NOTA[TGL.NOTA],MATCH(,INDIRECT(ADDRESS(ROW(NOTA[TGL.NOTA]),COLUMN(NOTA[TGL.NOTA]))&amp;":"&amp;ADDRESS(ROW(),COLUMN(NOTA[TGL.NOTA]))),-1)))</f>
        <v/>
      </c>
      <c r="AI719" s="36" t="str">
        <f ca="1">IF(NOTA[[#This Row],[ID_H]]="","",INDEX(NOTA[NO.NOTA],MATCH(NOTA[[#This Row],[ID_H]],NOTA[ID_H],0)))</f>
        <v/>
      </c>
      <c r="AJ719" s="38" t="str">
        <f ca="1">IF(NOTA[[#This Row],[NAMA BARANG]]="","",INDEX(NOTA[SUPPLIER],MATCH(,INDIRECT(ADDRESS(ROW(NOTA[ID]),COLUMN(NOTA[ID]))&amp;":"&amp;ADDRESS(ROW(),COLUMN(NOTA[ID]))),-1)))</f>
        <v/>
      </c>
      <c r="AK719" s="38" t="str">
        <f ca="1">IF(NOTA[[#This Row],[ID_H]]="","",IF(NOTA[[#This Row],[FAKTUR]]="",INDIRECT(ADDRESS(ROW()-1,COLUMN())),NOTA[[#This Row],[FAKTUR]]))</f>
        <v/>
      </c>
      <c r="AL719" s="35" t="str">
        <f ca="1">IF(NOTA[[#This Row],[ID]]="","",COUNTIF(NOTA[ID_H],NOTA[[#This Row],[ID_H]]))</f>
        <v/>
      </c>
      <c r="AM719" s="35" t="str">
        <f ca="1">IF(NOTA[[#This Row],[TGL.NOTA]]="",IF(NOTA[[#This Row],[SUPPLIER_H]]="","",AM718),MONTH(NOTA[[#This Row],[TGL.NOTA]]))</f>
        <v/>
      </c>
      <c r="AN7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9" s="35" t="str">
        <f>IF(NOTA[[#This Row],[CONCAT1]]="","",MATCH(NOTA[[#This Row],[CONCAT1]],[3]!db[NB NOTA_C],0))</f>
        <v/>
      </c>
      <c r="AS719" s="35" t="str">
        <f>IF(NOTA[[#This Row],[Column5]]="","",TRUE)</f>
        <v/>
      </c>
      <c r="AT719" s="35" t="str">
        <f ca="1">IF(NOTA[[#This Row],[ID_H]]="","",IF(NOTA[[#This Row],[Column3]]=TRUE,NOTA[[#This Row],[Column5]],INDEX([3]!db[QTY/ CTN],NOTA[[#This Row],[//DB]])))</f>
        <v/>
      </c>
      <c r="AU7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19" s="35" t="str">
        <f ca="1">IF(NOTA[[#This Row],[ID_H]]="","",MATCH(NOTA[[#This Row],[NB NOTA_C_QTY]],[3]!db[NB NOTA_C_QTY+F],0))</f>
        <v/>
      </c>
      <c r="AW719" s="43" t="str">
        <f ca="1">IF(NOTA[[#This Row],[NB NOTA_C_QTY]]="","",ROW()-2)</f>
        <v/>
      </c>
    </row>
    <row r="720" spans="1:49" ht="20.100000000000001" customHeight="1">
      <c r="A7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5" t="str">
        <f ca="1">IF(NOTA[[#This Row],[NAMA BARANG]]="","",INDEX(NOTA[ID],MATCH(,INDIRECT(ADDRESS(ROW(NOTA[ID]),COLUMN(NOTA[ID]))&amp;":"&amp;ADDRESS(ROW(),COLUMN(NOTA[ID]))),-1)))</f>
        <v/>
      </c>
      <c r="C720" s="45"/>
      <c r="F720" s="46"/>
      <c r="G720" s="35"/>
      <c r="H720" s="36"/>
      <c r="I720" s="35"/>
      <c r="K720" s="37"/>
      <c r="L720" s="35"/>
      <c r="N720" s="38"/>
      <c r="O720" s="39"/>
      <c r="P720" s="47"/>
      <c r="Q720" s="48"/>
      <c r="R720" s="41"/>
      <c r="T720" s="42"/>
      <c r="U720" s="44"/>
      <c r="V720" s="42" t="str">
        <f>IF(NOTA[[#This Row],[HARGA/ CTN]]="",NOTA[[#This Row],[JUMLAH_H]],NOTA[[#This Row],[HARGA/ CTN]]*IF(NOTA[[#This Row],[C]]="",0,NOTA[[#This Row],[C]]))</f>
        <v/>
      </c>
      <c r="W720" s="42" t="str">
        <f>IF(NOTA[[#This Row],[JUMLAH]]="","",NOTA[[#This Row],[JUMLAH]]*NOTA[[#This Row],[Column6]])</f>
        <v/>
      </c>
      <c r="X720" s="42" t="str">
        <f>IF(NOTA[[#This Row],[JUMLAH]]="","",(NOTA[[#This Row],[JUMLAH]]-NOTA[[#This Row],[DISC 1-]])*NOTA[[#This Row],[Column7]])</f>
        <v/>
      </c>
      <c r="Y720" s="42" t="str">
        <f>IF(NOTA[[#This Row],[JUMLAH]]="","",(NOTA[[#This Row],[JUMLAH]]-NOTA[[#This Row],[DISC 1-]]-NOTA[[#This Row],[DISC 2-]])*NOTA[[#This Row],[Column8]])</f>
        <v/>
      </c>
      <c r="Z720" s="42" t="str">
        <f>IF(NOTA[[#This Row],[JUMLAH]]="","",NOTA[[#This Row],[DISC 1-]]+NOTA[[#This Row],[DISC 2-]]+NOTA[[#This Row],[DISC 3-]])</f>
        <v/>
      </c>
      <c r="AA720" s="42" t="str">
        <f>IF(NOTA[[#This Row],[JUMLAH]]="","",NOTA[[#This Row],[JUMLAH]]-NOTA[[#This Row],[DISC]])</f>
        <v/>
      </c>
      <c r="AB720" s="42"/>
      <c r="AC7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42" t="str">
        <f>IF(OR(NOTA[[#This Row],[QTY]]="",NOTA[[#This Row],[HARGA SATUAN]]="",),"",NOTA[[#This Row],[QTY]]*NOTA[[#This Row],[HARGA SATUAN]])</f>
        <v/>
      </c>
      <c r="AG720" s="36" t="str">
        <f ca="1">IF(NOTA[[#This Row],[ID_H]]="","",INDEX(NOTA[TANGGAL],MATCH(,INDIRECT(ADDRESS(ROW(NOTA[TANGGAL]),COLUMN(NOTA[TANGGAL]))&amp;":"&amp;ADDRESS(ROW(),COLUMN(NOTA[TANGGAL]))),-1)))</f>
        <v/>
      </c>
      <c r="AH720" s="36" t="str">
        <f ca="1">IF(NOTA[[#This Row],[ID_H]]="","",INDEX(NOTA[TGL.NOTA],MATCH(,INDIRECT(ADDRESS(ROW(NOTA[TGL.NOTA]),COLUMN(NOTA[TGL.NOTA]))&amp;":"&amp;ADDRESS(ROW(),COLUMN(NOTA[TGL.NOTA]))),-1)))</f>
        <v/>
      </c>
      <c r="AI720" s="36" t="str">
        <f ca="1">IF(NOTA[[#This Row],[ID_H]]="","",INDEX(NOTA[NO.NOTA],MATCH(NOTA[[#This Row],[ID_H]],NOTA[ID_H],0)))</f>
        <v/>
      </c>
      <c r="AJ720" s="38" t="str">
        <f ca="1">IF(NOTA[[#This Row],[NAMA BARANG]]="","",INDEX(NOTA[SUPPLIER],MATCH(,INDIRECT(ADDRESS(ROW(NOTA[ID]),COLUMN(NOTA[ID]))&amp;":"&amp;ADDRESS(ROW(),COLUMN(NOTA[ID]))),-1)))</f>
        <v/>
      </c>
      <c r="AK720" s="38" t="str">
        <f ca="1">IF(NOTA[[#This Row],[ID_H]]="","",IF(NOTA[[#This Row],[FAKTUR]]="",INDIRECT(ADDRESS(ROW()-1,COLUMN())),NOTA[[#This Row],[FAKTUR]]))</f>
        <v/>
      </c>
      <c r="AL720" s="35" t="str">
        <f ca="1">IF(NOTA[[#This Row],[ID]]="","",COUNTIF(NOTA[ID_H],NOTA[[#This Row],[ID_H]]))</f>
        <v/>
      </c>
      <c r="AM720" s="35" t="str">
        <f ca="1">IF(NOTA[[#This Row],[TGL.NOTA]]="",IF(NOTA[[#This Row],[SUPPLIER_H]]="","",AM719),MONTH(NOTA[[#This Row],[TGL.NOTA]]))</f>
        <v/>
      </c>
      <c r="AN7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0" s="35" t="str">
        <f>IF(NOTA[[#This Row],[CONCAT1]]="","",MATCH(NOTA[[#This Row],[CONCAT1]],[3]!db[NB NOTA_C],0))</f>
        <v/>
      </c>
      <c r="AS720" s="35" t="str">
        <f>IF(NOTA[[#This Row],[Column5]]="","",TRUE)</f>
        <v/>
      </c>
      <c r="AT720" s="35" t="str">
        <f ca="1">IF(NOTA[[#This Row],[ID_H]]="","",IF(NOTA[[#This Row],[Column3]]=TRUE,NOTA[[#This Row],[Column5]],INDEX([3]!db[QTY/ CTN],NOTA[[#This Row],[//DB]])))</f>
        <v/>
      </c>
      <c r="AU7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0" s="35" t="str">
        <f ca="1">IF(NOTA[[#This Row],[ID_H]]="","",MATCH(NOTA[[#This Row],[NB NOTA_C_QTY]],[3]!db[NB NOTA_C_QTY+F],0))</f>
        <v/>
      </c>
      <c r="AW720" s="43" t="str">
        <f ca="1">IF(NOTA[[#This Row],[NB NOTA_C_QTY]]="","",ROW()-2)</f>
        <v/>
      </c>
    </row>
    <row r="721" spans="1:49" ht="20.100000000000001" customHeight="1">
      <c r="A7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5" t="str">
        <f ca="1">IF(NOTA[[#This Row],[NAMA BARANG]]="","",INDEX(NOTA[ID],MATCH(,INDIRECT(ADDRESS(ROW(NOTA[ID]),COLUMN(NOTA[ID]))&amp;":"&amp;ADDRESS(ROW(),COLUMN(NOTA[ID]))),-1)))</f>
        <v/>
      </c>
      <c r="C721" s="45"/>
      <c r="F721" s="46"/>
      <c r="G721" s="35"/>
      <c r="H721" s="36"/>
      <c r="I721" s="35"/>
      <c r="K721" s="37"/>
      <c r="L721" s="35"/>
      <c r="N721" s="38"/>
      <c r="O721" s="39"/>
      <c r="P721" s="47"/>
      <c r="Q721" s="48"/>
      <c r="R721" s="41"/>
      <c r="T721" s="42"/>
      <c r="U721" s="44"/>
      <c r="V721" s="42" t="str">
        <f>IF(NOTA[[#This Row],[HARGA/ CTN]]="",NOTA[[#This Row],[JUMLAH_H]],NOTA[[#This Row],[HARGA/ CTN]]*IF(NOTA[[#This Row],[C]]="",0,NOTA[[#This Row],[C]]))</f>
        <v/>
      </c>
      <c r="W721" s="42" t="str">
        <f>IF(NOTA[[#This Row],[JUMLAH]]="","",NOTA[[#This Row],[JUMLAH]]*NOTA[[#This Row],[Column6]])</f>
        <v/>
      </c>
      <c r="X721" s="42" t="str">
        <f>IF(NOTA[[#This Row],[JUMLAH]]="","",(NOTA[[#This Row],[JUMLAH]]-NOTA[[#This Row],[DISC 1-]])*NOTA[[#This Row],[Column7]])</f>
        <v/>
      </c>
      <c r="Y721" s="42" t="str">
        <f>IF(NOTA[[#This Row],[JUMLAH]]="","",(NOTA[[#This Row],[JUMLAH]]-NOTA[[#This Row],[DISC 1-]]-NOTA[[#This Row],[DISC 2-]])*NOTA[[#This Row],[Column8]])</f>
        <v/>
      </c>
      <c r="Z721" s="42" t="str">
        <f>IF(NOTA[[#This Row],[JUMLAH]]="","",NOTA[[#This Row],[DISC 1-]]+NOTA[[#This Row],[DISC 2-]]+NOTA[[#This Row],[DISC 3-]])</f>
        <v/>
      </c>
      <c r="AA721" s="42" t="str">
        <f>IF(NOTA[[#This Row],[JUMLAH]]="","",NOTA[[#This Row],[JUMLAH]]-NOTA[[#This Row],[DISC]])</f>
        <v/>
      </c>
      <c r="AB721" s="42"/>
      <c r="AC7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42" t="str">
        <f>IF(OR(NOTA[[#This Row],[QTY]]="",NOTA[[#This Row],[HARGA SATUAN]]="",),"",NOTA[[#This Row],[QTY]]*NOTA[[#This Row],[HARGA SATUAN]])</f>
        <v/>
      </c>
      <c r="AG721" s="36" t="str">
        <f ca="1">IF(NOTA[[#This Row],[ID_H]]="","",INDEX(NOTA[TANGGAL],MATCH(,INDIRECT(ADDRESS(ROW(NOTA[TANGGAL]),COLUMN(NOTA[TANGGAL]))&amp;":"&amp;ADDRESS(ROW(),COLUMN(NOTA[TANGGAL]))),-1)))</f>
        <v/>
      </c>
      <c r="AH721" s="36" t="str">
        <f ca="1">IF(NOTA[[#This Row],[ID_H]]="","",INDEX(NOTA[TGL.NOTA],MATCH(,INDIRECT(ADDRESS(ROW(NOTA[TGL.NOTA]),COLUMN(NOTA[TGL.NOTA]))&amp;":"&amp;ADDRESS(ROW(),COLUMN(NOTA[TGL.NOTA]))),-1)))</f>
        <v/>
      </c>
      <c r="AI721" s="36" t="str">
        <f ca="1">IF(NOTA[[#This Row],[ID_H]]="","",INDEX(NOTA[NO.NOTA],MATCH(NOTA[[#This Row],[ID_H]],NOTA[ID_H],0)))</f>
        <v/>
      </c>
      <c r="AJ721" s="38" t="str">
        <f ca="1">IF(NOTA[[#This Row],[NAMA BARANG]]="","",INDEX(NOTA[SUPPLIER],MATCH(,INDIRECT(ADDRESS(ROW(NOTA[ID]),COLUMN(NOTA[ID]))&amp;":"&amp;ADDRESS(ROW(),COLUMN(NOTA[ID]))),-1)))</f>
        <v/>
      </c>
      <c r="AK721" s="38" t="str">
        <f ca="1">IF(NOTA[[#This Row],[ID_H]]="","",IF(NOTA[[#This Row],[FAKTUR]]="",INDIRECT(ADDRESS(ROW()-1,COLUMN())),NOTA[[#This Row],[FAKTUR]]))</f>
        <v/>
      </c>
      <c r="AL721" s="35" t="str">
        <f ca="1">IF(NOTA[[#This Row],[ID]]="","",COUNTIF(NOTA[ID_H],NOTA[[#This Row],[ID_H]]))</f>
        <v/>
      </c>
      <c r="AM721" s="35" t="str">
        <f ca="1">IF(NOTA[[#This Row],[TGL.NOTA]]="",IF(NOTA[[#This Row],[SUPPLIER_H]]="","",AM720),MONTH(NOTA[[#This Row],[TGL.NOTA]]))</f>
        <v/>
      </c>
      <c r="AN7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1" s="35" t="str">
        <f>IF(NOTA[[#This Row],[CONCAT1]]="","",MATCH(NOTA[[#This Row],[CONCAT1]],[3]!db[NB NOTA_C],0))</f>
        <v/>
      </c>
      <c r="AS721" s="35" t="str">
        <f>IF(NOTA[[#This Row],[Column5]]="","",TRUE)</f>
        <v/>
      </c>
      <c r="AT721" s="35" t="str">
        <f ca="1">IF(NOTA[[#This Row],[ID_H]]="","",IF(NOTA[[#This Row],[Column3]]=TRUE,NOTA[[#This Row],[Column5]],INDEX([3]!db[QTY/ CTN],NOTA[[#This Row],[//DB]])))</f>
        <v/>
      </c>
      <c r="AU7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1" s="35" t="str">
        <f ca="1">IF(NOTA[[#This Row],[ID_H]]="","",MATCH(NOTA[[#This Row],[NB NOTA_C_QTY]],[3]!db[NB NOTA_C_QTY+F],0))</f>
        <v/>
      </c>
      <c r="AW721" s="43" t="str">
        <f ca="1">IF(NOTA[[#This Row],[NB NOTA_C_QTY]]="","",ROW()-2)</f>
        <v/>
      </c>
    </row>
    <row r="722" spans="1:49" ht="20.100000000000001" customHeight="1">
      <c r="A7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5" t="str">
        <f ca="1">IF(NOTA[[#This Row],[NAMA BARANG]]="","",INDEX(NOTA[ID],MATCH(,INDIRECT(ADDRESS(ROW(NOTA[ID]),COLUMN(NOTA[ID]))&amp;":"&amp;ADDRESS(ROW(),COLUMN(NOTA[ID]))),-1)))</f>
        <v/>
      </c>
      <c r="C722" s="45"/>
      <c r="F722" s="46"/>
      <c r="G722" s="35"/>
      <c r="H722" s="36"/>
      <c r="I722" s="35"/>
      <c r="K722" s="37"/>
      <c r="L722" s="35"/>
      <c r="N722" s="38"/>
      <c r="O722" s="39"/>
      <c r="P722" s="47"/>
      <c r="Q722" s="48"/>
      <c r="R722" s="41"/>
      <c r="T722" s="42"/>
      <c r="U722" s="44"/>
      <c r="V722" s="42" t="str">
        <f>IF(NOTA[[#This Row],[HARGA/ CTN]]="",NOTA[[#This Row],[JUMLAH_H]],NOTA[[#This Row],[HARGA/ CTN]]*IF(NOTA[[#This Row],[C]]="",0,NOTA[[#This Row],[C]]))</f>
        <v/>
      </c>
      <c r="W722" s="42" t="str">
        <f>IF(NOTA[[#This Row],[JUMLAH]]="","",NOTA[[#This Row],[JUMLAH]]*NOTA[[#This Row],[Column6]])</f>
        <v/>
      </c>
      <c r="X722" s="42" t="str">
        <f>IF(NOTA[[#This Row],[JUMLAH]]="","",(NOTA[[#This Row],[JUMLAH]]-NOTA[[#This Row],[DISC 1-]])*NOTA[[#This Row],[Column7]])</f>
        <v/>
      </c>
      <c r="Y722" s="42" t="str">
        <f>IF(NOTA[[#This Row],[JUMLAH]]="","",(NOTA[[#This Row],[JUMLAH]]-NOTA[[#This Row],[DISC 1-]]-NOTA[[#This Row],[DISC 2-]])*NOTA[[#This Row],[Column8]])</f>
        <v/>
      </c>
      <c r="Z722" s="42" t="str">
        <f>IF(NOTA[[#This Row],[JUMLAH]]="","",NOTA[[#This Row],[DISC 1-]]+NOTA[[#This Row],[DISC 2-]]+NOTA[[#This Row],[DISC 3-]])</f>
        <v/>
      </c>
      <c r="AA722" s="42" t="str">
        <f>IF(NOTA[[#This Row],[JUMLAH]]="","",NOTA[[#This Row],[JUMLAH]]-NOTA[[#This Row],[DISC]])</f>
        <v/>
      </c>
      <c r="AB722" s="42"/>
      <c r="AC7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42" t="str">
        <f>IF(OR(NOTA[[#This Row],[QTY]]="",NOTA[[#This Row],[HARGA SATUAN]]="",),"",NOTA[[#This Row],[QTY]]*NOTA[[#This Row],[HARGA SATUAN]])</f>
        <v/>
      </c>
      <c r="AG722" s="36" t="str">
        <f ca="1">IF(NOTA[[#This Row],[ID_H]]="","",INDEX(NOTA[TANGGAL],MATCH(,INDIRECT(ADDRESS(ROW(NOTA[TANGGAL]),COLUMN(NOTA[TANGGAL]))&amp;":"&amp;ADDRESS(ROW(),COLUMN(NOTA[TANGGAL]))),-1)))</f>
        <v/>
      </c>
      <c r="AH722" s="36" t="str">
        <f ca="1">IF(NOTA[[#This Row],[ID_H]]="","",INDEX(NOTA[TGL.NOTA],MATCH(,INDIRECT(ADDRESS(ROW(NOTA[TGL.NOTA]),COLUMN(NOTA[TGL.NOTA]))&amp;":"&amp;ADDRESS(ROW(),COLUMN(NOTA[TGL.NOTA]))),-1)))</f>
        <v/>
      </c>
      <c r="AI722" s="36" t="str">
        <f ca="1">IF(NOTA[[#This Row],[ID_H]]="","",INDEX(NOTA[NO.NOTA],MATCH(NOTA[[#This Row],[ID_H]],NOTA[ID_H],0)))</f>
        <v/>
      </c>
      <c r="AJ722" s="38" t="str">
        <f ca="1">IF(NOTA[[#This Row],[NAMA BARANG]]="","",INDEX(NOTA[SUPPLIER],MATCH(,INDIRECT(ADDRESS(ROW(NOTA[ID]),COLUMN(NOTA[ID]))&amp;":"&amp;ADDRESS(ROW(),COLUMN(NOTA[ID]))),-1)))</f>
        <v/>
      </c>
      <c r="AK722" s="38" t="str">
        <f ca="1">IF(NOTA[[#This Row],[ID_H]]="","",IF(NOTA[[#This Row],[FAKTUR]]="",INDIRECT(ADDRESS(ROW()-1,COLUMN())),NOTA[[#This Row],[FAKTUR]]))</f>
        <v/>
      </c>
      <c r="AL722" s="35" t="str">
        <f ca="1">IF(NOTA[[#This Row],[ID]]="","",COUNTIF(NOTA[ID_H],NOTA[[#This Row],[ID_H]]))</f>
        <v/>
      </c>
      <c r="AM722" s="35" t="str">
        <f ca="1">IF(NOTA[[#This Row],[TGL.NOTA]]="",IF(NOTA[[#This Row],[SUPPLIER_H]]="","",AM721),MONTH(NOTA[[#This Row],[TGL.NOTA]]))</f>
        <v/>
      </c>
      <c r="AN7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2" s="35" t="str">
        <f>IF(NOTA[[#This Row],[CONCAT1]]="","",MATCH(NOTA[[#This Row],[CONCAT1]],[3]!db[NB NOTA_C],0))</f>
        <v/>
      </c>
      <c r="AS722" s="35" t="str">
        <f>IF(NOTA[[#This Row],[Column5]]="","",TRUE)</f>
        <v/>
      </c>
      <c r="AT722" s="35" t="str">
        <f ca="1">IF(NOTA[[#This Row],[ID_H]]="","",IF(NOTA[[#This Row],[Column3]]=TRUE,NOTA[[#This Row],[Column5]],INDEX([3]!db[QTY/ CTN],NOTA[[#This Row],[//DB]])))</f>
        <v/>
      </c>
      <c r="AU7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2" s="35" t="str">
        <f ca="1">IF(NOTA[[#This Row],[ID_H]]="","",MATCH(NOTA[[#This Row],[NB NOTA_C_QTY]],[3]!db[NB NOTA_C_QTY+F],0))</f>
        <v/>
      </c>
      <c r="AW722" s="43" t="str">
        <f ca="1">IF(NOTA[[#This Row],[NB NOTA_C_QTY]]="","",ROW()-2)</f>
        <v/>
      </c>
    </row>
    <row r="723" spans="1:49" ht="20.100000000000001" customHeight="1">
      <c r="A7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5" t="str">
        <f ca="1">IF(NOTA[[#This Row],[NAMA BARANG]]="","",INDEX(NOTA[ID],MATCH(,INDIRECT(ADDRESS(ROW(NOTA[ID]),COLUMN(NOTA[ID]))&amp;":"&amp;ADDRESS(ROW(),COLUMN(NOTA[ID]))),-1)))</f>
        <v/>
      </c>
      <c r="C723" s="45"/>
      <c r="F723" s="46"/>
      <c r="G723" s="35"/>
      <c r="H723" s="36"/>
      <c r="I723" s="35"/>
      <c r="K723" s="37"/>
      <c r="L723" s="35"/>
      <c r="N723" s="38"/>
      <c r="O723" s="39"/>
      <c r="P723" s="47"/>
      <c r="Q723" s="48"/>
      <c r="R723" s="41"/>
      <c r="T723" s="42"/>
      <c r="U723" s="44"/>
      <c r="V723" s="42" t="str">
        <f>IF(NOTA[[#This Row],[HARGA/ CTN]]="",NOTA[[#This Row],[JUMLAH_H]],NOTA[[#This Row],[HARGA/ CTN]]*IF(NOTA[[#This Row],[C]]="",0,NOTA[[#This Row],[C]]))</f>
        <v/>
      </c>
      <c r="W723" s="42" t="str">
        <f>IF(NOTA[[#This Row],[JUMLAH]]="","",NOTA[[#This Row],[JUMLAH]]*NOTA[[#This Row],[Column6]])</f>
        <v/>
      </c>
      <c r="X723" s="42" t="str">
        <f>IF(NOTA[[#This Row],[JUMLAH]]="","",(NOTA[[#This Row],[JUMLAH]]-NOTA[[#This Row],[DISC 1-]])*NOTA[[#This Row],[Column7]])</f>
        <v/>
      </c>
      <c r="Y723" s="42" t="str">
        <f>IF(NOTA[[#This Row],[JUMLAH]]="","",(NOTA[[#This Row],[JUMLAH]]-NOTA[[#This Row],[DISC 1-]]-NOTA[[#This Row],[DISC 2-]])*NOTA[[#This Row],[Column8]])</f>
        <v/>
      </c>
      <c r="Z723" s="42" t="str">
        <f>IF(NOTA[[#This Row],[JUMLAH]]="","",NOTA[[#This Row],[DISC 1-]]+NOTA[[#This Row],[DISC 2-]]+NOTA[[#This Row],[DISC 3-]])</f>
        <v/>
      </c>
      <c r="AA723" s="42" t="str">
        <f>IF(NOTA[[#This Row],[JUMLAH]]="","",NOTA[[#This Row],[JUMLAH]]-NOTA[[#This Row],[DISC]])</f>
        <v/>
      </c>
      <c r="AB723" s="42"/>
      <c r="AC7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42" t="str">
        <f>IF(OR(NOTA[[#This Row],[QTY]]="",NOTA[[#This Row],[HARGA SATUAN]]="",),"",NOTA[[#This Row],[QTY]]*NOTA[[#This Row],[HARGA SATUAN]])</f>
        <v/>
      </c>
      <c r="AG723" s="36" t="str">
        <f ca="1">IF(NOTA[[#This Row],[ID_H]]="","",INDEX(NOTA[TANGGAL],MATCH(,INDIRECT(ADDRESS(ROW(NOTA[TANGGAL]),COLUMN(NOTA[TANGGAL]))&amp;":"&amp;ADDRESS(ROW(),COLUMN(NOTA[TANGGAL]))),-1)))</f>
        <v/>
      </c>
      <c r="AH723" s="36" t="str">
        <f ca="1">IF(NOTA[[#This Row],[ID_H]]="","",INDEX(NOTA[TGL.NOTA],MATCH(,INDIRECT(ADDRESS(ROW(NOTA[TGL.NOTA]),COLUMN(NOTA[TGL.NOTA]))&amp;":"&amp;ADDRESS(ROW(),COLUMN(NOTA[TGL.NOTA]))),-1)))</f>
        <v/>
      </c>
      <c r="AI723" s="36" t="str">
        <f ca="1">IF(NOTA[[#This Row],[ID_H]]="","",INDEX(NOTA[NO.NOTA],MATCH(NOTA[[#This Row],[ID_H]],NOTA[ID_H],0)))</f>
        <v/>
      </c>
      <c r="AJ723" s="38" t="str">
        <f ca="1">IF(NOTA[[#This Row],[NAMA BARANG]]="","",INDEX(NOTA[SUPPLIER],MATCH(,INDIRECT(ADDRESS(ROW(NOTA[ID]),COLUMN(NOTA[ID]))&amp;":"&amp;ADDRESS(ROW(),COLUMN(NOTA[ID]))),-1)))</f>
        <v/>
      </c>
      <c r="AK723" s="38" t="str">
        <f ca="1">IF(NOTA[[#This Row],[ID_H]]="","",IF(NOTA[[#This Row],[FAKTUR]]="",INDIRECT(ADDRESS(ROW()-1,COLUMN())),NOTA[[#This Row],[FAKTUR]]))</f>
        <v/>
      </c>
      <c r="AL723" s="35" t="str">
        <f ca="1">IF(NOTA[[#This Row],[ID]]="","",COUNTIF(NOTA[ID_H],NOTA[[#This Row],[ID_H]]))</f>
        <v/>
      </c>
      <c r="AM723" s="35" t="str">
        <f ca="1">IF(NOTA[[#This Row],[TGL.NOTA]]="",IF(NOTA[[#This Row],[SUPPLIER_H]]="","",AM722),MONTH(NOTA[[#This Row],[TGL.NOTA]]))</f>
        <v/>
      </c>
      <c r="AN7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3" s="35" t="str">
        <f>IF(NOTA[[#This Row],[CONCAT1]]="","",MATCH(NOTA[[#This Row],[CONCAT1]],[3]!db[NB NOTA_C],0))</f>
        <v/>
      </c>
      <c r="AS723" s="35" t="str">
        <f>IF(NOTA[[#This Row],[Column5]]="","",TRUE)</f>
        <v/>
      </c>
      <c r="AT723" s="35" t="str">
        <f ca="1">IF(NOTA[[#This Row],[ID_H]]="","",IF(NOTA[[#This Row],[Column3]]=TRUE,NOTA[[#This Row],[Column5]],INDEX([3]!db[QTY/ CTN],NOTA[[#This Row],[//DB]])))</f>
        <v/>
      </c>
      <c r="AU7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3" s="35" t="str">
        <f ca="1">IF(NOTA[[#This Row],[ID_H]]="","",MATCH(NOTA[[#This Row],[NB NOTA_C_QTY]],[3]!db[NB NOTA_C_QTY+F],0))</f>
        <v/>
      </c>
      <c r="AW723" s="43" t="str">
        <f ca="1">IF(NOTA[[#This Row],[NB NOTA_C_QTY]]="","",ROW()-2)</f>
        <v/>
      </c>
    </row>
    <row r="724" spans="1:49" ht="20.100000000000001" customHeight="1">
      <c r="A7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5" t="str">
        <f ca="1">IF(NOTA[[#This Row],[NAMA BARANG]]="","",INDEX(NOTA[ID],MATCH(,INDIRECT(ADDRESS(ROW(NOTA[ID]),COLUMN(NOTA[ID]))&amp;":"&amp;ADDRESS(ROW(),COLUMN(NOTA[ID]))),-1)))</f>
        <v/>
      </c>
      <c r="C724" s="45"/>
      <c r="F724" s="46"/>
      <c r="G724" s="35"/>
      <c r="H724" s="36"/>
      <c r="I724" s="35"/>
      <c r="K724" s="37"/>
      <c r="L724" s="35"/>
      <c r="N724" s="38"/>
      <c r="O724" s="39"/>
      <c r="P724" s="47"/>
      <c r="Q724" s="48"/>
      <c r="R724" s="41"/>
      <c r="T724" s="42"/>
      <c r="U724" s="44"/>
      <c r="V724" s="42" t="str">
        <f>IF(NOTA[[#This Row],[HARGA/ CTN]]="",NOTA[[#This Row],[JUMLAH_H]],NOTA[[#This Row],[HARGA/ CTN]]*IF(NOTA[[#This Row],[C]]="",0,NOTA[[#This Row],[C]]))</f>
        <v/>
      </c>
      <c r="W724" s="42" t="str">
        <f>IF(NOTA[[#This Row],[JUMLAH]]="","",NOTA[[#This Row],[JUMLAH]]*NOTA[[#This Row],[Column6]])</f>
        <v/>
      </c>
      <c r="X724" s="42" t="str">
        <f>IF(NOTA[[#This Row],[JUMLAH]]="","",(NOTA[[#This Row],[JUMLAH]]-NOTA[[#This Row],[DISC 1-]])*NOTA[[#This Row],[Column7]])</f>
        <v/>
      </c>
      <c r="Y724" s="42" t="str">
        <f>IF(NOTA[[#This Row],[JUMLAH]]="","",(NOTA[[#This Row],[JUMLAH]]-NOTA[[#This Row],[DISC 1-]]-NOTA[[#This Row],[DISC 2-]])*NOTA[[#This Row],[Column8]])</f>
        <v/>
      </c>
      <c r="Z724" s="42" t="str">
        <f>IF(NOTA[[#This Row],[JUMLAH]]="","",NOTA[[#This Row],[DISC 1-]]+NOTA[[#This Row],[DISC 2-]]+NOTA[[#This Row],[DISC 3-]])</f>
        <v/>
      </c>
      <c r="AA724" s="42" t="str">
        <f>IF(NOTA[[#This Row],[JUMLAH]]="","",NOTA[[#This Row],[JUMLAH]]-NOTA[[#This Row],[DISC]])</f>
        <v/>
      </c>
      <c r="AB724" s="42"/>
      <c r="AC7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42" t="str">
        <f>IF(OR(NOTA[[#This Row],[QTY]]="",NOTA[[#This Row],[HARGA SATUAN]]="",),"",NOTA[[#This Row],[QTY]]*NOTA[[#This Row],[HARGA SATUAN]])</f>
        <v/>
      </c>
      <c r="AG724" s="36" t="str">
        <f ca="1">IF(NOTA[[#This Row],[ID_H]]="","",INDEX(NOTA[TANGGAL],MATCH(,INDIRECT(ADDRESS(ROW(NOTA[TANGGAL]),COLUMN(NOTA[TANGGAL]))&amp;":"&amp;ADDRESS(ROW(),COLUMN(NOTA[TANGGAL]))),-1)))</f>
        <v/>
      </c>
      <c r="AH724" s="36" t="str">
        <f ca="1">IF(NOTA[[#This Row],[ID_H]]="","",INDEX(NOTA[TGL.NOTA],MATCH(,INDIRECT(ADDRESS(ROW(NOTA[TGL.NOTA]),COLUMN(NOTA[TGL.NOTA]))&amp;":"&amp;ADDRESS(ROW(),COLUMN(NOTA[TGL.NOTA]))),-1)))</f>
        <v/>
      </c>
      <c r="AI724" s="36" t="str">
        <f ca="1">IF(NOTA[[#This Row],[ID_H]]="","",INDEX(NOTA[NO.NOTA],MATCH(NOTA[[#This Row],[ID_H]],NOTA[ID_H],0)))</f>
        <v/>
      </c>
      <c r="AJ724" s="38" t="str">
        <f ca="1">IF(NOTA[[#This Row],[NAMA BARANG]]="","",INDEX(NOTA[SUPPLIER],MATCH(,INDIRECT(ADDRESS(ROW(NOTA[ID]),COLUMN(NOTA[ID]))&amp;":"&amp;ADDRESS(ROW(),COLUMN(NOTA[ID]))),-1)))</f>
        <v/>
      </c>
      <c r="AK724" s="38" t="str">
        <f ca="1">IF(NOTA[[#This Row],[ID_H]]="","",IF(NOTA[[#This Row],[FAKTUR]]="",INDIRECT(ADDRESS(ROW()-1,COLUMN())),NOTA[[#This Row],[FAKTUR]]))</f>
        <v/>
      </c>
      <c r="AL724" s="35" t="str">
        <f ca="1">IF(NOTA[[#This Row],[ID]]="","",COUNTIF(NOTA[ID_H],NOTA[[#This Row],[ID_H]]))</f>
        <v/>
      </c>
      <c r="AM724" s="35" t="str">
        <f ca="1">IF(NOTA[[#This Row],[TGL.NOTA]]="",IF(NOTA[[#This Row],[SUPPLIER_H]]="","",AM723),MONTH(NOTA[[#This Row],[TGL.NOTA]]))</f>
        <v/>
      </c>
      <c r="AN7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4" s="35" t="str">
        <f>IF(NOTA[[#This Row],[CONCAT1]]="","",MATCH(NOTA[[#This Row],[CONCAT1]],[3]!db[NB NOTA_C],0))</f>
        <v/>
      </c>
      <c r="AS724" s="35" t="str">
        <f>IF(NOTA[[#This Row],[Column5]]="","",TRUE)</f>
        <v/>
      </c>
      <c r="AT724" s="35" t="str">
        <f ca="1">IF(NOTA[[#This Row],[ID_H]]="","",IF(NOTA[[#This Row],[Column3]]=TRUE,NOTA[[#This Row],[Column5]],INDEX([3]!db[QTY/ CTN],NOTA[[#This Row],[//DB]])))</f>
        <v/>
      </c>
      <c r="AU7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4" s="35" t="str">
        <f ca="1">IF(NOTA[[#This Row],[ID_H]]="","",MATCH(NOTA[[#This Row],[NB NOTA_C_QTY]],[3]!db[NB NOTA_C_QTY+F],0))</f>
        <v/>
      </c>
      <c r="AW724" s="43" t="str">
        <f ca="1">IF(NOTA[[#This Row],[NB NOTA_C_QTY]]="","",ROW()-2)</f>
        <v/>
      </c>
    </row>
    <row r="725" spans="1:49" ht="20.100000000000001" customHeight="1">
      <c r="A7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5" t="str">
        <f ca="1">IF(NOTA[[#This Row],[NAMA BARANG]]="","",INDEX(NOTA[ID],MATCH(,INDIRECT(ADDRESS(ROW(NOTA[ID]),COLUMN(NOTA[ID]))&amp;":"&amp;ADDRESS(ROW(),COLUMN(NOTA[ID]))),-1)))</f>
        <v/>
      </c>
      <c r="C725" s="45"/>
      <c r="F725" s="46"/>
      <c r="G725" s="35"/>
      <c r="H725" s="36"/>
      <c r="I725" s="35"/>
      <c r="K725" s="37"/>
      <c r="L725" s="35"/>
      <c r="N725" s="38"/>
      <c r="O725" s="39"/>
      <c r="P725" s="47"/>
      <c r="Q725" s="48"/>
      <c r="R725" s="41"/>
      <c r="T725" s="42"/>
      <c r="U725" s="44"/>
      <c r="V725" s="42" t="str">
        <f>IF(NOTA[[#This Row],[HARGA/ CTN]]="",NOTA[[#This Row],[JUMLAH_H]],NOTA[[#This Row],[HARGA/ CTN]]*IF(NOTA[[#This Row],[C]]="",0,NOTA[[#This Row],[C]]))</f>
        <v/>
      </c>
      <c r="W725" s="42" t="str">
        <f>IF(NOTA[[#This Row],[JUMLAH]]="","",NOTA[[#This Row],[JUMLAH]]*NOTA[[#This Row],[Column6]])</f>
        <v/>
      </c>
      <c r="X725" s="42" t="str">
        <f>IF(NOTA[[#This Row],[JUMLAH]]="","",(NOTA[[#This Row],[JUMLAH]]-NOTA[[#This Row],[DISC 1-]])*NOTA[[#This Row],[Column7]])</f>
        <v/>
      </c>
      <c r="Y725" s="42" t="str">
        <f>IF(NOTA[[#This Row],[JUMLAH]]="","",(NOTA[[#This Row],[JUMLAH]]-NOTA[[#This Row],[DISC 1-]]-NOTA[[#This Row],[DISC 2-]])*NOTA[[#This Row],[Column8]])</f>
        <v/>
      </c>
      <c r="Z725" s="42" t="str">
        <f>IF(NOTA[[#This Row],[JUMLAH]]="","",NOTA[[#This Row],[DISC 1-]]+NOTA[[#This Row],[DISC 2-]]+NOTA[[#This Row],[DISC 3-]])</f>
        <v/>
      </c>
      <c r="AA725" s="42" t="str">
        <f>IF(NOTA[[#This Row],[JUMLAH]]="","",NOTA[[#This Row],[JUMLAH]]-NOTA[[#This Row],[DISC]])</f>
        <v/>
      </c>
      <c r="AB725" s="42"/>
      <c r="AC7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42" t="str">
        <f>IF(OR(NOTA[[#This Row],[QTY]]="",NOTA[[#This Row],[HARGA SATUAN]]="",),"",NOTA[[#This Row],[QTY]]*NOTA[[#This Row],[HARGA SATUAN]])</f>
        <v/>
      </c>
      <c r="AG725" s="36" t="str">
        <f ca="1">IF(NOTA[[#This Row],[ID_H]]="","",INDEX(NOTA[TANGGAL],MATCH(,INDIRECT(ADDRESS(ROW(NOTA[TANGGAL]),COLUMN(NOTA[TANGGAL]))&amp;":"&amp;ADDRESS(ROW(),COLUMN(NOTA[TANGGAL]))),-1)))</f>
        <v/>
      </c>
      <c r="AH725" s="36" t="str">
        <f ca="1">IF(NOTA[[#This Row],[ID_H]]="","",INDEX(NOTA[TGL.NOTA],MATCH(,INDIRECT(ADDRESS(ROW(NOTA[TGL.NOTA]),COLUMN(NOTA[TGL.NOTA]))&amp;":"&amp;ADDRESS(ROW(),COLUMN(NOTA[TGL.NOTA]))),-1)))</f>
        <v/>
      </c>
      <c r="AI725" s="36" t="str">
        <f ca="1">IF(NOTA[[#This Row],[ID_H]]="","",INDEX(NOTA[NO.NOTA],MATCH(NOTA[[#This Row],[ID_H]],NOTA[ID_H],0)))</f>
        <v/>
      </c>
      <c r="AJ725" s="38" t="str">
        <f ca="1">IF(NOTA[[#This Row],[NAMA BARANG]]="","",INDEX(NOTA[SUPPLIER],MATCH(,INDIRECT(ADDRESS(ROW(NOTA[ID]),COLUMN(NOTA[ID]))&amp;":"&amp;ADDRESS(ROW(),COLUMN(NOTA[ID]))),-1)))</f>
        <v/>
      </c>
      <c r="AK725" s="38" t="str">
        <f ca="1">IF(NOTA[[#This Row],[ID_H]]="","",IF(NOTA[[#This Row],[FAKTUR]]="",INDIRECT(ADDRESS(ROW()-1,COLUMN())),NOTA[[#This Row],[FAKTUR]]))</f>
        <v/>
      </c>
      <c r="AL725" s="35" t="str">
        <f ca="1">IF(NOTA[[#This Row],[ID]]="","",COUNTIF(NOTA[ID_H],NOTA[[#This Row],[ID_H]]))</f>
        <v/>
      </c>
      <c r="AM725" s="35" t="str">
        <f ca="1">IF(NOTA[[#This Row],[TGL.NOTA]]="",IF(NOTA[[#This Row],[SUPPLIER_H]]="","",AM724),MONTH(NOTA[[#This Row],[TGL.NOTA]]))</f>
        <v/>
      </c>
      <c r="AN7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5" s="35" t="str">
        <f>IF(NOTA[[#This Row],[CONCAT1]]="","",MATCH(NOTA[[#This Row],[CONCAT1]],[3]!db[NB NOTA_C],0))</f>
        <v/>
      </c>
      <c r="AS725" s="35" t="str">
        <f>IF(NOTA[[#This Row],[Column5]]="","",TRUE)</f>
        <v/>
      </c>
      <c r="AT725" s="35" t="str">
        <f ca="1">IF(NOTA[[#This Row],[ID_H]]="","",IF(NOTA[[#This Row],[Column3]]=TRUE,NOTA[[#This Row],[Column5]],INDEX([3]!db[QTY/ CTN],NOTA[[#This Row],[//DB]])))</f>
        <v/>
      </c>
      <c r="AU7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5" s="35" t="str">
        <f ca="1">IF(NOTA[[#This Row],[ID_H]]="","",MATCH(NOTA[[#This Row],[NB NOTA_C_QTY]],[3]!db[NB NOTA_C_QTY+F],0))</f>
        <v/>
      </c>
      <c r="AW725" s="43" t="str">
        <f ca="1">IF(NOTA[[#This Row],[NB NOTA_C_QTY]]="","",ROW()-2)</f>
        <v/>
      </c>
    </row>
    <row r="726" spans="1:49" ht="20.100000000000001" customHeight="1">
      <c r="A7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5" t="str">
        <f ca="1">IF(NOTA[[#This Row],[NAMA BARANG]]="","",INDEX(NOTA[ID],MATCH(,INDIRECT(ADDRESS(ROW(NOTA[ID]),COLUMN(NOTA[ID]))&amp;":"&amp;ADDRESS(ROW(),COLUMN(NOTA[ID]))),-1)))</f>
        <v/>
      </c>
      <c r="C726" s="45"/>
      <c r="F726" s="46"/>
      <c r="G726" s="35"/>
      <c r="H726" s="36"/>
      <c r="I726" s="35"/>
      <c r="K726" s="37"/>
      <c r="L726" s="35"/>
      <c r="N726" s="38"/>
      <c r="O726" s="39"/>
      <c r="P726" s="47"/>
      <c r="Q726" s="48"/>
      <c r="R726" s="41"/>
      <c r="T726" s="42"/>
      <c r="U726" s="44"/>
      <c r="V726" s="42" t="str">
        <f>IF(NOTA[[#This Row],[HARGA/ CTN]]="",NOTA[[#This Row],[JUMLAH_H]],NOTA[[#This Row],[HARGA/ CTN]]*IF(NOTA[[#This Row],[C]]="",0,NOTA[[#This Row],[C]]))</f>
        <v/>
      </c>
      <c r="W726" s="42" t="str">
        <f>IF(NOTA[[#This Row],[JUMLAH]]="","",NOTA[[#This Row],[JUMLAH]]*NOTA[[#This Row],[Column6]])</f>
        <v/>
      </c>
      <c r="X726" s="42" t="str">
        <f>IF(NOTA[[#This Row],[JUMLAH]]="","",(NOTA[[#This Row],[JUMLAH]]-NOTA[[#This Row],[DISC 1-]])*NOTA[[#This Row],[Column7]])</f>
        <v/>
      </c>
      <c r="Y726" s="42" t="str">
        <f>IF(NOTA[[#This Row],[JUMLAH]]="","",(NOTA[[#This Row],[JUMLAH]]-NOTA[[#This Row],[DISC 1-]]-NOTA[[#This Row],[DISC 2-]])*NOTA[[#This Row],[Column8]])</f>
        <v/>
      </c>
      <c r="Z726" s="42" t="str">
        <f>IF(NOTA[[#This Row],[JUMLAH]]="","",NOTA[[#This Row],[DISC 1-]]+NOTA[[#This Row],[DISC 2-]]+NOTA[[#This Row],[DISC 3-]])</f>
        <v/>
      </c>
      <c r="AA726" s="42" t="str">
        <f>IF(NOTA[[#This Row],[JUMLAH]]="","",NOTA[[#This Row],[JUMLAH]]-NOTA[[#This Row],[DISC]])</f>
        <v/>
      </c>
      <c r="AB726" s="42"/>
      <c r="AC7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42" t="str">
        <f>IF(OR(NOTA[[#This Row],[QTY]]="",NOTA[[#This Row],[HARGA SATUAN]]="",),"",NOTA[[#This Row],[QTY]]*NOTA[[#This Row],[HARGA SATUAN]])</f>
        <v/>
      </c>
      <c r="AG726" s="36" t="str">
        <f ca="1">IF(NOTA[[#This Row],[ID_H]]="","",INDEX(NOTA[TANGGAL],MATCH(,INDIRECT(ADDRESS(ROW(NOTA[TANGGAL]),COLUMN(NOTA[TANGGAL]))&amp;":"&amp;ADDRESS(ROW(),COLUMN(NOTA[TANGGAL]))),-1)))</f>
        <v/>
      </c>
      <c r="AH726" s="36" t="str">
        <f ca="1">IF(NOTA[[#This Row],[ID_H]]="","",INDEX(NOTA[TGL.NOTA],MATCH(,INDIRECT(ADDRESS(ROW(NOTA[TGL.NOTA]),COLUMN(NOTA[TGL.NOTA]))&amp;":"&amp;ADDRESS(ROW(),COLUMN(NOTA[TGL.NOTA]))),-1)))</f>
        <v/>
      </c>
      <c r="AI726" s="36" t="str">
        <f ca="1">IF(NOTA[[#This Row],[ID_H]]="","",INDEX(NOTA[NO.NOTA],MATCH(NOTA[[#This Row],[ID_H]],NOTA[ID_H],0)))</f>
        <v/>
      </c>
      <c r="AJ726" s="38" t="str">
        <f ca="1">IF(NOTA[[#This Row],[NAMA BARANG]]="","",INDEX(NOTA[SUPPLIER],MATCH(,INDIRECT(ADDRESS(ROW(NOTA[ID]),COLUMN(NOTA[ID]))&amp;":"&amp;ADDRESS(ROW(),COLUMN(NOTA[ID]))),-1)))</f>
        <v/>
      </c>
      <c r="AK726" s="38" t="str">
        <f ca="1">IF(NOTA[[#This Row],[ID_H]]="","",IF(NOTA[[#This Row],[FAKTUR]]="",INDIRECT(ADDRESS(ROW()-1,COLUMN())),NOTA[[#This Row],[FAKTUR]]))</f>
        <v/>
      </c>
      <c r="AL726" s="35" t="str">
        <f ca="1">IF(NOTA[[#This Row],[ID]]="","",COUNTIF(NOTA[ID_H],NOTA[[#This Row],[ID_H]]))</f>
        <v/>
      </c>
      <c r="AM726" s="35" t="str">
        <f ca="1">IF(NOTA[[#This Row],[TGL.NOTA]]="",IF(NOTA[[#This Row],[SUPPLIER_H]]="","",AM725),MONTH(NOTA[[#This Row],[TGL.NOTA]]))</f>
        <v/>
      </c>
      <c r="AN7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6" s="35" t="str">
        <f>IF(NOTA[[#This Row],[CONCAT1]]="","",MATCH(NOTA[[#This Row],[CONCAT1]],[3]!db[NB NOTA_C],0))</f>
        <v/>
      </c>
      <c r="AS726" s="35" t="str">
        <f>IF(NOTA[[#This Row],[Column5]]="","",TRUE)</f>
        <v/>
      </c>
      <c r="AT726" s="35" t="str">
        <f ca="1">IF(NOTA[[#This Row],[ID_H]]="","",IF(NOTA[[#This Row],[Column3]]=TRUE,NOTA[[#This Row],[Column5]],INDEX([3]!db[QTY/ CTN],NOTA[[#This Row],[//DB]])))</f>
        <v/>
      </c>
      <c r="AU7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6" s="35" t="str">
        <f ca="1">IF(NOTA[[#This Row],[ID_H]]="","",MATCH(NOTA[[#This Row],[NB NOTA_C_QTY]],[3]!db[NB NOTA_C_QTY+F],0))</f>
        <v/>
      </c>
      <c r="AW726" s="43" t="str">
        <f ca="1">IF(NOTA[[#This Row],[NB NOTA_C_QTY]]="","",ROW()-2)</f>
        <v/>
      </c>
    </row>
    <row r="727" spans="1:49" ht="20.100000000000001" customHeight="1">
      <c r="A7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5" t="str">
        <f ca="1">IF(NOTA[[#This Row],[NAMA BARANG]]="","",INDEX(NOTA[ID],MATCH(,INDIRECT(ADDRESS(ROW(NOTA[ID]),COLUMN(NOTA[ID]))&amp;":"&amp;ADDRESS(ROW(),COLUMN(NOTA[ID]))),-1)))</f>
        <v/>
      </c>
      <c r="C727" s="45"/>
      <c r="F727" s="46"/>
      <c r="G727" s="35"/>
      <c r="H727" s="36"/>
      <c r="I727" s="35"/>
      <c r="K727" s="37"/>
      <c r="L727" s="35"/>
      <c r="N727" s="38"/>
      <c r="O727" s="39"/>
      <c r="P727" s="47"/>
      <c r="Q727" s="48"/>
      <c r="R727" s="41"/>
      <c r="T727" s="42"/>
      <c r="U727" s="44"/>
      <c r="V727" s="42" t="str">
        <f>IF(NOTA[[#This Row],[HARGA/ CTN]]="",NOTA[[#This Row],[JUMLAH_H]],NOTA[[#This Row],[HARGA/ CTN]]*IF(NOTA[[#This Row],[C]]="",0,NOTA[[#This Row],[C]]))</f>
        <v/>
      </c>
      <c r="W727" s="42" t="str">
        <f>IF(NOTA[[#This Row],[JUMLAH]]="","",NOTA[[#This Row],[JUMLAH]]*NOTA[[#This Row],[Column6]])</f>
        <v/>
      </c>
      <c r="X727" s="42" t="str">
        <f>IF(NOTA[[#This Row],[JUMLAH]]="","",(NOTA[[#This Row],[JUMLAH]]-NOTA[[#This Row],[DISC 1-]])*NOTA[[#This Row],[Column7]])</f>
        <v/>
      </c>
      <c r="Y727" s="42" t="str">
        <f>IF(NOTA[[#This Row],[JUMLAH]]="","",(NOTA[[#This Row],[JUMLAH]]-NOTA[[#This Row],[DISC 1-]]-NOTA[[#This Row],[DISC 2-]])*NOTA[[#This Row],[Column8]])</f>
        <v/>
      </c>
      <c r="Z727" s="42" t="str">
        <f>IF(NOTA[[#This Row],[JUMLAH]]="","",NOTA[[#This Row],[DISC 1-]]+NOTA[[#This Row],[DISC 2-]]+NOTA[[#This Row],[DISC 3-]])</f>
        <v/>
      </c>
      <c r="AA727" s="42" t="str">
        <f>IF(NOTA[[#This Row],[JUMLAH]]="","",NOTA[[#This Row],[JUMLAH]]-NOTA[[#This Row],[DISC]])</f>
        <v/>
      </c>
      <c r="AB727" s="42"/>
      <c r="AC7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42" t="str">
        <f>IF(OR(NOTA[[#This Row],[QTY]]="",NOTA[[#This Row],[HARGA SATUAN]]="",),"",NOTA[[#This Row],[QTY]]*NOTA[[#This Row],[HARGA SATUAN]])</f>
        <v/>
      </c>
      <c r="AG727" s="36" t="str">
        <f ca="1">IF(NOTA[[#This Row],[ID_H]]="","",INDEX(NOTA[TANGGAL],MATCH(,INDIRECT(ADDRESS(ROW(NOTA[TANGGAL]),COLUMN(NOTA[TANGGAL]))&amp;":"&amp;ADDRESS(ROW(),COLUMN(NOTA[TANGGAL]))),-1)))</f>
        <v/>
      </c>
      <c r="AH727" s="36" t="str">
        <f ca="1">IF(NOTA[[#This Row],[ID_H]]="","",INDEX(NOTA[TGL.NOTA],MATCH(,INDIRECT(ADDRESS(ROW(NOTA[TGL.NOTA]),COLUMN(NOTA[TGL.NOTA]))&amp;":"&amp;ADDRESS(ROW(),COLUMN(NOTA[TGL.NOTA]))),-1)))</f>
        <v/>
      </c>
      <c r="AI727" s="36" t="str">
        <f ca="1">IF(NOTA[[#This Row],[ID_H]]="","",INDEX(NOTA[NO.NOTA],MATCH(NOTA[[#This Row],[ID_H]],NOTA[ID_H],0)))</f>
        <v/>
      </c>
      <c r="AJ727" s="38" t="str">
        <f ca="1">IF(NOTA[[#This Row],[NAMA BARANG]]="","",INDEX(NOTA[SUPPLIER],MATCH(,INDIRECT(ADDRESS(ROW(NOTA[ID]),COLUMN(NOTA[ID]))&amp;":"&amp;ADDRESS(ROW(),COLUMN(NOTA[ID]))),-1)))</f>
        <v/>
      </c>
      <c r="AK727" s="38" t="str">
        <f ca="1">IF(NOTA[[#This Row],[ID_H]]="","",IF(NOTA[[#This Row],[FAKTUR]]="",INDIRECT(ADDRESS(ROW()-1,COLUMN())),NOTA[[#This Row],[FAKTUR]]))</f>
        <v/>
      </c>
      <c r="AL727" s="35" t="str">
        <f ca="1">IF(NOTA[[#This Row],[ID]]="","",COUNTIF(NOTA[ID_H],NOTA[[#This Row],[ID_H]]))</f>
        <v/>
      </c>
      <c r="AM727" s="35" t="str">
        <f ca="1">IF(NOTA[[#This Row],[TGL.NOTA]]="",IF(NOTA[[#This Row],[SUPPLIER_H]]="","",AM726),MONTH(NOTA[[#This Row],[TGL.NOTA]]))</f>
        <v/>
      </c>
      <c r="AN7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7" s="35" t="str">
        <f>IF(NOTA[[#This Row],[CONCAT1]]="","",MATCH(NOTA[[#This Row],[CONCAT1]],[3]!db[NB NOTA_C],0))</f>
        <v/>
      </c>
      <c r="AS727" s="35" t="str">
        <f>IF(NOTA[[#This Row],[Column5]]="","",TRUE)</f>
        <v/>
      </c>
      <c r="AT727" s="35" t="str">
        <f ca="1">IF(NOTA[[#This Row],[ID_H]]="","",IF(NOTA[[#This Row],[Column3]]=TRUE,NOTA[[#This Row],[Column5]],INDEX([3]!db[QTY/ CTN],NOTA[[#This Row],[//DB]])))</f>
        <v/>
      </c>
      <c r="AU7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7" s="35" t="str">
        <f ca="1">IF(NOTA[[#This Row],[ID_H]]="","",MATCH(NOTA[[#This Row],[NB NOTA_C_QTY]],[3]!db[NB NOTA_C_QTY+F],0))</f>
        <v/>
      </c>
      <c r="AW727" s="43" t="str">
        <f ca="1">IF(NOTA[[#This Row],[NB NOTA_C_QTY]]="","",ROW()-2)</f>
        <v/>
      </c>
    </row>
    <row r="728" spans="1:49" ht="20.100000000000001" customHeight="1">
      <c r="A7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5" t="str">
        <f ca="1">IF(NOTA[[#This Row],[NAMA BARANG]]="","",INDEX(NOTA[ID],MATCH(,INDIRECT(ADDRESS(ROW(NOTA[ID]),COLUMN(NOTA[ID]))&amp;":"&amp;ADDRESS(ROW(),COLUMN(NOTA[ID]))),-1)))</f>
        <v/>
      </c>
      <c r="C728" s="45"/>
      <c r="F728" s="46"/>
      <c r="G728" s="35"/>
      <c r="H728" s="36"/>
      <c r="I728" s="35"/>
      <c r="K728" s="37"/>
      <c r="L728" s="35"/>
      <c r="N728" s="38"/>
      <c r="O728" s="39"/>
      <c r="P728" s="47"/>
      <c r="Q728" s="48"/>
      <c r="R728" s="41"/>
      <c r="T728" s="42"/>
      <c r="U728" s="44"/>
      <c r="V728" s="42" t="str">
        <f>IF(NOTA[[#This Row],[HARGA/ CTN]]="",NOTA[[#This Row],[JUMLAH_H]],NOTA[[#This Row],[HARGA/ CTN]]*IF(NOTA[[#This Row],[C]]="",0,NOTA[[#This Row],[C]]))</f>
        <v/>
      </c>
      <c r="W728" s="42" t="str">
        <f>IF(NOTA[[#This Row],[JUMLAH]]="","",NOTA[[#This Row],[JUMLAH]]*NOTA[[#This Row],[Column6]])</f>
        <v/>
      </c>
      <c r="X728" s="42" t="str">
        <f>IF(NOTA[[#This Row],[JUMLAH]]="","",(NOTA[[#This Row],[JUMLAH]]-NOTA[[#This Row],[DISC 1-]])*NOTA[[#This Row],[Column7]])</f>
        <v/>
      </c>
      <c r="Y728" s="42" t="str">
        <f>IF(NOTA[[#This Row],[JUMLAH]]="","",(NOTA[[#This Row],[JUMLAH]]-NOTA[[#This Row],[DISC 1-]]-NOTA[[#This Row],[DISC 2-]])*NOTA[[#This Row],[Column8]])</f>
        <v/>
      </c>
      <c r="Z728" s="42" t="str">
        <f>IF(NOTA[[#This Row],[JUMLAH]]="","",NOTA[[#This Row],[DISC 1-]]+NOTA[[#This Row],[DISC 2-]]+NOTA[[#This Row],[DISC 3-]])</f>
        <v/>
      </c>
      <c r="AA728" s="42" t="str">
        <f>IF(NOTA[[#This Row],[JUMLAH]]="","",NOTA[[#This Row],[JUMLAH]]-NOTA[[#This Row],[DISC]])</f>
        <v/>
      </c>
      <c r="AB728" s="42"/>
      <c r="AC7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42" t="str">
        <f>IF(OR(NOTA[[#This Row],[QTY]]="",NOTA[[#This Row],[HARGA SATUAN]]="",),"",NOTA[[#This Row],[QTY]]*NOTA[[#This Row],[HARGA SATUAN]])</f>
        <v/>
      </c>
      <c r="AG728" s="36" t="str">
        <f ca="1">IF(NOTA[[#This Row],[ID_H]]="","",INDEX(NOTA[TANGGAL],MATCH(,INDIRECT(ADDRESS(ROW(NOTA[TANGGAL]),COLUMN(NOTA[TANGGAL]))&amp;":"&amp;ADDRESS(ROW(),COLUMN(NOTA[TANGGAL]))),-1)))</f>
        <v/>
      </c>
      <c r="AH728" s="36" t="str">
        <f ca="1">IF(NOTA[[#This Row],[ID_H]]="","",INDEX(NOTA[TGL.NOTA],MATCH(,INDIRECT(ADDRESS(ROW(NOTA[TGL.NOTA]),COLUMN(NOTA[TGL.NOTA]))&amp;":"&amp;ADDRESS(ROW(),COLUMN(NOTA[TGL.NOTA]))),-1)))</f>
        <v/>
      </c>
      <c r="AI728" s="36" t="str">
        <f ca="1">IF(NOTA[[#This Row],[ID_H]]="","",INDEX(NOTA[NO.NOTA],MATCH(NOTA[[#This Row],[ID_H]],NOTA[ID_H],0)))</f>
        <v/>
      </c>
      <c r="AJ728" s="38" t="str">
        <f ca="1">IF(NOTA[[#This Row],[NAMA BARANG]]="","",INDEX(NOTA[SUPPLIER],MATCH(,INDIRECT(ADDRESS(ROW(NOTA[ID]),COLUMN(NOTA[ID]))&amp;":"&amp;ADDRESS(ROW(),COLUMN(NOTA[ID]))),-1)))</f>
        <v/>
      </c>
      <c r="AK728" s="38" t="str">
        <f ca="1">IF(NOTA[[#This Row],[ID_H]]="","",IF(NOTA[[#This Row],[FAKTUR]]="",INDIRECT(ADDRESS(ROW()-1,COLUMN())),NOTA[[#This Row],[FAKTUR]]))</f>
        <v/>
      </c>
      <c r="AL728" s="35" t="str">
        <f ca="1">IF(NOTA[[#This Row],[ID]]="","",COUNTIF(NOTA[ID_H],NOTA[[#This Row],[ID_H]]))</f>
        <v/>
      </c>
      <c r="AM728" s="35" t="str">
        <f ca="1">IF(NOTA[[#This Row],[TGL.NOTA]]="",IF(NOTA[[#This Row],[SUPPLIER_H]]="","",AM727),MONTH(NOTA[[#This Row],[TGL.NOTA]]))</f>
        <v/>
      </c>
      <c r="AN7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8" s="35" t="str">
        <f>IF(NOTA[[#This Row],[CONCAT1]]="","",MATCH(NOTA[[#This Row],[CONCAT1]],[3]!db[NB NOTA_C],0))</f>
        <v/>
      </c>
      <c r="AS728" s="35" t="str">
        <f>IF(NOTA[[#This Row],[Column5]]="","",TRUE)</f>
        <v/>
      </c>
      <c r="AT728" s="35" t="str">
        <f ca="1">IF(NOTA[[#This Row],[ID_H]]="","",IF(NOTA[[#This Row],[Column3]]=TRUE,NOTA[[#This Row],[Column5]],INDEX([3]!db[QTY/ CTN],NOTA[[#This Row],[//DB]])))</f>
        <v/>
      </c>
      <c r="AU7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8" s="35" t="str">
        <f ca="1">IF(NOTA[[#This Row],[ID_H]]="","",MATCH(NOTA[[#This Row],[NB NOTA_C_QTY]],[3]!db[NB NOTA_C_QTY+F],0))</f>
        <v/>
      </c>
      <c r="AW728" s="43" t="str">
        <f ca="1">IF(NOTA[[#This Row],[NB NOTA_C_QTY]]="","",ROW()-2)</f>
        <v/>
      </c>
    </row>
    <row r="729" spans="1:49" ht="20.100000000000001" customHeight="1">
      <c r="A7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5" t="str">
        <f ca="1">IF(NOTA[[#This Row],[NAMA BARANG]]="","",INDEX(NOTA[ID],MATCH(,INDIRECT(ADDRESS(ROW(NOTA[ID]),COLUMN(NOTA[ID]))&amp;":"&amp;ADDRESS(ROW(),COLUMN(NOTA[ID]))),-1)))</f>
        <v/>
      </c>
      <c r="C729" s="45"/>
      <c r="F729" s="46"/>
      <c r="G729" s="35"/>
      <c r="H729" s="36"/>
      <c r="I729" s="35"/>
      <c r="K729" s="37"/>
      <c r="L729" s="35"/>
      <c r="N729" s="38"/>
      <c r="O729" s="39"/>
      <c r="P729" s="47"/>
      <c r="Q729" s="48"/>
      <c r="R729" s="41"/>
      <c r="T729" s="42"/>
      <c r="U729" s="44"/>
      <c r="V729" s="42" t="str">
        <f>IF(NOTA[[#This Row],[HARGA/ CTN]]="",NOTA[[#This Row],[JUMLAH_H]],NOTA[[#This Row],[HARGA/ CTN]]*IF(NOTA[[#This Row],[C]]="",0,NOTA[[#This Row],[C]]))</f>
        <v/>
      </c>
      <c r="W729" s="42" t="str">
        <f>IF(NOTA[[#This Row],[JUMLAH]]="","",NOTA[[#This Row],[JUMLAH]]*NOTA[[#This Row],[Column6]])</f>
        <v/>
      </c>
      <c r="X729" s="42" t="str">
        <f>IF(NOTA[[#This Row],[JUMLAH]]="","",(NOTA[[#This Row],[JUMLAH]]-NOTA[[#This Row],[DISC 1-]])*NOTA[[#This Row],[Column7]])</f>
        <v/>
      </c>
      <c r="Y729" s="42" t="str">
        <f>IF(NOTA[[#This Row],[JUMLAH]]="","",(NOTA[[#This Row],[JUMLAH]]-NOTA[[#This Row],[DISC 1-]]-NOTA[[#This Row],[DISC 2-]])*NOTA[[#This Row],[Column8]])</f>
        <v/>
      </c>
      <c r="Z729" s="42" t="str">
        <f>IF(NOTA[[#This Row],[JUMLAH]]="","",NOTA[[#This Row],[DISC 1-]]+NOTA[[#This Row],[DISC 2-]]+NOTA[[#This Row],[DISC 3-]])</f>
        <v/>
      </c>
      <c r="AA729" s="42" t="str">
        <f>IF(NOTA[[#This Row],[JUMLAH]]="","",NOTA[[#This Row],[JUMLAH]]-NOTA[[#This Row],[DISC]])</f>
        <v/>
      </c>
      <c r="AB729" s="42"/>
      <c r="AC7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42" t="str">
        <f>IF(OR(NOTA[[#This Row],[QTY]]="",NOTA[[#This Row],[HARGA SATUAN]]="",),"",NOTA[[#This Row],[QTY]]*NOTA[[#This Row],[HARGA SATUAN]])</f>
        <v/>
      </c>
      <c r="AG729" s="36" t="str">
        <f ca="1">IF(NOTA[[#This Row],[ID_H]]="","",INDEX(NOTA[TANGGAL],MATCH(,INDIRECT(ADDRESS(ROW(NOTA[TANGGAL]),COLUMN(NOTA[TANGGAL]))&amp;":"&amp;ADDRESS(ROW(),COLUMN(NOTA[TANGGAL]))),-1)))</f>
        <v/>
      </c>
      <c r="AH729" s="36" t="str">
        <f ca="1">IF(NOTA[[#This Row],[ID_H]]="","",INDEX(NOTA[TGL.NOTA],MATCH(,INDIRECT(ADDRESS(ROW(NOTA[TGL.NOTA]),COLUMN(NOTA[TGL.NOTA]))&amp;":"&amp;ADDRESS(ROW(),COLUMN(NOTA[TGL.NOTA]))),-1)))</f>
        <v/>
      </c>
      <c r="AI729" s="36" t="str">
        <f ca="1">IF(NOTA[[#This Row],[ID_H]]="","",INDEX(NOTA[NO.NOTA],MATCH(NOTA[[#This Row],[ID_H]],NOTA[ID_H],0)))</f>
        <v/>
      </c>
      <c r="AJ729" s="38" t="str">
        <f ca="1">IF(NOTA[[#This Row],[NAMA BARANG]]="","",INDEX(NOTA[SUPPLIER],MATCH(,INDIRECT(ADDRESS(ROW(NOTA[ID]),COLUMN(NOTA[ID]))&amp;":"&amp;ADDRESS(ROW(),COLUMN(NOTA[ID]))),-1)))</f>
        <v/>
      </c>
      <c r="AK729" s="38" t="str">
        <f ca="1">IF(NOTA[[#This Row],[ID_H]]="","",IF(NOTA[[#This Row],[FAKTUR]]="",INDIRECT(ADDRESS(ROW()-1,COLUMN())),NOTA[[#This Row],[FAKTUR]]))</f>
        <v/>
      </c>
      <c r="AL729" s="35" t="str">
        <f ca="1">IF(NOTA[[#This Row],[ID]]="","",COUNTIF(NOTA[ID_H],NOTA[[#This Row],[ID_H]]))</f>
        <v/>
      </c>
      <c r="AM729" s="35" t="str">
        <f ca="1">IF(NOTA[[#This Row],[TGL.NOTA]]="",IF(NOTA[[#This Row],[SUPPLIER_H]]="","",AM728),MONTH(NOTA[[#This Row],[TGL.NOTA]]))</f>
        <v/>
      </c>
      <c r="AN7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9" s="35" t="str">
        <f>IF(NOTA[[#This Row],[CONCAT1]]="","",MATCH(NOTA[[#This Row],[CONCAT1]],[3]!db[NB NOTA_C],0))</f>
        <v/>
      </c>
      <c r="AS729" s="35" t="str">
        <f>IF(NOTA[[#This Row],[Column5]]="","",TRUE)</f>
        <v/>
      </c>
      <c r="AT729" s="35" t="str">
        <f ca="1">IF(NOTA[[#This Row],[ID_H]]="","",IF(NOTA[[#This Row],[Column3]]=TRUE,NOTA[[#This Row],[Column5]],INDEX([3]!db[QTY/ CTN],NOTA[[#This Row],[//DB]])))</f>
        <v/>
      </c>
      <c r="AU7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29" s="35" t="str">
        <f ca="1">IF(NOTA[[#This Row],[ID_H]]="","",MATCH(NOTA[[#This Row],[NB NOTA_C_QTY]],[3]!db[NB NOTA_C_QTY+F],0))</f>
        <v/>
      </c>
      <c r="AW729" s="43" t="str">
        <f ca="1">IF(NOTA[[#This Row],[NB NOTA_C_QTY]]="","",ROW()-2)</f>
        <v/>
      </c>
    </row>
    <row r="730" spans="1:49" ht="20.100000000000001" customHeight="1">
      <c r="A7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5" t="str">
        <f ca="1">IF(NOTA[[#This Row],[NAMA BARANG]]="","",INDEX(NOTA[ID],MATCH(,INDIRECT(ADDRESS(ROW(NOTA[ID]),COLUMN(NOTA[ID]))&amp;":"&amp;ADDRESS(ROW(),COLUMN(NOTA[ID]))),-1)))</f>
        <v/>
      </c>
      <c r="C730" s="45"/>
      <c r="F730" s="46"/>
      <c r="G730" s="35"/>
      <c r="H730" s="36"/>
      <c r="I730" s="35"/>
      <c r="K730" s="37"/>
      <c r="L730" s="35"/>
      <c r="N730" s="38"/>
      <c r="O730" s="39"/>
      <c r="P730" s="47"/>
      <c r="Q730" s="48"/>
      <c r="R730" s="41"/>
      <c r="T730" s="42"/>
      <c r="U730" s="44"/>
      <c r="V730" s="42" t="str">
        <f>IF(NOTA[[#This Row],[HARGA/ CTN]]="",NOTA[[#This Row],[JUMLAH_H]],NOTA[[#This Row],[HARGA/ CTN]]*IF(NOTA[[#This Row],[C]]="",0,NOTA[[#This Row],[C]]))</f>
        <v/>
      </c>
      <c r="W730" s="42" t="str">
        <f>IF(NOTA[[#This Row],[JUMLAH]]="","",NOTA[[#This Row],[JUMLAH]]*NOTA[[#This Row],[Column6]])</f>
        <v/>
      </c>
      <c r="X730" s="42" t="str">
        <f>IF(NOTA[[#This Row],[JUMLAH]]="","",(NOTA[[#This Row],[JUMLAH]]-NOTA[[#This Row],[DISC 1-]])*NOTA[[#This Row],[Column7]])</f>
        <v/>
      </c>
      <c r="Y730" s="42" t="str">
        <f>IF(NOTA[[#This Row],[JUMLAH]]="","",(NOTA[[#This Row],[JUMLAH]]-NOTA[[#This Row],[DISC 1-]]-NOTA[[#This Row],[DISC 2-]])*NOTA[[#This Row],[Column8]])</f>
        <v/>
      </c>
      <c r="Z730" s="42" t="str">
        <f>IF(NOTA[[#This Row],[JUMLAH]]="","",NOTA[[#This Row],[DISC 1-]]+NOTA[[#This Row],[DISC 2-]]+NOTA[[#This Row],[DISC 3-]])</f>
        <v/>
      </c>
      <c r="AA730" s="42" t="str">
        <f>IF(NOTA[[#This Row],[JUMLAH]]="","",NOTA[[#This Row],[JUMLAH]]-NOTA[[#This Row],[DISC]])</f>
        <v/>
      </c>
      <c r="AB730" s="42"/>
      <c r="AC7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42" t="str">
        <f>IF(OR(NOTA[[#This Row],[QTY]]="",NOTA[[#This Row],[HARGA SATUAN]]="",),"",NOTA[[#This Row],[QTY]]*NOTA[[#This Row],[HARGA SATUAN]])</f>
        <v/>
      </c>
      <c r="AG730" s="36" t="str">
        <f ca="1">IF(NOTA[[#This Row],[ID_H]]="","",INDEX(NOTA[TANGGAL],MATCH(,INDIRECT(ADDRESS(ROW(NOTA[TANGGAL]),COLUMN(NOTA[TANGGAL]))&amp;":"&amp;ADDRESS(ROW(),COLUMN(NOTA[TANGGAL]))),-1)))</f>
        <v/>
      </c>
      <c r="AH730" s="36" t="str">
        <f ca="1">IF(NOTA[[#This Row],[ID_H]]="","",INDEX(NOTA[TGL.NOTA],MATCH(,INDIRECT(ADDRESS(ROW(NOTA[TGL.NOTA]),COLUMN(NOTA[TGL.NOTA]))&amp;":"&amp;ADDRESS(ROW(),COLUMN(NOTA[TGL.NOTA]))),-1)))</f>
        <v/>
      </c>
      <c r="AI730" s="36" t="str">
        <f ca="1">IF(NOTA[[#This Row],[ID_H]]="","",INDEX(NOTA[NO.NOTA],MATCH(NOTA[[#This Row],[ID_H]],NOTA[ID_H],0)))</f>
        <v/>
      </c>
      <c r="AJ730" s="38" t="str">
        <f ca="1">IF(NOTA[[#This Row],[NAMA BARANG]]="","",INDEX(NOTA[SUPPLIER],MATCH(,INDIRECT(ADDRESS(ROW(NOTA[ID]),COLUMN(NOTA[ID]))&amp;":"&amp;ADDRESS(ROW(),COLUMN(NOTA[ID]))),-1)))</f>
        <v/>
      </c>
      <c r="AK730" s="38" t="str">
        <f ca="1">IF(NOTA[[#This Row],[ID_H]]="","",IF(NOTA[[#This Row],[FAKTUR]]="",INDIRECT(ADDRESS(ROW()-1,COLUMN())),NOTA[[#This Row],[FAKTUR]]))</f>
        <v/>
      </c>
      <c r="AL730" s="35" t="str">
        <f ca="1">IF(NOTA[[#This Row],[ID]]="","",COUNTIF(NOTA[ID_H],NOTA[[#This Row],[ID_H]]))</f>
        <v/>
      </c>
      <c r="AM730" s="35" t="str">
        <f ca="1">IF(NOTA[[#This Row],[TGL.NOTA]]="",IF(NOTA[[#This Row],[SUPPLIER_H]]="","",AM729),MONTH(NOTA[[#This Row],[TGL.NOTA]]))</f>
        <v/>
      </c>
      <c r="AN7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0" s="35" t="str">
        <f>IF(NOTA[[#This Row],[CONCAT1]]="","",MATCH(NOTA[[#This Row],[CONCAT1]],[3]!db[NB NOTA_C],0))</f>
        <v/>
      </c>
      <c r="AS730" s="35" t="str">
        <f>IF(NOTA[[#This Row],[Column5]]="","",TRUE)</f>
        <v/>
      </c>
      <c r="AT730" s="35" t="str">
        <f ca="1">IF(NOTA[[#This Row],[ID_H]]="","",IF(NOTA[[#This Row],[Column3]]=TRUE,NOTA[[#This Row],[Column5]],INDEX([3]!db[QTY/ CTN],NOTA[[#This Row],[//DB]])))</f>
        <v/>
      </c>
      <c r="AU7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0" s="35" t="str">
        <f ca="1">IF(NOTA[[#This Row],[ID_H]]="","",MATCH(NOTA[[#This Row],[NB NOTA_C_QTY]],[3]!db[NB NOTA_C_QTY+F],0))</f>
        <v/>
      </c>
      <c r="AW730" s="43" t="str">
        <f ca="1">IF(NOTA[[#This Row],[NB NOTA_C_QTY]]="","",ROW()-2)</f>
        <v/>
      </c>
    </row>
    <row r="731" spans="1:49" ht="20.100000000000001" customHeight="1">
      <c r="A7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5" t="str">
        <f ca="1">IF(NOTA[[#This Row],[NAMA BARANG]]="","",INDEX(NOTA[ID],MATCH(,INDIRECT(ADDRESS(ROW(NOTA[ID]),COLUMN(NOTA[ID]))&amp;":"&amp;ADDRESS(ROW(),COLUMN(NOTA[ID]))),-1)))</f>
        <v/>
      </c>
      <c r="C731" s="45"/>
      <c r="F731" s="46"/>
      <c r="G731" s="35"/>
      <c r="H731" s="36"/>
      <c r="I731" s="35"/>
      <c r="K731" s="37"/>
      <c r="L731" s="35"/>
      <c r="N731" s="38"/>
      <c r="O731" s="39"/>
      <c r="P731" s="47"/>
      <c r="Q731" s="48"/>
      <c r="R731" s="41"/>
      <c r="T731" s="42"/>
      <c r="U731" s="44"/>
      <c r="V731" s="42" t="str">
        <f>IF(NOTA[[#This Row],[HARGA/ CTN]]="",NOTA[[#This Row],[JUMLAH_H]],NOTA[[#This Row],[HARGA/ CTN]]*IF(NOTA[[#This Row],[C]]="",0,NOTA[[#This Row],[C]]))</f>
        <v/>
      </c>
      <c r="W731" s="42" t="str">
        <f>IF(NOTA[[#This Row],[JUMLAH]]="","",NOTA[[#This Row],[JUMLAH]]*NOTA[[#This Row],[Column6]])</f>
        <v/>
      </c>
      <c r="X731" s="42" t="str">
        <f>IF(NOTA[[#This Row],[JUMLAH]]="","",(NOTA[[#This Row],[JUMLAH]]-NOTA[[#This Row],[DISC 1-]])*NOTA[[#This Row],[Column7]])</f>
        <v/>
      </c>
      <c r="Y731" s="42" t="str">
        <f>IF(NOTA[[#This Row],[JUMLAH]]="","",(NOTA[[#This Row],[JUMLAH]]-NOTA[[#This Row],[DISC 1-]]-NOTA[[#This Row],[DISC 2-]])*NOTA[[#This Row],[Column8]])</f>
        <v/>
      </c>
      <c r="Z731" s="42" t="str">
        <f>IF(NOTA[[#This Row],[JUMLAH]]="","",NOTA[[#This Row],[DISC 1-]]+NOTA[[#This Row],[DISC 2-]]+NOTA[[#This Row],[DISC 3-]])</f>
        <v/>
      </c>
      <c r="AA731" s="42" t="str">
        <f>IF(NOTA[[#This Row],[JUMLAH]]="","",NOTA[[#This Row],[JUMLAH]]-NOTA[[#This Row],[DISC]])</f>
        <v/>
      </c>
      <c r="AB731" s="42"/>
      <c r="AC7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42" t="str">
        <f>IF(OR(NOTA[[#This Row],[QTY]]="",NOTA[[#This Row],[HARGA SATUAN]]="",),"",NOTA[[#This Row],[QTY]]*NOTA[[#This Row],[HARGA SATUAN]])</f>
        <v/>
      </c>
      <c r="AG731" s="36" t="str">
        <f ca="1">IF(NOTA[[#This Row],[ID_H]]="","",INDEX(NOTA[TANGGAL],MATCH(,INDIRECT(ADDRESS(ROW(NOTA[TANGGAL]),COLUMN(NOTA[TANGGAL]))&amp;":"&amp;ADDRESS(ROW(),COLUMN(NOTA[TANGGAL]))),-1)))</f>
        <v/>
      </c>
      <c r="AH731" s="36" t="str">
        <f ca="1">IF(NOTA[[#This Row],[ID_H]]="","",INDEX(NOTA[TGL.NOTA],MATCH(,INDIRECT(ADDRESS(ROW(NOTA[TGL.NOTA]),COLUMN(NOTA[TGL.NOTA]))&amp;":"&amp;ADDRESS(ROW(),COLUMN(NOTA[TGL.NOTA]))),-1)))</f>
        <v/>
      </c>
      <c r="AI731" s="36" t="str">
        <f ca="1">IF(NOTA[[#This Row],[ID_H]]="","",INDEX(NOTA[NO.NOTA],MATCH(NOTA[[#This Row],[ID_H]],NOTA[ID_H],0)))</f>
        <v/>
      </c>
      <c r="AJ731" s="38" t="str">
        <f ca="1">IF(NOTA[[#This Row],[NAMA BARANG]]="","",INDEX(NOTA[SUPPLIER],MATCH(,INDIRECT(ADDRESS(ROW(NOTA[ID]),COLUMN(NOTA[ID]))&amp;":"&amp;ADDRESS(ROW(),COLUMN(NOTA[ID]))),-1)))</f>
        <v/>
      </c>
      <c r="AK731" s="38" t="str">
        <f ca="1">IF(NOTA[[#This Row],[ID_H]]="","",IF(NOTA[[#This Row],[FAKTUR]]="",INDIRECT(ADDRESS(ROW()-1,COLUMN())),NOTA[[#This Row],[FAKTUR]]))</f>
        <v/>
      </c>
      <c r="AL731" s="35" t="str">
        <f ca="1">IF(NOTA[[#This Row],[ID]]="","",COUNTIF(NOTA[ID_H],NOTA[[#This Row],[ID_H]]))</f>
        <v/>
      </c>
      <c r="AM731" s="35" t="str">
        <f ca="1">IF(NOTA[[#This Row],[TGL.NOTA]]="",IF(NOTA[[#This Row],[SUPPLIER_H]]="","",AM730),MONTH(NOTA[[#This Row],[TGL.NOTA]]))</f>
        <v/>
      </c>
      <c r="AN7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1" s="35" t="str">
        <f>IF(NOTA[[#This Row],[CONCAT1]]="","",MATCH(NOTA[[#This Row],[CONCAT1]],[3]!db[NB NOTA_C],0))</f>
        <v/>
      </c>
      <c r="AS731" s="35" t="str">
        <f>IF(NOTA[[#This Row],[Column5]]="","",TRUE)</f>
        <v/>
      </c>
      <c r="AT731" s="35" t="str">
        <f ca="1">IF(NOTA[[#This Row],[ID_H]]="","",IF(NOTA[[#This Row],[Column3]]=TRUE,NOTA[[#This Row],[Column5]],INDEX([3]!db[QTY/ CTN],NOTA[[#This Row],[//DB]])))</f>
        <v/>
      </c>
      <c r="AU7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1" s="35" t="str">
        <f ca="1">IF(NOTA[[#This Row],[ID_H]]="","",MATCH(NOTA[[#This Row],[NB NOTA_C_QTY]],[3]!db[NB NOTA_C_QTY+F],0))</f>
        <v/>
      </c>
      <c r="AW731" s="43" t="str">
        <f ca="1">IF(NOTA[[#This Row],[NB NOTA_C_QTY]]="","",ROW()-2)</f>
        <v/>
      </c>
    </row>
    <row r="732" spans="1:49" ht="20.100000000000001" customHeight="1">
      <c r="A7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5" t="str">
        <f ca="1">IF(NOTA[[#This Row],[NAMA BARANG]]="","",INDEX(NOTA[ID],MATCH(,INDIRECT(ADDRESS(ROW(NOTA[ID]),COLUMN(NOTA[ID]))&amp;":"&amp;ADDRESS(ROW(),COLUMN(NOTA[ID]))),-1)))</f>
        <v/>
      </c>
      <c r="C732" s="45"/>
      <c r="F732" s="46"/>
      <c r="G732" s="35"/>
      <c r="H732" s="36"/>
      <c r="I732" s="35"/>
      <c r="K732" s="37"/>
      <c r="L732" s="35"/>
      <c r="N732" s="38"/>
      <c r="O732" s="39"/>
      <c r="P732" s="47"/>
      <c r="Q732" s="48"/>
      <c r="R732" s="41"/>
      <c r="T732" s="42"/>
      <c r="U732" s="44"/>
      <c r="V732" s="42" t="str">
        <f>IF(NOTA[[#This Row],[HARGA/ CTN]]="",NOTA[[#This Row],[JUMLAH_H]],NOTA[[#This Row],[HARGA/ CTN]]*IF(NOTA[[#This Row],[C]]="",0,NOTA[[#This Row],[C]]))</f>
        <v/>
      </c>
      <c r="W732" s="42" t="str">
        <f>IF(NOTA[[#This Row],[JUMLAH]]="","",NOTA[[#This Row],[JUMLAH]]*NOTA[[#This Row],[Column6]])</f>
        <v/>
      </c>
      <c r="X732" s="42" t="str">
        <f>IF(NOTA[[#This Row],[JUMLAH]]="","",(NOTA[[#This Row],[JUMLAH]]-NOTA[[#This Row],[DISC 1-]])*NOTA[[#This Row],[Column7]])</f>
        <v/>
      </c>
      <c r="Y732" s="42" t="str">
        <f>IF(NOTA[[#This Row],[JUMLAH]]="","",(NOTA[[#This Row],[JUMLAH]]-NOTA[[#This Row],[DISC 1-]]-NOTA[[#This Row],[DISC 2-]])*NOTA[[#This Row],[Column8]])</f>
        <v/>
      </c>
      <c r="Z732" s="42" t="str">
        <f>IF(NOTA[[#This Row],[JUMLAH]]="","",NOTA[[#This Row],[DISC 1-]]+NOTA[[#This Row],[DISC 2-]]+NOTA[[#This Row],[DISC 3-]])</f>
        <v/>
      </c>
      <c r="AA732" s="42" t="str">
        <f>IF(NOTA[[#This Row],[JUMLAH]]="","",NOTA[[#This Row],[JUMLAH]]-NOTA[[#This Row],[DISC]])</f>
        <v/>
      </c>
      <c r="AB732" s="42"/>
      <c r="AC7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42" t="str">
        <f>IF(OR(NOTA[[#This Row],[QTY]]="",NOTA[[#This Row],[HARGA SATUAN]]="",),"",NOTA[[#This Row],[QTY]]*NOTA[[#This Row],[HARGA SATUAN]])</f>
        <v/>
      </c>
      <c r="AG732" s="36" t="str">
        <f ca="1">IF(NOTA[[#This Row],[ID_H]]="","",INDEX(NOTA[TANGGAL],MATCH(,INDIRECT(ADDRESS(ROW(NOTA[TANGGAL]),COLUMN(NOTA[TANGGAL]))&amp;":"&amp;ADDRESS(ROW(),COLUMN(NOTA[TANGGAL]))),-1)))</f>
        <v/>
      </c>
      <c r="AH732" s="36" t="str">
        <f ca="1">IF(NOTA[[#This Row],[ID_H]]="","",INDEX(NOTA[TGL.NOTA],MATCH(,INDIRECT(ADDRESS(ROW(NOTA[TGL.NOTA]),COLUMN(NOTA[TGL.NOTA]))&amp;":"&amp;ADDRESS(ROW(),COLUMN(NOTA[TGL.NOTA]))),-1)))</f>
        <v/>
      </c>
      <c r="AI732" s="36" t="str">
        <f ca="1">IF(NOTA[[#This Row],[ID_H]]="","",INDEX(NOTA[NO.NOTA],MATCH(NOTA[[#This Row],[ID_H]],NOTA[ID_H],0)))</f>
        <v/>
      </c>
      <c r="AJ732" s="38" t="str">
        <f ca="1">IF(NOTA[[#This Row],[NAMA BARANG]]="","",INDEX(NOTA[SUPPLIER],MATCH(,INDIRECT(ADDRESS(ROW(NOTA[ID]),COLUMN(NOTA[ID]))&amp;":"&amp;ADDRESS(ROW(),COLUMN(NOTA[ID]))),-1)))</f>
        <v/>
      </c>
      <c r="AK732" s="38" t="str">
        <f ca="1">IF(NOTA[[#This Row],[ID_H]]="","",IF(NOTA[[#This Row],[FAKTUR]]="",INDIRECT(ADDRESS(ROW()-1,COLUMN())),NOTA[[#This Row],[FAKTUR]]))</f>
        <v/>
      </c>
      <c r="AL732" s="35" t="str">
        <f ca="1">IF(NOTA[[#This Row],[ID]]="","",COUNTIF(NOTA[ID_H],NOTA[[#This Row],[ID_H]]))</f>
        <v/>
      </c>
      <c r="AM732" s="35" t="str">
        <f ca="1">IF(NOTA[[#This Row],[TGL.NOTA]]="",IF(NOTA[[#This Row],[SUPPLIER_H]]="","",AM731),MONTH(NOTA[[#This Row],[TGL.NOTA]]))</f>
        <v/>
      </c>
      <c r="AN7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2" s="35" t="str">
        <f>IF(NOTA[[#This Row],[CONCAT1]]="","",MATCH(NOTA[[#This Row],[CONCAT1]],[3]!db[NB NOTA_C],0))</f>
        <v/>
      </c>
      <c r="AS732" s="35" t="str">
        <f>IF(NOTA[[#This Row],[Column5]]="","",TRUE)</f>
        <v/>
      </c>
      <c r="AT732" s="35" t="str">
        <f ca="1">IF(NOTA[[#This Row],[ID_H]]="","",IF(NOTA[[#This Row],[Column3]]=TRUE,NOTA[[#This Row],[Column5]],INDEX([3]!db[QTY/ CTN],NOTA[[#This Row],[//DB]])))</f>
        <v/>
      </c>
      <c r="AU7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2" s="35" t="str">
        <f ca="1">IF(NOTA[[#This Row],[ID_H]]="","",MATCH(NOTA[[#This Row],[NB NOTA_C_QTY]],[3]!db[NB NOTA_C_QTY+F],0))</f>
        <v/>
      </c>
      <c r="AW732" s="43" t="str">
        <f ca="1">IF(NOTA[[#This Row],[NB NOTA_C_QTY]]="","",ROW()-2)</f>
        <v/>
      </c>
    </row>
    <row r="733" spans="1:49" ht="20.100000000000001" customHeight="1">
      <c r="A7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5" t="str">
        <f ca="1">IF(NOTA[[#This Row],[NAMA BARANG]]="","",INDEX(NOTA[ID],MATCH(,INDIRECT(ADDRESS(ROW(NOTA[ID]),COLUMN(NOTA[ID]))&amp;":"&amp;ADDRESS(ROW(),COLUMN(NOTA[ID]))),-1)))</f>
        <v/>
      </c>
      <c r="C733" s="45"/>
      <c r="F733" s="46"/>
      <c r="G733" s="35"/>
      <c r="H733" s="36"/>
      <c r="I733" s="35"/>
      <c r="K733" s="37"/>
      <c r="L733" s="35"/>
      <c r="N733" s="38"/>
      <c r="O733" s="39"/>
      <c r="P733" s="47"/>
      <c r="Q733" s="48"/>
      <c r="R733" s="41"/>
      <c r="T733" s="42"/>
      <c r="U733" s="44"/>
      <c r="V733" s="42" t="str">
        <f>IF(NOTA[[#This Row],[HARGA/ CTN]]="",NOTA[[#This Row],[JUMLAH_H]],NOTA[[#This Row],[HARGA/ CTN]]*IF(NOTA[[#This Row],[C]]="",0,NOTA[[#This Row],[C]]))</f>
        <v/>
      </c>
      <c r="W733" s="42" t="str">
        <f>IF(NOTA[[#This Row],[JUMLAH]]="","",NOTA[[#This Row],[JUMLAH]]*NOTA[[#This Row],[Column6]])</f>
        <v/>
      </c>
      <c r="X733" s="42" t="str">
        <f>IF(NOTA[[#This Row],[JUMLAH]]="","",(NOTA[[#This Row],[JUMLAH]]-NOTA[[#This Row],[DISC 1-]])*NOTA[[#This Row],[Column7]])</f>
        <v/>
      </c>
      <c r="Y733" s="42" t="str">
        <f>IF(NOTA[[#This Row],[JUMLAH]]="","",(NOTA[[#This Row],[JUMLAH]]-NOTA[[#This Row],[DISC 1-]]-NOTA[[#This Row],[DISC 2-]])*NOTA[[#This Row],[Column8]])</f>
        <v/>
      </c>
      <c r="Z733" s="42" t="str">
        <f>IF(NOTA[[#This Row],[JUMLAH]]="","",NOTA[[#This Row],[DISC 1-]]+NOTA[[#This Row],[DISC 2-]]+NOTA[[#This Row],[DISC 3-]])</f>
        <v/>
      </c>
      <c r="AA733" s="42" t="str">
        <f>IF(NOTA[[#This Row],[JUMLAH]]="","",NOTA[[#This Row],[JUMLAH]]-NOTA[[#This Row],[DISC]])</f>
        <v/>
      </c>
      <c r="AB733" s="42"/>
      <c r="AC7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42" t="str">
        <f>IF(OR(NOTA[[#This Row],[QTY]]="",NOTA[[#This Row],[HARGA SATUAN]]="",),"",NOTA[[#This Row],[QTY]]*NOTA[[#This Row],[HARGA SATUAN]])</f>
        <v/>
      </c>
      <c r="AG733" s="36" t="str">
        <f ca="1">IF(NOTA[[#This Row],[ID_H]]="","",INDEX(NOTA[TANGGAL],MATCH(,INDIRECT(ADDRESS(ROW(NOTA[TANGGAL]),COLUMN(NOTA[TANGGAL]))&amp;":"&amp;ADDRESS(ROW(),COLUMN(NOTA[TANGGAL]))),-1)))</f>
        <v/>
      </c>
      <c r="AH733" s="36" t="str">
        <f ca="1">IF(NOTA[[#This Row],[ID_H]]="","",INDEX(NOTA[TGL.NOTA],MATCH(,INDIRECT(ADDRESS(ROW(NOTA[TGL.NOTA]),COLUMN(NOTA[TGL.NOTA]))&amp;":"&amp;ADDRESS(ROW(),COLUMN(NOTA[TGL.NOTA]))),-1)))</f>
        <v/>
      </c>
      <c r="AI733" s="36" t="str">
        <f ca="1">IF(NOTA[[#This Row],[ID_H]]="","",INDEX(NOTA[NO.NOTA],MATCH(NOTA[[#This Row],[ID_H]],NOTA[ID_H],0)))</f>
        <v/>
      </c>
      <c r="AJ733" s="38" t="str">
        <f ca="1">IF(NOTA[[#This Row],[NAMA BARANG]]="","",INDEX(NOTA[SUPPLIER],MATCH(,INDIRECT(ADDRESS(ROW(NOTA[ID]),COLUMN(NOTA[ID]))&amp;":"&amp;ADDRESS(ROW(),COLUMN(NOTA[ID]))),-1)))</f>
        <v/>
      </c>
      <c r="AK733" s="38" t="str">
        <f ca="1">IF(NOTA[[#This Row],[ID_H]]="","",IF(NOTA[[#This Row],[FAKTUR]]="",INDIRECT(ADDRESS(ROW()-1,COLUMN())),NOTA[[#This Row],[FAKTUR]]))</f>
        <v/>
      </c>
      <c r="AL733" s="35" t="str">
        <f ca="1">IF(NOTA[[#This Row],[ID]]="","",COUNTIF(NOTA[ID_H],NOTA[[#This Row],[ID_H]]))</f>
        <v/>
      </c>
      <c r="AM733" s="35" t="str">
        <f ca="1">IF(NOTA[[#This Row],[TGL.NOTA]]="",IF(NOTA[[#This Row],[SUPPLIER_H]]="","",AM732),MONTH(NOTA[[#This Row],[TGL.NOTA]]))</f>
        <v/>
      </c>
      <c r="AN7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3" s="35" t="str">
        <f>IF(NOTA[[#This Row],[CONCAT1]]="","",MATCH(NOTA[[#This Row],[CONCAT1]],[3]!db[NB NOTA_C],0))</f>
        <v/>
      </c>
      <c r="AS733" s="35" t="str">
        <f>IF(NOTA[[#This Row],[Column5]]="","",TRUE)</f>
        <v/>
      </c>
      <c r="AT733" s="35" t="str">
        <f ca="1">IF(NOTA[[#This Row],[ID_H]]="","",IF(NOTA[[#This Row],[Column3]]=TRUE,NOTA[[#This Row],[Column5]],INDEX([3]!db[QTY/ CTN],NOTA[[#This Row],[//DB]])))</f>
        <v/>
      </c>
      <c r="AU7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3" s="35" t="str">
        <f ca="1">IF(NOTA[[#This Row],[ID_H]]="","",MATCH(NOTA[[#This Row],[NB NOTA_C_QTY]],[3]!db[NB NOTA_C_QTY+F],0))</f>
        <v/>
      </c>
      <c r="AW733" s="43" t="str">
        <f ca="1">IF(NOTA[[#This Row],[NB NOTA_C_QTY]]="","",ROW()-2)</f>
        <v/>
      </c>
    </row>
    <row r="734" spans="1:49" ht="20.100000000000001" customHeight="1">
      <c r="A7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5" t="str">
        <f ca="1">IF(NOTA[[#This Row],[NAMA BARANG]]="","",INDEX(NOTA[ID],MATCH(,INDIRECT(ADDRESS(ROW(NOTA[ID]),COLUMN(NOTA[ID]))&amp;":"&amp;ADDRESS(ROW(),COLUMN(NOTA[ID]))),-1)))</f>
        <v/>
      </c>
      <c r="C734" s="45"/>
      <c r="F734" s="46"/>
      <c r="G734" s="35"/>
      <c r="H734" s="36"/>
      <c r="I734" s="35"/>
      <c r="K734" s="37"/>
      <c r="L734" s="35"/>
      <c r="N734" s="38"/>
      <c r="O734" s="39"/>
      <c r="P734" s="47"/>
      <c r="Q734" s="48"/>
      <c r="R734" s="41"/>
      <c r="T734" s="42"/>
      <c r="U734" s="44"/>
      <c r="V734" s="42" t="str">
        <f>IF(NOTA[[#This Row],[HARGA/ CTN]]="",NOTA[[#This Row],[JUMLAH_H]],NOTA[[#This Row],[HARGA/ CTN]]*IF(NOTA[[#This Row],[C]]="",0,NOTA[[#This Row],[C]]))</f>
        <v/>
      </c>
      <c r="W734" s="42" t="str">
        <f>IF(NOTA[[#This Row],[JUMLAH]]="","",NOTA[[#This Row],[JUMLAH]]*NOTA[[#This Row],[Column6]])</f>
        <v/>
      </c>
      <c r="X734" s="42" t="str">
        <f>IF(NOTA[[#This Row],[JUMLAH]]="","",(NOTA[[#This Row],[JUMLAH]]-NOTA[[#This Row],[DISC 1-]])*NOTA[[#This Row],[Column7]])</f>
        <v/>
      </c>
      <c r="Y734" s="42" t="str">
        <f>IF(NOTA[[#This Row],[JUMLAH]]="","",(NOTA[[#This Row],[JUMLAH]]-NOTA[[#This Row],[DISC 1-]]-NOTA[[#This Row],[DISC 2-]])*NOTA[[#This Row],[Column8]])</f>
        <v/>
      </c>
      <c r="Z734" s="42" t="str">
        <f>IF(NOTA[[#This Row],[JUMLAH]]="","",NOTA[[#This Row],[DISC 1-]]+NOTA[[#This Row],[DISC 2-]]+NOTA[[#This Row],[DISC 3-]])</f>
        <v/>
      </c>
      <c r="AA734" s="42" t="str">
        <f>IF(NOTA[[#This Row],[JUMLAH]]="","",NOTA[[#This Row],[JUMLAH]]-NOTA[[#This Row],[DISC]])</f>
        <v/>
      </c>
      <c r="AB734" s="42"/>
      <c r="AC7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42" t="str">
        <f>IF(OR(NOTA[[#This Row],[QTY]]="",NOTA[[#This Row],[HARGA SATUAN]]="",),"",NOTA[[#This Row],[QTY]]*NOTA[[#This Row],[HARGA SATUAN]])</f>
        <v/>
      </c>
      <c r="AG734" s="36" t="str">
        <f ca="1">IF(NOTA[[#This Row],[ID_H]]="","",INDEX(NOTA[TANGGAL],MATCH(,INDIRECT(ADDRESS(ROW(NOTA[TANGGAL]),COLUMN(NOTA[TANGGAL]))&amp;":"&amp;ADDRESS(ROW(),COLUMN(NOTA[TANGGAL]))),-1)))</f>
        <v/>
      </c>
      <c r="AH734" s="36" t="str">
        <f ca="1">IF(NOTA[[#This Row],[ID_H]]="","",INDEX(NOTA[TGL.NOTA],MATCH(,INDIRECT(ADDRESS(ROW(NOTA[TGL.NOTA]),COLUMN(NOTA[TGL.NOTA]))&amp;":"&amp;ADDRESS(ROW(),COLUMN(NOTA[TGL.NOTA]))),-1)))</f>
        <v/>
      </c>
      <c r="AI734" s="36" t="str">
        <f ca="1">IF(NOTA[[#This Row],[ID_H]]="","",INDEX(NOTA[NO.NOTA],MATCH(NOTA[[#This Row],[ID_H]],NOTA[ID_H],0)))</f>
        <v/>
      </c>
      <c r="AJ734" s="38" t="str">
        <f ca="1">IF(NOTA[[#This Row],[NAMA BARANG]]="","",INDEX(NOTA[SUPPLIER],MATCH(,INDIRECT(ADDRESS(ROW(NOTA[ID]),COLUMN(NOTA[ID]))&amp;":"&amp;ADDRESS(ROW(),COLUMN(NOTA[ID]))),-1)))</f>
        <v/>
      </c>
      <c r="AK734" s="38" t="str">
        <f ca="1">IF(NOTA[[#This Row],[ID_H]]="","",IF(NOTA[[#This Row],[FAKTUR]]="",INDIRECT(ADDRESS(ROW()-1,COLUMN())),NOTA[[#This Row],[FAKTUR]]))</f>
        <v/>
      </c>
      <c r="AL734" s="35" t="str">
        <f ca="1">IF(NOTA[[#This Row],[ID]]="","",COUNTIF(NOTA[ID_H],NOTA[[#This Row],[ID_H]]))</f>
        <v/>
      </c>
      <c r="AM734" s="35" t="str">
        <f ca="1">IF(NOTA[[#This Row],[TGL.NOTA]]="",IF(NOTA[[#This Row],[SUPPLIER_H]]="","",AM733),MONTH(NOTA[[#This Row],[TGL.NOTA]]))</f>
        <v/>
      </c>
      <c r="AN7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4" s="35" t="str">
        <f>IF(NOTA[[#This Row],[CONCAT1]]="","",MATCH(NOTA[[#This Row],[CONCAT1]],[3]!db[NB NOTA_C],0))</f>
        <v/>
      </c>
      <c r="AS734" s="35" t="str">
        <f>IF(NOTA[[#This Row],[Column5]]="","",TRUE)</f>
        <v/>
      </c>
      <c r="AT734" s="35" t="str">
        <f ca="1">IF(NOTA[[#This Row],[ID_H]]="","",IF(NOTA[[#This Row],[Column3]]=TRUE,NOTA[[#This Row],[Column5]],INDEX([3]!db[QTY/ CTN],NOTA[[#This Row],[//DB]])))</f>
        <v/>
      </c>
      <c r="AU7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4" s="35" t="str">
        <f ca="1">IF(NOTA[[#This Row],[ID_H]]="","",MATCH(NOTA[[#This Row],[NB NOTA_C_QTY]],[3]!db[NB NOTA_C_QTY+F],0))</f>
        <v/>
      </c>
      <c r="AW734" s="43" t="str">
        <f ca="1">IF(NOTA[[#This Row],[NB NOTA_C_QTY]]="","",ROW()-2)</f>
        <v/>
      </c>
    </row>
    <row r="735" spans="1:49" ht="20.100000000000001" customHeight="1">
      <c r="A7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5" t="str">
        <f ca="1">IF(NOTA[[#This Row],[NAMA BARANG]]="","",INDEX(NOTA[ID],MATCH(,INDIRECT(ADDRESS(ROW(NOTA[ID]),COLUMN(NOTA[ID]))&amp;":"&amp;ADDRESS(ROW(),COLUMN(NOTA[ID]))),-1)))</f>
        <v/>
      </c>
      <c r="C735" s="45"/>
      <c r="F735" s="46"/>
      <c r="G735" s="35"/>
      <c r="H735" s="36"/>
      <c r="I735" s="35"/>
      <c r="K735" s="37"/>
      <c r="L735" s="35"/>
      <c r="N735" s="38"/>
      <c r="O735" s="39"/>
      <c r="P735" s="47"/>
      <c r="Q735" s="48"/>
      <c r="R735" s="41"/>
      <c r="T735" s="42"/>
      <c r="U735" s="44"/>
      <c r="V735" s="42" t="str">
        <f>IF(NOTA[[#This Row],[HARGA/ CTN]]="",NOTA[[#This Row],[JUMLAH_H]],NOTA[[#This Row],[HARGA/ CTN]]*IF(NOTA[[#This Row],[C]]="",0,NOTA[[#This Row],[C]]))</f>
        <v/>
      </c>
      <c r="W735" s="42" t="str">
        <f>IF(NOTA[[#This Row],[JUMLAH]]="","",NOTA[[#This Row],[JUMLAH]]*NOTA[[#This Row],[Column6]])</f>
        <v/>
      </c>
      <c r="X735" s="42" t="str">
        <f>IF(NOTA[[#This Row],[JUMLAH]]="","",(NOTA[[#This Row],[JUMLAH]]-NOTA[[#This Row],[DISC 1-]])*NOTA[[#This Row],[Column7]])</f>
        <v/>
      </c>
      <c r="Y735" s="42" t="str">
        <f>IF(NOTA[[#This Row],[JUMLAH]]="","",(NOTA[[#This Row],[JUMLAH]]-NOTA[[#This Row],[DISC 1-]]-NOTA[[#This Row],[DISC 2-]])*NOTA[[#This Row],[Column8]])</f>
        <v/>
      </c>
      <c r="Z735" s="42" t="str">
        <f>IF(NOTA[[#This Row],[JUMLAH]]="","",NOTA[[#This Row],[DISC 1-]]+NOTA[[#This Row],[DISC 2-]]+NOTA[[#This Row],[DISC 3-]])</f>
        <v/>
      </c>
      <c r="AA735" s="42" t="str">
        <f>IF(NOTA[[#This Row],[JUMLAH]]="","",NOTA[[#This Row],[JUMLAH]]-NOTA[[#This Row],[DISC]])</f>
        <v/>
      </c>
      <c r="AB735" s="42"/>
      <c r="AC7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42" t="str">
        <f>IF(OR(NOTA[[#This Row],[QTY]]="",NOTA[[#This Row],[HARGA SATUAN]]="",),"",NOTA[[#This Row],[QTY]]*NOTA[[#This Row],[HARGA SATUAN]])</f>
        <v/>
      </c>
      <c r="AG735" s="36" t="str">
        <f ca="1">IF(NOTA[[#This Row],[ID_H]]="","",INDEX(NOTA[TANGGAL],MATCH(,INDIRECT(ADDRESS(ROW(NOTA[TANGGAL]),COLUMN(NOTA[TANGGAL]))&amp;":"&amp;ADDRESS(ROW(),COLUMN(NOTA[TANGGAL]))),-1)))</f>
        <v/>
      </c>
      <c r="AH735" s="36" t="str">
        <f ca="1">IF(NOTA[[#This Row],[ID_H]]="","",INDEX(NOTA[TGL.NOTA],MATCH(,INDIRECT(ADDRESS(ROW(NOTA[TGL.NOTA]),COLUMN(NOTA[TGL.NOTA]))&amp;":"&amp;ADDRESS(ROW(),COLUMN(NOTA[TGL.NOTA]))),-1)))</f>
        <v/>
      </c>
      <c r="AI735" s="36" t="str">
        <f ca="1">IF(NOTA[[#This Row],[ID_H]]="","",INDEX(NOTA[NO.NOTA],MATCH(NOTA[[#This Row],[ID_H]],NOTA[ID_H],0)))</f>
        <v/>
      </c>
      <c r="AJ735" s="38" t="str">
        <f ca="1">IF(NOTA[[#This Row],[NAMA BARANG]]="","",INDEX(NOTA[SUPPLIER],MATCH(,INDIRECT(ADDRESS(ROW(NOTA[ID]),COLUMN(NOTA[ID]))&amp;":"&amp;ADDRESS(ROW(),COLUMN(NOTA[ID]))),-1)))</f>
        <v/>
      </c>
      <c r="AK735" s="38" t="str">
        <f ca="1">IF(NOTA[[#This Row],[ID_H]]="","",IF(NOTA[[#This Row],[FAKTUR]]="",INDIRECT(ADDRESS(ROW()-1,COLUMN())),NOTA[[#This Row],[FAKTUR]]))</f>
        <v/>
      </c>
      <c r="AL735" s="35" t="str">
        <f ca="1">IF(NOTA[[#This Row],[ID]]="","",COUNTIF(NOTA[ID_H],NOTA[[#This Row],[ID_H]]))</f>
        <v/>
      </c>
      <c r="AM735" s="35" t="str">
        <f ca="1">IF(NOTA[[#This Row],[TGL.NOTA]]="",IF(NOTA[[#This Row],[SUPPLIER_H]]="","",AM734),MONTH(NOTA[[#This Row],[TGL.NOTA]]))</f>
        <v/>
      </c>
      <c r="AN7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5" s="35" t="str">
        <f>IF(NOTA[[#This Row],[CONCAT1]]="","",MATCH(NOTA[[#This Row],[CONCAT1]],[3]!db[NB NOTA_C],0))</f>
        <v/>
      </c>
      <c r="AS735" s="35" t="str">
        <f>IF(NOTA[[#This Row],[Column5]]="","",TRUE)</f>
        <v/>
      </c>
      <c r="AT735" s="35" t="str">
        <f ca="1">IF(NOTA[[#This Row],[ID_H]]="","",IF(NOTA[[#This Row],[Column3]]=TRUE,NOTA[[#This Row],[Column5]],INDEX([3]!db[QTY/ CTN],NOTA[[#This Row],[//DB]])))</f>
        <v/>
      </c>
      <c r="AU7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5" s="35" t="str">
        <f ca="1">IF(NOTA[[#This Row],[ID_H]]="","",MATCH(NOTA[[#This Row],[NB NOTA_C_QTY]],[3]!db[NB NOTA_C_QTY+F],0))</f>
        <v/>
      </c>
      <c r="AW735" s="43" t="str">
        <f ca="1">IF(NOTA[[#This Row],[NB NOTA_C_QTY]]="","",ROW()-2)</f>
        <v/>
      </c>
    </row>
    <row r="736" spans="1:49" ht="20.100000000000001" customHeight="1">
      <c r="A7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5" t="str">
        <f ca="1">IF(NOTA[[#This Row],[NAMA BARANG]]="","",INDEX(NOTA[ID],MATCH(,INDIRECT(ADDRESS(ROW(NOTA[ID]),COLUMN(NOTA[ID]))&amp;":"&amp;ADDRESS(ROW(),COLUMN(NOTA[ID]))),-1)))</f>
        <v/>
      </c>
      <c r="C736" s="45"/>
      <c r="F736" s="46"/>
      <c r="G736" s="35"/>
      <c r="H736" s="36"/>
      <c r="I736" s="35"/>
      <c r="K736" s="37"/>
      <c r="L736" s="35"/>
      <c r="N736" s="38"/>
      <c r="O736" s="39"/>
      <c r="P736" s="47"/>
      <c r="Q736" s="48"/>
      <c r="R736" s="41"/>
      <c r="T736" s="42"/>
      <c r="U736" s="44"/>
      <c r="V736" s="42" t="str">
        <f>IF(NOTA[[#This Row],[HARGA/ CTN]]="",NOTA[[#This Row],[JUMLAH_H]],NOTA[[#This Row],[HARGA/ CTN]]*IF(NOTA[[#This Row],[C]]="",0,NOTA[[#This Row],[C]]))</f>
        <v/>
      </c>
      <c r="W736" s="42" t="str">
        <f>IF(NOTA[[#This Row],[JUMLAH]]="","",NOTA[[#This Row],[JUMLAH]]*NOTA[[#This Row],[Column6]])</f>
        <v/>
      </c>
      <c r="X736" s="42" t="str">
        <f>IF(NOTA[[#This Row],[JUMLAH]]="","",(NOTA[[#This Row],[JUMLAH]]-NOTA[[#This Row],[DISC 1-]])*NOTA[[#This Row],[Column7]])</f>
        <v/>
      </c>
      <c r="Y736" s="42" t="str">
        <f>IF(NOTA[[#This Row],[JUMLAH]]="","",(NOTA[[#This Row],[JUMLAH]]-NOTA[[#This Row],[DISC 1-]]-NOTA[[#This Row],[DISC 2-]])*NOTA[[#This Row],[Column8]])</f>
        <v/>
      </c>
      <c r="Z736" s="42" t="str">
        <f>IF(NOTA[[#This Row],[JUMLAH]]="","",NOTA[[#This Row],[DISC 1-]]+NOTA[[#This Row],[DISC 2-]]+NOTA[[#This Row],[DISC 3-]])</f>
        <v/>
      </c>
      <c r="AA736" s="42" t="str">
        <f>IF(NOTA[[#This Row],[JUMLAH]]="","",NOTA[[#This Row],[JUMLAH]]-NOTA[[#This Row],[DISC]])</f>
        <v/>
      </c>
      <c r="AB736" s="42"/>
      <c r="AC7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42" t="str">
        <f>IF(OR(NOTA[[#This Row],[QTY]]="",NOTA[[#This Row],[HARGA SATUAN]]="",),"",NOTA[[#This Row],[QTY]]*NOTA[[#This Row],[HARGA SATUAN]])</f>
        <v/>
      </c>
      <c r="AG736" s="36" t="str">
        <f ca="1">IF(NOTA[[#This Row],[ID_H]]="","",INDEX(NOTA[TANGGAL],MATCH(,INDIRECT(ADDRESS(ROW(NOTA[TANGGAL]),COLUMN(NOTA[TANGGAL]))&amp;":"&amp;ADDRESS(ROW(),COLUMN(NOTA[TANGGAL]))),-1)))</f>
        <v/>
      </c>
      <c r="AH736" s="36" t="str">
        <f ca="1">IF(NOTA[[#This Row],[ID_H]]="","",INDEX(NOTA[TGL.NOTA],MATCH(,INDIRECT(ADDRESS(ROW(NOTA[TGL.NOTA]),COLUMN(NOTA[TGL.NOTA]))&amp;":"&amp;ADDRESS(ROW(),COLUMN(NOTA[TGL.NOTA]))),-1)))</f>
        <v/>
      </c>
      <c r="AI736" s="36" t="str">
        <f ca="1">IF(NOTA[[#This Row],[ID_H]]="","",INDEX(NOTA[NO.NOTA],MATCH(NOTA[[#This Row],[ID_H]],NOTA[ID_H],0)))</f>
        <v/>
      </c>
      <c r="AJ736" s="38" t="str">
        <f ca="1">IF(NOTA[[#This Row],[NAMA BARANG]]="","",INDEX(NOTA[SUPPLIER],MATCH(,INDIRECT(ADDRESS(ROW(NOTA[ID]),COLUMN(NOTA[ID]))&amp;":"&amp;ADDRESS(ROW(),COLUMN(NOTA[ID]))),-1)))</f>
        <v/>
      </c>
      <c r="AK736" s="38" t="str">
        <f ca="1">IF(NOTA[[#This Row],[ID_H]]="","",IF(NOTA[[#This Row],[FAKTUR]]="",INDIRECT(ADDRESS(ROW()-1,COLUMN())),NOTA[[#This Row],[FAKTUR]]))</f>
        <v/>
      </c>
      <c r="AL736" s="35" t="str">
        <f ca="1">IF(NOTA[[#This Row],[ID]]="","",COUNTIF(NOTA[ID_H],NOTA[[#This Row],[ID_H]]))</f>
        <v/>
      </c>
      <c r="AM736" s="35" t="str">
        <f ca="1">IF(NOTA[[#This Row],[TGL.NOTA]]="",IF(NOTA[[#This Row],[SUPPLIER_H]]="","",AM735),MONTH(NOTA[[#This Row],[TGL.NOTA]]))</f>
        <v/>
      </c>
      <c r="AN7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6" s="35" t="str">
        <f>IF(NOTA[[#This Row],[CONCAT1]]="","",MATCH(NOTA[[#This Row],[CONCAT1]],[3]!db[NB NOTA_C],0))</f>
        <v/>
      </c>
      <c r="AS736" s="35" t="str">
        <f>IF(NOTA[[#This Row],[Column5]]="","",TRUE)</f>
        <v/>
      </c>
      <c r="AT736" s="35" t="str">
        <f ca="1">IF(NOTA[[#This Row],[ID_H]]="","",IF(NOTA[[#This Row],[Column3]]=TRUE,NOTA[[#This Row],[Column5]],INDEX([3]!db[QTY/ CTN],NOTA[[#This Row],[//DB]])))</f>
        <v/>
      </c>
      <c r="AU7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6" s="35" t="str">
        <f ca="1">IF(NOTA[[#This Row],[ID_H]]="","",MATCH(NOTA[[#This Row],[NB NOTA_C_QTY]],[3]!db[NB NOTA_C_QTY+F],0))</f>
        <v/>
      </c>
      <c r="AW736" s="43" t="str">
        <f ca="1">IF(NOTA[[#This Row],[NB NOTA_C_QTY]]="","",ROW()-2)</f>
        <v/>
      </c>
    </row>
    <row r="737" spans="1:49" ht="20.100000000000001" customHeight="1">
      <c r="A7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5" t="str">
        <f ca="1">IF(NOTA[[#This Row],[NAMA BARANG]]="","",INDEX(NOTA[ID],MATCH(,INDIRECT(ADDRESS(ROW(NOTA[ID]),COLUMN(NOTA[ID]))&amp;":"&amp;ADDRESS(ROW(),COLUMN(NOTA[ID]))),-1)))</f>
        <v/>
      </c>
      <c r="C737" s="45"/>
      <c r="F737" s="46"/>
      <c r="G737" s="35"/>
      <c r="H737" s="36"/>
      <c r="I737" s="35"/>
      <c r="K737" s="37"/>
      <c r="L737" s="35"/>
      <c r="N737" s="38"/>
      <c r="O737" s="39"/>
      <c r="P737" s="47"/>
      <c r="Q737" s="48"/>
      <c r="R737" s="41"/>
      <c r="T737" s="42"/>
      <c r="U737" s="44"/>
      <c r="V737" s="42" t="str">
        <f>IF(NOTA[[#This Row],[HARGA/ CTN]]="",NOTA[[#This Row],[JUMLAH_H]],NOTA[[#This Row],[HARGA/ CTN]]*IF(NOTA[[#This Row],[C]]="",0,NOTA[[#This Row],[C]]))</f>
        <v/>
      </c>
      <c r="W737" s="42" t="str">
        <f>IF(NOTA[[#This Row],[JUMLAH]]="","",NOTA[[#This Row],[JUMLAH]]*NOTA[[#This Row],[Column6]])</f>
        <v/>
      </c>
      <c r="X737" s="42" t="str">
        <f>IF(NOTA[[#This Row],[JUMLAH]]="","",(NOTA[[#This Row],[JUMLAH]]-NOTA[[#This Row],[DISC 1-]])*NOTA[[#This Row],[Column7]])</f>
        <v/>
      </c>
      <c r="Y737" s="42" t="str">
        <f>IF(NOTA[[#This Row],[JUMLAH]]="","",(NOTA[[#This Row],[JUMLAH]]-NOTA[[#This Row],[DISC 1-]]-NOTA[[#This Row],[DISC 2-]])*NOTA[[#This Row],[Column8]])</f>
        <v/>
      </c>
      <c r="Z737" s="42" t="str">
        <f>IF(NOTA[[#This Row],[JUMLAH]]="","",NOTA[[#This Row],[DISC 1-]]+NOTA[[#This Row],[DISC 2-]]+NOTA[[#This Row],[DISC 3-]])</f>
        <v/>
      </c>
      <c r="AA737" s="42" t="str">
        <f>IF(NOTA[[#This Row],[JUMLAH]]="","",NOTA[[#This Row],[JUMLAH]]-NOTA[[#This Row],[DISC]])</f>
        <v/>
      </c>
      <c r="AB737" s="42"/>
      <c r="AC7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42" t="str">
        <f>IF(OR(NOTA[[#This Row],[QTY]]="",NOTA[[#This Row],[HARGA SATUAN]]="",),"",NOTA[[#This Row],[QTY]]*NOTA[[#This Row],[HARGA SATUAN]])</f>
        <v/>
      </c>
      <c r="AG737" s="36" t="str">
        <f ca="1">IF(NOTA[[#This Row],[ID_H]]="","",INDEX(NOTA[TANGGAL],MATCH(,INDIRECT(ADDRESS(ROW(NOTA[TANGGAL]),COLUMN(NOTA[TANGGAL]))&amp;":"&amp;ADDRESS(ROW(),COLUMN(NOTA[TANGGAL]))),-1)))</f>
        <v/>
      </c>
      <c r="AH737" s="36" t="str">
        <f ca="1">IF(NOTA[[#This Row],[ID_H]]="","",INDEX(NOTA[TGL.NOTA],MATCH(,INDIRECT(ADDRESS(ROW(NOTA[TGL.NOTA]),COLUMN(NOTA[TGL.NOTA]))&amp;":"&amp;ADDRESS(ROW(),COLUMN(NOTA[TGL.NOTA]))),-1)))</f>
        <v/>
      </c>
      <c r="AI737" s="36" t="str">
        <f ca="1">IF(NOTA[[#This Row],[ID_H]]="","",INDEX(NOTA[NO.NOTA],MATCH(NOTA[[#This Row],[ID_H]],NOTA[ID_H],0)))</f>
        <v/>
      </c>
      <c r="AJ737" s="38" t="str">
        <f ca="1">IF(NOTA[[#This Row],[NAMA BARANG]]="","",INDEX(NOTA[SUPPLIER],MATCH(,INDIRECT(ADDRESS(ROW(NOTA[ID]),COLUMN(NOTA[ID]))&amp;":"&amp;ADDRESS(ROW(),COLUMN(NOTA[ID]))),-1)))</f>
        <v/>
      </c>
      <c r="AK737" s="38" t="str">
        <f ca="1">IF(NOTA[[#This Row],[ID_H]]="","",IF(NOTA[[#This Row],[FAKTUR]]="",INDIRECT(ADDRESS(ROW()-1,COLUMN())),NOTA[[#This Row],[FAKTUR]]))</f>
        <v/>
      </c>
      <c r="AL737" s="35" t="str">
        <f ca="1">IF(NOTA[[#This Row],[ID]]="","",COUNTIF(NOTA[ID_H],NOTA[[#This Row],[ID_H]]))</f>
        <v/>
      </c>
      <c r="AM737" s="35" t="str">
        <f ca="1">IF(NOTA[[#This Row],[TGL.NOTA]]="",IF(NOTA[[#This Row],[SUPPLIER_H]]="","",AM736),MONTH(NOTA[[#This Row],[TGL.NOTA]]))</f>
        <v/>
      </c>
      <c r="AN7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7" s="35" t="str">
        <f>IF(NOTA[[#This Row],[CONCAT1]]="","",MATCH(NOTA[[#This Row],[CONCAT1]],[3]!db[NB NOTA_C],0))</f>
        <v/>
      </c>
      <c r="AS737" s="35" t="str">
        <f>IF(NOTA[[#This Row],[Column5]]="","",TRUE)</f>
        <v/>
      </c>
      <c r="AT737" s="35" t="str">
        <f ca="1">IF(NOTA[[#This Row],[ID_H]]="","",IF(NOTA[[#This Row],[Column3]]=TRUE,NOTA[[#This Row],[Column5]],INDEX([3]!db[QTY/ CTN],NOTA[[#This Row],[//DB]])))</f>
        <v/>
      </c>
      <c r="AU7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7" s="35" t="str">
        <f ca="1">IF(NOTA[[#This Row],[ID_H]]="","",MATCH(NOTA[[#This Row],[NB NOTA_C_QTY]],[3]!db[NB NOTA_C_QTY+F],0))</f>
        <v/>
      </c>
      <c r="AW737" s="43" t="str">
        <f ca="1">IF(NOTA[[#This Row],[NB NOTA_C_QTY]]="","",ROW()-2)</f>
        <v/>
      </c>
    </row>
    <row r="738" spans="1:49" ht="20.100000000000001" customHeight="1">
      <c r="A7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5" t="str">
        <f ca="1">IF(NOTA[[#This Row],[NAMA BARANG]]="","",INDEX(NOTA[ID],MATCH(,INDIRECT(ADDRESS(ROW(NOTA[ID]),COLUMN(NOTA[ID]))&amp;":"&amp;ADDRESS(ROW(),COLUMN(NOTA[ID]))),-1)))</f>
        <v/>
      </c>
      <c r="C738" s="45"/>
      <c r="F738" s="46"/>
      <c r="G738" s="35"/>
      <c r="H738" s="36"/>
      <c r="I738" s="35"/>
      <c r="K738" s="37"/>
      <c r="L738" s="35"/>
      <c r="N738" s="38"/>
      <c r="O738" s="39"/>
      <c r="P738" s="47"/>
      <c r="Q738" s="48"/>
      <c r="R738" s="41"/>
      <c r="T738" s="42"/>
      <c r="U738" s="44"/>
      <c r="V738" s="42" t="str">
        <f>IF(NOTA[[#This Row],[HARGA/ CTN]]="",NOTA[[#This Row],[JUMLAH_H]],NOTA[[#This Row],[HARGA/ CTN]]*IF(NOTA[[#This Row],[C]]="",0,NOTA[[#This Row],[C]]))</f>
        <v/>
      </c>
      <c r="W738" s="42" t="str">
        <f>IF(NOTA[[#This Row],[JUMLAH]]="","",NOTA[[#This Row],[JUMLAH]]*NOTA[[#This Row],[Column6]])</f>
        <v/>
      </c>
      <c r="X738" s="42" t="str">
        <f>IF(NOTA[[#This Row],[JUMLAH]]="","",(NOTA[[#This Row],[JUMLAH]]-NOTA[[#This Row],[DISC 1-]])*NOTA[[#This Row],[Column7]])</f>
        <v/>
      </c>
      <c r="Y738" s="42" t="str">
        <f>IF(NOTA[[#This Row],[JUMLAH]]="","",(NOTA[[#This Row],[JUMLAH]]-NOTA[[#This Row],[DISC 1-]]-NOTA[[#This Row],[DISC 2-]])*NOTA[[#This Row],[Column8]])</f>
        <v/>
      </c>
      <c r="Z738" s="42" t="str">
        <f>IF(NOTA[[#This Row],[JUMLAH]]="","",NOTA[[#This Row],[DISC 1-]]+NOTA[[#This Row],[DISC 2-]]+NOTA[[#This Row],[DISC 3-]])</f>
        <v/>
      </c>
      <c r="AA738" s="42" t="str">
        <f>IF(NOTA[[#This Row],[JUMLAH]]="","",NOTA[[#This Row],[JUMLAH]]-NOTA[[#This Row],[DISC]])</f>
        <v/>
      </c>
      <c r="AB738" s="42"/>
      <c r="AC7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42" t="str">
        <f>IF(OR(NOTA[[#This Row],[QTY]]="",NOTA[[#This Row],[HARGA SATUAN]]="",),"",NOTA[[#This Row],[QTY]]*NOTA[[#This Row],[HARGA SATUAN]])</f>
        <v/>
      </c>
      <c r="AG738" s="36" t="str">
        <f ca="1">IF(NOTA[[#This Row],[ID_H]]="","",INDEX(NOTA[TANGGAL],MATCH(,INDIRECT(ADDRESS(ROW(NOTA[TANGGAL]),COLUMN(NOTA[TANGGAL]))&amp;":"&amp;ADDRESS(ROW(),COLUMN(NOTA[TANGGAL]))),-1)))</f>
        <v/>
      </c>
      <c r="AH738" s="36" t="str">
        <f ca="1">IF(NOTA[[#This Row],[ID_H]]="","",INDEX(NOTA[TGL.NOTA],MATCH(,INDIRECT(ADDRESS(ROW(NOTA[TGL.NOTA]),COLUMN(NOTA[TGL.NOTA]))&amp;":"&amp;ADDRESS(ROW(),COLUMN(NOTA[TGL.NOTA]))),-1)))</f>
        <v/>
      </c>
      <c r="AI738" s="36" t="str">
        <f ca="1">IF(NOTA[[#This Row],[ID_H]]="","",INDEX(NOTA[NO.NOTA],MATCH(NOTA[[#This Row],[ID_H]],NOTA[ID_H],0)))</f>
        <v/>
      </c>
      <c r="AJ738" s="38" t="str">
        <f ca="1">IF(NOTA[[#This Row],[NAMA BARANG]]="","",INDEX(NOTA[SUPPLIER],MATCH(,INDIRECT(ADDRESS(ROW(NOTA[ID]),COLUMN(NOTA[ID]))&amp;":"&amp;ADDRESS(ROW(),COLUMN(NOTA[ID]))),-1)))</f>
        <v/>
      </c>
      <c r="AK738" s="38" t="str">
        <f ca="1">IF(NOTA[[#This Row],[ID_H]]="","",IF(NOTA[[#This Row],[FAKTUR]]="",INDIRECT(ADDRESS(ROW()-1,COLUMN())),NOTA[[#This Row],[FAKTUR]]))</f>
        <v/>
      </c>
      <c r="AL738" s="35" t="str">
        <f ca="1">IF(NOTA[[#This Row],[ID]]="","",COUNTIF(NOTA[ID_H],NOTA[[#This Row],[ID_H]]))</f>
        <v/>
      </c>
      <c r="AM738" s="35" t="str">
        <f ca="1">IF(NOTA[[#This Row],[TGL.NOTA]]="",IF(NOTA[[#This Row],[SUPPLIER_H]]="","",AM737),MONTH(NOTA[[#This Row],[TGL.NOTA]]))</f>
        <v/>
      </c>
      <c r="AN7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8" s="35" t="str">
        <f>IF(NOTA[[#This Row],[CONCAT1]]="","",MATCH(NOTA[[#This Row],[CONCAT1]],[3]!db[NB NOTA_C],0))</f>
        <v/>
      </c>
      <c r="AS738" s="35" t="str">
        <f>IF(NOTA[[#This Row],[Column5]]="","",TRUE)</f>
        <v/>
      </c>
      <c r="AT738" s="35" t="str">
        <f ca="1">IF(NOTA[[#This Row],[ID_H]]="","",IF(NOTA[[#This Row],[Column3]]=TRUE,NOTA[[#This Row],[Column5]],INDEX([3]!db[QTY/ CTN],NOTA[[#This Row],[//DB]])))</f>
        <v/>
      </c>
      <c r="AU7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8" s="35" t="str">
        <f ca="1">IF(NOTA[[#This Row],[ID_H]]="","",MATCH(NOTA[[#This Row],[NB NOTA_C_QTY]],[3]!db[NB NOTA_C_QTY+F],0))</f>
        <v/>
      </c>
      <c r="AW738" s="43" t="str">
        <f ca="1">IF(NOTA[[#This Row],[NB NOTA_C_QTY]]="","",ROW()-2)</f>
        <v/>
      </c>
    </row>
    <row r="739" spans="1:49" ht="20.100000000000001" customHeight="1">
      <c r="A7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5" t="str">
        <f ca="1">IF(NOTA[[#This Row],[NAMA BARANG]]="","",INDEX(NOTA[ID],MATCH(,INDIRECT(ADDRESS(ROW(NOTA[ID]),COLUMN(NOTA[ID]))&amp;":"&amp;ADDRESS(ROW(),COLUMN(NOTA[ID]))),-1)))</f>
        <v/>
      </c>
      <c r="C739" s="45"/>
      <c r="F739" s="46"/>
      <c r="G739" s="35"/>
      <c r="H739" s="36"/>
      <c r="I739" s="35"/>
      <c r="K739" s="37"/>
      <c r="L739" s="35"/>
      <c r="N739" s="38"/>
      <c r="O739" s="39"/>
      <c r="P739" s="47"/>
      <c r="Q739" s="48"/>
      <c r="R739" s="41"/>
      <c r="T739" s="42"/>
      <c r="U739" s="44"/>
      <c r="V739" s="42" t="str">
        <f>IF(NOTA[[#This Row],[HARGA/ CTN]]="",NOTA[[#This Row],[JUMLAH_H]],NOTA[[#This Row],[HARGA/ CTN]]*IF(NOTA[[#This Row],[C]]="",0,NOTA[[#This Row],[C]]))</f>
        <v/>
      </c>
      <c r="W739" s="42" t="str">
        <f>IF(NOTA[[#This Row],[JUMLAH]]="","",NOTA[[#This Row],[JUMLAH]]*NOTA[[#This Row],[Column6]])</f>
        <v/>
      </c>
      <c r="X739" s="42" t="str">
        <f>IF(NOTA[[#This Row],[JUMLAH]]="","",(NOTA[[#This Row],[JUMLAH]]-NOTA[[#This Row],[DISC 1-]])*NOTA[[#This Row],[Column7]])</f>
        <v/>
      </c>
      <c r="Y739" s="42" t="str">
        <f>IF(NOTA[[#This Row],[JUMLAH]]="","",(NOTA[[#This Row],[JUMLAH]]-NOTA[[#This Row],[DISC 1-]]-NOTA[[#This Row],[DISC 2-]])*NOTA[[#This Row],[Column8]])</f>
        <v/>
      </c>
      <c r="Z739" s="42" t="str">
        <f>IF(NOTA[[#This Row],[JUMLAH]]="","",NOTA[[#This Row],[DISC 1-]]+NOTA[[#This Row],[DISC 2-]]+NOTA[[#This Row],[DISC 3-]])</f>
        <v/>
      </c>
      <c r="AA739" s="42" t="str">
        <f>IF(NOTA[[#This Row],[JUMLAH]]="","",NOTA[[#This Row],[JUMLAH]]-NOTA[[#This Row],[DISC]])</f>
        <v/>
      </c>
      <c r="AB739" s="42"/>
      <c r="AC7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42" t="str">
        <f>IF(OR(NOTA[[#This Row],[QTY]]="",NOTA[[#This Row],[HARGA SATUAN]]="",),"",NOTA[[#This Row],[QTY]]*NOTA[[#This Row],[HARGA SATUAN]])</f>
        <v/>
      </c>
      <c r="AG739" s="36" t="str">
        <f ca="1">IF(NOTA[[#This Row],[ID_H]]="","",INDEX(NOTA[TANGGAL],MATCH(,INDIRECT(ADDRESS(ROW(NOTA[TANGGAL]),COLUMN(NOTA[TANGGAL]))&amp;":"&amp;ADDRESS(ROW(),COLUMN(NOTA[TANGGAL]))),-1)))</f>
        <v/>
      </c>
      <c r="AH739" s="36" t="str">
        <f ca="1">IF(NOTA[[#This Row],[ID_H]]="","",INDEX(NOTA[TGL.NOTA],MATCH(,INDIRECT(ADDRESS(ROW(NOTA[TGL.NOTA]),COLUMN(NOTA[TGL.NOTA]))&amp;":"&amp;ADDRESS(ROW(),COLUMN(NOTA[TGL.NOTA]))),-1)))</f>
        <v/>
      </c>
      <c r="AI739" s="36" t="str">
        <f ca="1">IF(NOTA[[#This Row],[ID_H]]="","",INDEX(NOTA[NO.NOTA],MATCH(NOTA[[#This Row],[ID_H]],NOTA[ID_H],0)))</f>
        <v/>
      </c>
      <c r="AJ739" s="38" t="str">
        <f ca="1">IF(NOTA[[#This Row],[NAMA BARANG]]="","",INDEX(NOTA[SUPPLIER],MATCH(,INDIRECT(ADDRESS(ROW(NOTA[ID]),COLUMN(NOTA[ID]))&amp;":"&amp;ADDRESS(ROW(),COLUMN(NOTA[ID]))),-1)))</f>
        <v/>
      </c>
      <c r="AK739" s="38" t="str">
        <f ca="1">IF(NOTA[[#This Row],[ID_H]]="","",IF(NOTA[[#This Row],[FAKTUR]]="",INDIRECT(ADDRESS(ROW()-1,COLUMN())),NOTA[[#This Row],[FAKTUR]]))</f>
        <v/>
      </c>
      <c r="AL739" s="35" t="str">
        <f ca="1">IF(NOTA[[#This Row],[ID]]="","",COUNTIF(NOTA[ID_H],NOTA[[#This Row],[ID_H]]))</f>
        <v/>
      </c>
      <c r="AM739" s="35" t="str">
        <f ca="1">IF(NOTA[[#This Row],[TGL.NOTA]]="",IF(NOTA[[#This Row],[SUPPLIER_H]]="","",AM738),MONTH(NOTA[[#This Row],[TGL.NOTA]]))</f>
        <v/>
      </c>
      <c r="AN7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9" s="35" t="str">
        <f>IF(NOTA[[#This Row],[CONCAT1]]="","",MATCH(NOTA[[#This Row],[CONCAT1]],[3]!db[NB NOTA_C],0))</f>
        <v/>
      </c>
      <c r="AS739" s="35" t="str">
        <f>IF(NOTA[[#This Row],[Column5]]="","",TRUE)</f>
        <v/>
      </c>
      <c r="AT739" s="35" t="str">
        <f ca="1">IF(NOTA[[#This Row],[ID_H]]="","",IF(NOTA[[#This Row],[Column3]]=TRUE,NOTA[[#This Row],[Column5]],INDEX([3]!db[QTY/ CTN],NOTA[[#This Row],[//DB]])))</f>
        <v/>
      </c>
      <c r="AU7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39" s="35" t="str">
        <f ca="1">IF(NOTA[[#This Row],[ID_H]]="","",MATCH(NOTA[[#This Row],[NB NOTA_C_QTY]],[3]!db[NB NOTA_C_QTY+F],0))</f>
        <v/>
      </c>
      <c r="AW739" s="43" t="str">
        <f ca="1">IF(NOTA[[#This Row],[NB NOTA_C_QTY]]="","",ROW()-2)</f>
        <v/>
      </c>
    </row>
    <row r="740" spans="1:49" ht="20.100000000000001" customHeight="1">
      <c r="A7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5" t="str">
        <f ca="1">IF(NOTA[[#This Row],[NAMA BARANG]]="","",INDEX(NOTA[ID],MATCH(,INDIRECT(ADDRESS(ROW(NOTA[ID]),COLUMN(NOTA[ID]))&amp;":"&amp;ADDRESS(ROW(),COLUMN(NOTA[ID]))),-1)))</f>
        <v/>
      </c>
      <c r="C740" s="45"/>
      <c r="F740" s="46"/>
      <c r="G740" s="35"/>
      <c r="H740" s="36"/>
      <c r="I740" s="35"/>
      <c r="K740" s="37"/>
      <c r="L740" s="35"/>
      <c r="N740" s="38"/>
      <c r="O740" s="39"/>
      <c r="P740" s="47"/>
      <c r="Q740" s="48"/>
      <c r="R740" s="41"/>
      <c r="T740" s="42"/>
      <c r="U740" s="44"/>
      <c r="V740" s="42" t="str">
        <f>IF(NOTA[[#This Row],[HARGA/ CTN]]="",NOTA[[#This Row],[JUMLAH_H]],NOTA[[#This Row],[HARGA/ CTN]]*IF(NOTA[[#This Row],[C]]="",0,NOTA[[#This Row],[C]]))</f>
        <v/>
      </c>
      <c r="W740" s="42" t="str">
        <f>IF(NOTA[[#This Row],[JUMLAH]]="","",NOTA[[#This Row],[JUMLAH]]*NOTA[[#This Row],[Column6]])</f>
        <v/>
      </c>
      <c r="X740" s="42" t="str">
        <f>IF(NOTA[[#This Row],[JUMLAH]]="","",(NOTA[[#This Row],[JUMLAH]]-NOTA[[#This Row],[DISC 1-]])*NOTA[[#This Row],[Column7]])</f>
        <v/>
      </c>
      <c r="Y740" s="42" t="str">
        <f>IF(NOTA[[#This Row],[JUMLAH]]="","",(NOTA[[#This Row],[JUMLAH]]-NOTA[[#This Row],[DISC 1-]]-NOTA[[#This Row],[DISC 2-]])*NOTA[[#This Row],[Column8]])</f>
        <v/>
      </c>
      <c r="Z740" s="42" t="str">
        <f>IF(NOTA[[#This Row],[JUMLAH]]="","",NOTA[[#This Row],[DISC 1-]]+NOTA[[#This Row],[DISC 2-]]+NOTA[[#This Row],[DISC 3-]])</f>
        <v/>
      </c>
      <c r="AA740" s="42" t="str">
        <f>IF(NOTA[[#This Row],[JUMLAH]]="","",NOTA[[#This Row],[JUMLAH]]-NOTA[[#This Row],[DISC]])</f>
        <v/>
      </c>
      <c r="AB740" s="42"/>
      <c r="AC7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42" t="str">
        <f>IF(OR(NOTA[[#This Row],[QTY]]="",NOTA[[#This Row],[HARGA SATUAN]]="",),"",NOTA[[#This Row],[QTY]]*NOTA[[#This Row],[HARGA SATUAN]])</f>
        <v/>
      </c>
      <c r="AG740" s="36" t="str">
        <f ca="1">IF(NOTA[[#This Row],[ID_H]]="","",INDEX(NOTA[TANGGAL],MATCH(,INDIRECT(ADDRESS(ROW(NOTA[TANGGAL]),COLUMN(NOTA[TANGGAL]))&amp;":"&amp;ADDRESS(ROW(),COLUMN(NOTA[TANGGAL]))),-1)))</f>
        <v/>
      </c>
      <c r="AH740" s="36" t="str">
        <f ca="1">IF(NOTA[[#This Row],[ID_H]]="","",INDEX(NOTA[TGL.NOTA],MATCH(,INDIRECT(ADDRESS(ROW(NOTA[TGL.NOTA]),COLUMN(NOTA[TGL.NOTA]))&amp;":"&amp;ADDRESS(ROW(),COLUMN(NOTA[TGL.NOTA]))),-1)))</f>
        <v/>
      </c>
      <c r="AI740" s="36" t="str">
        <f ca="1">IF(NOTA[[#This Row],[ID_H]]="","",INDEX(NOTA[NO.NOTA],MATCH(NOTA[[#This Row],[ID_H]],NOTA[ID_H],0)))</f>
        <v/>
      </c>
      <c r="AJ740" s="38" t="str">
        <f ca="1">IF(NOTA[[#This Row],[NAMA BARANG]]="","",INDEX(NOTA[SUPPLIER],MATCH(,INDIRECT(ADDRESS(ROW(NOTA[ID]),COLUMN(NOTA[ID]))&amp;":"&amp;ADDRESS(ROW(),COLUMN(NOTA[ID]))),-1)))</f>
        <v/>
      </c>
      <c r="AK740" s="38" t="str">
        <f ca="1">IF(NOTA[[#This Row],[ID_H]]="","",IF(NOTA[[#This Row],[FAKTUR]]="",INDIRECT(ADDRESS(ROW()-1,COLUMN())),NOTA[[#This Row],[FAKTUR]]))</f>
        <v/>
      </c>
      <c r="AL740" s="35" t="str">
        <f ca="1">IF(NOTA[[#This Row],[ID]]="","",COUNTIF(NOTA[ID_H],NOTA[[#This Row],[ID_H]]))</f>
        <v/>
      </c>
      <c r="AM740" s="35" t="str">
        <f ca="1">IF(NOTA[[#This Row],[TGL.NOTA]]="",IF(NOTA[[#This Row],[SUPPLIER_H]]="","",AM739),MONTH(NOTA[[#This Row],[TGL.NOTA]]))</f>
        <v/>
      </c>
      <c r="AN7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0" s="35" t="str">
        <f>IF(NOTA[[#This Row],[CONCAT1]]="","",MATCH(NOTA[[#This Row],[CONCAT1]],[3]!db[NB NOTA_C],0))</f>
        <v/>
      </c>
      <c r="AS740" s="35" t="str">
        <f>IF(NOTA[[#This Row],[Column5]]="","",TRUE)</f>
        <v/>
      </c>
      <c r="AT740" s="35" t="str">
        <f ca="1">IF(NOTA[[#This Row],[ID_H]]="","",IF(NOTA[[#This Row],[Column3]]=TRUE,NOTA[[#This Row],[Column5]],INDEX([3]!db[QTY/ CTN],NOTA[[#This Row],[//DB]])))</f>
        <v/>
      </c>
      <c r="AU7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0" s="35" t="str">
        <f ca="1">IF(NOTA[[#This Row],[ID_H]]="","",MATCH(NOTA[[#This Row],[NB NOTA_C_QTY]],[3]!db[NB NOTA_C_QTY+F],0))</f>
        <v/>
      </c>
      <c r="AW740" s="43" t="str">
        <f ca="1">IF(NOTA[[#This Row],[NB NOTA_C_QTY]]="","",ROW()-2)</f>
        <v/>
      </c>
    </row>
    <row r="741" spans="1:49" ht="20.100000000000001" customHeight="1">
      <c r="A7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5" t="str">
        <f ca="1">IF(NOTA[[#This Row],[NAMA BARANG]]="","",INDEX(NOTA[ID],MATCH(,INDIRECT(ADDRESS(ROW(NOTA[ID]),COLUMN(NOTA[ID]))&amp;":"&amp;ADDRESS(ROW(),COLUMN(NOTA[ID]))),-1)))</f>
        <v/>
      </c>
      <c r="C741" s="45"/>
      <c r="F741" s="46"/>
      <c r="G741" s="35"/>
      <c r="H741" s="36"/>
      <c r="I741" s="35"/>
      <c r="K741" s="37"/>
      <c r="L741" s="35"/>
      <c r="N741" s="38"/>
      <c r="O741" s="39"/>
      <c r="P741" s="47"/>
      <c r="Q741" s="48"/>
      <c r="R741" s="41"/>
      <c r="T741" s="42"/>
      <c r="U741" s="44"/>
      <c r="V741" s="42" t="str">
        <f>IF(NOTA[[#This Row],[HARGA/ CTN]]="",NOTA[[#This Row],[JUMLAH_H]],NOTA[[#This Row],[HARGA/ CTN]]*IF(NOTA[[#This Row],[C]]="",0,NOTA[[#This Row],[C]]))</f>
        <v/>
      </c>
      <c r="W741" s="42" t="str">
        <f>IF(NOTA[[#This Row],[JUMLAH]]="","",NOTA[[#This Row],[JUMLAH]]*NOTA[[#This Row],[Column6]])</f>
        <v/>
      </c>
      <c r="X741" s="42" t="str">
        <f>IF(NOTA[[#This Row],[JUMLAH]]="","",(NOTA[[#This Row],[JUMLAH]]-NOTA[[#This Row],[DISC 1-]])*NOTA[[#This Row],[Column7]])</f>
        <v/>
      </c>
      <c r="Y741" s="42" t="str">
        <f>IF(NOTA[[#This Row],[JUMLAH]]="","",(NOTA[[#This Row],[JUMLAH]]-NOTA[[#This Row],[DISC 1-]]-NOTA[[#This Row],[DISC 2-]])*NOTA[[#This Row],[Column8]])</f>
        <v/>
      </c>
      <c r="Z741" s="42" t="str">
        <f>IF(NOTA[[#This Row],[JUMLAH]]="","",NOTA[[#This Row],[DISC 1-]]+NOTA[[#This Row],[DISC 2-]]+NOTA[[#This Row],[DISC 3-]])</f>
        <v/>
      </c>
      <c r="AA741" s="42" t="str">
        <f>IF(NOTA[[#This Row],[JUMLAH]]="","",NOTA[[#This Row],[JUMLAH]]-NOTA[[#This Row],[DISC]])</f>
        <v/>
      </c>
      <c r="AB741" s="42"/>
      <c r="AC7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42" t="str">
        <f>IF(OR(NOTA[[#This Row],[QTY]]="",NOTA[[#This Row],[HARGA SATUAN]]="",),"",NOTA[[#This Row],[QTY]]*NOTA[[#This Row],[HARGA SATUAN]])</f>
        <v/>
      </c>
      <c r="AG741" s="36" t="str">
        <f ca="1">IF(NOTA[[#This Row],[ID_H]]="","",INDEX(NOTA[TANGGAL],MATCH(,INDIRECT(ADDRESS(ROW(NOTA[TANGGAL]),COLUMN(NOTA[TANGGAL]))&amp;":"&amp;ADDRESS(ROW(),COLUMN(NOTA[TANGGAL]))),-1)))</f>
        <v/>
      </c>
      <c r="AH741" s="36" t="str">
        <f ca="1">IF(NOTA[[#This Row],[ID_H]]="","",INDEX(NOTA[TGL.NOTA],MATCH(,INDIRECT(ADDRESS(ROW(NOTA[TGL.NOTA]),COLUMN(NOTA[TGL.NOTA]))&amp;":"&amp;ADDRESS(ROW(),COLUMN(NOTA[TGL.NOTA]))),-1)))</f>
        <v/>
      </c>
      <c r="AI741" s="36" t="str">
        <f ca="1">IF(NOTA[[#This Row],[ID_H]]="","",INDEX(NOTA[NO.NOTA],MATCH(NOTA[[#This Row],[ID_H]],NOTA[ID_H],0)))</f>
        <v/>
      </c>
      <c r="AJ741" s="38" t="str">
        <f ca="1">IF(NOTA[[#This Row],[NAMA BARANG]]="","",INDEX(NOTA[SUPPLIER],MATCH(,INDIRECT(ADDRESS(ROW(NOTA[ID]),COLUMN(NOTA[ID]))&amp;":"&amp;ADDRESS(ROW(),COLUMN(NOTA[ID]))),-1)))</f>
        <v/>
      </c>
      <c r="AK741" s="38" t="str">
        <f ca="1">IF(NOTA[[#This Row],[ID_H]]="","",IF(NOTA[[#This Row],[FAKTUR]]="",INDIRECT(ADDRESS(ROW()-1,COLUMN())),NOTA[[#This Row],[FAKTUR]]))</f>
        <v/>
      </c>
      <c r="AL741" s="35" t="str">
        <f ca="1">IF(NOTA[[#This Row],[ID]]="","",COUNTIF(NOTA[ID_H],NOTA[[#This Row],[ID_H]]))</f>
        <v/>
      </c>
      <c r="AM741" s="35" t="str">
        <f ca="1">IF(NOTA[[#This Row],[TGL.NOTA]]="",IF(NOTA[[#This Row],[SUPPLIER_H]]="","",AM740),MONTH(NOTA[[#This Row],[TGL.NOTA]]))</f>
        <v/>
      </c>
      <c r="AN7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1" s="35" t="str">
        <f>IF(NOTA[[#This Row],[CONCAT1]]="","",MATCH(NOTA[[#This Row],[CONCAT1]],[3]!db[NB NOTA_C],0))</f>
        <v/>
      </c>
      <c r="AS741" s="35" t="str">
        <f>IF(NOTA[[#This Row],[Column5]]="","",TRUE)</f>
        <v/>
      </c>
      <c r="AT741" s="35" t="str">
        <f ca="1">IF(NOTA[[#This Row],[ID_H]]="","",IF(NOTA[[#This Row],[Column3]]=TRUE,NOTA[[#This Row],[Column5]],INDEX([3]!db[QTY/ CTN],NOTA[[#This Row],[//DB]])))</f>
        <v/>
      </c>
      <c r="AU7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1" s="35" t="str">
        <f ca="1">IF(NOTA[[#This Row],[ID_H]]="","",MATCH(NOTA[[#This Row],[NB NOTA_C_QTY]],[3]!db[NB NOTA_C_QTY+F],0))</f>
        <v/>
      </c>
      <c r="AW741" s="43" t="str">
        <f ca="1">IF(NOTA[[#This Row],[NB NOTA_C_QTY]]="","",ROW()-2)</f>
        <v/>
      </c>
    </row>
    <row r="742" spans="1:49" ht="20.100000000000001" customHeight="1">
      <c r="A7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5" t="str">
        <f ca="1">IF(NOTA[[#This Row],[NAMA BARANG]]="","",INDEX(NOTA[ID],MATCH(,INDIRECT(ADDRESS(ROW(NOTA[ID]),COLUMN(NOTA[ID]))&amp;":"&amp;ADDRESS(ROW(),COLUMN(NOTA[ID]))),-1)))</f>
        <v/>
      </c>
      <c r="C742" s="45"/>
      <c r="F742" s="46"/>
      <c r="G742" s="35"/>
      <c r="H742" s="36"/>
      <c r="I742" s="35"/>
      <c r="K742" s="37"/>
      <c r="L742" s="35"/>
      <c r="N742" s="38"/>
      <c r="O742" s="39"/>
      <c r="P742" s="47"/>
      <c r="Q742" s="48"/>
      <c r="R742" s="41"/>
      <c r="T742" s="42"/>
      <c r="U742" s="44"/>
      <c r="V742" s="42" t="str">
        <f>IF(NOTA[[#This Row],[HARGA/ CTN]]="",NOTA[[#This Row],[JUMLAH_H]],NOTA[[#This Row],[HARGA/ CTN]]*IF(NOTA[[#This Row],[C]]="",0,NOTA[[#This Row],[C]]))</f>
        <v/>
      </c>
      <c r="W742" s="42" t="str">
        <f>IF(NOTA[[#This Row],[JUMLAH]]="","",NOTA[[#This Row],[JUMLAH]]*NOTA[[#This Row],[Column6]])</f>
        <v/>
      </c>
      <c r="X742" s="42" t="str">
        <f>IF(NOTA[[#This Row],[JUMLAH]]="","",(NOTA[[#This Row],[JUMLAH]]-NOTA[[#This Row],[DISC 1-]])*NOTA[[#This Row],[Column7]])</f>
        <v/>
      </c>
      <c r="Y742" s="42" t="str">
        <f>IF(NOTA[[#This Row],[JUMLAH]]="","",(NOTA[[#This Row],[JUMLAH]]-NOTA[[#This Row],[DISC 1-]]-NOTA[[#This Row],[DISC 2-]])*NOTA[[#This Row],[Column8]])</f>
        <v/>
      </c>
      <c r="Z742" s="42" t="str">
        <f>IF(NOTA[[#This Row],[JUMLAH]]="","",NOTA[[#This Row],[DISC 1-]]+NOTA[[#This Row],[DISC 2-]]+NOTA[[#This Row],[DISC 3-]])</f>
        <v/>
      </c>
      <c r="AA742" s="42" t="str">
        <f>IF(NOTA[[#This Row],[JUMLAH]]="","",NOTA[[#This Row],[JUMLAH]]-NOTA[[#This Row],[DISC]])</f>
        <v/>
      </c>
      <c r="AB742" s="42"/>
      <c r="AC7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42" t="str">
        <f>IF(OR(NOTA[[#This Row],[QTY]]="",NOTA[[#This Row],[HARGA SATUAN]]="",),"",NOTA[[#This Row],[QTY]]*NOTA[[#This Row],[HARGA SATUAN]])</f>
        <v/>
      </c>
      <c r="AG742" s="36" t="str">
        <f ca="1">IF(NOTA[[#This Row],[ID_H]]="","",INDEX(NOTA[TANGGAL],MATCH(,INDIRECT(ADDRESS(ROW(NOTA[TANGGAL]),COLUMN(NOTA[TANGGAL]))&amp;":"&amp;ADDRESS(ROW(),COLUMN(NOTA[TANGGAL]))),-1)))</f>
        <v/>
      </c>
      <c r="AH742" s="36" t="str">
        <f ca="1">IF(NOTA[[#This Row],[ID_H]]="","",INDEX(NOTA[TGL.NOTA],MATCH(,INDIRECT(ADDRESS(ROW(NOTA[TGL.NOTA]),COLUMN(NOTA[TGL.NOTA]))&amp;":"&amp;ADDRESS(ROW(),COLUMN(NOTA[TGL.NOTA]))),-1)))</f>
        <v/>
      </c>
      <c r="AI742" s="36" t="str">
        <f ca="1">IF(NOTA[[#This Row],[ID_H]]="","",INDEX(NOTA[NO.NOTA],MATCH(NOTA[[#This Row],[ID_H]],NOTA[ID_H],0)))</f>
        <v/>
      </c>
      <c r="AJ742" s="38" t="str">
        <f ca="1">IF(NOTA[[#This Row],[NAMA BARANG]]="","",INDEX(NOTA[SUPPLIER],MATCH(,INDIRECT(ADDRESS(ROW(NOTA[ID]),COLUMN(NOTA[ID]))&amp;":"&amp;ADDRESS(ROW(),COLUMN(NOTA[ID]))),-1)))</f>
        <v/>
      </c>
      <c r="AK742" s="38" t="str">
        <f ca="1">IF(NOTA[[#This Row],[ID_H]]="","",IF(NOTA[[#This Row],[FAKTUR]]="",INDIRECT(ADDRESS(ROW()-1,COLUMN())),NOTA[[#This Row],[FAKTUR]]))</f>
        <v/>
      </c>
      <c r="AL742" s="35" t="str">
        <f ca="1">IF(NOTA[[#This Row],[ID]]="","",COUNTIF(NOTA[ID_H],NOTA[[#This Row],[ID_H]]))</f>
        <v/>
      </c>
      <c r="AM742" s="35" t="str">
        <f ca="1">IF(NOTA[[#This Row],[TGL.NOTA]]="",IF(NOTA[[#This Row],[SUPPLIER_H]]="","",AM741),MONTH(NOTA[[#This Row],[TGL.NOTA]]))</f>
        <v/>
      </c>
      <c r="AN7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2" s="35" t="str">
        <f>IF(NOTA[[#This Row],[CONCAT1]]="","",MATCH(NOTA[[#This Row],[CONCAT1]],[3]!db[NB NOTA_C],0))</f>
        <v/>
      </c>
      <c r="AS742" s="35" t="str">
        <f>IF(NOTA[[#This Row],[Column5]]="","",TRUE)</f>
        <v/>
      </c>
      <c r="AT742" s="35" t="str">
        <f ca="1">IF(NOTA[[#This Row],[ID_H]]="","",IF(NOTA[[#This Row],[Column3]]=TRUE,NOTA[[#This Row],[Column5]],INDEX([3]!db[QTY/ CTN],NOTA[[#This Row],[//DB]])))</f>
        <v/>
      </c>
      <c r="AU7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2" s="35" t="str">
        <f ca="1">IF(NOTA[[#This Row],[ID_H]]="","",MATCH(NOTA[[#This Row],[NB NOTA_C_QTY]],[3]!db[NB NOTA_C_QTY+F],0))</f>
        <v/>
      </c>
      <c r="AW742" s="43" t="str">
        <f ca="1">IF(NOTA[[#This Row],[NB NOTA_C_QTY]]="","",ROW()-2)</f>
        <v/>
      </c>
    </row>
    <row r="743" spans="1:49" ht="20.100000000000001" customHeight="1">
      <c r="A7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5" t="str">
        <f ca="1">IF(NOTA[[#This Row],[NAMA BARANG]]="","",INDEX(NOTA[ID],MATCH(,INDIRECT(ADDRESS(ROW(NOTA[ID]),COLUMN(NOTA[ID]))&amp;":"&amp;ADDRESS(ROW(),COLUMN(NOTA[ID]))),-1)))</f>
        <v/>
      </c>
      <c r="C743" s="45"/>
      <c r="F743" s="46"/>
      <c r="G743" s="35"/>
      <c r="H743" s="36"/>
      <c r="I743" s="35"/>
      <c r="K743" s="37"/>
      <c r="L743" s="35"/>
      <c r="N743" s="38"/>
      <c r="O743" s="39"/>
      <c r="P743" s="47"/>
      <c r="Q743" s="48"/>
      <c r="R743" s="41"/>
      <c r="T743" s="42"/>
      <c r="U743" s="44"/>
      <c r="V743" s="42" t="str">
        <f>IF(NOTA[[#This Row],[HARGA/ CTN]]="",NOTA[[#This Row],[JUMLAH_H]],NOTA[[#This Row],[HARGA/ CTN]]*IF(NOTA[[#This Row],[C]]="",0,NOTA[[#This Row],[C]]))</f>
        <v/>
      </c>
      <c r="W743" s="42" t="str">
        <f>IF(NOTA[[#This Row],[JUMLAH]]="","",NOTA[[#This Row],[JUMLAH]]*NOTA[[#This Row],[Column6]])</f>
        <v/>
      </c>
      <c r="X743" s="42" t="str">
        <f>IF(NOTA[[#This Row],[JUMLAH]]="","",(NOTA[[#This Row],[JUMLAH]]-NOTA[[#This Row],[DISC 1-]])*NOTA[[#This Row],[Column7]])</f>
        <v/>
      </c>
      <c r="Y743" s="42" t="str">
        <f>IF(NOTA[[#This Row],[JUMLAH]]="","",(NOTA[[#This Row],[JUMLAH]]-NOTA[[#This Row],[DISC 1-]]-NOTA[[#This Row],[DISC 2-]])*NOTA[[#This Row],[Column8]])</f>
        <v/>
      </c>
      <c r="Z743" s="42" t="str">
        <f>IF(NOTA[[#This Row],[JUMLAH]]="","",NOTA[[#This Row],[DISC 1-]]+NOTA[[#This Row],[DISC 2-]]+NOTA[[#This Row],[DISC 3-]])</f>
        <v/>
      </c>
      <c r="AA743" s="42" t="str">
        <f>IF(NOTA[[#This Row],[JUMLAH]]="","",NOTA[[#This Row],[JUMLAH]]-NOTA[[#This Row],[DISC]])</f>
        <v/>
      </c>
      <c r="AB743" s="42"/>
      <c r="AC7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42" t="str">
        <f>IF(OR(NOTA[[#This Row],[QTY]]="",NOTA[[#This Row],[HARGA SATUAN]]="",),"",NOTA[[#This Row],[QTY]]*NOTA[[#This Row],[HARGA SATUAN]])</f>
        <v/>
      </c>
      <c r="AG743" s="36" t="str">
        <f ca="1">IF(NOTA[[#This Row],[ID_H]]="","",INDEX(NOTA[TANGGAL],MATCH(,INDIRECT(ADDRESS(ROW(NOTA[TANGGAL]),COLUMN(NOTA[TANGGAL]))&amp;":"&amp;ADDRESS(ROW(),COLUMN(NOTA[TANGGAL]))),-1)))</f>
        <v/>
      </c>
      <c r="AH743" s="36" t="str">
        <f ca="1">IF(NOTA[[#This Row],[ID_H]]="","",INDEX(NOTA[TGL.NOTA],MATCH(,INDIRECT(ADDRESS(ROW(NOTA[TGL.NOTA]),COLUMN(NOTA[TGL.NOTA]))&amp;":"&amp;ADDRESS(ROW(),COLUMN(NOTA[TGL.NOTA]))),-1)))</f>
        <v/>
      </c>
      <c r="AI743" s="36" t="str">
        <f ca="1">IF(NOTA[[#This Row],[ID_H]]="","",INDEX(NOTA[NO.NOTA],MATCH(NOTA[[#This Row],[ID_H]],NOTA[ID_H],0)))</f>
        <v/>
      </c>
      <c r="AJ743" s="38" t="str">
        <f ca="1">IF(NOTA[[#This Row],[NAMA BARANG]]="","",INDEX(NOTA[SUPPLIER],MATCH(,INDIRECT(ADDRESS(ROW(NOTA[ID]),COLUMN(NOTA[ID]))&amp;":"&amp;ADDRESS(ROW(),COLUMN(NOTA[ID]))),-1)))</f>
        <v/>
      </c>
      <c r="AK743" s="38" t="str">
        <f ca="1">IF(NOTA[[#This Row],[ID_H]]="","",IF(NOTA[[#This Row],[FAKTUR]]="",INDIRECT(ADDRESS(ROW()-1,COLUMN())),NOTA[[#This Row],[FAKTUR]]))</f>
        <v/>
      </c>
      <c r="AL743" s="35" t="str">
        <f ca="1">IF(NOTA[[#This Row],[ID]]="","",COUNTIF(NOTA[ID_H],NOTA[[#This Row],[ID_H]]))</f>
        <v/>
      </c>
      <c r="AM743" s="35" t="str">
        <f ca="1">IF(NOTA[[#This Row],[TGL.NOTA]]="",IF(NOTA[[#This Row],[SUPPLIER_H]]="","",AM742),MONTH(NOTA[[#This Row],[TGL.NOTA]]))</f>
        <v/>
      </c>
      <c r="AN7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3" s="35" t="str">
        <f>IF(NOTA[[#This Row],[CONCAT1]]="","",MATCH(NOTA[[#This Row],[CONCAT1]],[3]!db[NB NOTA_C],0))</f>
        <v/>
      </c>
      <c r="AS743" s="35" t="str">
        <f>IF(NOTA[[#This Row],[Column5]]="","",TRUE)</f>
        <v/>
      </c>
      <c r="AT743" s="35" t="str">
        <f ca="1">IF(NOTA[[#This Row],[ID_H]]="","",IF(NOTA[[#This Row],[Column3]]=TRUE,NOTA[[#This Row],[Column5]],INDEX([3]!db[QTY/ CTN],NOTA[[#This Row],[//DB]])))</f>
        <v/>
      </c>
      <c r="AU7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3" s="35" t="str">
        <f ca="1">IF(NOTA[[#This Row],[ID_H]]="","",MATCH(NOTA[[#This Row],[NB NOTA_C_QTY]],[3]!db[NB NOTA_C_QTY+F],0))</f>
        <v/>
      </c>
      <c r="AW743" s="43" t="str">
        <f ca="1">IF(NOTA[[#This Row],[NB NOTA_C_QTY]]="","",ROW()-2)</f>
        <v/>
      </c>
    </row>
    <row r="744" spans="1:49" ht="20.100000000000001" customHeight="1">
      <c r="A7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5" t="str">
        <f ca="1">IF(NOTA[[#This Row],[NAMA BARANG]]="","",INDEX(NOTA[ID],MATCH(,INDIRECT(ADDRESS(ROW(NOTA[ID]),COLUMN(NOTA[ID]))&amp;":"&amp;ADDRESS(ROW(),COLUMN(NOTA[ID]))),-1)))</f>
        <v/>
      </c>
      <c r="C744" s="45"/>
      <c r="F744" s="46"/>
      <c r="G744" s="35"/>
      <c r="H744" s="36"/>
      <c r="I744" s="35"/>
      <c r="K744" s="37"/>
      <c r="L744" s="35"/>
      <c r="N744" s="38"/>
      <c r="O744" s="39"/>
      <c r="P744" s="47"/>
      <c r="Q744" s="48"/>
      <c r="R744" s="41"/>
      <c r="T744" s="42"/>
      <c r="U744" s="44"/>
      <c r="V744" s="42" t="str">
        <f>IF(NOTA[[#This Row],[HARGA/ CTN]]="",NOTA[[#This Row],[JUMLAH_H]],NOTA[[#This Row],[HARGA/ CTN]]*IF(NOTA[[#This Row],[C]]="",0,NOTA[[#This Row],[C]]))</f>
        <v/>
      </c>
      <c r="W744" s="42" t="str">
        <f>IF(NOTA[[#This Row],[JUMLAH]]="","",NOTA[[#This Row],[JUMLAH]]*NOTA[[#This Row],[Column6]])</f>
        <v/>
      </c>
      <c r="X744" s="42" t="str">
        <f>IF(NOTA[[#This Row],[JUMLAH]]="","",(NOTA[[#This Row],[JUMLAH]]-NOTA[[#This Row],[DISC 1-]])*NOTA[[#This Row],[Column7]])</f>
        <v/>
      </c>
      <c r="Y744" s="42" t="str">
        <f>IF(NOTA[[#This Row],[JUMLAH]]="","",(NOTA[[#This Row],[JUMLAH]]-NOTA[[#This Row],[DISC 1-]]-NOTA[[#This Row],[DISC 2-]])*NOTA[[#This Row],[Column8]])</f>
        <v/>
      </c>
      <c r="Z744" s="42" t="str">
        <f>IF(NOTA[[#This Row],[JUMLAH]]="","",NOTA[[#This Row],[DISC 1-]]+NOTA[[#This Row],[DISC 2-]]+NOTA[[#This Row],[DISC 3-]])</f>
        <v/>
      </c>
      <c r="AA744" s="42" t="str">
        <f>IF(NOTA[[#This Row],[JUMLAH]]="","",NOTA[[#This Row],[JUMLAH]]-NOTA[[#This Row],[DISC]])</f>
        <v/>
      </c>
      <c r="AB744" s="42"/>
      <c r="AC7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42" t="str">
        <f>IF(OR(NOTA[[#This Row],[QTY]]="",NOTA[[#This Row],[HARGA SATUAN]]="",),"",NOTA[[#This Row],[QTY]]*NOTA[[#This Row],[HARGA SATUAN]])</f>
        <v/>
      </c>
      <c r="AG744" s="36" t="str">
        <f ca="1">IF(NOTA[[#This Row],[ID_H]]="","",INDEX(NOTA[TANGGAL],MATCH(,INDIRECT(ADDRESS(ROW(NOTA[TANGGAL]),COLUMN(NOTA[TANGGAL]))&amp;":"&amp;ADDRESS(ROW(),COLUMN(NOTA[TANGGAL]))),-1)))</f>
        <v/>
      </c>
      <c r="AH744" s="36" t="str">
        <f ca="1">IF(NOTA[[#This Row],[ID_H]]="","",INDEX(NOTA[TGL.NOTA],MATCH(,INDIRECT(ADDRESS(ROW(NOTA[TGL.NOTA]),COLUMN(NOTA[TGL.NOTA]))&amp;":"&amp;ADDRESS(ROW(),COLUMN(NOTA[TGL.NOTA]))),-1)))</f>
        <v/>
      </c>
      <c r="AI744" s="36" t="str">
        <f ca="1">IF(NOTA[[#This Row],[ID_H]]="","",INDEX(NOTA[NO.NOTA],MATCH(NOTA[[#This Row],[ID_H]],NOTA[ID_H],0)))</f>
        <v/>
      </c>
      <c r="AJ744" s="38" t="str">
        <f ca="1">IF(NOTA[[#This Row],[NAMA BARANG]]="","",INDEX(NOTA[SUPPLIER],MATCH(,INDIRECT(ADDRESS(ROW(NOTA[ID]),COLUMN(NOTA[ID]))&amp;":"&amp;ADDRESS(ROW(),COLUMN(NOTA[ID]))),-1)))</f>
        <v/>
      </c>
      <c r="AK744" s="38" t="str">
        <f ca="1">IF(NOTA[[#This Row],[ID_H]]="","",IF(NOTA[[#This Row],[FAKTUR]]="",INDIRECT(ADDRESS(ROW()-1,COLUMN())),NOTA[[#This Row],[FAKTUR]]))</f>
        <v/>
      </c>
      <c r="AL744" s="35" t="str">
        <f ca="1">IF(NOTA[[#This Row],[ID]]="","",COUNTIF(NOTA[ID_H],NOTA[[#This Row],[ID_H]]))</f>
        <v/>
      </c>
      <c r="AM744" s="35" t="str">
        <f ca="1">IF(NOTA[[#This Row],[TGL.NOTA]]="",IF(NOTA[[#This Row],[SUPPLIER_H]]="","",AM743),MONTH(NOTA[[#This Row],[TGL.NOTA]]))</f>
        <v/>
      </c>
      <c r="AN7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4" s="35" t="str">
        <f>IF(NOTA[[#This Row],[CONCAT1]]="","",MATCH(NOTA[[#This Row],[CONCAT1]],[3]!db[NB NOTA_C],0))</f>
        <v/>
      </c>
      <c r="AS744" s="35" t="str">
        <f>IF(NOTA[[#This Row],[Column5]]="","",TRUE)</f>
        <v/>
      </c>
      <c r="AT744" s="35" t="str">
        <f ca="1">IF(NOTA[[#This Row],[ID_H]]="","",IF(NOTA[[#This Row],[Column3]]=TRUE,NOTA[[#This Row],[Column5]],INDEX([3]!db[QTY/ CTN],NOTA[[#This Row],[//DB]])))</f>
        <v/>
      </c>
      <c r="AU7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4" s="35" t="str">
        <f ca="1">IF(NOTA[[#This Row],[ID_H]]="","",MATCH(NOTA[[#This Row],[NB NOTA_C_QTY]],[3]!db[NB NOTA_C_QTY+F],0))</f>
        <v/>
      </c>
      <c r="AW744" s="43" t="str">
        <f ca="1">IF(NOTA[[#This Row],[NB NOTA_C_QTY]]="","",ROW()-2)</f>
        <v/>
      </c>
    </row>
    <row r="745" spans="1:49" ht="20.100000000000001" customHeight="1">
      <c r="A7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5" t="str">
        <f ca="1">IF(NOTA[[#This Row],[NAMA BARANG]]="","",INDEX(NOTA[ID],MATCH(,INDIRECT(ADDRESS(ROW(NOTA[ID]),COLUMN(NOTA[ID]))&amp;":"&amp;ADDRESS(ROW(),COLUMN(NOTA[ID]))),-1)))</f>
        <v/>
      </c>
      <c r="C745" s="45"/>
      <c r="F745" s="46"/>
      <c r="G745" s="35"/>
      <c r="H745" s="36"/>
      <c r="I745" s="35"/>
      <c r="K745" s="37"/>
      <c r="L745" s="35"/>
      <c r="N745" s="38"/>
      <c r="O745" s="39"/>
      <c r="P745" s="47"/>
      <c r="Q745" s="48"/>
      <c r="R745" s="41"/>
      <c r="T745" s="42"/>
      <c r="U745" s="44"/>
      <c r="V745" s="42" t="str">
        <f>IF(NOTA[[#This Row],[HARGA/ CTN]]="",NOTA[[#This Row],[JUMLAH_H]],NOTA[[#This Row],[HARGA/ CTN]]*IF(NOTA[[#This Row],[C]]="",0,NOTA[[#This Row],[C]]))</f>
        <v/>
      </c>
      <c r="W745" s="42" t="str">
        <f>IF(NOTA[[#This Row],[JUMLAH]]="","",NOTA[[#This Row],[JUMLAH]]*NOTA[[#This Row],[Column6]])</f>
        <v/>
      </c>
      <c r="X745" s="42" t="str">
        <f>IF(NOTA[[#This Row],[JUMLAH]]="","",(NOTA[[#This Row],[JUMLAH]]-NOTA[[#This Row],[DISC 1-]])*NOTA[[#This Row],[Column7]])</f>
        <v/>
      </c>
      <c r="Y745" s="42" t="str">
        <f>IF(NOTA[[#This Row],[JUMLAH]]="","",(NOTA[[#This Row],[JUMLAH]]-NOTA[[#This Row],[DISC 1-]]-NOTA[[#This Row],[DISC 2-]])*NOTA[[#This Row],[Column8]])</f>
        <v/>
      </c>
      <c r="Z745" s="42" t="str">
        <f>IF(NOTA[[#This Row],[JUMLAH]]="","",NOTA[[#This Row],[DISC 1-]]+NOTA[[#This Row],[DISC 2-]]+NOTA[[#This Row],[DISC 3-]])</f>
        <v/>
      </c>
      <c r="AA745" s="42" t="str">
        <f>IF(NOTA[[#This Row],[JUMLAH]]="","",NOTA[[#This Row],[JUMLAH]]-NOTA[[#This Row],[DISC]])</f>
        <v/>
      </c>
      <c r="AB745" s="42"/>
      <c r="AC7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42" t="str">
        <f>IF(OR(NOTA[[#This Row],[QTY]]="",NOTA[[#This Row],[HARGA SATUAN]]="",),"",NOTA[[#This Row],[QTY]]*NOTA[[#This Row],[HARGA SATUAN]])</f>
        <v/>
      </c>
      <c r="AG745" s="36" t="str">
        <f ca="1">IF(NOTA[[#This Row],[ID_H]]="","",INDEX(NOTA[TANGGAL],MATCH(,INDIRECT(ADDRESS(ROW(NOTA[TANGGAL]),COLUMN(NOTA[TANGGAL]))&amp;":"&amp;ADDRESS(ROW(),COLUMN(NOTA[TANGGAL]))),-1)))</f>
        <v/>
      </c>
      <c r="AH745" s="36" t="str">
        <f ca="1">IF(NOTA[[#This Row],[ID_H]]="","",INDEX(NOTA[TGL.NOTA],MATCH(,INDIRECT(ADDRESS(ROW(NOTA[TGL.NOTA]),COLUMN(NOTA[TGL.NOTA]))&amp;":"&amp;ADDRESS(ROW(),COLUMN(NOTA[TGL.NOTA]))),-1)))</f>
        <v/>
      </c>
      <c r="AI745" s="36" t="str">
        <f ca="1">IF(NOTA[[#This Row],[ID_H]]="","",INDEX(NOTA[NO.NOTA],MATCH(NOTA[[#This Row],[ID_H]],NOTA[ID_H],0)))</f>
        <v/>
      </c>
      <c r="AJ745" s="38" t="str">
        <f ca="1">IF(NOTA[[#This Row],[NAMA BARANG]]="","",INDEX(NOTA[SUPPLIER],MATCH(,INDIRECT(ADDRESS(ROW(NOTA[ID]),COLUMN(NOTA[ID]))&amp;":"&amp;ADDRESS(ROW(),COLUMN(NOTA[ID]))),-1)))</f>
        <v/>
      </c>
      <c r="AK745" s="38" t="str">
        <f ca="1">IF(NOTA[[#This Row],[ID_H]]="","",IF(NOTA[[#This Row],[FAKTUR]]="",INDIRECT(ADDRESS(ROW()-1,COLUMN())),NOTA[[#This Row],[FAKTUR]]))</f>
        <v/>
      </c>
      <c r="AL745" s="35" t="str">
        <f ca="1">IF(NOTA[[#This Row],[ID]]="","",COUNTIF(NOTA[ID_H],NOTA[[#This Row],[ID_H]]))</f>
        <v/>
      </c>
      <c r="AM745" s="35" t="str">
        <f ca="1">IF(NOTA[[#This Row],[TGL.NOTA]]="",IF(NOTA[[#This Row],[SUPPLIER_H]]="","",AM744),MONTH(NOTA[[#This Row],[TGL.NOTA]]))</f>
        <v/>
      </c>
      <c r="AN7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5" s="35" t="str">
        <f>IF(NOTA[[#This Row],[CONCAT1]]="","",MATCH(NOTA[[#This Row],[CONCAT1]],[3]!db[NB NOTA_C],0))</f>
        <v/>
      </c>
      <c r="AS745" s="35" t="str">
        <f>IF(NOTA[[#This Row],[Column5]]="","",TRUE)</f>
        <v/>
      </c>
      <c r="AT745" s="35" t="str">
        <f ca="1">IF(NOTA[[#This Row],[ID_H]]="","",IF(NOTA[[#This Row],[Column3]]=TRUE,NOTA[[#This Row],[Column5]],INDEX([3]!db[QTY/ CTN],NOTA[[#This Row],[//DB]])))</f>
        <v/>
      </c>
      <c r="AU7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5" s="35" t="str">
        <f ca="1">IF(NOTA[[#This Row],[ID_H]]="","",MATCH(NOTA[[#This Row],[NB NOTA_C_QTY]],[3]!db[NB NOTA_C_QTY+F],0))</f>
        <v/>
      </c>
      <c r="AW745" s="43" t="str">
        <f ca="1">IF(NOTA[[#This Row],[NB NOTA_C_QTY]]="","",ROW()-2)</f>
        <v/>
      </c>
    </row>
    <row r="746" spans="1:49" ht="20.100000000000001" customHeight="1">
      <c r="A7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5" t="str">
        <f ca="1">IF(NOTA[[#This Row],[NAMA BARANG]]="","",INDEX(NOTA[ID],MATCH(,INDIRECT(ADDRESS(ROW(NOTA[ID]),COLUMN(NOTA[ID]))&amp;":"&amp;ADDRESS(ROW(),COLUMN(NOTA[ID]))),-1)))</f>
        <v/>
      </c>
      <c r="C746" s="45"/>
      <c r="F746" s="46"/>
      <c r="G746" s="35"/>
      <c r="H746" s="36"/>
      <c r="I746" s="35"/>
      <c r="K746" s="37"/>
      <c r="L746" s="35"/>
      <c r="N746" s="38"/>
      <c r="O746" s="39"/>
      <c r="P746" s="47"/>
      <c r="Q746" s="48"/>
      <c r="R746" s="41"/>
      <c r="T746" s="42"/>
      <c r="U746" s="44"/>
      <c r="V746" s="42" t="str">
        <f>IF(NOTA[[#This Row],[HARGA/ CTN]]="",NOTA[[#This Row],[JUMLAH_H]],NOTA[[#This Row],[HARGA/ CTN]]*IF(NOTA[[#This Row],[C]]="",0,NOTA[[#This Row],[C]]))</f>
        <v/>
      </c>
      <c r="W746" s="42" t="str">
        <f>IF(NOTA[[#This Row],[JUMLAH]]="","",NOTA[[#This Row],[JUMLAH]]*NOTA[[#This Row],[Column6]])</f>
        <v/>
      </c>
      <c r="X746" s="42" t="str">
        <f>IF(NOTA[[#This Row],[JUMLAH]]="","",(NOTA[[#This Row],[JUMLAH]]-NOTA[[#This Row],[DISC 1-]])*NOTA[[#This Row],[Column7]])</f>
        <v/>
      </c>
      <c r="Y746" s="42" t="str">
        <f>IF(NOTA[[#This Row],[JUMLAH]]="","",(NOTA[[#This Row],[JUMLAH]]-NOTA[[#This Row],[DISC 1-]]-NOTA[[#This Row],[DISC 2-]])*NOTA[[#This Row],[Column8]])</f>
        <v/>
      </c>
      <c r="Z746" s="42" t="str">
        <f>IF(NOTA[[#This Row],[JUMLAH]]="","",NOTA[[#This Row],[DISC 1-]]+NOTA[[#This Row],[DISC 2-]]+NOTA[[#This Row],[DISC 3-]])</f>
        <v/>
      </c>
      <c r="AA746" s="42" t="str">
        <f>IF(NOTA[[#This Row],[JUMLAH]]="","",NOTA[[#This Row],[JUMLAH]]-NOTA[[#This Row],[DISC]])</f>
        <v/>
      </c>
      <c r="AB746" s="42"/>
      <c r="AC7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42" t="str">
        <f>IF(OR(NOTA[[#This Row],[QTY]]="",NOTA[[#This Row],[HARGA SATUAN]]="",),"",NOTA[[#This Row],[QTY]]*NOTA[[#This Row],[HARGA SATUAN]])</f>
        <v/>
      </c>
      <c r="AG746" s="36" t="str">
        <f ca="1">IF(NOTA[[#This Row],[ID_H]]="","",INDEX(NOTA[TANGGAL],MATCH(,INDIRECT(ADDRESS(ROW(NOTA[TANGGAL]),COLUMN(NOTA[TANGGAL]))&amp;":"&amp;ADDRESS(ROW(),COLUMN(NOTA[TANGGAL]))),-1)))</f>
        <v/>
      </c>
      <c r="AH746" s="36" t="str">
        <f ca="1">IF(NOTA[[#This Row],[ID_H]]="","",INDEX(NOTA[TGL.NOTA],MATCH(,INDIRECT(ADDRESS(ROW(NOTA[TGL.NOTA]),COLUMN(NOTA[TGL.NOTA]))&amp;":"&amp;ADDRESS(ROW(),COLUMN(NOTA[TGL.NOTA]))),-1)))</f>
        <v/>
      </c>
      <c r="AI746" s="36" t="str">
        <f ca="1">IF(NOTA[[#This Row],[ID_H]]="","",INDEX(NOTA[NO.NOTA],MATCH(NOTA[[#This Row],[ID_H]],NOTA[ID_H],0)))</f>
        <v/>
      </c>
      <c r="AJ746" s="38" t="str">
        <f ca="1">IF(NOTA[[#This Row],[NAMA BARANG]]="","",INDEX(NOTA[SUPPLIER],MATCH(,INDIRECT(ADDRESS(ROW(NOTA[ID]),COLUMN(NOTA[ID]))&amp;":"&amp;ADDRESS(ROW(),COLUMN(NOTA[ID]))),-1)))</f>
        <v/>
      </c>
      <c r="AK746" s="38" t="str">
        <f ca="1">IF(NOTA[[#This Row],[ID_H]]="","",IF(NOTA[[#This Row],[FAKTUR]]="",INDIRECT(ADDRESS(ROW()-1,COLUMN())),NOTA[[#This Row],[FAKTUR]]))</f>
        <v/>
      </c>
      <c r="AL746" s="35" t="str">
        <f ca="1">IF(NOTA[[#This Row],[ID]]="","",COUNTIF(NOTA[ID_H],NOTA[[#This Row],[ID_H]]))</f>
        <v/>
      </c>
      <c r="AM746" s="35" t="str">
        <f ca="1">IF(NOTA[[#This Row],[TGL.NOTA]]="",IF(NOTA[[#This Row],[SUPPLIER_H]]="","",AM745),MONTH(NOTA[[#This Row],[TGL.NOTA]]))</f>
        <v/>
      </c>
      <c r="AN7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6" s="35" t="str">
        <f>IF(NOTA[[#This Row],[CONCAT1]]="","",MATCH(NOTA[[#This Row],[CONCAT1]],[3]!db[NB NOTA_C],0))</f>
        <v/>
      </c>
      <c r="AS746" s="35" t="str">
        <f>IF(NOTA[[#This Row],[Column5]]="","",TRUE)</f>
        <v/>
      </c>
      <c r="AT746" s="35" t="str">
        <f ca="1">IF(NOTA[[#This Row],[ID_H]]="","",IF(NOTA[[#This Row],[Column3]]=TRUE,NOTA[[#This Row],[Column5]],INDEX([3]!db[QTY/ CTN],NOTA[[#This Row],[//DB]])))</f>
        <v/>
      </c>
      <c r="AU7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6" s="35" t="str">
        <f ca="1">IF(NOTA[[#This Row],[ID_H]]="","",MATCH(NOTA[[#This Row],[NB NOTA_C_QTY]],[3]!db[NB NOTA_C_QTY+F],0))</f>
        <v/>
      </c>
      <c r="AW746" s="43" t="str">
        <f ca="1">IF(NOTA[[#This Row],[NB NOTA_C_QTY]]="","",ROW()-2)</f>
        <v/>
      </c>
    </row>
    <row r="747" spans="1:49" ht="20.100000000000001" customHeight="1">
      <c r="A7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5" t="str">
        <f ca="1">IF(NOTA[[#This Row],[NAMA BARANG]]="","",INDEX(NOTA[ID],MATCH(,INDIRECT(ADDRESS(ROW(NOTA[ID]),COLUMN(NOTA[ID]))&amp;":"&amp;ADDRESS(ROW(),COLUMN(NOTA[ID]))),-1)))</f>
        <v/>
      </c>
      <c r="C747" s="45"/>
      <c r="F747" s="46"/>
      <c r="G747" s="35"/>
      <c r="H747" s="36"/>
      <c r="I747" s="35"/>
      <c r="K747" s="37"/>
      <c r="L747" s="35"/>
      <c r="N747" s="38"/>
      <c r="O747" s="39"/>
      <c r="P747" s="47"/>
      <c r="Q747" s="48"/>
      <c r="R747" s="41"/>
      <c r="T747" s="42"/>
      <c r="U747" s="44"/>
      <c r="V747" s="42" t="str">
        <f>IF(NOTA[[#This Row],[HARGA/ CTN]]="",NOTA[[#This Row],[JUMLAH_H]],NOTA[[#This Row],[HARGA/ CTN]]*IF(NOTA[[#This Row],[C]]="",0,NOTA[[#This Row],[C]]))</f>
        <v/>
      </c>
      <c r="W747" s="42" t="str">
        <f>IF(NOTA[[#This Row],[JUMLAH]]="","",NOTA[[#This Row],[JUMLAH]]*NOTA[[#This Row],[Column6]])</f>
        <v/>
      </c>
      <c r="X747" s="42" t="str">
        <f>IF(NOTA[[#This Row],[JUMLAH]]="","",(NOTA[[#This Row],[JUMLAH]]-NOTA[[#This Row],[DISC 1-]])*NOTA[[#This Row],[Column7]])</f>
        <v/>
      </c>
      <c r="Y747" s="42" t="str">
        <f>IF(NOTA[[#This Row],[JUMLAH]]="","",(NOTA[[#This Row],[JUMLAH]]-NOTA[[#This Row],[DISC 1-]]-NOTA[[#This Row],[DISC 2-]])*NOTA[[#This Row],[Column8]])</f>
        <v/>
      </c>
      <c r="Z747" s="42" t="str">
        <f>IF(NOTA[[#This Row],[JUMLAH]]="","",NOTA[[#This Row],[DISC 1-]]+NOTA[[#This Row],[DISC 2-]]+NOTA[[#This Row],[DISC 3-]])</f>
        <v/>
      </c>
      <c r="AA747" s="42" t="str">
        <f>IF(NOTA[[#This Row],[JUMLAH]]="","",NOTA[[#This Row],[JUMLAH]]-NOTA[[#This Row],[DISC]])</f>
        <v/>
      </c>
      <c r="AB747" s="42"/>
      <c r="AC7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42" t="str">
        <f>IF(OR(NOTA[[#This Row],[QTY]]="",NOTA[[#This Row],[HARGA SATUAN]]="",),"",NOTA[[#This Row],[QTY]]*NOTA[[#This Row],[HARGA SATUAN]])</f>
        <v/>
      </c>
      <c r="AG747" s="36" t="str">
        <f ca="1">IF(NOTA[[#This Row],[ID_H]]="","",INDEX(NOTA[TANGGAL],MATCH(,INDIRECT(ADDRESS(ROW(NOTA[TANGGAL]),COLUMN(NOTA[TANGGAL]))&amp;":"&amp;ADDRESS(ROW(),COLUMN(NOTA[TANGGAL]))),-1)))</f>
        <v/>
      </c>
      <c r="AH747" s="36" t="str">
        <f ca="1">IF(NOTA[[#This Row],[ID_H]]="","",INDEX(NOTA[TGL.NOTA],MATCH(,INDIRECT(ADDRESS(ROW(NOTA[TGL.NOTA]),COLUMN(NOTA[TGL.NOTA]))&amp;":"&amp;ADDRESS(ROW(),COLUMN(NOTA[TGL.NOTA]))),-1)))</f>
        <v/>
      </c>
      <c r="AI747" s="36" t="str">
        <f ca="1">IF(NOTA[[#This Row],[ID_H]]="","",INDEX(NOTA[NO.NOTA],MATCH(NOTA[[#This Row],[ID_H]],NOTA[ID_H],0)))</f>
        <v/>
      </c>
      <c r="AJ747" s="38" t="str">
        <f ca="1">IF(NOTA[[#This Row],[NAMA BARANG]]="","",INDEX(NOTA[SUPPLIER],MATCH(,INDIRECT(ADDRESS(ROW(NOTA[ID]),COLUMN(NOTA[ID]))&amp;":"&amp;ADDRESS(ROW(),COLUMN(NOTA[ID]))),-1)))</f>
        <v/>
      </c>
      <c r="AK747" s="38" t="str">
        <f ca="1">IF(NOTA[[#This Row],[ID_H]]="","",IF(NOTA[[#This Row],[FAKTUR]]="",INDIRECT(ADDRESS(ROW()-1,COLUMN())),NOTA[[#This Row],[FAKTUR]]))</f>
        <v/>
      </c>
      <c r="AL747" s="35" t="str">
        <f ca="1">IF(NOTA[[#This Row],[ID]]="","",COUNTIF(NOTA[ID_H],NOTA[[#This Row],[ID_H]]))</f>
        <v/>
      </c>
      <c r="AM747" s="35" t="str">
        <f ca="1">IF(NOTA[[#This Row],[TGL.NOTA]]="",IF(NOTA[[#This Row],[SUPPLIER_H]]="","",AM746),MONTH(NOTA[[#This Row],[TGL.NOTA]]))</f>
        <v/>
      </c>
      <c r="AN7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7" s="35" t="str">
        <f>IF(NOTA[[#This Row],[CONCAT1]]="","",MATCH(NOTA[[#This Row],[CONCAT1]],[3]!db[NB NOTA_C],0))</f>
        <v/>
      </c>
      <c r="AS747" s="35" t="str">
        <f>IF(NOTA[[#This Row],[Column5]]="","",TRUE)</f>
        <v/>
      </c>
      <c r="AT747" s="35" t="str">
        <f ca="1">IF(NOTA[[#This Row],[ID_H]]="","",IF(NOTA[[#This Row],[Column3]]=TRUE,NOTA[[#This Row],[Column5]],INDEX([3]!db[QTY/ CTN],NOTA[[#This Row],[//DB]])))</f>
        <v/>
      </c>
      <c r="AU7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7" s="35" t="str">
        <f ca="1">IF(NOTA[[#This Row],[ID_H]]="","",MATCH(NOTA[[#This Row],[NB NOTA_C_QTY]],[3]!db[NB NOTA_C_QTY+F],0))</f>
        <v/>
      </c>
      <c r="AW747" s="43" t="str">
        <f ca="1">IF(NOTA[[#This Row],[NB NOTA_C_QTY]]="","",ROW()-2)</f>
        <v/>
      </c>
    </row>
    <row r="748" spans="1:49" ht="20.100000000000001" customHeight="1">
      <c r="A7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5" t="str">
        <f ca="1">IF(NOTA[[#This Row],[NAMA BARANG]]="","",INDEX(NOTA[ID],MATCH(,INDIRECT(ADDRESS(ROW(NOTA[ID]),COLUMN(NOTA[ID]))&amp;":"&amp;ADDRESS(ROW(),COLUMN(NOTA[ID]))),-1)))</f>
        <v/>
      </c>
      <c r="C748" s="45"/>
      <c r="F748" s="46"/>
      <c r="G748" s="35"/>
      <c r="H748" s="36"/>
      <c r="I748" s="35"/>
      <c r="K748" s="37"/>
      <c r="L748" s="35"/>
      <c r="N748" s="38"/>
      <c r="O748" s="39"/>
      <c r="P748" s="47"/>
      <c r="Q748" s="48"/>
      <c r="R748" s="41"/>
      <c r="T748" s="42"/>
      <c r="U748" s="44"/>
      <c r="V748" s="42" t="str">
        <f>IF(NOTA[[#This Row],[HARGA/ CTN]]="",NOTA[[#This Row],[JUMLAH_H]],NOTA[[#This Row],[HARGA/ CTN]]*IF(NOTA[[#This Row],[C]]="",0,NOTA[[#This Row],[C]]))</f>
        <v/>
      </c>
      <c r="W748" s="42" t="str">
        <f>IF(NOTA[[#This Row],[JUMLAH]]="","",NOTA[[#This Row],[JUMLAH]]*NOTA[[#This Row],[Column6]])</f>
        <v/>
      </c>
      <c r="X748" s="42" t="str">
        <f>IF(NOTA[[#This Row],[JUMLAH]]="","",(NOTA[[#This Row],[JUMLAH]]-NOTA[[#This Row],[DISC 1-]])*NOTA[[#This Row],[Column7]])</f>
        <v/>
      </c>
      <c r="Y748" s="42" t="str">
        <f>IF(NOTA[[#This Row],[JUMLAH]]="","",(NOTA[[#This Row],[JUMLAH]]-NOTA[[#This Row],[DISC 1-]]-NOTA[[#This Row],[DISC 2-]])*NOTA[[#This Row],[Column8]])</f>
        <v/>
      </c>
      <c r="Z748" s="42" t="str">
        <f>IF(NOTA[[#This Row],[JUMLAH]]="","",NOTA[[#This Row],[DISC 1-]]+NOTA[[#This Row],[DISC 2-]]+NOTA[[#This Row],[DISC 3-]])</f>
        <v/>
      </c>
      <c r="AA748" s="42" t="str">
        <f>IF(NOTA[[#This Row],[JUMLAH]]="","",NOTA[[#This Row],[JUMLAH]]-NOTA[[#This Row],[DISC]])</f>
        <v/>
      </c>
      <c r="AB748" s="42"/>
      <c r="AC7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42" t="str">
        <f>IF(OR(NOTA[[#This Row],[QTY]]="",NOTA[[#This Row],[HARGA SATUAN]]="",),"",NOTA[[#This Row],[QTY]]*NOTA[[#This Row],[HARGA SATUAN]])</f>
        <v/>
      </c>
      <c r="AG748" s="36" t="str">
        <f ca="1">IF(NOTA[[#This Row],[ID_H]]="","",INDEX(NOTA[TANGGAL],MATCH(,INDIRECT(ADDRESS(ROW(NOTA[TANGGAL]),COLUMN(NOTA[TANGGAL]))&amp;":"&amp;ADDRESS(ROW(),COLUMN(NOTA[TANGGAL]))),-1)))</f>
        <v/>
      </c>
      <c r="AH748" s="36" t="str">
        <f ca="1">IF(NOTA[[#This Row],[ID_H]]="","",INDEX(NOTA[TGL.NOTA],MATCH(,INDIRECT(ADDRESS(ROW(NOTA[TGL.NOTA]),COLUMN(NOTA[TGL.NOTA]))&amp;":"&amp;ADDRESS(ROW(),COLUMN(NOTA[TGL.NOTA]))),-1)))</f>
        <v/>
      </c>
      <c r="AI748" s="36" t="str">
        <f ca="1">IF(NOTA[[#This Row],[ID_H]]="","",INDEX(NOTA[NO.NOTA],MATCH(NOTA[[#This Row],[ID_H]],NOTA[ID_H],0)))</f>
        <v/>
      </c>
      <c r="AJ748" s="38" t="str">
        <f ca="1">IF(NOTA[[#This Row],[NAMA BARANG]]="","",INDEX(NOTA[SUPPLIER],MATCH(,INDIRECT(ADDRESS(ROW(NOTA[ID]),COLUMN(NOTA[ID]))&amp;":"&amp;ADDRESS(ROW(),COLUMN(NOTA[ID]))),-1)))</f>
        <v/>
      </c>
      <c r="AK748" s="38" t="str">
        <f ca="1">IF(NOTA[[#This Row],[ID_H]]="","",IF(NOTA[[#This Row],[FAKTUR]]="",INDIRECT(ADDRESS(ROW()-1,COLUMN())),NOTA[[#This Row],[FAKTUR]]))</f>
        <v/>
      </c>
      <c r="AL748" s="35" t="str">
        <f ca="1">IF(NOTA[[#This Row],[ID]]="","",COUNTIF(NOTA[ID_H],NOTA[[#This Row],[ID_H]]))</f>
        <v/>
      </c>
      <c r="AM748" s="35" t="str">
        <f ca="1">IF(NOTA[[#This Row],[TGL.NOTA]]="",IF(NOTA[[#This Row],[SUPPLIER_H]]="","",AM747),MONTH(NOTA[[#This Row],[TGL.NOTA]]))</f>
        <v/>
      </c>
      <c r="AN7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8" s="35" t="str">
        <f>IF(NOTA[[#This Row],[CONCAT1]]="","",MATCH(NOTA[[#This Row],[CONCAT1]],[3]!db[NB NOTA_C],0))</f>
        <v/>
      </c>
      <c r="AS748" s="35" t="str">
        <f>IF(NOTA[[#This Row],[Column5]]="","",TRUE)</f>
        <v/>
      </c>
      <c r="AT748" s="35" t="str">
        <f ca="1">IF(NOTA[[#This Row],[ID_H]]="","",IF(NOTA[[#This Row],[Column3]]=TRUE,NOTA[[#This Row],[Column5]],INDEX([3]!db[QTY/ CTN],NOTA[[#This Row],[//DB]])))</f>
        <v/>
      </c>
      <c r="AU7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8" s="35" t="str">
        <f ca="1">IF(NOTA[[#This Row],[ID_H]]="","",MATCH(NOTA[[#This Row],[NB NOTA_C_QTY]],[3]!db[NB NOTA_C_QTY+F],0))</f>
        <v/>
      </c>
      <c r="AW748" s="43" t="str">
        <f ca="1">IF(NOTA[[#This Row],[NB NOTA_C_QTY]]="","",ROW()-2)</f>
        <v/>
      </c>
    </row>
    <row r="749" spans="1:49" ht="20.100000000000001" customHeight="1">
      <c r="A7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5" t="str">
        <f ca="1">IF(NOTA[[#This Row],[NAMA BARANG]]="","",INDEX(NOTA[ID],MATCH(,INDIRECT(ADDRESS(ROW(NOTA[ID]),COLUMN(NOTA[ID]))&amp;":"&amp;ADDRESS(ROW(),COLUMN(NOTA[ID]))),-1)))</f>
        <v/>
      </c>
      <c r="C749" s="45"/>
      <c r="F749" s="46"/>
      <c r="G749" s="35"/>
      <c r="H749" s="36"/>
      <c r="I749" s="35"/>
      <c r="K749" s="37"/>
      <c r="L749" s="35"/>
      <c r="N749" s="38"/>
      <c r="O749" s="39"/>
      <c r="P749" s="47"/>
      <c r="Q749" s="48"/>
      <c r="R749" s="41"/>
      <c r="T749" s="42"/>
      <c r="U749" s="44"/>
      <c r="V749" s="42" t="str">
        <f>IF(NOTA[[#This Row],[HARGA/ CTN]]="",NOTA[[#This Row],[JUMLAH_H]],NOTA[[#This Row],[HARGA/ CTN]]*IF(NOTA[[#This Row],[C]]="",0,NOTA[[#This Row],[C]]))</f>
        <v/>
      </c>
      <c r="W749" s="42" t="str">
        <f>IF(NOTA[[#This Row],[JUMLAH]]="","",NOTA[[#This Row],[JUMLAH]]*NOTA[[#This Row],[Column6]])</f>
        <v/>
      </c>
      <c r="X749" s="42" t="str">
        <f>IF(NOTA[[#This Row],[JUMLAH]]="","",(NOTA[[#This Row],[JUMLAH]]-NOTA[[#This Row],[DISC 1-]])*NOTA[[#This Row],[Column7]])</f>
        <v/>
      </c>
      <c r="Y749" s="42" t="str">
        <f>IF(NOTA[[#This Row],[JUMLAH]]="","",(NOTA[[#This Row],[JUMLAH]]-NOTA[[#This Row],[DISC 1-]]-NOTA[[#This Row],[DISC 2-]])*NOTA[[#This Row],[Column8]])</f>
        <v/>
      </c>
      <c r="Z749" s="42" t="str">
        <f>IF(NOTA[[#This Row],[JUMLAH]]="","",NOTA[[#This Row],[DISC 1-]]+NOTA[[#This Row],[DISC 2-]]+NOTA[[#This Row],[DISC 3-]])</f>
        <v/>
      </c>
      <c r="AA749" s="42" t="str">
        <f>IF(NOTA[[#This Row],[JUMLAH]]="","",NOTA[[#This Row],[JUMLAH]]-NOTA[[#This Row],[DISC]])</f>
        <v/>
      </c>
      <c r="AB749" s="42"/>
      <c r="AC7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42" t="str">
        <f>IF(OR(NOTA[[#This Row],[QTY]]="",NOTA[[#This Row],[HARGA SATUAN]]="",),"",NOTA[[#This Row],[QTY]]*NOTA[[#This Row],[HARGA SATUAN]])</f>
        <v/>
      </c>
      <c r="AG749" s="36" t="str">
        <f ca="1">IF(NOTA[[#This Row],[ID_H]]="","",INDEX(NOTA[TANGGAL],MATCH(,INDIRECT(ADDRESS(ROW(NOTA[TANGGAL]),COLUMN(NOTA[TANGGAL]))&amp;":"&amp;ADDRESS(ROW(),COLUMN(NOTA[TANGGAL]))),-1)))</f>
        <v/>
      </c>
      <c r="AH749" s="36" t="str">
        <f ca="1">IF(NOTA[[#This Row],[ID_H]]="","",INDEX(NOTA[TGL.NOTA],MATCH(,INDIRECT(ADDRESS(ROW(NOTA[TGL.NOTA]),COLUMN(NOTA[TGL.NOTA]))&amp;":"&amp;ADDRESS(ROW(),COLUMN(NOTA[TGL.NOTA]))),-1)))</f>
        <v/>
      </c>
      <c r="AI749" s="36" t="str">
        <f ca="1">IF(NOTA[[#This Row],[ID_H]]="","",INDEX(NOTA[NO.NOTA],MATCH(NOTA[[#This Row],[ID_H]],NOTA[ID_H],0)))</f>
        <v/>
      </c>
      <c r="AJ749" s="38" t="str">
        <f ca="1">IF(NOTA[[#This Row],[NAMA BARANG]]="","",INDEX(NOTA[SUPPLIER],MATCH(,INDIRECT(ADDRESS(ROW(NOTA[ID]),COLUMN(NOTA[ID]))&amp;":"&amp;ADDRESS(ROW(),COLUMN(NOTA[ID]))),-1)))</f>
        <v/>
      </c>
      <c r="AK749" s="38" t="str">
        <f ca="1">IF(NOTA[[#This Row],[ID_H]]="","",IF(NOTA[[#This Row],[FAKTUR]]="",INDIRECT(ADDRESS(ROW()-1,COLUMN())),NOTA[[#This Row],[FAKTUR]]))</f>
        <v/>
      </c>
      <c r="AL749" s="35" t="str">
        <f ca="1">IF(NOTA[[#This Row],[ID]]="","",COUNTIF(NOTA[ID_H],NOTA[[#This Row],[ID_H]]))</f>
        <v/>
      </c>
      <c r="AM749" s="35" t="str">
        <f ca="1">IF(NOTA[[#This Row],[TGL.NOTA]]="",IF(NOTA[[#This Row],[SUPPLIER_H]]="","",AM748),MONTH(NOTA[[#This Row],[TGL.NOTA]]))</f>
        <v/>
      </c>
      <c r="AN7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9" s="35" t="str">
        <f>IF(NOTA[[#This Row],[CONCAT1]]="","",MATCH(NOTA[[#This Row],[CONCAT1]],[3]!db[NB NOTA_C],0))</f>
        <v/>
      </c>
      <c r="AS749" s="35" t="str">
        <f>IF(NOTA[[#This Row],[Column5]]="","",TRUE)</f>
        <v/>
      </c>
      <c r="AT749" s="35" t="str">
        <f ca="1">IF(NOTA[[#This Row],[ID_H]]="","",IF(NOTA[[#This Row],[Column3]]=TRUE,NOTA[[#This Row],[Column5]],INDEX([3]!db[QTY/ CTN],NOTA[[#This Row],[//DB]])))</f>
        <v/>
      </c>
      <c r="AU7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49" s="35" t="str">
        <f ca="1">IF(NOTA[[#This Row],[ID_H]]="","",MATCH(NOTA[[#This Row],[NB NOTA_C_QTY]],[3]!db[NB NOTA_C_QTY+F],0))</f>
        <v/>
      </c>
      <c r="AW749" s="43" t="str">
        <f ca="1">IF(NOTA[[#This Row],[NB NOTA_C_QTY]]="","",ROW()-2)</f>
        <v/>
      </c>
    </row>
    <row r="750" spans="1:49" ht="20.100000000000001" customHeight="1">
      <c r="A7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5" t="str">
        <f ca="1">IF(NOTA[[#This Row],[NAMA BARANG]]="","",INDEX(NOTA[ID],MATCH(,INDIRECT(ADDRESS(ROW(NOTA[ID]),COLUMN(NOTA[ID]))&amp;":"&amp;ADDRESS(ROW(),COLUMN(NOTA[ID]))),-1)))</f>
        <v/>
      </c>
      <c r="C750" s="45"/>
      <c r="F750" s="46"/>
      <c r="G750" s="35"/>
      <c r="H750" s="36"/>
      <c r="I750" s="35"/>
      <c r="K750" s="37"/>
      <c r="L750" s="35"/>
      <c r="N750" s="38"/>
      <c r="O750" s="39"/>
      <c r="P750" s="47"/>
      <c r="Q750" s="48"/>
      <c r="R750" s="41"/>
      <c r="T750" s="42"/>
      <c r="U750" s="44"/>
      <c r="V750" s="42" t="str">
        <f>IF(NOTA[[#This Row],[HARGA/ CTN]]="",NOTA[[#This Row],[JUMLAH_H]],NOTA[[#This Row],[HARGA/ CTN]]*IF(NOTA[[#This Row],[C]]="",0,NOTA[[#This Row],[C]]))</f>
        <v/>
      </c>
      <c r="W750" s="42" t="str">
        <f>IF(NOTA[[#This Row],[JUMLAH]]="","",NOTA[[#This Row],[JUMLAH]]*NOTA[[#This Row],[Column6]])</f>
        <v/>
      </c>
      <c r="X750" s="42" t="str">
        <f>IF(NOTA[[#This Row],[JUMLAH]]="","",(NOTA[[#This Row],[JUMLAH]]-NOTA[[#This Row],[DISC 1-]])*NOTA[[#This Row],[Column7]])</f>
        <v/>
      </c>
      <c r="Y750" s="42" t="str">
        <f>IF(NOTA[[#This Row],[JUMLAH]]="","",(NOTA[[#This Row],[JUMLAH]]-NOTA[[#This Row],[DISC 1-]]-NOTA[[#This Row],[DISC 2-]])*NOTA[[#This Row],[Column8]])</f>
        <v/>
      </c>
      <c r="Z750" s="42" t="str">
        <f>IF(NOTA[[#This Row],[JUMLAH]]="","",NOTA[[#This Row],[DISC 1-]]+NOTA[[#This Row],[DISC 2-]]+NOTA[[#This Row],[DISC 3-]])</f>
        <v/>
      </c>
      <c r="AA750" s="42" t="str">
        <f>IF(NOTA[[#This Row],[JUMLAH]]="","",NOTA[[#This Row],[JUMLAH]]-NOTA[[#This Row],[DISC]])</f>
        <v/>
      </c>
      <c r="AB750" s="42"/>
      <c r="AC7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42" t="str">
        <f>IF(OR(NOTA[[#This Row],[QTY]]="",NOTA[[#This Row],[HARGA SATUAN]]="",),"",NOTA[[#This Row],[QTY]]*NOTA[[#This Row],[HARGA SATUAN]])</f>
        <v/>
      </c>
      <c r="AG750" s="36" t="str">
        <f ca="1">IF(NOTA[[#This Row],[ID_H]]="","",INDEX(NOTA[TANGGAL],MATCH(,INDIRECT(ADDRESS(ROW(NOTA[TANGGAL]),COLUMN(NOTA[TANGGAL]))&amp;":"&amp;ADDRESS(ROW(),COLUMN(NOTA[TANGGAL]))),-1)))</f>
        <v/>
      </c>
      <c r="AH750" s="36" t="str">
        <f ca="1">IF(NOTA[[#This Row],[ID_H]]="","",INDEX(NOTA[TGL.NOTA],MATCH(,INDIRECT(ADDRESS(ROW(NOTA[TGL.NOTA]),COLUMN(NOTA[TGL.NOTA]))&amp;":"&amp;ADDRESS(ROW(),COLUMN(NOTA[TGL.NOTA]))),-1)))</f>
        <v/>
      </c>
      <c r="AI750" s="36" t="str">
        <f ca="1">IF(NOTA[[#This Row],[ID_H]]="","",INDEX(NOTA[NO.NOTA],MATCH(NOTA[[#This Row],[ID_H]],NOTA[ID_H],0)))</f>
        <v/>
      </c>
      <c r="AJ750" s="38" t="str">
        <f ca="1">IF(NOTA[[#This Row],[NAMA BARANG]]="","",INDEX(NOTA[SUPPLIER],MATCH(,INDIRECT(ADDRESS(ROW(NOTA[ID]),COLUMN(NOTA[ID]))&amp;":"&amp;ADDRESS(ROW(),COLUMN(NOTA[ID]))),-1)))</f>
        <v/>
      </c>
      <c r="AK750" s="38" t="str">
        <f ca="1">IF(NOTA[[#This Row],[ID_H]]="","",IF(NOTA[[#This Row],[FAKTUR]]="",INDIRECT(ADDRESS(ROW()-1,COLUMN())),NOTA[[#This Row],[FAKTUR]]))</f>
        <v/>
      </c>
      <c r="AL750" s="35" t="str">
        <f ca="1">IF(NOTA[[#This Row],[ID]]="","",COUNTIF(NOTA[ID_H],NOTA[[#This Row],[ID_H]]))</f>
        <v/>
      </c>
      <c r="AM750" s="35" t="str">
        <f ca="1">IF(NOTA[[#This Row],[TGL.NOTA]]="",IF(NOTA[[#This Row],[SUPPLIER_H]]="","",AM749),MONTH(NOTA[[#This Row],[TGL.NOTA]]))</f>
        <v/>
      </c>
      <c r="AN7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0" s="35" t="str">
        <f>IF(NOTA[[#This Row],[CONCAT1]]="","",MATCH(NOTA[[#This Row],[CONCAT1]],[3]!db[NB NOTA_C],0))</f>
        <v/>
      </c>
      <c r="AS750" s="35" t="str">
        <f>IF(NOTA[[#This Row],[Column5]]="","",TRUE)</f>
        <v/>
      </c>
      <c r="AT750" s="35" t="str">
        <f ca="1">IF(NOTA[[#This Row],[ID_H]]="","",IF(NOTA[[#This Row],[Column3]]=TRUE,NOTA[[#This Row],[Column5]],INDEX([3]!db[QTY/ CTN],NOTA[[#This Row],[//DB]])))</f>
        <v/>
      </c>
      <c r="AU7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0" s="35" t="str">
        <f ca="1">IF(NOTA[[#This Row],[ID_H]]="","",MATCH(NOTA[[#This Row],[NB NOTA_C_QTY]],[3]!db[NB NOTA_C_QTY+F],0))</f>
        <v/>
      </c>
      <c r="AW750" s="43" t="str">
        <f ca="1">IF(NOTA[[#This Row],[NB NOTA_C_QTY]]="","",ROW()-2)</f>
        <v/>
      </c>
    </row>
    <row r="751" spans="1:49" ht="20.100000000000001" customHeight="1">
      <c r="A7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5" t="str">
        <f ca="1">IF(NOTA[[#This Row],[NAMA BARANG]]="","",INDEX(NOTA[ID],MATCH(,INDIRECT(ADDRESS(ROW(NOTA[ID]),COLUMN(NOTA[ID]))&amp;":"&amp;ADDRESS(ROW(),COLUMN(NOTA[ID]))),-1)))</f>
        <v/>
      </c>
      <c r="C751" s="45"/>
      <c r="F751" s="46"/>
      <c r="G751" s="35"/>
      <c r="H751" s="36"/>
      <c r="I751" s="35"/>
      <c r="K751" s="37"/>
      <c r="L751" s="35"/>
      <c r="N751" s="38"/>
      <c r="O751" s="39"/>
      <c r="P751" s="47"/>
      <c r="Q751" s="48"/>
      <c r="R751" s="41"/>
      <c r="T751" s="42"/>
      <c r="U751" s="44"/>
      <c r="V751" s="42" t="str">
        <f>IF(NOTA[[#This Row],[HARGA/ CTN]]="",NOTA[[#This Row],[JUMLAH_H]],NOTA[[#This Row],[HARGA/ CTN]]*IF(NOTA[[#This Row],[C]]="",0,NOTA[[#This Row],[C]]))</f>
        <v/>
      </c>
      <c r="W751" s="42" t="str">
        <f>IF(NOTA[[#This Row],[JUMLAH]]="","",NOTA[[#This Row],[JUMLAH]]*NOTA[[#This Row],[Column6]])</f>
        <v/>
      </c>
      <c r="X751" s="42" t="str">
        <f>IF(NOTA[[#This Row],[JUMLAH]]="","",(NOTA[[#This Row],[JUMLAH]]-NOTA[[#This Row],[DISC 1-]])*NOTA[[#This Row],[Column7]])</f>
        <v/>
      </c>
      <c r="Y751" s="42" t="str">
        <f>IF(NOTA[[#This Row],[JUMLAH]]="","",(NOTA[[#This Row],[JUMLAH]]-NOTA[[#This Row],[DISC 1-]]-NOTA[[#This Row],[DISC 2-]])*NOTA[[#This Row],[Column8]])</f>
        <v/>
      </c>
      <c r="Z751" s="42" t="str">
        <f>IF(NOTA[[#This Row],[JUMLAH]]="","",NOTA[[#This Row],[DISC 1-]]+NOTA[[#This Row],[DISC 2-]]+NOTA[[#This Row],[DISC 3-]])</f>
        <v/>
      </c>
      <c r="AA751" s="42" t="str">
        <f>IF(NOTA[[#This Row],[JUMLAH]]="","",NOTA[[#This Row],[JUMLAH]]-NOTA[[#This Row],[DISC]])</f>
        <v/>
      </c>
      <c r="AB751" s="42"/>
      <c r="AC7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42" t="str">
        <f>IF(OR(NOTA[[#This Row],[QTY]]="",NOTA[[#This Row],[HARGA SATUAN]]="",),"",NOTA[[#This Row],[QTY]]*NOTA[[#This Row],[HARGA SATUAN]])</f>
        <v/>
      </c>
      <c r="AG751" s="36" t="str">
        <f ca="1">IF(NOTA[[#This Row],[ID_H]]="","",INDEX(NOTA[TANGGAL],MATCH(,INDIRECT(ADDRESS(ROW(NOTA[TANGGAL]),COLUMN(NOTA[TANGGAL]))&amp;":"&amp;ADDRESS(ROW(),COLUMN(NOTA[TANGGAL]))),-1)))</f>
        <v/>
      </c>
      <c r="AH751" s="36" t="str">
        <f ca="1">IF(NOTA[[#This Row],[ID_H]]="","",INDEX(NOTA[TGL.NOTA],MATCH(,INDIRECT(ADDRESS(ROW(NOTA[TGL.NOTA]),COLUMN(NOTA[TGL.NOTA]))&amp;":"&amp;ADDRESS(ROW(),COLUMN(NOTA[TGL.NOTA]))),-1)))</f>
        <v/>
      </c>
      <c r="AI751" s="36" t="str">
        <f ca="1">IF(NOTA[[#This Row],[ID_H]]="","",INDEX(NOTA[NO.NOTA],MATCH(NOTA[[#This Row],[ID_H]],NOTA[ID_H],0)))</f>
        <v/>
      </c>
      <c r="AJ751" s="38" t="str">
        <f ca="1">IF(NOTA[[#This Row],[NAMA BARANG]]="","",INDEX(NOTA[SUPPLIER],MATCH(,INDIRECT(ADDRESS(ROW(NOTA[ID]),COLUMN(NOTA[ID]))&amp;":"&amp;ADDRESS(ROW(),COLUMN(NOTA[ID]))),-1)))</f>
        <v/>
      </c>
      <c r="AK751" s="38" t="str">
        <f ca="1">IF(NOTA[[#This Row],[ID_H]]="","",IF(NOTA[[#This Row],[FAKTUR]]="",INDIRECT(ADDRESS(ROW()-1,COLUMN())),NOTA[[#This Row],[FAKTUR]]))</f>
        <v/>
      </c>
      <c r="AL751" s="35" t="str">
        <f ca="1">IF(NOTA[[#This Row],[ID]]="","",COUNTIF(NOTA[ID_H],NOTA[[#This Row],[ID_H]]))</f>
        <v/>
      </c>
      <c r="AM751" s="35" t="str">
        <f ca="1">IF(NOTA[[#This Row],[TGL.NOTA]]="",IF(NOTA[[#This Row],[SUPPLIER_H]]="","",AM750),MONTH(NOTA[[#This Row],[TGL.NOTA]]))</f>
        <v/>
      </c>
      <c r="AN7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1" s="35" t="str">
        <f>IF(NOTA[[#This Row],[CONCAT1]]="","",MATCH(NOTA[[#This Row],[CONCAT1]],[3]!db[NB NOTA_C],0))</f>
        <v/>
      </c>
      <c r="AS751" s="35" t="str">
        <f>IF(NOTA[[#This Row],[Column5]]="","",TRUE)</f>
        <v/>
      </c>
      <c r="AT751" s="35" t="str">
        <f ca="1">IF(NOTA[[#This Row],[ID_H]]="","",IF(NOTA[[#This Row],[Column3]]=TRUE,NOTA[[#This Row],[Column5]],INDEX([3]!db[QTY/ CTN],NOTA[[#This Row],[//DB]])))</f>
        <v/>
      </c>
      <c r="AU7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1" s="35" t="str">
        <f ca="1">IF(NOTA[[#This Row],[ID_H]]="","",MATCH(NOTA[[#This Row],[NB NOTA_C_QTY]],[3]!db[NB NOTA_C_QTY+F],0))</f>
        <v/>
      </c>
      <c r="AW751" s="43" t="str">
        <f ca="1">IF(NOTA[[#This Row],[NB NOTA_C_QTY]]="","",ROW()-2)</f>
        <v/>
      </c>
    </row>
    <row r="752" spans="1:49" ht="20.100000000000001" customHeight="1">
      <c r="A7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5" t="str">
        <f ca="1">IF(NOTA[[#This Row],[NAMA BARANG]]="","",INDEX(NOTA[ID],MATCH(,INDIRECT(ADDRESS(ROW(NOTA[ID]),COLUMN(NOTA[ID]))&amp;":"&amp;ADDRESS(ROW(),COLUMN(NOTA[ID]))),-1)))</f>
        <v/>
      </c>
      <c r="C752" s="45"/>
      <c r="F752" s="46"/>
      <c r="G752" s="35"/>
      <c r="H752" s="36"/>
      <c r="I752" s="35"/>
      <c r="K752" s="37"/>
      <c r="L752" s="35"/>
      <c r="N752" s="38"/>
      <c r="O752" s="39"/>
      <c r="P752" s="47"/>
      <c r="Q752" s="48"/>
      <c r="R752" s="41"/>
      <c r="T752" s="42"/>
      <c r="U752" s="44"/>
      <c r="V752" s="42" t="str">
        <f>IF(NOTA[[#This Row],[HARGA/ CTN]]="",NOTA[[#This Row],[JUMLAH_H]],NOTA[[#This Row],[HARGA/ CTN]]*IF(NOTA[[#This Row],[C]]="",0,NOTA[[#This Row],[C]]))</f>
        <v/>
      </c>
      <c r="W752" s="42" t="str">
        <f>IF(NOTA[[#This Row],[JUMLAH]]="","",NOTA[[#This Row],[JUMLAH]]*NOTA[[#This Row],[Column6]])</f>
        <v/>
      </c>
      <c r="X752" s="42" t="str">
        <f>IF(NOTA[[#This Row],[JUMLAH]]="","",(NOTA[[#This Row],[JUMLAH]]-NOTA[[#This Row],[DISC 1-]])*NOTA[[#This Row],[Column7]])</f>
        <v/>
      </c>
      <c r="Y752" s="42" t="str">
        <f>IF(NOTA[[#This Row],[JUMLAH]]="","",(NOTA[[#This Row],[JUMLAH]]-NOTA[[#This Row],[DISC 1-]]-NOTA[[#This Row],[DISC 2-]])*NOTA[[#This Row],[Column8]])</f>
        <v/>
      </c>
      <c r="Z752" s="42" t="str">
        <f>IF(NOTA[[#This Row],[JUMLAH]]="","",NOTA[[#This Row],[DISC 1-]]+NOTA[[#This Row],[DISC 2-]]+NOTA[[#This Row],[DISC 3-]])</f>
        <v/>
      </c>
      <c r="AA752" s="42" t="str">
        <f>IF(NOTA[[#This Row],[JUMLAH]]="","",NOTA[[#This Row],[JUMLAH]]-NOTA[[#This Row],[DISC]])</f>
        <v/>
      </c>
      <c r="AB752" s="42"/>
      <c r="AC7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42" t="str">
        <f>IF(OR(NOTA[[#This Row],[QTY]]="",NOTA[[#This Row],[HARGA SATUAN]]="",),"",NOTA[[#This Row],[QTY]]*NOTA[[#This Row],[HARGA SATUAN]])</f>
        <v/>
      </c>
      <c r="AG752" s="36" t="str">
        <f ca="1">IF(NOTA[[#This Row],[ID_H]]="","",INDEX(NOTA[TANGGAL],MATCH(,INDIRECT(ADDRESS(ROW(NOTA[TANGGAL]),COLUMN(NOTA[TANGGAL]))&amp;":"&amp;ADDRESS(ROW(),COLUMN(NOTA[TANGGAL]))),-1)))</f>
        <v/>
      </c>
      <c r="AH752" s="36" t="str">
        <f ca="1">IF(NOTA[[#This Row],[ID_H]]="","",INDEX(NOTA[TGL.NOTA],MATCH(,INDIRECT(ADDRESS(ROW(NOTA[TGL.NOTA]),COLUMN(NOTA[TGL.NOTA]))&amp;":"&amp;ADDRESS(ROW(),COLUMN(NOTA[TGL.NOTA]))),-1)))</f>
        <v/>
      </c>
      <c r="AI752" s="36" t="str">
        <f ca="1">IF(NOTA[[#This Row],[ID_H]]="","",INDEX(NOTA[NO.NOTA],MATCH(NOTA[[#This Row],[ID_H]],NOTA[ID_H],0)))</f>
        <v/>
      </c>
      <c r="AJ752" s="38" t="str">
        <f ca="1">IF(NOTA[[#This Row],[NAMA BARANG]]="","",INDEX(NOTA[SUPPLIER],MATCH(,INDIRECT(ADDRESS(ROW(NOTA[ID]),COLUMN(NOTA[ID]))&amp;":"&amp;ADDRESS(ROW(),COLUMN(NOTA[ID]))),-1)))</f>
        <v/>
      </c>
      <c r="AK752" s="38" t="str">
        <f ca="1">IF(NOTA[[#This Row],[ID_H]]="","",IF(NOTA[[#This Row],[FAKTUR]]="",INDIRECT(ADDRESS(ROW()-1,COLUMN())),NOTA[[#This Row],[FAKTUR]]))</f>
        <v/>
      </c>
      <c r="AL752" s="35" t="str">
        <f ca="1">IF(NOTA[[#This Row],[ID]]="","",COUNTIF(NOTA[ID_H],NOTA[[#This Row],[ID_H]]))</f>
        <v/>
      </c>
      <c r="AM752" s="35" t="str">
        <f ca="1">IF(NOTA[[#This Row],[TGL.NOTA]]="",IF(NOTA[[#This Row],[SUPPLIER_H]]="","",AM751),MONTH(NOTA[[#This Row],[TGL.NOTA]]))</f>
        <v/>
      </c>
      <c r="AN7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2" s="35" t="str">
        <f>IF(NOTA[[#This Row],[CONCAT1]]="","",MATCH(NOTA[[#This Row],[CONCAT1]],[3]!db[NB NOTA_C],0))</f>
        <v/>
      </c>
      <c r="AS752" s="35" t="str">
        <f>IF(NOTA[[#This Row],[Column5]]="","",TRUE)</f>
        <v/>
      </c>
      <c r="AT752" s="35" t="str">
        <f ca="1">IF(NOTA[[#This Row],[ID_H]]="","",IF(NOTA[[#This Row],[Column3]]=TRUE,NOTA[[#This Row],[Column5]],INDEX([3]!db[QTY/ CTN],NOTA[[#This Row],[//DB]])))</f>
        <v/>
      </c>
      <c r="AU7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2" s="35" t="str">
        <f ca="1">IF(NOTA[[#This Row],[ID_H]]="","",MATCH(NOTA[[#This Row],[NB NOTA_C_QTY]],[3]!db[NB NOTA_C_QTY+F],0))</f>
        <v/>
      </c>
      <c r="AW752" s="43" t="str">
        <f ca="1">IF(NOTA[[#This Row],[NB NOTA_C_QTY]]="","",ROW()-2)</f>
        <v/>
      </c>
    </row>
    <row r="753" spans="1:49" ht="20.100000000000001" customHeight="1">
      <c r="A7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5" t="str">
        <f ca="1">IF(NOTA[[#This Row],[NAMA BARANG]]="","",INDEX(NOTA[ID],MATCH(,INDIRECT(ADDRESS(ROW(NOTA[ID]),COLUMN(NOTA[ID]))&amp;":"&amp;ADDRESS(ROW(),COLUMN(NOTA[ID]))),-1)))</f>
        <v/>
      </c>
      <c r="C753" s="45"/>
      <c r="F753" s="46"/>
      <c r="G753" s="35"/>
      <c r="H753" s="36"/>
      <c r="I753" s="35"/>
      <c r="K753" s="37"/>
      <c r="L753" s="35"/>
      <c r="N753" s="38"/>
      <c r="O753" s="39"/>
      <c r="P753" s="47"/>
      <c r="Q753" s="48"/>
      <c r="R753" s="41"/>
      <c r="T753" s="42"/>
      <c r="U753" s="44"/>
      <c r="V753" s="42" t="str">
        <f>IF(NOTA[[#This Row],[HARGA/ CTN]]="",NOTA[[#This Row],[JUMLAH_H]],NOTA[[#This Row],[HARGA/ CTN]]*IF(NOTA[[#This Row],[C]]="",0,NOTA[[#This Row],[C]]))</f>
        <v/>
      </c>
      <c r="W753" s="42" t="str">
        <f>IF(NOTA[[#This Row],[JUMLAH]]="","",NOTA[[#This Row],[JUMLAH]]*NOTA[[#This Row],[Column6]])</f>
        <v/>
      </c>
      <c r="X753" s="42" t="str">
        <f>IF(NOTA[[#This Row],[JUMLAH]]="","",(NOTA[[#This Row],[JUMLAH]]-NOTA[[#This Row],[DISC 1-]])*NOTA[[#This Row],[Column7]])</f>
        <v/>
      </c>
      <c r="Y753" s="42" t="str">
        <f>IF(NOTA[[#This Row],[JUMLAH]]="","",(NOTA[[#This Row],[JUMLAH]]-NOTA[[#This Row],[DISC 1-]]-NOTA[[#This Row],[DISC 2-]])*NOTA[[#This Row],[Column8]])</f>
        <v/>
      </c>
      <c r="Z753" s="42" t="str">
        <f>IF(NOTA[[#This Row],[JUMLAH]]="","",NOTA[[#This Row],[DISC 1-]]+NOTA[[#This Row],[DISC 2-]]+NOTA[[#This Row],[DISC 3-]])</f>
        <v/>
      </c>
      <c r="AA753" s="42" t="str">
        <f>IF(NOTA[[#This Row],[JUMLAH]]="","",NOTA[[#This Row],[JUMLAH]]-NOTA[[#This Row],[DISC]])</f>
        <v/>
      </c>
      <c r="AB753" s="42"/>
      <c r="AC7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42" t="str">
        <f>IF(OR(NOTA[[#This Row],[QTY]]="",NOTA[[#This Row],[HARGA SATUAN]]="",),"",NOTA[[#This Row],[QTY]]*NOTA[[#This Row],[HARGA SATUAN]])</f>
        <v/>
      </c>
      <c r="AG753" s="36" t="str">
        <f ca="1">IF(NOTA[[#This Row],[ID_H]]="","",INDEX(NOTA[TANGGAL],MATCH(,INDIRECT(ADDRESS(ROW(NOTA[TANGGAL]),COLUMN(NOTA[TANGGAL]))&amp;":"&amp;ADDRESS(ROW(),COLUMN(NOTA[TANGGAL]))),-1)))</f>
        <v/>
      </c>
      <c r="AH753" s="36" t="str">
        <f ca="1">IF(NOTA[[#This Row],[ID_H]]="","",INDEX(NOTA[TGL.NOTA],MATCH(,INDIRECT(ADDRESS(ROW(NOTA[TGL.NOTA]),COLUMN(NOTA[TGL.NOTA]))&amp;":"&amp;ADDRESS(ROW(),COLUMN(NOTA[TGL.NOTA]))),-1)))</f>
        <v/>
      </c>
      <c r="AI753" s="36" t="str">
        <f ca="1">IF(NOTA[[#This Row],[ID_H]]="","",INDEX(NOTA[NO.NOTA],MATCH(NOTA[[#This Row],[ID_H]],NOTA[ID_H],0)))</f>
        <v/>
      </c>
      <c r="AJ753" s="38" t="str">
        <f ca="1">IF(NOTA[[#This Row],[NAMA BARANG]]="","",INDEX(NOTA[SUPPLIER],MATCH(,INDIRECT(ADDRESS(ROW(NOTA[ID]),COLUMN(NOTA[ID]))&amp;":"&amp;ADDRESS(ROW(),COLUMN(NOTA[ID]))),-1)))</f>
        <v/>
      </c>
      <c r="AK753" s="38" t="str">
        <f ca="1">IF(NOTA[[#This Row],[ID_H]]="","",IF(NOTA[[#This Row],[FAKTUR]]="",INDIRECT(ADDRESS(ROW()-1,COLUMN())),NOTA[[#This Row],[FAKTUR]]))</f>
        <v/>
      </c>
      <c r="AL753" s="35" t="str">
        <f ca="1">IF(NOTA[[#This Row],[ID]]="","",COUNTIF(NOTA[ID_H],NOTA[[#This Row],[ID_H]]))</f>
        <v/>
      </c>
      <c r="AM753" s="35" t="str">
        <f ca="1">IF(NOTA[[#This Row],[TGL.NOTA]]="",IF(NOTA[[#This Row],[SUPPLIER_H]]="","",AM752),MONTH(NOTA[[#This Row],[TGL.NOTA]]))</f>
        <v/>
      </c>
      <c r="AN7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3" s="35" t="str">
        <f>IF(NOTA[[#This Row],[CONCAT1]]="","",MATCH(NOTA[[#This Row],[CONCAT1]],[3]!db[NB NOTA_C],0))</f>
        <v/>
      </c>
      <c r="AS753" s="35" t="str">
        <f>IF(NOTA[[#This Row],[Column5]]="","",TRUE)</f>
        <v/>
      </c>
      <c r="AT753" s="35" t="str">
        <f ca="1">IF(NOTA[[#This Row],[ID_H]]="","",IF(NOTA[[#This Row],[Column3]]=TRUE,NOTA[[#This Row],[Column5]],INDEX([3]!db[QTY/ CTN],NOTA[[#This Row],[//DB]])))</f>
        <v/>
      </c>
      <c r="AU7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3" s="35" t="str">
        <f ca="1">IF(NOTA[[#This Row],[ID_H]]="","",MATCH(NOTA[[#This Row],[NB NOTA_C_QTY]],[3]!db[NB NOTA_C_QTY+F],0))</f>
        <v/>
      </c>
      <c r="AW753" s="43" t="str">
        <f ca="1">IF(NOTA[[#This Row],[NB NOTA_C_QTY]]="","",ROW()-2)</f>
        <v/>
      </c>
    </row>
    <row r="754" spans="1:49" ht="20.100000000000001" customHeight="1">
      <c r="A7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5" t="str">
        <f ca="1">IF(NOTA[[#This Row],[NAMA BARANG]]="","",INDEX(NOTA[ID],MATCH(,INDIRECT(ADDRESS(ROW(NOTA[ID]),COLUMN(NOTA[ID]))&amp;":"&amp;ADDRESS(ROW(),COLUMN(NOTA[ID]))),-1)))</f>
        <v/>
      </c>
      <c r="C754" s="45"/>
      <c r="F754" s="46"/>
      <c r="G754" s="35"/>
      <c r="H754" s="36"/>
      <c r="I754" s="35"/>
      <c r="K754" s="37"/>
      <c r="L754" s="35"/>
      <c r="N754" s="38"/>
      <c r="O754" s="39"/>
      <c r="P754" s="47"/>
      <c r="Q754" s="48"/>
      <c r="R754" s="41"/>
      <c r="T754" s="42"/>
      <c r="U754" s="44"/>
      <c r="V754" s="42" t="str">
        <f>IF(NOTA[[#This Row],[HARGA/ CTN]]="",NOTA[[#This Row],[JUMLAH_H]],NOTA[[#This Row],[HARGA/ CTN]]*IF(NOTA[[#This Row],[C]]="",0,NOTA[[#This Row],[C]]))</f>
        <v/>
      </c>
      <c r="W754" s="42" t="str">
        <f>IF(NOTA[[#This Row],[JUMLAH]]="","",NOTA[[#This Row],[JUMLAH]]*NOTA[[#This Row],[Column6]])</f>
        <v/>
      </c>
      <c r="X754" s="42" t="str">
        <f>IF(NOTA[[#This Row],[JUMLAH]]="","",(NOTA[[#This Row],[JUMLAH]]-NOTA[[#This Row],[DISC 1-]])*NOTA[[#This Row],[Column7]])</f>
        <v/>
      </c>
      <c r="Y754" s="42" t="str">
        <f>IF(NOTA[[#This Row],[JUMLAH]]="","",(NOTA[[#This Row],[JUMLAH]]-NOTA[[#This Row],[DISC 1-]]-NOTA[[#This Row],[DISC 2-]])*NOTA[[#This Row],[Column8]])</f>
        <v/>
      </c>
      <c r="Z754" s="42" t="str">
        <f>IF(NOTA[[#This Row],[JUMLAH]]="","",NOTA[[#This Row],[DISC 1-]]+NOTA[[#This Row],[DISC 2-]]+NOTA[[#This Row],[DISC 3-]])</f>
        <v/>
      </c>
      <c r="AA754" s="42" t="str">
        <f>IF(NOTA[[#This Row],[JUMLAH]]="","",NOTA[[#This Row],[JUMLAH]]-NOTA[[#This Row],[DISC]])</f>
        <v/>
      </c>
      <c r="AB754" s="42"/>
      <c r="AC7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42" t="str">
        <f>IF(OR(NOTA[[#This Row],[QTY]]="",NOTA[[#This Row],[HARGA SATUAN]]="",),"",NOTA[[#This Row],[QTY]]*NOTA[[#This Row],[HARGA SATUAN]])</f>
        <v/>
      </c>
      <c r="AG754" s="36" t="str">
        <f ca="1">IF(NOTA[[#This Row],[ID_H]]="","",INDEX(NOTA[TANGGAL],MATCH(,INDIRECT(ADDRESS(ROW(NOTA[TANGGAL]),COLUMN(NOTA[TANGGAL]))&amp;":"&amp;ADDRESS(ROW(),COLUMN(NOTA[TANGGAL]))),-1)))</f>
        <v/>
      </c>
      <c r="AH754" s="36" t="str">
        <f ca="1">IF(NOTA[[#This Row],[ID_H]]="","",INDEX(NOTA[TGL.NOTA],MATCH(,INDIRECT(ADDRESS(ROW(NOTA[TGL.NOTA]),COLUMN(NOTA[TGL.NOTA]))&amp;":"&amp;ADDRESS(ROW(),COLUMN(NOTA[TGL.NOTA]))),-1)))</f>
        <v/>
      </c>
      <c r="AI754" s="36" t="str">
        <f ca="1">IF(NOTA[[#This Row],[ID_H]]="","",INDEX(NOTA[NO.NOTA],MATCH(NOTA[[#This Row],[ID_H]],NOTA[ID_H],0)))</f>
        <v/>
      </c>
      <c r="AJ754" s="38" t="str">
        <f ca="1">IF(NOTA[[#This Row],[NAMA BARANG]]="","",INDEX(NOTA[SUPPLIER],MATCH(,INDIRECT(ADDRESS(ROW(NOTA[ID]),COLUMN(NOTA[ID]))&amp;":"&amp;ADDRESS(ROW(),COLUMN(NOTA[ID]))),-1)))</f>
        <v/>
      </c>
      <c r="AK754" s="38" t="str">
        <f ca="1">IF(NOTA[[#This Row],[ID_H]]="","",IF(NOTA[[#This Row],[FAKTUR]]="",INDIRECT(ADDRESS(ROW()-1,COLUMN())),NOTA[[#This Row],[FAKTUR]]))</f>
        <v/>
      </c>
      <c r="AL754" s="35" t="str">
        <f ca="1">IF(NOTA[[#This Row],[ID]]="","",COUNTIF(NOTA[ID_H],NOTA[[#This Row],[ID_H]]))</f>
        <v/>
      </c>
      <c r="AM754" s="35" t="str">
        <f ca="1">IF(NOTA[[#This Row],[TGL.NOTA]]="",IF(NOTA[[#This Row],[SUPPLIER_H]]="","",AM753),MONTH(NOTA[[#This Row],[TGL.NOTA]]))</f>
        <v/>
      </c>
      <c r="AN7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4" s="35" t="str">
        <f>IF(NOTA[[#This Row],[CONCAT1]]="","",MATCH(NOTA[[#This Row],[CONCAT1]],[3]!db[NB NOTA_C],0))</f>
        <v/>
      </c>
      <c r="AS754" s="35" t="str">
        <f>IF(NOTA[[#This Row],[Column5]]="","",TRUE)</f>
        <v/>
      </c>
      <c r="AT754" s="35" t="str">
        <f ca="1">IF(NOTA[[#This Row],[ID_H]]="","",IF(NOTA[[#This Row],[Column3]]=TRUE,NOTA[[#This Row],[Column5]],INDEX([3]!db[QTY/ CTN],NOTA[[#This Row],[//DB]])))</f>
        <v/>
      </c>
      <c r="AU7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4" s="35" t="str">
        <f ca="1">IF(NOTA[[#This Row],[ID_H]]="","",MATCH(NOTA[[#This Row],[NB NOTA_C_QTY]],[3]!db[NB NOTA_C_QTY+F],0))</f>
        <v/>
      </c>
      <c r="AW754" s="43" t="str">
        <f ca="1">IF(NOTA[[#This Row],[NB NOTA_C_QTY]]="","",ROW()-2)</f>
        <v/>
      </c>
    </row>
    <row r="755" spans="1:49" ht="20.100000000000001" customHeight="1">
      <c r="A7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5" t="str">
        <f ca="1">IF(NOTA[[#This Row],[NAMA BARANG]]="","",INDEX(NOTA[ID],MATCH(,INDIRECT(ADDRESS(ROW(NOTA[ID]),COLUMN(NOTA[ID]))&amp;":"&amp;ADDRESS(ROW(),COLUMN(NOTA[ID]))),-1)))</f>
        <v/>
      </c>
      <c r="C755" s="45"/>
      <c r="F755" s="46"/>
      <c r="G755" s="35"/>
      <c r="H755" s="36"/>
      <c r="I755" s="35"/>
      <c r="K755" s="37"/>
      <c r="L755" s="35"/>
      <c r="N755" s="38"/>
      <c r="O755" s="39"/>
      <c r="P755" s="47"/>
      <c r="Q755" s="48"/>
      <c r="R755" s="41"/>
      <c r="T755" s="42"/>
      <c r="U755" s="44"/>
      <c r="V755" s="42" t="str">
        <f>IF(NOTA[[#This Row],[HARGA/ CTN]]="",NOTA[[#This Row],[JUMLAH_H]],NOTA[[#This Row],[HARGA/ CTN]]*IF(NOTA[[#This Row],[C]]="",0,NOTA[[#This Row],[C]]))</f>
        <v/>
      </c>
      <c r="W755" s="42" t="str">
        <f>IF(NOTA[[#This Row],[JUMLAH]]="","",NOTA[[#This Row],[JUMLAH]]*NOTA[[#This Row],[Column6]])</f>
        <v/>
      </c>
      <c r="X755" s="42" t="str">
        <f>IF(NOTA[[#This Row],[JUMLAH]]="","",(NOTA[[#This Row],[JUMLAH]]-NOTA[[#This Row],[DISC 1-]])*NOTA[[#This Row],[Column7]])</f>
        <v/>
      </c>
      <c r="Y755" s="42" t="str">
        <f>IF(NOTA[[#This Row],[JUMLAH]]="","",(NOTA[[#This Row],[JUMLAH]]-NOTA[[#This Row],[DISC 1-]]-NOTA[[#This Row],[DISC 2-]])*NOTA[[#This Row],[Column8]])</f>
        <v/>
      </c>
      <c r="Z755" s="42" t="str">
        <f>IF(NOTA[[#This Row],[JUMLAH]]="","",NOTA[[#This Row],[DISC 1-]]+NOTA[[#This Row],[DISC 2-]]+NOTA[[#This Row],[DISC 3-]])</f>
        <v/>
      </c>
      <c r="AA755" s="42" t="str">
        <f>IF(NOTA[[#This Row],[JUMLAH]]="","",NOTA[[#This Row],[JUMLAH]]-NOTA[[#This Row],[DISC]])</f>
        <v/>
      </c>
      <c r="AB755" s="42"/>
      <c r="AC7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42" t="str">
        <f>IF(OR(NOTA[[#This Row],[QTY]]="",NOTA[[#This Row],[HARGA SATUAN]]="",),"",NOTA[[#This Row],[QTY]]*NOTA[[#This Row],[HARGA SATUAN]])</f>
        <v/>
      </c>
      <c r="AG755" s="36" t="str">
        <f ca="1">IF(NOTA[[#This Row],[ID_H]]="","",INDEX(NOTA[TANGGAL],MATCH(,INDIRECT(ADDRESS(ROW(NOTA[TANGGAL]),COLUMN(NOTA[TANGGAL]))&amp;":"&amp;ADDRESS(ROW(),COLUMN(NOTA[TANGGAL]))),-1)))</f>
        <v/>
      </c>
      <c r="AH755" s="36" t="str">
        <f ca="1">IF(NOTA[[#This Row],[ID_H]]="","",INDEX(NOTA[TGL.NOTA],MATCH(,INDIRECT(ADDRESS(ROW(NOTA[TGL.NOTA]),COLUMN(NOTA[TGL.NOTA]))&amp;":"&amp;ADDRESS(ROW(),COLUMN(NOTA[TGL.NOTA]))),-1)))</f>
        <v/>
      </c>
      <c r="AI755" s="36" t="str">
        <f ca="1">IF(NOTA[[#This Row],[ID_H]]="","",INDEX(NOTA[NO.NOTA],MATCH(NOTA[[#This Row],[ID_H]],NOTA[ID_H],0)))</f>
        <v/>
      </c>
      <c r="AJ755" s="38" t="str">
        <f ca="1">IF(NOTA[[#This Row],[NAMA BARANG]]="","",INDEX(NOTA[SUPPLIER],MATCH(,INDIRECT(ADDRESS(ROW(NOTA[ID]),COLUMN(NOTA[ID]))&amp;":"&amp;ADDRESS(ROW(),COLUMN(NOTA[ID]))),-1)))</f>
        <v/>
      </c>
      <c r="AK755" s="38" t="str">
        <f ca="1">IF(NOTA[[#This Row],[ID_H]]="","",IF(NOTA[[#This Row],[FAKTUR]]="",INDIRECT(ADDRESS(ROW()-1,COLUMN())),NOTA[[#This Row],[FAKTUR]]))</f>
        <v/>
      </c>
      <c r="AL755" s="35" t="str">
        <f ca="1">IF(NOTA[[#This Row],[ID]]="","",COUNTIF(NOTA[ID_H],NOTA[[#This Row],[ID_H]]))</f>
        <v/>
      </c>
      <c r="AM755" s="35" t="str">
        <f ca="1">IF(NOTA[[#This Row],[TGL.NOTA]]="",IF(NOTA[[#This Row],[SUPPLIER_H]]="","",AM754),MONTH(NOTA[[#This Row],[TGL.NOTA]]))</f>
        <v/>
      </c>
      <c r="AN7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5" s="35" t="str">
        <f>IF(NOTA[[#This Row],[CONCAT1]]="","",MATCH(NOTA[[#This Row],[CONCAT1]],[3]!db[NB NOTA_C],0))</f>
        <v/>
      </c>
      <c r="AS755" s="35" t="str">
        <f>IF(NOTA[[#This Row],[Column5]]="","",TRUE)</f>
        <v/>
      </c>
      <c r="AT755" s="35" t="str">
        <f ca="1">IF(NOTA[[#This Row],[ID_H]]="","",IF(NOTA[[#This Row],[Column3]]=TRUE,NOTA[[#This Row],[Column5]],INDEX([3]!db[QTY/ CTN],NOTA[[#This Row],[//DB]])))</f>
        <v/>
      </c>
      <c r="AU7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5" s="35" t="str">
        <f ca="1">IF(NOTA[[#This Row],[ID_H]]="","",MATCH(NOTA[[#This Row],[NB NOTA_C_QTY]],[3]!db[NB NOTA_C_QTY+F],0))</f>
        <v/>
      </c>
      <c r="AW755" s="43" t="str">
        <f ca="1">IF(NOTA[[#This Row],[NB NOTA_C_QTY]]="","",ROW()-2)</f>
        <v/>
      </c>
    </row>
    <row r="756" spans="1:49" ht="20.100000000000001" customHeight="1">
      <c r="A7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5" t="str">
        <f ca="1">IF(NOTA[[#This Row],[NAMA BARANG]]="","",INDEX(NOTA[ID],MATCH(,INDIRECT(ADDRESS(ROW(NOTA[ID]),COLUMN(NOTA[ID]))&amp;":"&amp;ADDRESS(ROW(),COLUMN(NOTA[ID]))),-1)))</f>
        <v/>
      </c>
      <c r="C756" s="45"/>
      <c r="F756" s="46"/>
      <c r="G756" s="35"/>
      <c r="H756" s="36"/>
      <c r="I756" s="35"/>
      <c r="K756" s="37"/>
      <c r="L756" s="35"/>
      <c r="N756" s="38"/>
      <c r="O756" s="39"/>
      <c r="P756" s="47"/>
      <c r="Q756" s="48"/>
      <c r="R756" s="41"/>
      <c r="T756" s="42"/>
      <c r="U756" s="44"/>
      <c r="V756" s="42" t="str">
        <f>IF(NOTA[[#This Row],[HARGA/ CTN]]="",NOTA[[#This Row],[JUMLAH_H]],NOTA[[#This Row],[HARGA/ CTN]]*IF(NOTA[[#This Row],[C]]="",0,NOTA[[#This Row],[C]]))</f>
        <v/>
      </c>
      <c r="W756" s="42" t="str">
        <f>IF(NOTA[[#This Row],[JUMLAH]]="","",NOTA[[#This Row],[JUMLAH]]*NOTA[[#This Row],[Column6]])</f>
        <v/>
      </c>
      <c r="X756" s="42" t="str">
        <f>IF(NOTA[[#This Row],[JUMLAH]]="","",(NOTA[[#This Row],[JUMLAH]]-NOTA[[#This Row],[DISC 1-]])*NOTA[[#This Row],[Column7]])</f>
        <v/>
      </c>
      <c r="Y756" s="42" t="str">
        <f>IF(NOTA[[#This Row],[JUMLAH]]="","",(NOTA[[#This Row],[JUMLAH]]-NOTA[[#This Row],[DISC 1-]]-NOTA[[#This Row],[DISC 2-]])*NOTA[[#This Row],[Column8]])</f>
        <v/>
      </c>
      <c r="Z756" s="42" t="str">
        <f>IF(NOTA[[#This Row],[JUMLAH]]="","",NOTA[[#This Row],[DISC 1-]]+NOTA[[#This Row],[DISC 2-]]+NOTA[[#This Row],[DISC 3-]])</f>
        <v/>
      </c>
      <c r="AA756" s="42" t="str">
        <f>IF(NOTA[[#This Row],[JUMLAH]]="","",NOTA[[#This Row],[JUMLAH]]-NOTA[[#This Row],[DISC]])</f>
        <v/>
      </c>
      <c r="AB756" s="42"/>
      <c r="AC7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42" t="str">
        <f>IF(OR(NOTA[[#This Row],[QTY]]="",NOTA[[#This Row],[HARGA SATUAN]]="",),"",NOTA[[#This Row],[QTY]]*NOTA[[#This Row],[HARGA SATUAN]])</f>
        <v/>
      </c>
      <c r="AG756" s="36" t="str">
        <f ca="1">IF(NOTA[[#This Row],[ID_H]]="","",INDEX(NOTA[TANGGAL],MATCH(,INDIRECT(ADDRESS(ROW(NOTA[TANGGAL]),COLUMN(NOTA[TANGGAL]))&amp;":"&amp;ADDRESS(ROW(),COLUMN(NOTA[TANGGAL]))),-1)))</f>
        <v/>
      </c>
      <c r="AH756" s="36" t="str">
        <f ca="1">IF(NOTA[[#This Row],[ID_H]]="","",INDEX(NOTA[TGL.NOTA],MATCH(,INDIRECT(ADDRESS(ROW(NOTA[TGL.NOTA]),COLUMN(NOTA[TGL.NOTA]))&amp;":"&amp;ADDRESS(ROW(),COLUMN(NOTA[TGL.NOTA]))),-1)))</f>
        <v/>
      </c>
      <c r="AI756" s="36" t="str">
        <f ca="1">IF(NOTA[[#This Row],[ID_H]]="","",INDEX(NOTA[NO.NOTA],MATCH(NOTA[[#This Row],[ID_H]],NOTA[ID_H],0)))</f>
        <v/>
      </c>
      <c r="AJ756" s="38" t="str">
        <f ca="1">IF(NOTA[[#This Row],[NAMA BARANG]]="","",INDEX(NOTA[SUPPLIER],MATCH(,INDIRECT(ADDRESS(ROW(NOTA[ID]),COLUMN(NOTA[ID]))&amp;":"&amp;ADDRESS(ROW(),COLUMN(NOTA[ID]))),-1)))</f>
        <v/>
      </c>
      <c r="AK756" s="38" t="str">
        <f ca="1">IF(NOTA[[#This Row],[ID_H]]="","",IF(NOTA[[#This Row],[FAKTUR]]="",INDIRECT(ADDRESS(ROW()-1,COLUMN())),NOTA[[#This Row],[FAKTUR]]))</f>
        <v/>
      </c>
      <c r="AL756" s="35" t="str">
        <f ca="1">IF(NOTA[[#This Row],[ID]]="","",COUNTIF(NOTA[ID_H],NOTA[[#This Row],[ID_H]]))</f>
        <v/>
      </c>
      <c r="AM756" s="35" t="str">
        <f ca="1">IF(NOTA[[#This Row],[TGL.NOTA]]="",IF(NOTA[[#This Row],[SUPPLIER_H]]="","",AM755),MONTH(NOTA[[#This Row],[TGL.NOTA]]))</f>
        <v/>
      </c>
      <c r="AN7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6" s="35" t="str">
        <f>IF(NOTA[[#This Row],[CONCAT1]]="","",MATCH(NOTA[[#This Row],[CONCAT1]],[3]!db[NB NOTA_C],0))</f>
        <v/>
      </c>
      <c r="AS756" s="35" t="str">
        <f>IF(NOTA[[#This Row],[Column5]]="","",TRUE)</f>
        <v/>
      </c>
      <c r="AT756" s="35" t="str">
        <f ca="1">IF(NOTA[[#This Row],[ID_H]]="","",IF(NOTA[[#This Row],[Column3]]=TRUE,NOTA[[#This Row],[Column5]],INDEX([3]!db[QTY/ CTN],NOTA[[#This Row],[//DB]])))</f>
        <v/>
      </c>
      <c r="AU7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6" s="35" t="str">
        <f ca="1">IF(NOTA[[#This Row],[ID_H]]="","",MATCH(NOTA[[#This Row],[NB NOTA_C_QTY]],[3]!db[NB NOTA_C_QTY+F],0))</f>
        <v/>
      </c>
      <c r="AW756" s="43" t="str">
        <f ca="1">IF(NOTA[[#This Row],[NB NOTA_C_QTY]]="","",ROW()-2)</f>
        <v/>
      </c>
    </row>
    <row r="757" spans="1:49" ht="20.100000000000001" customHeight="1">
      <c r="A7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5" t="str">
        <f ca="1">IF(NOTA[[#This Row],[NAMA BARANG]]="","",INDEX(NOTA[ID],MATCH(,INDIRECT(ADDRESS(ROW(NOTA[ID]),COLUMN(NOTA[ID]))&amp;":"&amp;ADDRESS(ROW(),COLUMN(NOTA[ID]))),-1)))</f>
        <v/>
      </c>
      <c r="C757" s="45"/>
      <c r="F757" s="46"/>
      <c r="G757" s="35"/>
      <c r="H757" s="36"/>
      <c r="I757" s="35"/>
      <c r="K757" s="37"/>
      <c r="L757" s="35"/>
      <c r="N757" s="38"/>
      <c r="O757" s="39"/>
      <c r="P757" s="47"/>
      <c r="Q757" s="48"/>
      <c r="R757" s="41"/>
      <c r="T757" s="42"/>
      <c r="U757" s="44"/>
      <c r="V757" s="42" t="str">
        <f>IF(NOTA[[#This Row],[HARGA/ CTN]]="",NOTA[[#This Row],[JUMLAH_H]],NOTA[[#This Row],[HARGA/ CTN]]*IF(NOTA[[#This Row],[C]]="",0,NOTA[[#This Row],[C]]))</f>
        <v/>
      </c>
      <c r="W757" s="42" t="str">
        <f>IF(NOTA[[#This Row],[JUMLAH]]="","",NOTA[[#This Row],[JUMLAH]]*NOTA[[#This Row],[Column6]])</f>
        <v/>
      </c>
      <c r="X757" s="42" t="str">
        <f>IF(NOTA[[#This Row],[JUMLAH]]="","",(NOTA[[#This Row],[JUMLAH]]-NOTA[[#This Row],[DISC 1-]])*NOTA[[#This Row],[Column7]])</f>
        <v/>
      </c>
      <c r="Y757" s="42" t="str">
        <f>IF(NOTA[[#This Row],[JUMLAH]]="","",(NOTA[[#This Row],[JUMLAH]]-NOTA[[#This Row],[DISC 1-]]-NOTA[[#This Row],[DISC 2-]])*NOTA[[#This Row],[Column8]])</f>
        <v/>
      </c>
      <c r="Z757" s="42" t="str">
        <f>IF(NOTA[[#This Row],[JUMLAH]]="","",NOTA[[#This Row],[DISC 1-]]+NOTA[[#This Row],[DISC 2-]]+NOTA[[#This Row],[DISC 3-]])</f>
        <v/>
      </c>
      <c r="AA757" s="42" t="str">
        <f>IF(NOTA[[#This Row],[JUMLAH]]="","",NOTA[[#This Row],[JUMLAH]]-NOTA[[#This Row],[DISC]])</f>
        <v/>
      </c>
      <c r="AB757" s="42"/>
      <c r="AC7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42" t="str">
        <f>IF(OR(NOTA[[#This Row],[QTY]]="",NOTA[[#This Row],[HARGA SATUAN]]="",),"",NOTA[[#This Row],[QTY]]*NOTA[[#This Row],[HARGA SATUAN]])</f>
        <v/>
      </c>
      <c r="AG757" s="36" t="str">
        <f ca="1">IF(NOTA[[#This Row],[ID_H]]="","",INDEX(NOTA[TANGGAL],MATCH(,INDIRECT(ADDRESS(ROW(NOTA[TANGGAL]),COLUMN(NOTA[TANGGAL]))&amp;":"&amp;ADDRESS(ROW(),COLUMN(NOTA[TANGGAL]))),-1)))</f>
        <v/>
      </c>
      <c r="AH757" s="36" t="str">
        <f ca="1">IF(NOTA[[#This Row],[ID_H]]="","",INDEX(NOTA[TGL.NOTA],MATCH(,INDIRECT(ADDRESS(ROW(NOTA[TGL.NOTA]),COLUMN(NOTA[TGL.NOTA]))&amp;":"&amp;ADDRESS(ROW(),COLUMN(NOTA[TGL.NOTA]))),-1)))</f>
        <v/>
      </c>
      <c r="AI757" s="36" t="str">
        <f ca="1">IF(NOTA[[#This Row],[ID_H]]="","",INDEX(NOTA[NO.NOTA],MATCH(NOTA[[#This Row],[ID_H]],NOTA[ID_H],0)))</f>
        <v/>
      </c>
      <c r="AJ757" s="38" t="str">
        <f ca="1">IF(NOTA[[#This Row],[NAMA BARANG]]="","",INDEX(NOTA[SUPPLIER],MATCH(,INDIRECT(ADDRESS(ROW(NOTA[ID]),COLUMN(NOTA[ID]))&amp;":"&amp;ADDRESS(ROW(),COLUMN(NOTA[ID]))),-1)))</f>
        <v/>
      </c>
      <c r="AK757" s="38" t="str">
        <f ca="1">IF(NOTA[[#This Row],[ID_H]]="","",IF(NOTA[[#This Row],[FAKTUR]]="",INDIRECT(ADDRESS(ROW()-1,COLUMN())),NOTA[[#This Row],[FAKTUR]]))</f>
        <v/>
      </c>
      <c r="AL757" s="35" t="str">
        <f ca="1">IF(NOTA[[#This Row],[ID]]="","",COUNTIF(NOTA[ID_H],NOTA[[#This Row],[ID_H]]))</f>
        <v/>
      </c>
      <c r="AM757" s="35" t="str">
        <f ca="1">IF(NOTA[[#This Row],[TGL.NOTA]]="",IF(NOTA[[#This Row],[SUPPLIER_H]]="","",AM756),MONTH(NOTA[[#This Row],[TGL.NOTA]]))</f>
        <v/>
      </c>
      <c r="AN7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7" s="35" t="str">
        <f>IF(NOTA[[#This Row],[CONCAT1]]="","",MATCH(NOTA[[#This Row],[CONCAT1]],[3]!db[NB NOTA_C],0))</f>
        <v/>
      </c>
      <c r="AS757" s="35" t="str">
        <f>IF(NOTA[[#This Row],[Column5]]="","",TRUE)</f>
        <v/>
      </c>
      <c r="AT757" s="35" t="str">
        <f ca="1">IF(NOTA[[#This Row],[ID_H]]="","",IF(NOTA[[#This Row],[Column3]]=TRUE,NOTA[[#This Row],[Column5]],INDEX([3]!db[QTY/ CTN],NOTA[[#This Row],[//DB]])))</f>
        <v/>
      </c>
      <c r="AU7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7" s="35" t="str">
        <f ca="1">IF(NOTA[[#This Row],[ID_H]]="","",MATCH(NOTA[[#This Row],[NB NOTA_C_QTY]],[3]!db[NB NOTA_C_QTY+F],0))</f>
        <v/>
      </c>
      <c r="AW757" s="43" t="str">
        <f ca="1">IF(NOTA[[#This Row],[NB NOTA_C_QTY]]="","",ROW()-2)</f>
        <v/>
      </c>
    </row>
    <row r="758" spans="1:49" ht="20.100000000000001" customHeight="1">
      <c r="A7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5" t="str">
        <f ca="1">IF(NOTA[[#This Row],[NAMA BARANG]]="","",INDEX(NOTA[ID],MATCH(,INDIRECT(ADDRESS(ROW(NOTA[ID]),COLUMN(NOTA[ID]))&amp;":"&amp;ADDRESS(ROW(),COLUMN(NOTA[ID]))),-1)))</f>
        <v/>
      </c>
      <c r="C758" s="45"/>
      <c r="F758" s="46"/>
      <c r="G758" s="35"/>
      <c r="H758" s="36"/>
      <c r="I758" s="35"/>
      <c r="K758" s="37"/>
      <c r="L758" s="35"/>
      <c r="N758" s="38"/>
      <c r="O758" s="39"/>
      <c r="P758" s="47"/>
      <c r="Q758" s="48"/>
      <c r="R758" s="41"/>
      <c r="T758" s="42"/>
      <c r="U758" s="44"/>
      <c r="V758" s="42" t="str">
        <f>IF(NOTA[[#This Row],[HARGA/ CTN]]="",NOTA[[#This Row],[JUMLAH_H]],NOTA[[#This Row],[HARGA/ CTN]]*IF(NOTA[[#This Row],[C]]="",0,NOTA[[#This Row],[C]]))</f>
        <v/>
      </c>
      <c r="W758" s="42" t="str">
        <f>IF(NOTA[[#This Row],[JUMLAH]]="","",NOTA[[#This Row],[JUMLAH]]*NOTA[[#This Row],[Column6]])</f>
        <v/>
      </c>
      <c r="X758" s="42" t="str">
        <f>IF(NOTA[[#This Row],[JUMLAH]]="","",(NOTA[[#This Row],[JUMLAH]]-NOTA[[#This Row],[DISC 1-]])*NOTA[[#This Row],[Column7]])</f>
        <v/>
      </c>
      <c r="Y758" s="42" t="str">
        <f>IF(NOTA[[#This Row],[JUMLAH]]="","",(NOTA[[#This Row],[JUMLAH]]-NOTA[[#This Row],[DISC 1-]]-NOTA[[#This Row],[DISC 2-]])*NOTA[[#This Row],[Column8]])</f>
        <v/>
      </c>
      <c r="Z758" s="42" t="str">
        <f>IF(NOTA[[#This Row],[JUMLAH]]="","",NOTA[[#This Row],[DISC 1-]]+NOTA[[#This Row],[DISC 2-]]+NOTA[[#This Row],[DISC 3-]])</f>
        <v/>
      </c>
      <c r="AA758" s="42" t="str">
        <f>IF(NOTA[[#This Row],[JUMLAH]]="","",NOTA[[#This Row],[JUMLAH]]-NOTA[[#This Row],[DISC]])</f>
        <v/>
      </c>
      <c r="AB758" s="42"/>
      <c r="AC7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42" t="str">
        <f>IF(OR(NOTA[[#This Row],[QTY]]="",NOTA[[#This Row],[HARGA SATUAN]]="",),"",NOTA[[#This Row],[QTY]]*NOTA[[#This Row],[HARGA SATUAN]])</f>
        <v/>
      </c>
      <c r="AG758" s="36" t="str">
        <f ca="1">IF(NOTA[[#This Row],[ID_H]]="","",INDEX(NOTA[TANGGAL],MATCH(,INDIRECT(ADDRESS(ROW(NOTA[TANGGAL]),COLUMN(NOTA[TANGGAL]))&amp;":"&amp;ADDRESS(ROW(),COLUMN(NOTA[TANGGAL]))),-1)))</f>
        <v/>
      </c>
      <c r="AH758" s="36" t="str">
        <f ca="1">IF(NOTA[[#This Row],[ID_H]]="","",INDEX(NOTA[TGL.NOTA],MATCH(,INDIRECT(ADDRESS(ROW(NOTA[TGL.NOTA]),COLUMN(NOTA[TGL.NOTA]))&amp;":"&amp;ADDRESS(ROW(),COLUMN(NOTA[TGL.NOTA]))),-1)))</f>
        <v/>
      </c>
      <c r="AI758" s="36" t="str">
        <f ca="1">IF(NOTA[[#This Row],[ID_H]]="","",INDEX(NOTA[NO.NOTA],MATCH(NOTA[[#This Row],[ID_H]],NOTA[ID_H],0)))</f>
        <v/>
      </c>
      <c r="AJ758" s="38" t="str">
        <f ca="1">IF(NOTA[[#This Row],[NAMA BARANG]]="","",INDEX(NOTA[SUPPLIER],MATCH(,INDIRECT(ADDRESS(ROW(NOTA[ID]),COLUMN(NOTA[ID]))&amp;":"&amp;ADDRESS(ROW(),COLUMN(NOTA[ID]))),-1)))</f>
        <v/>
      </c>
      <c r="AK758" s="38" t="str">
        <f ca="1">IF(NOTA[[#This Row],[ID_H]]="","",IF(NOTA[[#This Row],[FAKTUR]]="",INDIRECT(ADDRESS(ROW()-1,COLUMN())),NOTA[[#This Row],[FAKTUR]]))</f>
        <v/>
      </c>
      <c r="AL758" s="35" t="str">
        <f ca="1">IF(NOTA[[#This Row],[ID]]="","",COUNTIF(NOTA[ID_H],NOTA[[#This Row],[ID_H]]))</f>
        <v/>
      </c>
      <c r="AM758" s="35" t="str">
        <f ca="1">IF(NOTA[[#This Row],[TGL.NOTA]]="",IF(NOTA[[#This Row],[SUPPLIER_H]]="","",AM757),MONTH(NOTA[[#This Row],[TGL.NOTA]]))</f>
        <v/>
      </c>
      <c r="AN7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8" s="35" t="str">
        <f>IF(NOTA[[#This Row],[CONCAT1]]="","",MATCH(NOTA[[#This Row],[CONCAT1]],[3]!db[NB NOTA_C],0))</f>
        <v/>
      </c>
      <c r="AS758" s="35" t="str">
        <f>IF(NOTA[[#This Row],[Column5]]="","",TRUE)</f>
        <v/>
      </c>
      <c r="AT758" s="35" t="str">
        <f ca="1">IF(NOTA[[#This Row],[ID_H]]="","",IF(NOTA[[#This Row],[Column3]]=TRUE,NOTA[[#This Row],[Column5]],INDEX([3]!db[QTY/ CTN],NOTA[[#This Row],[//DB]])))</f>
        <v/>
      </c>
      <c r="AU7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8" s="35" t="str">
        <f ca="1">IF(NOTA[[#This Row],[ID_H]]="","",MATCH(NOTA[[#This Row],[NB NOTA_C_QTY]],[3]!db[NB NOTA_C_QTY+F],0))</f>
        <v/>
      </c>
      <c r="AW758" s="43" t="str">
        <f ca="1">IF(NOTA[[#This Row],[NB NOTA_C_QTY]]="","",ROW()-2)</f>
        <v/>
      </c>
    </row>
    <row r="759" spans="1:49" ht="20.100000000000001" customHeight="1">
      <c r="A7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5" t="str">
        <f ca="1">IF(NOTA[[#This Row],[NAMA BARANG]]="","",INDEX(NOTA[ID],MATCH(,INDIRECT(ADDRESS(ROW(NOTA[ID]),COLUMN(NOTA[ID]))&amp;":"&amp;ADDRESS(ROW(),COLUMN(NOTA[ID]))),-1)))</f>
        <v/>
      </c>
      <c r="C759" s="45"/>
      <c r="F759" s="46"/>
      <c r="G759" s="35"/>
      <c r="H759" s="36"/>
      <c r="I759" s="35"/>
      <c r="K759" s="37"/>
      <c r="L759" s="35"/>
      <c r="N759" s="38"/>
      <c r="O759" s="39"/>
      <c r="P759" s="47"/>
      <c r="Q759" s="48"/>
      <c r="R759" s="41"/>
      <c r="T759" s="42"/>
      <c r="U759" s="44"/>
      <c r="V759" s="42" t="str">
        <f>IF(NOTA[[#This Row],[HARGA/ CTN]]="",NOTA[[#This Row],[JUMLAH_H]],NOTA[[#This Row],[HARGA/ CTN]]*IF(NOTA[[#This Row],[C]]="",0,NOTA[[#This Row],[C]]))</f>
        <v/>
      </c>
      <c r="W759" s="42" t="str">
        <f>IF(NOTA[[#This Row],[JUMLAH]]="","",NOTA[[#This Row],[JUMLAH]]*NOTA[[#This Row],[Column6]])</f>
        <v/>
      </c>
      <c r="X759" s="42" t="str">
        <f>IF(NOTA[[#This Row],[JUMLAH]]="","",(NOTA[[#This Row],[JUMLAH]]-NOTA[[#This Row],[DISC 1-]])*NOTA[[#This Row],[Column7]])</f>
        <v/>
      </c>
      <c r="Y759" s="42" t="str">
        <f>IF(NOTA[[#This Row],[JUMLAH]]="","",(NOTA[[#This Row],[JUMLAH]]-NOTA[[#This Row],[DISC 1-]]-NOTA[[#This Row],[DISC 2-]])*NOTA[[#This Row],[Column8]])</f>
        <v/>
      </c>
      <c r="Z759" s="42" t="str">
        <f>IF(NOTA[[#This Row],[JUMLAH]]="","",NOTA[[#This Row],[DISC 1-]]+NOTA[[#This Row],[DISC 2-]]+NOTA[[#This Row],[DISC 3-]])</f>
        <v/>
      </c>
      <c r="AA759" s="42" t="str">
        <f>IF(NOTA[[#This Row],[JUMLAH]]="","",NOTA[[#This Row],[JUMLAH]]-NOTA[[#This Row],[DISC]])</f>
        <v/>
      </c>
      <c r="AB759" s="42"/>
      <c r="AC7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42" t="str">
        <f>IF(OR(NOTA[[#This Row],[QTY]]="",NOTA[[#This Row],[HARGA SATUAN]]="",),"",NOTA[[#This Row],[QTY]]*NOTA[[#This Row],[HARGA SATUAN]])</f>
        <v/>
      </c>
      <c r="AG759" s="36" t="str">
        <f ca="1">IF(NOTA[[#This Row],[ID_H]]="","",INDEX(NOTA[TANGGAL],MATCH(,INDIRECT(ADDRESS(ROW(NOTA[TANGGAL]),COLUMN(NOTA[TANGGAL]))&amp;":"&amp;ADDRESS(ROW(),COLUMN(NOTA[TANGGAL]))),-1)))</f>
        <v/>
      </c>
      <c r="AH759" s="36" t="str">
        <f ca="1">IF(NOTA[[#This Row],[ID_H]]="","",INDEX(NOTA[TGL.NOTA],MATCH(,INDIRECT(ADDRESS(ROW(NOTA[TGL.NOTA]),COLUMN(NOTA[TGL.NOTA]))&amp;":"&amp;ADDRESS(ROW(),COLUMN(NOTA[TGL.NOTA]))),-1)))</f>
        <v/>
      </c>
      <c r="AI759" s="36" t="str">
        <f ca="1">IF(NOTA[[#This Row],[ID_H]]="","",INDEX(NOTA[NO.NOTA],MATCH(NOTA[[#This Row],[ID_H]],NOTA[ID_H],0)))</f>
        <v/>
      </c>
      <c r="AJ759" s="38" t="str">
        <f ca="1">IF(NOTA[[#This Row],[NAMA BARANG]]="","",INDEX(NOTA[SUPPLIER],MATCH(,INDIRECT(ADDRESS(ROW(NOTA[ID]),COLUMN(NOTA[ID]))&amp;":"&amp;ADDRESS(ROW(),COLUMN(NOTA[ID]))),-1)))</f>
        <v/>
      </c>
      <c r="AK759" s="38" t="str">
        <f ca="1">IF(NOTA[[#This Row],[ID_H]]="","",IF(NOTA[[#This Row],[FAKTUR]]="",INDIRECT(ADDRESS(ROW()-1,COLUMN())),NOTA[[#This Row],[FAKTUR]]))</f>
        <v/>
      </c>
      <c r="AL759" s="35" t="str">
        <f ca="1">IF(NOTA[[#This Row],[ID]]="","",COUNTIF(NOTA[ID_H],NOTA[[#This Row],[ID_H]]))</f>
        <v/>
      </c>
      <c r="AM759" s="35" t="str">
        <f ca="1">IF(NOTA[[#This Row],[TGL.NOTA]]="",IF(NOTA[[#This Row],[SUPPLIER_H]]="","",AM758),MONTH(NOTA[[#This Row],[TGL.NOTA]]))</f>
        <v/>
      </c>
      <c r="AN7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9" s="35" t="str">
        <f>IF(NOTA[[#This Row],[CONCAT1]]="","",MATCH(NOTA[[#This Row],[CONCAT1]],[3]!db[NB NOTA_C],0))</f>
        <v/>
      </c>
      <c r="AS759" s="35" t="str">
        <f>IF(NOTA[[#This Row],[Column5]]="","",TRUE)</f>
        <v/>
      </c>
      <c r="AT759" s="35" t="str">
        <f ca="1">IF(NOTA[[#This Row],[ID_H]]="","",IF(NOTA[[#This Row],[Column3]]=TRUE,NOTA[[#This Row],[Column5]],INDEX([3]!db[QTY/ CTN],NOTA[[#This Row],[//DB]])))</f>
        <v/>
      </c>
      <c r="AU7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59" s="35" t="str">
        <f ca="1">IF(NOTA[[#This Row],[ID_H]]="","",MATCH(NOTA[[#This Row],[NB NOTA_C_QTY]],[3]!db[NB NOTA_C_QTY+F],0))</f>
        <v/>
      </c>
      <c r="AW759" s="43" t="str">
        <f ca="1">IF(NOTA[[#This Row],[NB NOTA_C_QTY]]="","",ROW()-2)</f>
        <v/>
      </c>
    </row>
    <row r="760" spans="1:49" ht="20.100000000000001" customHeight="1">
      <c r="A7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5" t="str">
        <f ca="1">IF(NOTA[[#This Row],[NAMA BARANG]]="","",INDEX(NOTA[ID],MATCH(,INDIRECT(ADDRESS(ROW(NOTA[ID]),COLUMN(NOTA[ID]))&amp;":"&amp;ADDRESS(ROW(),COLUMN(NOTA[ID]))),-1)))</f>
        <v/>
      </c>
      <c r="C760" s="45"/>
      <c r="F760" s="46"/>
      <c r="G760" s="35"/>
      <c r="H760" s="36"/>
      <c r="I760" s="35"/>
      <c r="K760" s="37"/>
      <c r="L760" s="35"/>
      <c r="N760" s="38"/>
      <c r="O760" s="39"/>
      <c r="P760" s="47"/>
      <c r="Q760" s="48"/>
      <c r="R760" s="41"/>
      <c r="T760" s="42"/>
      <c r="U760" s="44"/>
      <c r="V760" s="42" t="str">
        <f>IF(NOTA[[#This Row],[HARGA/ CTN]]="",NOTA[[#This Row],[JUMLAH_H]],NOTA[[#This Row],[HARGA/ CTN]]*IF(NOTA[[#This Row],[C]]="",0,NOTA[[#This Row],[C]]))</f>
        <v/>
      </c>
      <c r="W760" s="42" t="str">
        <f>IF(NOTA[[#This Row],[JUMLAH]]="","",NOTA[[#This Row],[JUMLAH]]*NOTA[[#This Row],[Column6]])</f>
        <v/>
      </c>
      <c r="X760" s="42" t="str">
        <f>IF(NOTA[[#This Row],[JUMLAH]]="","",(NOTA[[#This Row],[JUMLAH]]-NOTA[[#This Row],[DISC 1-]])*NOTA[[#This Row],[Column7]])</f>
        <v/>
      </c>
      <c r="Y760" s="42" t="str">
        <f>IF(NOTA[[#This Row],[JUMLAH]]="","",(NOTA[[#This Row],[JUMLAH]]-NOTA[[#This Row],[DISC 1-]]-NOTA[[#This Row],[DISC 2-]])*NOTA[[#This Row],[Column8]])</f>
        <v/>
      </c>
      <c r="Z760" s="42" t="str">
        <f>IF(NOTA[[#This Row],[JUMLAH]]="","",NOTA[[#This Row],[DISC 1-]]+NOTA[[#This Row],[DISC 2-]]+NOTA[[#This Row],[DISC 3-]])</f>
        <v/>
      </c>
      <c r="AA760" s="42" t="str">
        <f>IF(NOTA[[#This Row],[JUMLAH]]="","",NOTA[[#This Row],[JUMLAH]]-NOTA[[#This Row],[DISC]])</f>
        <v/>
      </c>
      <c r="AB760" s="42"/>
      <c r="AC7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42" t="str">
        <f>IF(OR(NOTA[[#This Row],[QTY]]="",NOTA[[#This Row],[HARGA SATUAN]]="",),"",NOTA[[#This Row],[QTY]]*NOTA[[#This Row],[HARGA SATUAN]])</f>
        <v/>
      </c>
      <c r="AG760" s="36" t="str">
        <f ca="1">IF(NOTA[[#This Row],[ID_H]]="","",INDEX(NOTA[TANGGAL],MATCH(,INDIRECT(ADDRESS(ROW(NOTA[TANGGAL]),COLUMN(NOTA[TANGGAL]))&amp;":"&amp;ADDRESS(ROW(),COLUMN(NOTA[TANGGAL]))),-1)))</f>
        <v/>
      </c>
      <c r="AH760" s="36" t="str">
        <f ca="1">IF(NOTA[[#This Row],[ID_H]]="","",INDEX(NOTA[TGL.NOTA],MATCH(,INDIRECT(ADDRESS(ROW(NOTA[TGL.NOTA]),COLUMN(NOTA[TGL.NOTA]))&amp;":"&amp;ADDRESS(ROW(),COLUMN(NOTA[TGL.NOTA]))),-1)))</f>
        <v/>
      </c>
      <c r="AI760" s="36" t="str">
        <f ca="1">IF(NOTA[[#This Row],[ID_H]]="","",INDEX(NOTA[NO.NOTA],MATCH(NOTA[[#This Row],[ID_H]],NOTA[ID_H],0)))</f>
        <v/>
      </c>
      <c r="AJ760" s="38" t="str">
        <f ca="1">IF(NOTA[[#This Row],[NAMA BARANG]]="","",INDEX(NOTA[SUPPLIER],MATCH(,INDIRECT(ADDRESS(ROW(NOTA[ID]),COLUMN(NOTA[ID]))&amp;":"&amp;ADDRESS(ROW(),COLUMN(NOTA[ID]))),-1)))</f>
        <v/>
      </c>
      <c r="AK760" s="38" t="str">
        <f ca="1">IF(NOTA[[#This Row],[ID_H]]="","",IF(NOTA[[#This Row],[FAKTUR]]="",INDIRECT(ADDRESS(ROW()-1,COLUMN())),NOTA[[#This Row],[FAKTUR]]))</f>
        <v/>
      </c>
      <c r="AL760" s="35" t="str">
        <f ca="1">IF(NOTA[[#This Row],[ID]]="","",COUNTIF(NOTA[ID_H],NOTA[[#This Row],[ID_H]]))</f>
        <v/>
      </c>
      <c r="AM760" s="35" t="str">
        <f ca="1">IF(NOTA[[#This Row],[TGL.NOTA]]="",IF(NOTA[[#This Row],[SUPPLIER_H]]="","",AM759),MONTH(NOTA[[#This Row],[TGL.NOTA]]))</f>
        <v/>
      </c>
      <c r="AN7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0" s="35" t="str">
        <f>IF(NOTA[[#This Row],[CONCAT1]]="","",MATCH(NOTA[[#This Row],[CONCAT1]],[3]!db[NB NOTA_C],0))</f>
        <v/>
      </c>
      <c r="AS760" s="35" t="str">
        <f>IF(NOTA[[#This Row],[Column5]]="","",TRUE)</f>
        <v/>
      </c>
      <c r="AT760" s="35" t="str">
        <f ca="1">IF(NOTA[[#This Row],[ID_H]]="","",IF(NOTA[[#This Row],[Column3]]=TRUE,NOTA[[#This Row],[Column5]],INDEX([3]!db[QTY/ CTN],NOTA[[#This Row],[//DB]])))</f>
        <v/>
      </c>
      <c r="AU7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0" s="35" t="str">
        <f ca="1">IF(NOTA[[#This Row],[ID_H]]="","",MATCH(NOTA[[#This Row],[NB NOTA_C_QTY]],[3]!db[NB NOTA_C_QTY+F],0))</f>
        <v/>
      </c>
      <c r="AW760" s="43" t="str">
        <f ca="1">IF(NOTA[[#This Row],[NB NOTA_C_QTY]]="","",ROW()-2)</f>
        <v/>
      </c>
    </row>
    <row r="761" spans="1:49" ht="20.100000000000001" customHeight="1">
      <c r="A7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5" t="str">
        <f ca="1">IF(NOTA[[#This Row],[NAMA BARANG]]="","",INDEX(NOTA[ID],MATCH(,INDIRECT(ADDRESS(ROW(NOTA[ID]),COLUMN(NOTA[ID]))&amp;":"&amp;ADDRESS(ROW(),COLUMN(NOTA[ID]))),-1)))</f>
        <v/>
      </c>
      <c r="C761" s="45"/>
      <c r="F761" s="46"/>
      <c r="G761" s="35"/>
      <c r="H761" s="36"/>
      <c r="I761" s="35"/>
      <c r="K761" s="37"/>
      <c r="L761" s="35"/>
      <c r="N761" s="38"/>
      <c r="O761" s="39"/>
      <c r="P761" s="47"/>
      <c r="Q761" s="48"/>
      <c r="R761" s="41"/>
      <c r="T761" s="42"/>
      <c r="U761" s="44"/>
      <c r="V761" s="42" t="str">
        <f>IF(NOTA[[#This Row],[HARGA/ CTN]]="",NOTA[[#This Row],[JUMLAH_H]],NOTA[[#This Row],[HARGA/ CTN]]*IF(NOTA[[#This Row],[C]]="",0,NOTA[[#This Row],[C]]))</f>
        <v/>
      </c>
      <c r="W761" s="42" t="str">
        <f>IF(NOTA[[#This Row],[JUMLAH]]="","",NOTA[[#This Row],[JUMLAH]]*NOTA[[#This Row],[Column6]])</f>
        <v/>
      </c>
      <c r="X761" s="42" t="str">
        <f>IF(NOTA[[#This Row],[JUMLAH]]="","",(NOTA[[#This Row],[JUMLAH]]-NOTA[[#This Row],[DISC 1-]])*NOTA[[#This Row],[Column7]])</f>
        <v/>
      </c>
      <c r="Y761" s="42" t="str">
        <f>IF(NOTA[[#This Row],[JUMLAH]]="","",(NOTA[[#This Row],[JUMLAH]]-NOTA[[#This Row],[DISC 1-]]-NOTA[[#This Row],[DISC 2-]])*NOTA[[#This Row],[Column8]])</f>
        <v/>
      </c>
      <c r="Z761" s="42" t="str">
        <f>IF(NOTA[[#This Row],[JUMLAH]]="","",NOTA[[#This Row],[DISC 1-]]+NOTA[[#This Row],[DISC 2-]]+NOTA[[#This Row],[DISC 3-]])</f>
        <v/>
      </c>
      <c r="AA761" s="42" t="str">
        <f>IF(NOTA[[#This Row],[JUMLAH]]="","",NOTA[[#This Row],[JUMLAH]]-NOTA[[#This Row],[DISC]])</f>
        <v/>
      </c>
      <c r="AB761" s="42"/>
      <c r="AC7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42" t="str">
        <f>IF(OR(NOTA[[#This Row],[QTY]]="",NOTA[[#This Row],[HARGA SATUAN]]="",),"",NOTA[[#This Row],[QTY]]*NOTA[[#This Row],[HARGA SATUAN]])</f>
        <v/>
      </c>
      <c r="AG761" s="36" t="str">
        <f ca="1">IF(NOTA[[#This Row],[ID_H]]="","",INDEX(NOTA[TANGGAL],MATCH(,INDIRECT(ADDRESS(ROW(NOTA[TANGGAL]),COLUMN(NOTA[TANGGAL]))&amp;":"&amp;ADDRESS(ROW(),COLUMN(NOTA[TANGGAL]))),-1)))</f>
        <v/>
      </c>
      <c r="AH761" s="36" t="str">
        <f ca="1">IF(NOTA[[#This Row],[ID_H]]="","",INDEX(NOTA[TGL.NOTA],MATCH(,INDIRECT(ADDRESS(ROW(NOTA[TGL.NOTA]),COLUMN(NOTA[TGL.NOTA]))&amp;":"&amp;ADDRESS(ROW(),COLUMN(NOTA[TGL.NOTA]))),-1)))</f>
        <v/>
      </c>
      <c r="AI761" s="36" t="str">
        <f ca="1">IF(NOTA[[#This Row],[ID_H]]="","",INDEX(NOTA[NO.NOTA],MATCH(NOTA[[#This Row],[ID_H]],NOTA[ID_H],0)))</f>
        <v/>
      </c>
      <c r="AJ761" s="38" t="str">
        <f ca="1">IF(NOTA[[#This Row],[NAMA BARANG]]="","",INDEX(NOTA[SUPPLIER],MATCH(,INDIRECT(ADDRESS(ROW(NOTA[ID]),COLUMN(NOTA[ID]))&amp;":"&amp;ADDRESS(ROW(),COLUMN(NOTA[ID]))),-1)))</f>
        <v/>
      </c>
      <c r="AK761" s="38" t="str">
        <f ca="1">IF(NOTA[[#This Row],[ID_H]]="","",IF(NOTA[[#This Row],[FAKTUR]]="",INDIRECT(ADDRESS(ROW()-1,COLUMN())),NOTA[[#This Row],[FAKTUR]]))</f>
        <v/>
      </c>
      <c r="AL761" s="35" t="str">
        <f ca="1">IF(NOTA[[#This Row],[ID]]="","",COUNTIF(NOTA[ID_H],NOTA[[#This Row],[ID_H]]))</f>
        <v/>
      </c>
      <c r="AM761" s="35" t="str">
        <f ca="1">IF(NOTA[[#This Row],[TGL.NOTA]]="",IF(NOTA[[#This Row],[SUPPLIER_H]]="","",AM760),MONTH(NOTA[[#This Row],[TGL.NOTA]]))</f>
        <v/>
      </c>
      <c r="AN7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1" s="35" t="str">
        <f>IF(NOTA[[#This Row],[CONCAT1]]="","",MATCH(NOTA[[#This Row],[CONCAT1]],[3]!db[NB NOTA_C],0))</f>
        <v/>
      </c>
      <c r="AS761" s="35" t="str">
        <f>IF(NOTA[[#This Row],[Column5]]="","",TRUE)</f>
        <v/>
      </c>
      <c r="AT761" s="35" t="str">
        <f ca="1">IF(NOTA[[#This Row],[ID_H]]="","",IF(NOTA[[#This Row],[Column3]]=TRUE,NOTA[[#This Row],[Column5]],INDEX([3]!db[QTY/ CTN],NOTA[[#This Row],[//DB]])))</f>
        <v/>
      </c>
      <c r="AU7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1" s="35" t="str">
        <f ca="1">IF(NOTA[[#This Row],[ID_H]]="","",MATCH(NOTA[[#This Row],[NB NOTA_C_QTY]],[3]!db[NB NOTA_C_QTY+F],0))</f>
        <v/>
      </c>
      <c r="AW761" s="43" t="str">
        <f ca="1">IF(NOTA[[#This Row],[NB NOTA_C_QTY]]="","",ROW()-2)</f>
        <v/>
      </c>
    </row>
    <row r="762" spans="1:49" ht="20.100000000000001" customHeight="1">
      <c r="A7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5" t="str">
        <f ca="1">IF(NOTA[[#This Row],[NAMA BARANG]]="","",INDEX(NOTA[ID],MATCH(,INDIRECT(ADDRESS(ROW(NOTA[ID]),COLUMN(NOTA[ID]))&amp;":"&amp;ADDRESS(ROW(),COLUMN(NOTA[ID]))),-1)))</f>
        <v/>
      </c>
      <c r="C762" s="45"/>
      <c r="F762" s="46"/>
      <c r="G762" s="35"/>
      <c r="H762" s="36"/>
      <c r="I762" s="35"/>
      <c r="K762" s="37"/>
      <c r="L762" s="35"/>
      <c r="N762" s="38"/>
      <c r="O762" s="39"/>
      <c r="P762" s="47"/>
      <c r="Q762" s="48"/>
      <c r="R762" s="41"/>
      <c r="T762" s="42"/>
      <c r="U762" s="44"/>
      <c r="V762" s="42" t="str">
        <f>IF(NOTA[[#This Row],[HARGA/ CTN]]="",NOTA[[#This Row],[JUMLAH_H]],NOTA[[#This Row],[HARGA/ CTN]]*IF(NOTA[[#This Row],[C]]="",0,NOTA[[#This Row],[C]]))</f>
        <v/>
      </c>
      <c r="W762" s="42" t="str">
        <f>IF(NOTA[[#This Row],[JUMLAH]]="","",NOTA[[#This Row],[JUMLAH]]*NOTA[[#This Row],[Column6]])</f>
        <v/>
      </c>
      <c r="X762" s="42" t="str">
        <f>IF(NOTA[[#This Row],[JUMLAH]]="","",(NOTA[[#This Row],[JUMLAH]]-NOTA[[#This Row],[DISC 1-]])*NOTA[[#This Row],[Column7]])</f>
        <v/>
      </c>
      <c r="Y762" s="42" t="str">
        <f>IF(NOTA[[#This Row],[JUMLAH]]="","",(NOTA[[#This Row],[JUMLAH]]-NOTA[[#This Row],[DISC 1-]]-NOTA[[#This Row],[DISC 2-]])*NOTA[[#This Row],[Column8]])</f>
        <v/>
      </c>
      <c r="Z762" s="42" t="str">
        <f>IF(NOTA[[#This Row],[JUMLAH]]="","",NOTA[[#This Row],[DISC 1-]]+NOTA[[#This Row],[DISC 2-]]+NOTA[[#This Row],[DISC 3-]])</f>
        <v/>
      </c>
      <c r="AA762" s="42" t="str">
        <f>IF(NOTA[[#This Row],[JUMLAH]]="","",NOTA[[#This Row],[JUMLAH]]-NOTA[[#This Row],[DISC]])</f>
        <v/>
      </c>
      <c r="AB762" s="42"/>
      <c r="AC7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42" t="str">
        <f>IF(OR(NOTA[[#This Row],[QTY]]="",NOTA[[#This Row],[HARGA SATUAN]]="",),"",NOTA[[#This Row],[QTY]]*NOTA[[#This Row],[HARGA SATUAN]])</f>
        <v/>
      </c>
      <c r="AG762" s="36" t="str">
        <f ca="1">IF(NOTA[[#This Row],[ID_H]]="","",INDEX(NOTA[TANGGAL],MATCH(,INDIRECT(ADDRESS(ROW(NOTA[TANGGAL]),COLUMN(NOTA[TANGGAL]))&amp;":"&amp;ADDRESS(ROW(),COLUMN(NOTA[TANGGAL]))),-1)))</f>
        <v/>
      </c>
      <c r="AH762" s="36" t="str">
        <f ca="1">IF(NOTA[[#This Row],[ID_H]]="","",INDEX(NOTA[TGL.NOTA],MATCH(,INDIRECT(ADDRESS(ROW(NOTA[TGL.NOTA]),COLUMN(NOTA[TGL.NOTA]))&amp;":"&amp;ADDRESS(ROW(),COLUMN(NOTA[TGL.NOTA]))),-1)))</f>
        <v/>
      </c>
      <c r="AI762" s="36" t="str">
        <f ca="1">IF(NOTA[[#This Row],[ID_H]]="","",INDEX(NOTA[NO.NOTA],MATCH(NOTA[[#This Row],[ID_H]],NOTA[ID_H],0)))</f>
        <v/>
      </c>
      <c r="AJ762" s="38" t="str">
        <f ca="1">IF(NOTA[[#This Row],[NAMA BARANG]]="","",INDEX(NOTA[SUPPLIER],MATCH(,INDIRECT(ADDRESS(ROW(NOTA[ID]),COLUMN(NOTA[ID]))&amp;":"&amp;ADDRESS(ROW(),COLUMN(NOTA[ID]))),-1)))</f>
        <v/>
      </c>
      <c r="AK762" s="38" t="str">
        <f ca="1">IF(NOTA[[#This Row],[ID_H]]="","",IF(NOTA[[#This Row],[FAKTUR]]="",INDIRECT(ADDRESS(ROW()-1,COLUMN())),NOTA[[#This Row],[FAKTUR]]))</f>
        <v/>
      </c>
      <c r="AL762" s="35" t="str">
        <f ca="1">IF(NOTA[[#This Row],[ID]]="","",COUNTIF(NOTA[ID_H],NOTA[[#This Row],[ID_H]]))</f>
        <v/>
      </c>
      <c r="AM762" s="35" t="str">
        <f ca="1">IF(NOTA[[#This Row],[TGL.NOTA]]="",IF(NOTA[[#This Row],[SUPPLIER_H]]="","",AM761),MONTH(NOTA[[#This Row],[TGL.NOTA]]))</f>
        <v/>
      </c>
      <c r="AN7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2" s="35" t="str">
        <f>IF(NOTA[[#This Row],[CONCAT1]]="","",MATCH(NOTA[[#This Row],[CONCAT1]],[3]!db[NB NOTA_C],0))</f>
        <v/>
      </c>
      <c r="AS762" s="35" t="str">
        <f>IF(NOTA[[#This Row],[Column5]]="","",TRUE)</f>
        <v/>
      </c>
      <c r="AT762" s="35" t="str">
        <f ca="1">IF(NOTA[[#This Row],[ID_H]]="","",IF(NOTA[[#This Row],[Column3]]=TRUE,NOTA[[#This Row],[Column5]],INDEX([3]!db[QTY/ CTN],NOTA[[#This Row],[//DB]])))</f>
        <v/>
      </c>
      <c r="AU7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2" s="35" t="str">
        <f ca="1">IF(NOTA[[#This Row],[ID_H]]="","",MATCH(NOTA[[#This Row],[NB NOTA_C_QTY]],[3]!db[NB NOTA_C_QTY+F],0))</f>
        <v/>
      </c>
      <c r="AW762" s="43" t="str">
        <f ca="1">IF(NOTA[[#This Row],[NB NOTA_C_QTY]]="","",ROW()-2)</f>
        <v/>
      </c>
    </row>
    <row r="763" spans="1:49" ht="20.100000000000001" customHeight="1">
      <c r="A7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5" t="str">
        <f ca="1">IF(NOTA[[#This Row],[NAMA BARANG]]="","",INDEX(NOTA[ID],MATCH(,INDIRECT(ADDRESS(ROW(NOTA[ID]),COLUMN(NOTA[ID]))&amp;":"&amp;ADDRESS(ROW(),COLUMN(NOTA[ID]))),-1)))</f>
        <v/>
      </c>
      <c r="C763" s="45"/>
      <c r="F763" s="46"/>
      <c r="G763" s="35"/>
      <c r="H763" s="36"/>
      <c r="I763" s="35"/>
      <c r="K763" s="37"/>
      <c r="L763" s="35"/>
      <c r="N763" s="38"/>
      <c r="O763" s="39"/>
      <c r="P763" s="47"/>
      <c r="Q763" s="48"/>
      <c r="R763" s="41"/>
      <c r="T763" s="42"/>
      <c r="U763" s="44"/>
      <c r="V763" s="42" t="str">
        <f>IF(NOTA[[#This Row],[HARGA/ CTN]]="",NOTA[[#This Row],[JUMLAH_H]],NOTA[[#This Row],[HARGA/ CTN]]*IF(NOTA[[#This Row],[C]]="",0,NOTA[[#This Row],[C]]))</f>
        <v/>
      </c>
      <c r="W763" s="42" t="str">
        <f>IF(NOTA[[#This Row],[JUMLAH]]="","",NOTA[[#This Row],[JUMLAH]]*NOTA[[#This Row],[Column6]])</f>
        <v/>
      </c>
      <c r="X763" s="42" t="str">
        <f>IF(NOTA[[#This Row],[JUMLAH]]="","",(NOTA[[#This Row],[JUMLAH]]-NOTA[[#This Row],[DISC 1-]])*NOTA[[#This Row],[Column7]])</f>
        <v/>
      </c>
      <c r="Y763" s="42" t="str">
        <f>IF(NOTA[[#This Row],[JUMLAH]]="","",(NOTA[[#This Row],[JUMLAH]]-NOTA[[#This Row],[DISC 1-]]-NOTA[[#This Row],[DISC 2-]])*NOTA[[#This Row],[Column8]])</f>
        <v/>
      </c>
      <c r="Z763" s="42" t="str">
        <f>IF(NOTA[[#This Row],[JUMLAH]]="","",NOTA[[#This Row],[DISC 1-]]+NOTA[[#This Row],[DISC 2-]]+NOTA[[#This Row],[DISC 3-]])</f>
        <v/>
      </c>
      <c r="AA763" s="42" t="str">
        <f>IF(NOTA[[#This Row],[JUMLAH]]="","",NOTA[[#This Row],[JUMLAH]]-NOTA[[#This Row],[DISC]])</f>
        <v/>
      </c>
      <c r="AB763" s="42"/>
      <c r="AC7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42" t="str">
        <f>IF(OR(NOTA[[#This Row],[QTY]]="",NOTA[[#This Row],[HARGA SATUAN]]="",),"",NOTA[[#This Row],[QTY]]*NOTA[[#This Row],[HARGA SATUAN]])</f>
        <v/>
      </c>
      <c r="AG763" s="36" t="str">
        <f ca="1">IF(NOTA[[#This Row],[ID_H]]="","",INDEX(NOTA[TANGGAL],MATCH(,INDIRECT(ADDRESS(ROW(NOTA[TANGGAL]),COLUMN(NOTA[TANGGAL]))&amp;":"&amp;ADDRESS(ROW(),COLUMN(NOTA[TANGGAL]))),-1)))</f>
        <v/>
      </c>
      <c r="AH763" s="36" t="str">
        <f ca="1">IF(NOTA[[#This Row],[ID_H]]="","",INDEX(NOTA[TGL.NOTA],MATCH(,INDIRECT(ADDRESS(ROW(NOTA[TGL.NOTA]),COLUMN(NOTA[TGL.NOTA]))&amp;":"&amp;ADDRESS(ROW(),COLUMN(NOTA[TGL.NOTA]))),-1)))</f>
        <v/>
      </c>
      <c r="AI763" s="36" t="str">
        <f ca="1">IF(NOTA[[#This Row],[ID_H]]="","",INDEX(NOTA[NO.NOTA],MATCH(NOTA[[#This Row],[ID_H]],NOTA[ID_H],0)))</f>
        <v/>
      </c>
      <c r="AJ763" s="38" t="str">
        <f ca="1">IF(NOTA[[#This Row],[NAMA BARANG]]="","",INDEX(NOTA[SUPPLIER],MATCH(,INDIRECT(ADDRESS(ROW(NOTA[ID]),COLUMN(NOTA[ID]))&amp;":"&amp;ADDRESS(ROW(),COLUMN(NOTA[ID]))),-1)))</f>
        <v/>
      </c>
      <c r="AK763" s="38" t="str">
        <f ca="1">IF(NOTA[[#This Row],[ID_H]]="","",IF(NOTA[[#This Row],[FAKTUR]]="",INDIRECT(ADDRESS(ROW()-1,COLUMN())),NOTA[[#This Row],[FAKTUR]]))</f>
        <v/>
      </c>
      <c r="AL763" s="35" t="str">
        <f ca="1">IF(NOTA[[#This Row],[ID]]="","",COUNTIF(NOTA[ID_H],NOTA[[#This Row],[ID_H]]))</f>
        <v/>
      </c>
      <c r="AM763" s="35" t="str">
        <f ca="1">IF(NOTA[[#This Row],[TGL.NOTA]]="",IF(NOTA[[#This Row],[SUPPLIER_H]]="","",AM762),MONTH(NOTA[[#This Row],[TGL.NOTA]]))</f>
        <v/>
      </c>
      <c r="AN7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3" s="35" t="str">
        <f>IF(NOTA[[#This Row],[CONCAT1]]="","",MATCH(NOTA[[#This Row],[CONCAT1]],[3]!db[NB NOTA_C],0))</f>
        <v/>
      </c>
      <c r="AS763" s="35" t="str">
        <f>IF(NOTA[[#This Row],[Column5]]="","",TRUE)</f>
        <v/>
      </c>
      <c r="AT763" s="35" t="str">
        <f ca="1">IF(NOTA[[#This Row],[ID_H]]="","",IF(NOTA[[#This Row],[Column3]]=TRUE,NOTA[[#This Row],[Column5]],INDEX([3]!db[QTY/ CTN],NOTA[[#This Row],[//DB]])))</f>
        <v/>
      </c>
      <c r="AU7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3" s="35" t="str">
        <f ca="1">IF(NOTA[[#This Row],[ID_H]]="","",MATCH(NOTA[[#This Row],[NB NOTA_C_QTY]],[3]!db[NB NOTA_C_QTY+F],0))</f>
        <v/>
      </c>
      <c r="AW763" s="43" t="str">
        <f ca="1">IF(NOTA[[#This Row],[NB NOTA_C_QTY]]="","",ROW()-2)</f>
        <v/>
      </c>
    </row>
    <row r="764" spans="1:49" ht="20.100000000000001" customHeight="1">
      <c r="A7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5" t="str">
        <f ca="1">IF(NOTA[[#This Row],[NAMA BARANG]]="","",INDEX(NOTA[ID],MATCH(,INDIRECT(ADDRESS(ROW(NOTA[ID]),COLUMN(NOTA[ID]))&amp;":"&amp;ADDRESS(ROW(),COLUMN(NOTA[ID]))),-1)))</f>
        <v/>
      </c>
      <c r="C764" s="45"/>
      <c r="F764" s="46"/>
      <c r="G764" s="35"/>
      <c r="H764" s="36"/>
      <c r="I764" s="35"/>
      <c r="K764" s="37"/>
      <c r="L764" s="35"/>
      <c r="N764" s="38"/>
      <c r="O764" s="39"/>
      <c r="P764" s="47"/>
      <c r="Q764" s="48"/>
      <c r="R764" s="41"/>
      <c r="T764" s="42"/>
      <c r="U764" s="44"/>
      <c r="V764" s="42" t="str">
        <f>IF(NOTA[[#This Row],[HARGA/ CTN]]="",NOTA[[#This Row],[JUMLAH_H]],NOTA[[#This Row],[HARGA/ CTN]]*IF(NOTA[[#This Row],[C]]="",0,NOTA[[#This Row],[C]]))</f>
        <v/>
      </c>
      <c r="W764" s="42" t="str">
        <f>IF(NOTA[[#This Row],[JUMLAH]]="","",NOTA[[#This Row],[JUMLAH]]*NOTA[[#This Row],[Column6]])</f>
        <v/>
      </c>
      <c r="X764" s="42" t="str">
        <f>IF(NOTA[[#This Row],[JUMLAH]]="","",(NOTA[[#This Row],[JUMLAH]]-NOTA[[#This Row],[DISC 1-]])*NOTA[[#This Row],[Column7]])</f>
        <v/>
      </c>
      <c r="Y764" s="42" t="str">
        <f>IF(NOTA[[#This Row],[JUMLAH]]="","",(NOTA[[#This Row],[JUMLAH]]-NOTA[[#This Row],[DISC 1-]]-NOTA[[#This Row],[DISC 2-]])*NOTA[[#This Row],[Column8]])</f>
        <v/>
      </c>
      <c r="Z764" s="42" t="str">
        <f>IF(NOTA[[#This Row],[JUMLAH]]="","",NOTA[[#This Row],[DISC 1-]]+NOTA[[#This Row],[DISC 2-]]+NOTA[[#This Row],[DISC 3-]])</f>
        <v/>
      </c>
      <c r="AA764" s="42" t="str">
        <f>IF(NOTA[[#This Row],[JUMLAH]]="","",NOTA[[#This Row],[JUMLAH]]-NOTA[[#This Row],[DISC]])</f>
        <v/>
      </c>
      <c r="AB764" s="42"/>
      <c r="AC7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42" t="str">
        <f>IF(OR(NOTA[[#This Row],[QTY]]="",NOTA[[#This Row],[HARGA SATUAN]]="",),"",NOTA[[#This Row],[QTY]]*NOTA[[#This Row],[HARGA SATUAN]])</f>
        <v/>
      </c>
      <c r="AG764" s="36" t="str">
        <f ca="1">IF(NOTA[[#This Row],[ID_H]]="","",INDEX(NOTA[TANGGAL],MATCH(,INDIRECT(ADDRESS(ROW(NOTA[TANGGAL]),COLUMN(NOTA[TANGGAL]))&amp;":"&amp;ADDRESS(ROW(),COLUMN(NOTA[TANGGAL]))),-1)))</f>
        <v/>
      </c>
      <c r="AH764" s="36" t="str">
        <f ca="1">IF(NOTA[[#This Row],[ID_H]]="","",INDEX(NOTA[TGL.NOTA],MATCH(,INDIRECT(ADDRESS(ROW(NOTA[TGL.NOTA]),COLUMN(NOTA[TGL.NOTA]))&amp;":"&amp;ADDRESS(ROW(),COLUMN(NOTA[TGL.NOTA]))),-1)))</f>
        <v/>
      </c>
      <c r="AI764" s="36" t="str">
        <f ca="1">IF(NOTA[[#This Row],[ID_H]]="","",INDEX(NOTA[NO.NOTA],MATCH(NOTA[[#This Row],[ID_H]],NOTA[ID_H],0)))</f>
        <v/>
      </c>
      <c r="AJ764" s="38" t="str">
        <f ca="1">IF(NOTA[[#This Row],[NAMA BARANG]]="","",INDEX(NOTA[SUPPLIER],MATCH(,INDIRECT(ADDRESS(ROW(NOTA[ID]),COLUMN(NOTA[ID]))&amp;":"&amp;ADDRESS(ROW(),COLUMN(NOTA[ID]))),-1)))</f>
        <v/>
      </c>
      <c r="AK764" s="38" t="str">
        <f ca="1">IF(NOTA[[#This Row],[ID_H]]="","",IF(NOTA[[#This Row],[FAKTUR]]="",INDIRECT(ADDRESS(ROW()-1,COLUMN())),NOTA[[#This Row],[FAKTUR]]))</f>
        <v/>
      </c>
      <c r="AL764" s="35" t="str">
        <f ca="1">IF(NOTA[[#This Row],[ID]]="","",COUNTIF(NOTA[ID_H],NOTA[[#This Row],[ID_H]]))</f>
        <v/>
      </c>
      <c r="AM764" s="35" t="str">
        <f ca="1">IF(NOTA[[#This Row],[TGL.NOTA]]="",IF(NOTA[[#This Row],[SUPPLIER_H]]="","",AM763),MONTH(NOTA[[#This Row],[TGL.NOTA]]))</f>
        <v/>
      </c>
      <c r="AN7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4" s="35" t="str">
        <f>IF(NOTA[[#This Row],[CONCAT1]]="","",MATCH(NOTA[[#This Row],[CONCAT1]],[3]!db[NB NOTA_C],0))</f>
        <v/>
      </c>
      <c r="AS764" s="35" t="str">
        <f>IF(NOTA[[#This Row],[Column5]]="","",TRUE)</f>
        <v/>
      </c>
      <c r="AT764" s="35" t="str">
        <f ca="1">IF(NOTA[[#This Row],[ID_H]]="","",IF(NOTA[[#This Row],[Column3]]=TRUE,NOTA[[#This Row],[Column5]],INDEX([3]!db[QTY/ CTN],NOTA[[#This Row],[//DB]])))</f>
        <v/>
      </c>
      <c r="AU7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4" s="35" t="str">
        <f ca="1">IF(NOTA[[#This Row],[ID_H]]="","",MATCH(NOTA[[#This Row],[NB NOTA_C_QTY]],[3]!db[NB NOTA_C_QTY+F],0))</f>
        <v/>
      </c>
      <c r="AW764" s="43" t="str">
        <f ca="1">IF(NOTA[[#This Row],[NB NOTA_C_QTY]]="","",ROW()-2)</f>
        <v/>
      </c>
    </row>
    <row r="765" spans="1:49" ht="20.100000000000001" customHeight="1">
      <c r="A7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5" t="str">
        <f ca="1">IF(NOTA[[#This Row],[NAMA BARANG]]="","",INDEX(NOTA[ID],MATCH(,INDIRECT(ADDRESS(ROW(NOTA[ID]),COLUMN(NOTA[ID]))&amp;":"&amp;ADDRESS(ROW(),COLUMN(NOTA[ID]))),-1)))</f>
        <v/>
      </c>
      <c r="C765" s="45"/>
      <c r="F765" s="46"/>
      <c r="G765" s="35"/>
      <c r="H765" s="36"/>
      <c r="I765" s="35"/>
      <c r="K765" s="37"/>
      <c r="L765" s="35"/>
      <c r="N765" s="38"/>
      <c r="O765" s="39"/>
      <c r="P765" s="47"/>
      <c r="Q765" s="48"/>
      <c r="R765" s="41"/>
      <c r="T765" s="42"/>
      <c r="U765" s="44"/>
      <c r="V765" s="42" t="str">
        <f>IF(NOTA[[#This Row],[HARGA/ CTN]]="",NOTA[[#This Row],[JUMLAH_H]],NOTA[[#This Row],[HARGA/ CTN]]*IF(NOTA[[#This Row],[C]]="",0,NOTA[[#This Row],[C]]))</f>
        <v/>
      </c>
      <c r="W765" s="42" t="str">
        <f>IF(NOTA[[#This Row],[JUMLAH]]="","",NOTA[[#This Row],[JUMLAH]]*NOTA[[#This Row],[Column6]])</f>
        <v/>
      </c>
      <c r="X765" s="42" t="str">
        <f>IF(NOTA[[#This Row],[JUMLAH]]="","",(NOTA[[#This Row],[JUMLAH]]-NOTA[[#This Row],[DISC 1-]])*NOTA[[#This Row],[Column7]])</f>
        <v/>
      </c>
      <c r="Y765" s="42" t="str">
        <f>IF(NOTA[[#This Row],[JUMLAH]]="","",(NOTA[[#This Row],[JUMLAH]]-NOTA[[#This Row],[DISC 1-]]-NOTA[[#This Row],[DISC 2-]])*NOTA[[#This Row],[Column8]])</f>
        <v/>
      </c>
      <c r="Z765" s="42" t="str">
        <f>IF(NOTA[[#This Row],[JUMLAH]]="","",NOTA[[#This Row],[DISC 1-]]+NOTA[[#This Row],[DISC 2-]]+NOTA[[#This Row],[DISC 3-]])</f>
        <v/>
      </c>
      <c r="AA765" s="42" t="str">
        <f>IF(NOTA[[#This Row],[JUMLAH]]="","",NOTA[[#This Row],[JUMLAH]]-NOTA[[#This Row],[DISC]])</f>
        <v/>
      </c>
      <c r="AB765" s="42"/>
      <c r="AC7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42" t="str">
        <f>IF(OR(NOTA[[#This Row],[QTY]]="",NOTA[[#This Row],[HARGA SATUAN]]="",),"",NOTA[[#This Row],[QTY]]*NOTA[[#This Row],[HARGA SATUAN]])</f>
        <v/>
      </c>
      <c r="AG765" s="36" t="str">
        <f ca="1">IF(NOTA[[#This Row],[ID_H]]="","",INDEX(NOTA[TANGGAL],MATCH(,INDIRECT(ADDRESS(ROW(NOTA[TANGGAL]),COLUMN(NOTA[TANGGAL]))&amp;":"&amp;ADDRESS(ROW(),COLUMN(NOTA[TANGGAL]))),-1)))</f>
        <v/>
      </c>
      <c r="AH765" s="36" t="str">
        <f ca="1">IF(NOTA[[#This Row],[ID_H]]="","",INDEX(NOTA[TGL.NOTA],MATCH(,INDIRECT(ADDRESS(ROW(NOTA[TGL.NOTA]),COLUMN(NOTA[TGL.NOTA]))&amp;":"&amp;ADDRESS(ROW(),COLUMN(NOTA[TGL.NOTA]))),-1)))</f>
        <v/>
      </c>
      <c r="AI765" s="36" t="str">
        <f ca="1">IF(NOTA[[#This Row],[ID_H]]="","",INDEX(NOTA[NO.NOTA],MATCH(NOTA[[#This Row],[ID_H]],NOTA[ID_H],0)))</f>
        <v/>
      </c>
      <c r="AJ765" s="38" t="str">
        <f ca="1">IF(NOTA[[#This Row],[NAMA BARANG]]="","",INDEX(NOTA[SUPPLIER],MATCH(,INDIRECT(ADDRESS(ROW(NOTA[ID]),COLUMN(NOTA[ID]))&amp;":"&amp;ADDRESS(ROW(),COLUMN(NOTA[ID]))),-1)))</f>
        <v/>
      </c>
      <c r="AK765" s="38" t="str">
        <f ca="1">IF(NOTA[[#This Row],[ID_H]]="","",IF(NOTA[[#This Row],[FAKTUR]]="",INDIRECT(ADDRESS(ROW()-1,COLUMN())),NOTA[[#This Row],[FAKTUR]]))</f>
        <v/>
      </c>
      <c r="AL765" s="35" t="str">
        <f ca="1">IF(NOTA[[#This Row],[ID]]="","",COUNTIF(NOTA[ID_H],NOTA[[#This Row],[ID_H]]))</f>
        <v/>
      </c>
      <c r="AM765" s="35" t="str">
        <f ca="1">IF(NOTA[[#This Row],[TGL.NOTA]]="",IF(NOTA[[#This Row],[SUPPLIER_H]]="","",AM764),MONTH(NOTA[[#This Row],[TGL.NOTA]]))</f>
        <v/>
      </c>
      <c r="AN7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5" s="35" t="str">
        <f>IF(NOTA[[#This Row],[CONCAT1]]="","",MATCH(NOTA[[#This Row],[CONCAT1]],[3]!db[NB NOTA_C],0))</f>
        <v/>
      </c>
      <c r="AS765" s="35" t="str">
        <f>IF(NOTA[[#This Row],[Column5]]="","",TRUE)</f>
        <v/>
      </c>
      <c r="AT765" s="35" t="str">
        <f ca="1">IF(NOTA[[#This Row],[ID_H]]="","",IF(NOTA[[#This Row],[Column3]]=TRUE,NOTA[[#This Row],[Column5]],INDEX([3]!db[QTY/ CTN],NOTA[[#This Row],[//DB]])))</f>
        <v/>
      </c>
      <c r="AU7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5" s="35" t="str">
        <f ca="1">IF(NOTA[[#This Row],[ID_H]]="","",MATCH(NOTA[[#This Row],[NB NOTA_C_QTY]],[3]!db[NB NOTA_C_QTY+F],0))</f>
        <v/>
      </c>
      <c r="AW765" s="43" t="str">
        <f ca="1">IF(NOTA[[#This Row],[NB NOTA_C_QTY]]="","",ROW()-2)</f>
        <v/>
      </c>
    </row>
    <row r="766" spans="1:49" ht="20.100000000000001" customHeight="1">
      <c r="A7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5" t="str">
        <f ca="1">IF(NOTA[[#This Row],[NAMA BARANG]]="","",INDEX(NOTA[ID],MATCH(,INDIRECT(ADDRESS(ROW(NOTA[ID]),COLUMN(NOTA[ID]))&amp;":"&amp;ADDRESS(ROW(),COLUMN(NOTA[ID]))),-1)))</f>
        <v/>
      </c>
      <c r="C766" s="45"/>
      <c r="F766" s="46"/>
      <c r="G766" s="35"/>
      <c r="H766" s="36"/>
      <c r="I766" s="35"/>
      <c r="K766" s="37"/>
      <c r="L766" s="35"/>
      <c r="N766" s="38"/>
      <c r="O766" s="39"/>
      <c r="P766" s="47"/>
      <c r="Q766" s="48"/>
      <c r="R766" s="41"/>
      <c r="T766" s="42"/>
      <c r="U766" s="44"/>
      <c r="V766" s="42" t="str">
        <f>IF(NOTA[[#This Row],[HARGA/ CTN]]="",NOTA[[#This Row],[JUMLAH_H]],NOTA[[#This Row],[HARGA/ CTN]]*IF(NOTA[[#This Row],[C]]="",0,NOTA[[#This Row],[C]]))</f>
        <v/>
      </c>
      <c r="W766" s="42" t="str">
        <f>IF(NOTA[[#This Row],[JUMLAH]]="","",NOTA[[#This Row],[JUMLAH]]*NOTA[[#This Row],[Column6]])</f>
        <v/>
      </c>
      <c r="X766" s="42" t="str">
        <f>IF(NOTA[[#This Row],[JUMLAH]]="","",(NOTA[[#This Row],[JUMLAH]]-NOTA[[#This Row],[DISC 1-]])*NOTA[[#This Row],[Column7]])</f>
        <v/>
      </c>
      <c r="Y766" s="42" t="str">
        <f>IF(NOTA[[#This Row],[JUMLAH]]="","",(NOTA[[#This Row],[JUMLAH]]-NOTA[[#This Row],[DISC 1-]]-NOTA[[#This Row],[DISC 2-]])*NOTA[[#This Row],[Column8]])</f>
        <v/>
      </c>
      <c r="Z766" s="42" t="str">
        <f>IF(NOTA[[#This Row],[JUMLAH]]="","",NOTA[[#This Row],[DISC 1-]]+NOTA[[#This Row],[DISC 2-]]+NOTA[[#This Row],[DISC 3-]])</f>
        <v/>
      </c>
      <c r="AA766" s="42" t="str">
        <f>IF(NOTA[[#This Row],[JUMLAH]]="","",NOTA[[#This Row],[JUMLAH]]-NOTA[[#This Row],[DISC]])</f>
        <v/>
      </c>
      <c r="AB766" s="42"/>
      <c r="AC7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42" t="str">
        <f>IF(OR(NOTA[[#This Row],[QTY]]="",NOTA[[#This Row],[HARGA SATUAN]]="",),"",NOTA[[#This Row],[QTY]]*NOTA[[#This Row],[HARGA SATUAN]])</f>
        <v/>
      </c>
      <c r="AG766" s="36" t="str">
        <f ca="1">IF(NOTA[[#This Row],[ID_H]]="","",INDEX(NOTA[TANGGAL],MATCH(,INDIRECT(ADDRESS(ROW(NOTA[TANGGAL]),COLUMN(NOTA[TANGGAL]))&amp;":"&amp;ADDRESS(ROW(),COLUMN(NOTA[TANGGAL]))),-1)))</f>
        <v/>
      </c>
      <c r="AH766" s="36" t="str">
        <f ca="1">IF(NOTA[[#This Row],[ID_H]]="","",INDEX(NOTA[TGL.NOTA],MATCH(,INDIRECT(ADDRESS(ROW(NOTA[TGL.NOTA]),COLUMN(NOTA[TGL.NOTA]))&amp;":"&amp;ADDRESS(ROW(),COLUMN(NOTA[TGL.NOTA]))),-1)))</f>
        <v/>
      </c>
      <c r="AI766" s="36" t="str">
        <f ca="1">IF(NOTA[[#This Row],[ID_H]]="","",INDEX(NOTA[NO.NOTA],MATCH(NOTA[[#This Row],[ID_H]],NOTA[ID_H],0)))</f>
        <v/>
      </c>
      <c r="AJ766" s="38" t="str">
        <f ca="1">IF(NOTA[[#This Row],[NAMA BARANG]]="","",INDEX(NOTA[SUPPLIER],MATCH(,INDIRECT(ADDRESS(ROW(NOTA[ID]),COLUMN(NOTA[ID]))&amp;":"&amp;ADDRESS(ROW(),COLUMN(NOTA[ID]))),-1)))</f>
        <v/>
      </c>
      <c r="AK766" s="38" t="str">
        <f ca="1">IF(NOTA[[#This Row],[ID_H]]="","",IF(NOTA[[#This Row],[FAKTUR]]="",INDIRECT(ADDRESS(ROW()-1,COLUMN())),NOTA[[#This Row],[FAKTUR]]))</f>
        <v/>
      </c>
      <c r="AL766" s="35" t="str">
        <f ca="1">IF(NOTA[[#This Row],[ID]]="","",COUNTIF(NOTA[ID_H],NOTA[[#This Row],[ID_H]]))</f>
        <v/>
      </c>
      <c r="AM766" s="35" t="str">
        <f ca="1">IF(NOTA[[#This Row],[TGL.NOTA]]="",IF(NOTA[[#This Row],[SUPPLIER_H]]="","",AM765),MONTH(NOTA[[#This Row],[TGL.NOTA]]))</f>
        <v/>
      </c>
      <c r="AN7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6" s="35" t="str">
        <f>IF(NOTA[[#This Row],[CONCAT1]]="","",MATCH(NOTA[[#This Row],[CONCAT1]],[3]!db[NB NOTA_C],0))</f>
        <v/>
      </c>
      <c r="AS766" s="35" t="str">
        <f>IF(NOTA[[#This Row],[Column5]]="","",TRUE)</f>
        <v/>
      </c>
      <c r="AT766" s="35" t="str">
        <f ca="1">IF(NOTA[[#This Row],[ID_H]]="","",IF(NOTA[[#This Row],[Column3]]=TRUE,NOTA[[#This Row],[Column5]],INDEX([3]!db[QTY/ CTN],NOTA[[#This Row],[//DB]])))</f>
        <v/>
      </c>
      <c r="AU7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6" s="35" t="str">
        <f ca="1">IF(NOTA[[#This Row],[ID_H]]="","",MATCH(NOTA[[#This Row],[NB NOTA_C_QTY]],[3]!db[NB NOTA_C_QTY+F],0))</f>
        <v/>
      </c>
      <c r="AW766" s="43" t="str">
        <f ca="1">IF(NOTA[[#This Row],[NB NOTA_C_QTY]]="","",ROW()-2)</f>
        <v/>
      </c>
    </row>
    <row r="767" spans="1:49" ht="20.100000000000001" customHeight="1">
      <c r="A7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5" t="str">
        <f ca="1">IF(NOTA[[#This Row],[NAMA BARANG]]="","",INDEX(NOTA[ID],MATCH(,INDIRECT(ADDRESS(ROW(NOTA[ID]),COLUMN(NOTA[ID]))&amp;":"&amp;ADDRESS(ROW(),COLUMN(NOTA[ID]))),-1)))</f>
        <v/>
      </c>
      <c r="C767" s="45"/>
      <c r="F767" s="46"/>
      <c r="G767" s="35"/>
      <c r="H767" s="36"/>
      <c r="I767" s="35"/>
      <c r="K767" s="37"/>
      <c r="L767" s="35"/>
      <c r="N767" s="38"/>
      <c r="O767" s="39"/>
      <c r="P767" s="47"/>
      <c r="Q767" s="48"/>
      <c r="R767" s="41"/>
      <c r="T767" s="42"/>
      <c r="U767" s="44"/>
      <c r="V767" s="42" t="str">
        <f>IF(NOTA[[#This Row],[HARGA/ CTN]]="",NOTA[[#This Row],[JUMLAH_H]],NOTA[[#This Row],[HARGA/ CTN]]*IF(NOTA[[#This Row],[C]]="",0,NOTA[[#This Row],[C]]))</f>
        <v/>
      </c>
      <c r="W767" s="42" t="str">
        <f>IF(NOTA[[#This Row],[JUMLAH]]="","",NOTA[[#This Row],[JUMLAH]]*NOTA[[#This Row],[Column6]])</f>
        <v/>
      </c>
      <c r="X767" s="42" t="str">
        <f>IF(NOTA[[#This Row],[JUMLAH]]="","",(NOTA[[#This Row],[JUMLAH]]-NOTA[[#This Row],[DISC 1-]])*NOTA[[#This Row],[Column7]])</f>
        <v/>
      </c>
      <c r="Y767" s="42" t="str">
        <f>IF(NOTA[[#This Row],[JUMLAH]]="","",(NOTA[[#This Row],[JUMLAH]]-NOTA[[#This Row],[DISC 1-]]-NOTA[[#This Row],[DISC 2-]])*NOTA[[#This Row],[Column8]])</f>
        <v/>
      </c>
      <c r="Z767" s="42" t="str">
        <f>IF(NOTA[[#This Row],[JUMLAH]]="","",NOTA[[#This Row],[DISC 1-]]+NOTA[[#This Row],[DISC 2-]]+NOTA[[#This Row],[DISC 3-]])</f>
        <v/>
      </c>
      <c r="AA767" s="42" t="str">
        <f>IF(NOTA[[#This Row],[JUMLAH]]="","",NOTA[[#This Row],[JUMLAH]]-NOTA[[#This Row],[DISC]])</f>
        <v/>
      </c>
      <c r="AB767" s="42"/>
      <c r="AC7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42" t="str">
        <f>IF(OR(NOTA[[#This Row],[QTY]]="",NOTA[[#This Row],[HARGA SATUAN]]="",),"",NOTA[[#This Row],[QTY]]*NOTA[[#This Row],[HARGA SATUAN]])</f>
        <v/>
      </c>
      <c r="AG767" s="36" t="str">
        <f ca="1">IF(NOTA[[#This Row],[ID_H]]="","",INDEX(NOTA[TANGGAL],MATCH(,INDIRECT(ADDRESS(ROW(NOTA[TANGGAL]),COLUMN(NOTA[TANGGAL]))&amp;":"&amp;ADDRESS(ROW(),COLUMN(NOTA[TANGGAL]))),-1)))</f>
        <v/>
      </c>
      <c r="AH767" s="36" t="str">
        <f ca="1">IF(NOTA[[#This Row],[ID_H]]="","",INDEX(NOTA[TGL.NOTA],MATCH(,INDIRECT(ADDRESS(ROW(NOTA[TGL.NOTA]),COLUMN(NOTA[TGL.NOTA]))&amp;":"&amp;ADDRESS(ROW(),COLUMN(NOTA[TGL.NOTA]))),-1)))</f>
        <v/>
      </c>
      <c r="AI767" s="36" t="str">
        <f ca="1">IF(NOTA[[#This Row],[ID_H]]="","",INDEX(NOTA[NO.NOTA],MATCH(NOTA[[#This Row],[ID_H]],NOTA[ID_H],0)))</f>
        <v/>
      </c>
      <c r="AJ767" s="38" t="str">
        <f ca="1">IF(NOTA[[#This Row],[NAMA BARANG]]="","",INDEX(NOTA[SUPPLIER],MATCH(,INDIRECT(ADDRESS(ROW(NOTA[ID]),COLUMN(NOTA[ID]))&amp;":"&amp;ADDRESS(ROW(),COLUMN(NOTA[ID]))),-1)))</f>
        <v/>
      </c>
      <c r="AK767" s="38" t="str">
        <f ca="1">IF(NOTA[[#This Row],[ID_H]]="","",IF(NOTA[[#This Row],[FAKTUR]]="",INDIRECT(ADDRESS(ROW()-1,COLUMN())),NOTA[[#This Row],[FAKTUR]]))</f>
        <v/>
      </c>
      <c r="AL767" s="35" t="str">
        <f ca="1">IF(NOTA[[#This Row],[ID]]="","",COUNTIF(NOTA[ID_H],NOTA[[#This Row],[ID_H]]))</f>
        <v/>
      </c>
      <c r="AM767" s="35" t="str">
        <f ca="1">IF(NOTA[[#This Row],[TGL.NOTA]]="",IF(NOTA[[#This Row],[SUPPLIER_H]]="","",AM766),MONTH(NOTA[[#This Row],[TGL.NOTA]]))</f>
        <v/>
      </c>
      <c r="AN7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7" s="35" t="str">
        <f>IF(NOTA[[#This Row],[CONCAT1]]="","",MATCH(NOTA[[#This Row],[CONCAT1]],[3]!db[NB NOTA_C],0))</f>
        <v/>
      </c>
      <c r="AS767" s="35" t="str">
        <f>IF(NOTA[[#This Row],[Column5]]="","",TRUE)</f>
        <v/>
      </c>
      <c r="AT767" s="35" t="str">
        <f ca="1">IF(NOTA[[#This Row],[ID_H]]="","",IF(NOTA[[#This Row],[Column3]]=TRUE,NOTA[[#This Row],[Column5]],INDEX([3]!db[QTY/ CTN],NOTA[[#This Row],[//DB]])))</f>
        <v/>
      </c>
      <c r="AU7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7" s="35" t="str">
        <f ca="1">IF(NOTA[[#This Row],[ID_H]]="","",MATCH(NOTA[[#This Row],[NB NOTA_C_QTY]],[3]!db[NB NOTA_C_QTY+F],0))</f>
        <v/>
      </c>
      <c r="AW767" s="43" t="str">
        <f ca="1">IF(NOTA[[#This Row],[NB NOTA_C_QTY]]="","",ROW()-2)</f>
        <v/>
      </c>
    </row>
    <row r="768" spans="1:49" ht="20.100000000000001" customHeight="1">
      <c r="A7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5" t="str">
        <f ca="1">IF(NOTA[[#This Row],[NAMA BARANG]]="","",INDEX(NOTA[ID],MATCH(,INDIRECT(ADDRESS(ROW(NOTA[ID]),COLUMN(NOTA[ID]))&amp;":"&amp;ADDRESS(ROW(),COLUMN(NOTA[ID]))),-1)))</f>
        <v/>
      </c>
      <c r="C768" s="45"/>
      <c r="F768" s="46"/>
      <c r="G768" s="35"/>
      <c r="H768" s="36"/>
      <c r="I768" s="35"/>
      <c r="K768" s="37"/>
      <c r="L768" s="35"/>
      <c r="N768" s="38"/>
      <c r="O768" s="39"/>
      <c r="P768" s="47"/>
      <c r="Q768" s="48"/>
      <c r="R768" s="41"/>
      <c r="T768" s="42"/>
      <c r="U768" s="44"/>
      <c r="V768" s="42" t="str">
        <f>IF(NOTA[[#This Row],[HARGA/ CTN]]="",NOTA[[#This Row],[JUMLAH_H]],NOTA[[#This Row],[HARGA/ CTN]]*IF(NOTA[[#This Row],[C]]="",0,NOTA[[#This Row],[C]]))</f>
        <v/>
      </c>
      <c r="W768" s="42" t="str">
        <f>IF(NOTA[[#This Row],[JUMLAH]]="","",NOTA[[#This Row],[JUMLAH]]*NOTA[[#This Row],[Column6]])</f>
        <v/>
      </c>
      <c r="X768" s="42" t="str">
        <f>IF(NOTA[[#This Row],[JUMLAH]]="","",(NOTA[[#This Row],[JUMLAH]]-NOTA[[#This Row],[DISC 1-]])*NOTA[[#This Row],[Column7]])</f>
        <v/>
      </c>
      <c r="Y768" s="42" t="str">
        <f>IF(NOTA[[#This Row],[JUMLAH]]="","",(NOTA[[#This Row],[JUMLAH]]-NOTA[[#This Row],[DISC 1-]]-NOTA[[#This Row],[DISC 2-]])*NOTA[[#This Row],[Column8]])</f>
        <v/>
      </c>
      <c r="Z768" s="42" t="str">
        <f>IF(NOTA[[#This Row],[JUMLAH]]="","",NOTA[[#This Row],[DISC 1-]]+NOTA[[#This Row],[DISC 2-]]+NOTA[[#This Row],[DISC 3-]])</f>
        <v/>
      </c>
      <c r="AA768" s="42" t="str">
        <f>IF(NOTA[[#This Row],[JUMLAH]]="","",NOTA[[#This Row],[JUMLAH]]-NOTA[[#This Row],[DISC]])</f>
        <v/>
      </c>
      <c r="AB768" s="42"/>
      <c r="AC7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42" t="str">
        <f>IF(OR(NOTA[[#This Row],[QTY]]="",NOTA[[#This Row],[HARGA SATUAN]]="",),"",NOTA[[#This Row],[QTY]]*NOTA[[#This Row],[HARGA SATUAN]])</f>
        <v/>
      </c>
      <c r="AG768" s="36" t="str">
        <f ca="1">IF(NOTA[[#This Row],[ID_H]]="","",INDEX(NOTA[TANGGAL],MATCH(,INDIRECT(ADDRESS(ROW(NOTA[TANGGAL]),COLUMN(NOTA[TANGGAL]))&amp;":"&amp;ADDRESS(ROW(),COLUMN(NOTA[TANGGAL]))),-1)))</f>
        <v/>
      </c>
      <c r="AH768" s="36" t="str">
        <f ca="1">IF(NOTA[[#This Row],[ID_H]]="","",INDEX(NOTA[TGL.NOTA],MATCH(,INDIRECT(ADDRESS(ROW(NOTA[TGL.NOTA]),COLUMN(NOTA[TGL.NOTA]))&amp;":"&amp;ADDRESS(ROW(),COLUMN(NOTA[TGL.NOTA]))),-1)))</f>
        <v/>
      </c>
      <c r="AI768" s="36" t="str">
        <f ca="1">IF(NOTA[[#This Row],[ID_H]]="","",INDEX(NOTA[NO.NOTA],MATCH(NOTA[[#This Row],[ID_H]],NOTA[ID_H],0)))</f>
        <v/>
      </c>
      <c r="AJ768" s="38" t="str">
        <f ca="1">IF(NOTA[[#This Row],[NAMA BARANG]]="","",INDEX(NOTA[SUPPLIER],MATCH(,INDIRECT(ADDRESS(ROW(NOTA[ID]),COLUMN(NOTA[ID]))&amp;":"&amp;ADDRESS(ROW(),COLUMN(NOTA[ID]))),-1)))</f>
        <v/>
      </c>
      <c r="AK768" s="38" t="str">
        <f ca="1">IF(NOTA[[#This Row],[ID_H]]="","",IF(NOTA[[#This Row],[FAKTUR]]="",INDIRECT(ADDRESS(ROW()-1,COLUMN())),NOTA[[#This Row],[FAKTUR]]))</f>
        <v/>
      </c>
      <c r="AL768" s="35" t="str">
        <f ca="1">IF(NOTA[[#This Row],[ID]]="","",COUNTIF(NOTA[ID_H],NOTA[[#This Row],[ID_H]]))</f>
        <v/>
      </c>
      <c r="AM768" s="35" t="str">
        <f ca="1">IF(NOTA[[#This Row],[TGL.NOTA]]="",IF(NOTA[[#This Row],[SUPPLIER_H]]="","",AM767),MONTH(NOTA[[#This Row],[TGL.NOTA]]))</f>
        <v/>
      </c>
      <c r="AN7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8" s="35" t="str">
        <f>IF(NOTA[[#This Row],[CONCAT1]]="","",MATCH(NOTA[[#This Row],[CONCAT1]],[3]!db[NB NOTA_C],0))</f>
        <v/>
      </c>
      <c r="AS768" s="35" t="str">
        <f>IF(NOTA[[#This Row],[Column5]]="","",TRUE)</f>
        <v/>
      </c>
      <c r="AT768" s="35" t="str">
        <f ca="1">IF(NOTA[[#This Row],[ID_H]]="","",IF(NOTA[[#This Row],[Column3]]=TRUE,NOTA[[#This Row],[Column5]],INDEX([3]!db[QTY/ CTN],NOTA[[#This Row],[//DB]])))</f>
        <v/>
      </c>
      <c r="AU7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8" s="35" t="str">
        <f ca="1">IF(NOTA[[#This Row],[ID_H]]="","",MATCH(NOTA[[#This Row],[NB NOTA_C_QTY]],[3]!db[NB NOTA_C_QTY+F],0))</f>
        <v/>
      </c>
      <c r="AW768" s="43" t="str">
        <f ca="1">IF(NOTA[[#This Row],[NB NOTA_C_QTY]]="","",ROW()-2)</f>
        <v/>
      </c>
    </row>
    <row r="769" spans="1:49" ht="20.100000000000001" customHeight="1">
      <c r="A7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5" t="str">
        <f ca="1">IF(NOTA[[#This Row],[NAMA BARANG]]="","",INDEX(NOTA[ID],MATCH(,INDIRECT(ADDRESS(ROW(NOTA[ID]),COLUMN(NOTA[ID]))&amp;":"&amp;ADDRESS(ROW(),COLUMN(NOTA[ID]))),-1)))</f>
        <v/>
      </c>
      <c r="C769" s="45"/>
      <c r="F769" s="46"/>
      <c r="G769" s="35"/>
      <c r="H769" s="36"/>
      <c r="I769" s="35"/>
      <c r="K769" s="37"/>
      <c r="L769" s="35"/>
      <c r="N769" s="38"/>
      <c r="O769" s="39"/>
      <c r="P769" s="47"/>
      <c r="Q769" s="48"/>
      <c r="R769" s="41"/>
      <c r="T769" s="42"/>
      <c r="U769" s="44"/>
      <c r="V769" s="42" t="str">
        <f>IF(NOTA[[#This Row],[HARGA/ CTN]]="",NOTA[[#This Row],[JUMLAH_H]],NOTA[[#This Row],[HARGA/ CTN]]*IF(NOTA[[#This Row],[C]]="",0,NOTA[[#This Row],[C]]))</f>
        <v/>
      </c>
      <c r="W769" s="42" t="str">
        <f>IF(NOTA[[#This Row],[JUMLAH]]="","",NOTA[[#This Row],[JUMLAH]]*NOTA[[#This Row],[Column6]])</f>
        <v/>
      </c>
      <c r="X769" s="42" t="str">
        <f>IF(NOTA[[#This Row],[JUMLAH]]="","",(NOTA[[#This Row],[JUMLAH]]-NOTA[[#This Row],[DISC 1-]])*NOTA[[#This Row],[Column7]])</f>
        <v/>
      </c>
      <c r="Y769" s="42" t="str">
        <f>IF(NOTA[[#This Row],[JUMLAH]]="","",(NOTA[[#This Row],[JUMLAH]]-NOTA[[#This Row],[DISC 1-]]-NOTA[[#This Row],[DISC 2-]])*NOTA[[#This Row],[Column8]])</f>
        <v/>
      </c>
      <c r="Z769" s="42" t="str">
        <f>IF(NOTA[[#This Row],[JUMLAH]]="","",NOTA[[#This Row],[DISC 1-]]+NOTA[[#This Row],[DISC 2-]]+NOTA[[#This Row],[DISC 3-]])</f>
        <v/>
      </c>
      <c r="AA769" s="42" t="str">
        <f>IF(NOTA[[#This Row],[JUMLAH]]="","",NOTA[[#This Row],[JUMLAH]]-NOTA[[#This Row],[DISC]])</f>
        <v/>
      </c>
      <c r="AB769" s="42"/>
      <c r="AC7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42" t="str">
        <f>IF(OR(NOTA[[#This Row],[QTY]]="",NOTA[[#This Row],[HARGA SATUAN]]="",),"",NOTA[[#This Row],[QTY]]*NOTA[[#This Row],[HARGA SATUAN]])</f>
        <v/>
      </c>
      <c r="AG769" s="36" t="str">
        <f ca="1">IF(NOTA[[#This Row],[ID_H]]="","",INDEX(NOTA[TANGGAL],MATCH(,INDIRECT(ADDRESS(ROW(NOTA[TANGGAL]),COLUMN(NOTA[TANGGAL]))&amp;":"&amp;ADDRESS(ROW(),COLUMN(NOTA[TANGGAL]))),-1)))</f>
        <v/>
      </c>
      <c r="AH769" s="36" t="str">
        <f ca="1">IF(NOTA[[#This Row],[ID_H]]="","",INDEX(NOTA[TGL.NOTA],MATCH(,INDIRECT(ADDRESS(ROW(NOTA[TGL.NOTA]),COLUMN(NOTA[TGL.NOTA]))&amp;":"&amp;ADDRESS(ROW(),COLUMN(NOTA[TGL.NOTA]))),-1)))</f>
        <v/>
      </c>
      <c r="AI769" s="36" t="str">
        <f ca="1">IF(NOTA[[#This Row],[ID_H]]="","",INDEX(NOTA[NO.NOTA],MATCH(NOTA[[#This Row],[ID_H]],NOTA[ID_H],0)))</f>
        <v/>
      </c>
      <c r="AJ769" s="38" t="str">
        <f ca="1">IF(NOTA[[#This Row],[NAMA BARANG]]="","",INDEX(NOTA[SUPPLIER],MATCH(,INDIRECT(ADDRESS(ROW(NOTA[ID]),COLUMN(NOTA[ID]))&amp;":"&amp;ADDRESS(ROW(),COLUMN(NOTA[ID]))),-1)))</f>
        <v/>
      </c>
      <c r="AK769" s="38" t="str">
        <f ca="1">IF(NOTA[[#This Row],[ID_H]]="","",IF(NOTA[[#This Row],[FAKTUR]]="",INDIRECT(ADDRESS(ROW()-1,COLUMN())),NOTA[[#This Row],[FAKTUR]]))</f>
        <v/>
      </c>
      <c r="AL769" s="35" t="str">
        <f ca="1">IF(NOTA[[#This Row],[ID]]="","",COUNTIF(NOTA[ID_H],NOTA[[#This Row],[ID_H]]))</f>
        <v/>
      </c>
      <c r="AM769" s="35" t="str">
        <f ca="1">IF(NOTA[[#This Row],[TGL.NOTA]]="",IF(NOTA[[#This Row],[SUPPLIER_H]]="","",AM768),MONTH(NOTA[[#This Row],[TGL.NOTA]]))</f>
        <v/>
      </c>
      <c r="AN7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9" s="35" t="str">
        <f>IF(NOTA[[#This Row],[CONCAT1]]="","",MATCH(NOTA[[#This Row],[CONCAT1]],[3]!db[NB NOTA_C],0))</f>
        <v/>
      </c>
      <c r="AS769" s="35" t="str">
        <f>IF(NOTA[[#This Row],[Column5]]="","",TRUE)</f>
        <v/>
      </c>
      <c r="AT769" s="35" t="str">
        <f ca="1">IF(NOTA[[#This Row],[ID_H]]="","",IF(NOTA[[#This Row],[Column3]]=TRUE,NOTA[[#This Row],[Column5]],INDEX([3]!db[QTY/ CTN],NOTA[[#This Row],[//DB]])))</f>
        <v/>
      </c>
      <c r="AU7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69" s="35" t="str">
        <f ca="1">IF(NOTA[[#This Row],[ID_H]]="","",MATCH(NOTA[[#This Row],[NB NOTA_C_QTY]],[3]!db[NB NOTA_C_QTY+F],0))</f>
        <v/>
      </c>
      <c r="AW769" s="43" t="str">
        <f ca="1">IF(NOTA[[#This Row],[NB NOTA_C_QTY]]="","",ROW()-2)</f>
        <v/>
      </c>
    </row>
    <row r="770" spans="1:49" ht="20.100000000000001" customHeight="1">
      <c r="A7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5" t="str">
        <f ca="1">IF(NOTA[[#This Row],[NAMA BARANG]]="","",INDEX(NOTA[ID],MATCH(,INDIRECT(ADDRESS(ROW(NOTA[ID]),COLUMN(NOTA[ID]))&amp;":"&amp;ADDRESS(ROW(),COLUMN(NOTA[ID]))),-1)))</f>
        <v/>
      </c>
      <c r="C770" s="45"/>
      <c r="F770" s="46"/>
      <c r="G770" s="35"/>
      <c r="H770" s="36"/>
      <c r="I770" s="35"/>
      <c r="K770" s="37"/>
      <c r="L770" s="35"/>
      <c r="N770" s="38"/>
      <c r="O770" s="39"/>
      <c r="P770" s="47"/>
      <c r="Q770" s="48"/>
      <c r="R770" s="41"/>
      <c r="T770" s="42"/>
      <c r="U770" s="44"/>
      <c r="V770" s="42" t="str">
        <f>IF(NOTA[[#This Row],[HARGA/ CTN]]="",NOTA[[#This Row],[JUMLAH_H]],NOTA[[#This Row],[HARGA/ CTN]]*IF(NOTA[[#This Row],[C]]="",0,NOTA[[#This Row],[C]]))</f>
        <v/>
      </c>
      <c r="W770" s="42" t="str">
        <f>IF(NOTA[[#This Row],[JUMLAH]]="","",NOTA[[#This Row],[JUMLAH]]*NOTA[[#This Row],[Column6]])</f>
        <v/>
      </c>
      <c r="X770" s="42" t="str">
        <f>IF(NOTA[[#This Row],[JUMLAH]]="","",(NOTA[[#This Row],[JUMLAH]]-NOTA[[#This Row],[DISC 1-]])*NOTA[[#This Row],[Column7]])</f>
        <v/>
      </c>
      <c r="Y770" s="42" t="str">
        <f>IF(NOTA[[#This Row],[JUMLAH]]="","",(NOTA[[#This Row],[JUMLAH]]-NOTA[[#This Row],[DISC 1-]]-NOTA[[#This Row],[DISC 2-]])*NOTA[[#This Row],[Column8]])</f>
        <v/>
      </c>
      <c r="Z770" s="42" t="str">
        <f>IF(NOTA[[#This Row],[JUMLAH]]="","",NOTA[[#This Row],[DISC 1-]]+NOTA[[#This Row],[DISC 2-]]+NOTA[[#This Row],[DISC 3-]])</f>
        <v/>
      </c>
      <c r="AA770" s="42" t="str">
        <f>IF(NOTA[[#This Row],[JUMLAH]]="","",NOTA[[#This Row],[JUMLAH]]-NOTA[[#This Row],[DISC]])</f>
        <v/>
      </c>
      <c r="AB770" s="42"/>
      <c r="AC7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42" t="str">
        <f>IF(OR(NOTA[[#This Row],[QTY]]="",NOTA[[#This Row],[HARGA SATUAN]]="",),"",NOTA[[#This Row],[QTY]]*NOTA[[#This Row],[HARGA SATUAN]])</f>
        <v/>
      </c>
      <c r="AG770" s="36" t="str">
        <f ca="1">IF(NOTA[[#This Row],[ID_H]]="","",INDEX(NOTA[TANGGAL],MATCH(,INDIRECT(ADDRESS(ROW(NOTA[TANGGAL]),COLUMN(NOTA[TANGGAL]))&amp;":"&amp;ADDRESS(ROW(),COLUMN(NOTA[TANGGAL]))),-1)))</f>
        <v/>
      </c>
      <c r="AH770" s="36" t="str">
        <f ca="1">IF(NOTA[[#This Row],[ID_H]]="","",INDEX(NOTA[TGL.NOTA],MATCH(,INDIRECT(ADDRESS(ROW(NOTA[TGL.NOTA]),COLUMN(NOTA[TGL.NOTA]))&amp;":"&amp;ADDRESS(ROW(),COLUMN(NOTA[TGL.NOTA]))),-1)))</f>
        <v/>
      </c>
      <c r="AI770" s="36" t="str">
        <f ca="1">IF(NOTA[[#This Row],[ID_H]]="","",INDEX(NOTA[NO.NOTA],MATCH(NOTA[[#This Row],[ID_H]],NOTA[ID_H],0)))</f>
        <v/>
      </c>
      <c r="AJ770" s="38" t="str">
        <f ca="1">IF(NOTA[[#This Row],[NAMA BARANG]]="","",INDEX(NOTA[SUPPLIER],MATCH(,INDIRECT(ADDRESS(ROW(NOTA[ID]),COLUMN(NOTA[ID]))&amp;":"&amp;ADDRESS(ROW(),COLUMN(NOTA[ID]))),-1)))</f>
        <v/>
      </c>
      <c r="AK770" s="38" t="str">
        <f ca="1">IF(NOTA[[#This Row],[ID_H]]="","",IF(NOTA[[#This Row],[FAKTUR]]="",INDIRECT(ADDRESS(ROW()-1,COLUMN())),NOTA[[#This Row],[FAKTUR]]))</f>
        <v/>
      </c>
      <c r="AL770" s="35" t="str">
        <f ca="1">IF(NOTA[[#This Row],[ID]]="","",COUNTIF(NOTA[ID_H],NOTA[[#This Row],[ID_H]]))</f>
        <v/>
      </c>
      <c r="AM770" s="35" t="str">
        <f ca="1">IF(NOTA[[#This Row],[TGL.NOTA]]="",IF(NOTA[[#This Row],[SUPPLIER_H]]="","",AM769),MONTH(NOTA[[#This Row],[TGL.NOTA]]))</f>
        <v/>
      </c>
      <c r="AN7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0" s="35" t="str">
        <f>IF(NOTA[[#This Row],[CONCAT1]]="","",MATCH(NOTA[[#This Row],[CONCAT1]],[3]!db[NB NOTA_C],0))</f>
        <v/>
      </c>
      <c r="AS770" s="35" t="str">
        <f>IF(NOTA[[#This Row],[Column5]]="","",TRUE)</f>
        <v/>
      </c>
      <c r="AT770" s="35" t="str">
        <f ca="1">IF(NOTA[[#This Row],[ID_H]]="","",IF(NOTA[[#This Row],[Column3]]=TRUE,NOTA[[#This Row],[Column5]],INDEX([3]!db[QTY/ CTN],NOTA[[#This Row],[//DB]])))</f>
        <v/>
      </c>
      <c r="AU7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0" s="35" t="str">
        <f ca="1">IF(NOTA[[#This Row],[ID_H]]="","",MATCH(NOTA[[#This Row],[NB NOTA_C_QTY]],[3]!db[NB NOTA_C_QTY+F],0))</f>
        <v/>
      </c>
      <c r="AW770" s="43" t="str">
        <f ca="1">IF(NOTA[[#This Row],[NB NOTA_C_QTY]]="","",ROW()-2)</f>
        <v/>
      </c>
    </row>
    <row r="771" spans="1:49" ht="20.100000000000001" customHeight="1">
      <c r="A7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5" t="str">
        <f ca="1">IF(NOTA[[#This Row],[NAMA BARANG]]="","",INDEX(NOTA[ID],MATCH(,INDIRECT(ADDRESS(ROW(NOTA[ID]),COLUMN(NOTA[ID]))&amp;":"&amp;ADDRESS(ROW(),COLUMN(NOTA[ID]))),-1)))</f>
        <v/>
      </c>
      <c r="C771" s="45"/>
      <c r="F771" s="46"/>
      <c r="G771" s="35"/>
      <c r="H771" s="36"/>
      <c r="I771" s="35"/>
      <c r="K771" s="37"/>
      <c r="L771" s="35"/>
      <c r="N771" s="38"/>
      <c r="O771" s="39"/>
      <c r="P771" s="47"/>
      <c r="Q771" s="48"/>
      <c r="R771" s="41"/>
      <c r="T771" s="42"/>
      <c r="U771" s="44"/>
      <c r="V771" s="42" t="str">
        <f>IF(NOTA[[#This Row],[HARGA/ CTN]]="",NOTA[[#This Row],[JUMLAH_H]],NOTA[[#This Row],[HARGA/ CTN]]*IF(NOTA[[#This Row],[C]]="",0,NOTA[[#This Row],[C]]))</f>
        <v/>
      </c>
      <c r="W771" s="42" t="str">
        <f>IF(NOTA[[#This Row],[JUMLAH]]="","",NOTA[[#This Row],[JUMLAH]]*NOTA[[#This Row],[Column6]])</f>
        <v/>
      </c>
      <c r="X771" s="42" t="str">
        <f>IF(NOTA[[#This Row],[JUMLAH]]="","",(NOTA[[#This Row],[JUMLAH]]-NOTA[[#This Row],[DISC 1-]])*NOTA[[#This Row],[Column7]])</f>
        <v/>
      </c>
      <c r="Y771" s="42" t="str">
        <f>IF(NOTA[[#This Row],[JUMLAH]]="","",(NOTA[[#This Row],[JUMLAH]]-NOTA[[#This Row],[DISC 1-]]-NOTA[[#This Row],[DISC 2-]])*NOTA[[#This Row],[Column8]])</f>
        <v/>
      </c>
      <c r="Z771" s="42" t="str">
        <f>IF(NOTA[[#This Row],[JUMLAH]]="","",NOTA[[#This Row],[DISC 1-]]+NOTA[[#This Row],[DISC 2-]]+NOTA[[#This Row],[DISC 3-]])</f>
        <v/>
      </c>
      <c r="AA771" s="42" t="str">
        <f>IF(NOTA[[#This Row],[JUMLAH]]="","",NOTA[[#This Row],[JUMLAH]]-NOTA[[#This Row],[DISC]])</f>
        <v/>
      </c>
      <c r="AB771" s="42"/>
      <c r="AC7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42" t="str">
        <f>IF(OR(NOTA[[#This Row],[QTY]]="",NOTA[[#This Row],[HARGA SATUAN]]="",),"",NOTA[[#This Row],[QTY]]*NOTA[[#This Row],[HARGA SATUAN]])</f>
        <v/>
      </c>
      <c r="AG771" s="36" t="str">
        <f ca="1">IF(NOTA[[#This Row],[ID_H]]="","",INDEX(NOTA[TANGGAL],MATCH(,INDIRECT(ADDRESS(ROW(NOTA[TANGGAL]),COLUMN(NOTA[TANGGAL]))&amp;":"&amp;ADDRESS(ROW(),COLUMN(NOTA[TANGGAL]))),-1)))</f>
        <v/>
      </c>
      <c r="AH771" s="36" t="str">
        <f ca="1">IF(NOTA[[#This Row],[ID_H]]="","",INDEX(NOTA[TGL.NOTA],MATCH(,INDIRECT(ADDRESS(ROW(NOTA[TGL.NOTA]),COLUMN(NOTA[TGL.NOTA]))&amp;":"&amp;ADDRESS(ROW(),COLUMN(NOTA[TGL.NOTA]))),-1)))</f>
        <v/>
      </c>
      <c r="AI771" s="36" t="str">
        <f ca="1">IF(NOTA[[#This Row],[ID_H]]="","",INDEX(NOTA[NO.NOTA],MATCH(NOTA[[#This Row],[ID_H]],NOTA[ID_H],0)))</f>
        <v/>
      </c>
      <c r="AJ771" s="38" t="str">
        <f ca="1">IF(NOTA[[#This Row],[NAMA BARANG]]="","",INDEX(NOTA[SUPPLIER],MATCH(,INDIRECT(ADDRESS(ROW(NOTA[ID]),COLUMN(NOTA[ID]))&amp;":"&amp;ADDRESS(ROW(),COLUMN(NOTA[ID]))),-1)))</f>
        <v/>
      </c>
      <c r="AK771" s="38" t="str">
        <f ca="1">IF(NOTA[[#This Row],[ID_H]]="","",IF(NOTA[[#This Row],[FAKTUR]]="",INDIRECT(ADDRESS(ROW()-1,COLUMN())),NOTA[[#This Row],[FAKTUR]]))</f>
        <v/>
      </c>
      <c r="AL771" s="35" t="str">
        <f ca="1">IF(NOTA[[#This Row],[ID]]="","",COUNTIF(NOTA[ID_H],NOTA[[#This Row],[ID_H]]))</f>
        <v/>
      </c>
      <c r="AM771" s="35" t="str">
        <f ca="1">IF(NOTA[[#This Row],[TGL.NOTA]]="",IF(NOTA[[#This Row],[SUPPLIER_H]]="","",AM770),MONTH(NOTA[[#This Row],[TGL.NOTA]]))</f>
        <v/>
      </c>
      <c r="AN7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1" s="35" t="str">
        <f>IF(NOTA[[#This Row],[CONCAT1]]="","",MATCH(NOTA[[#This Row],[CONCAT1]],[3]!db[NB NOTA_C],0))</f>
        <v/>
      </c>
      <c r="AS771" s="35" t="str">
        <f>IF(NOTA[[#This Row],[Column5]]="","",TRUE)</f>
        <v/>
      </c>
      <c r="AT771" s="35" t="str">
        <f ca="1">IF(NOTA[[#This Row],[ID_H]]="","",IF(NOTA[[#This Row],[Column3]]=TRUE,NOTA[[#This Row],[Column5]],INDEX([3]!db[QTY/ CTN],NOTA[[#This Row],[//DB]])))</f>
        <v/>
      </c>
      <c r="AU7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1" s="35" t="str">
        <f ca="1">IF(NOTA[[#This Row],[ID_H]]="","",MATCH(NOTA[[#This Row],[NB NOTA_C_QTY]],[3]!db[NB NOTA_C_QTY+F],0))</f>
        <v/>
      </c>
      <c r="AW771" s="43" t="str">
        <f ca="1">IF(NOTA[[#This Row],[NB NOTA_C_QTY]]="","",ROW()-2)</f>
        <v/>
      </c>
    </row>
    <row r="772" spans="1:49" ht="20.100000000000001" customHeight="1">
      <c r="A7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5" t="str">
        <f ca="1">IF(NOTA[[#This Row],[NAMA BARANG]]="","",INDEX(NOTA[ID],MATCH(,INDIRECT(ADDRESS(ROW(NOTA[ID]),COLUMN(NOTA[ID]))&amp;":"&amp;ADDRESS(ROW(),COLUMN(NOTA[ID]))),-1)))</f>
        <v/>
      </c>
      <c r="C772" s="45"/>
      <c r="F772" s="46"/>
      <c r="G772" s="35"/>
      <c r="H772" s="36"/>
      <c r="I772" s="35"/>
      <c r="K772" s="37"/>
      <c r="L772" s="35"/>
      <c r="N772" s="38"/>
      <c r="O772" s="39"/>
      <c r="P772" s="47"/>
      <c r="Q772" s="48"/>
      <c r="R772" s="41"/>
      <c r="T772" s="42"/>
      <c r="U772" s="44"/>
      <c r="V772" s="42" t="str">
        <f>IF(NOTA[[#This Row],[HARGA/ CTN]]="",NOTA[[#This Row],[JUMLAH_H]],NOTA[[#This Row],[HARGA/ CTN]]*IF(NOTA[[#This Row],[C]]="",0,NOTA[[#This Row],[C]]))</f>
        <v/>
      </c>
      <c r="W772" s="42" t="str">
        <f>IF(NOTA[[#This Row],[JUMLAH]]="","",NOTA[[#This Row],[JUMLAH]]*NOTA[[#This Row],[Column6]])</f>
        <v/>
      </c>
      <c r="X772" s="42" t="str">
        <f>IF(NOTA[[#This Row],[JUMLAH]]="","",(NOTA[[#This Row],[JUMLAH]]-NOTA[[#This Row],[DISC 1-]])*NOTA[[#This Row],[Column7]])</f>
        <v/>
      </c>
      <c r="Y772" s="42" t="str">
        <f>IF(NOTA[[#This Row],[JUMLAH]]="","",(NOTA[[#This Row],[JUMLAH]]-NOTA[[#This Row],[DISC 1-]]-NOTA[[#This Row],[DISC 2-]])*NOTA[[#This Row],[Column8]])</f>
        <v/>
      </c>
      <c r="Z772" s="42" t="str">
        <f>IF(NOTA[[#This Row],[JUMLAH]]="","",NOTA[[#This Row],[DISC 1-]]+NOTA[[#This Row],[DISC 2-]]+NOTA[[#This Row],[DISC 3-]])</f>
        <v/>
      </c>
      <c r="AA772" s="42" t="str">
        <f>IF(NOTA[[#This Row],[JUMLAH]]="","",NOTA[[#This Row],[JUMLAH]]-NOTA[[#This Row],[DISC]])</f>
        <v/>
      </c>
      <c r="AB772" s="42"/>
      <c r="AC7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42" t="str">
        <f>IF(OR(NOTA[[#This Row],[QTY]]="",NOTA[[#This Row],[HARGA SATUAN]]="",),"",NOTA[[#This Row],[QTY]]*NOTA[[#This Row],[HARGA SATUAN]])</f>
        <v/>
      </c>
      <c r="AG772" s="36" t="str">
        <f ca="1">IF(NOTA[[#This Row],[ID_H]]="","",INDEX(NOTA[TANGGAL],MATCH(,INDIRECT(ADDRESS(ROW(NOTA[TANGGAL]),COLUMN(NOTA[TANGGAL]))&amp;":"&amp;ADDRESS(ROW(),COLUMN(NOTA[TANGGAL]))),-1)))</f>
        <v/>
      </c>
      <c r="AH772" s="36" t="str">
        <f ca="1">IF(NOTA[[#This Row],[ID_H]]="","",INDEX(NOTA[TGL.NOTA],MATCH(,INDIRECT(ADDRESS(ROW(NOTA[TGL.NOTA]),COLUMN(NOTA[TGL.NOTA]))&amp;":"&amp;ADDRESS(ROW(),COLUMN(NOTA[TGL.NOTA]))),-1)))</f>
        <v/>
      </c>
      <c r="AI772" s="36" t="str">
        <f ca="1">IF(NOTA[[#This Row],[ID_H]]="","",INDEX(NOTA[NO.NOTA],MATCH(NOTA[[#This Row],[ID_H]],NOTA[ID_H],0)))</f>
        <v/>
      </c>
      <c r="AJ772" s="38" t="str">
        <f ca="1">IF(NOTA[[#This Row],[NAMA BARANG]]="","",INDEX(NOTA[SUPPLIER],MATCH(,INDIRECT(ADDRESS(ROW(NOTA[ID]),COLUMN(NOTA[ID]))&amp;":"&amp;ADDRESS(ROW(),COLUMN(NOTA[ID]))),-1)))</f>
        <v/>
      </c>
      <c r="AK772" s="38" t="str">
        <f ca="1">IF(NOTA[[#This Row],[ID_H]]="","",IF(NOTA[[#This Row],[FAKTUR]]="",INDIRECT(ADDRESS(ROW()-1,COLUMN())),NOTA[[#This Row],[FAKTUR]]))</f>
        <v/>
      </c>
      <c r="AL772" s="35" t="str">
        <f ca="1">IF(NOTA[[#This Row],[ID]]="","",COUNTIF(NOTA[ID_H],NOTA[[#This Row],[ID_H]]))</f>
        <v/>
      </c>
      <c r="AM772" s="35" t="str">
        <f ca="1">IF(NOTA[[#This Row],[TGL.NOTA]]="",IF(NOTA[[#This Row],[SUPPLIER_H]]="","",AM771),MONTH(NOTA[[#This Row],[TGL.NOTA]]))</f>
        <v/>
      </c>
      <c r="AN7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2" s="35" t="str">
        <f>IF(NOTA[[#This Row],[CONCAT1]]="","",MATCH(NOTA[[#This Row],[CONCAT1]],[3]!db[NB NOTA_C],0))</f>
        <v/>
      </c>
      <c r="AS772" s="35" t="str">
        <f>IF(NOTA[[#This Row],[Column5]]="","",TRUE)</f>
        <v/>
      </c>
      <c r="AT772" s="35" t="str">
        <f ca="1">IF(NOTA[[#This Row],[ID_H]]="","",IF(NOTA[[#This Row],[Column3]]=TRUE,NOTA[[#This Row],[Column5]],INDEX([3]!db[QTY/ CTN],NOTA[[#This Row],[//DB]])))</f>
        <v/>
      </c>
      <c r="AU7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2" s="35" t="str">
        <f ca="1">IF(NOTA[[#This Row],[ID_H]]="","",MATCH(NOTA[[#This Row],[NB NOTA_C_QTY]],[3]!db[NB NOTA_C_QTY+F],0))</f>
        <v/>
      </c>
      <c r="AW772" s="43" t="str">
        <f ca="1">IF(NOTA[[#This Row],[NB NOTA_C_QTY]]="","",ROW()-2)</f>
        <v/>
      </c>
    </row>
    <row r="773" spans="1:49" ht="20.100000000000001" customHeight="1">
      <c r="A7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5" t="str">
        <f ca="1">IF(NOTA[[#This Row],[NAMA BARANG]]="","",INDEX(NOTA[ID],MATCH(,INDIRECT(ADDRESS(ROW(NOTA[ID]),COLUMN(NOTA[ID]))&amp;":"&amp;ADDRESS(ROW(),COLUMN(NOTA[ID]))),-1)))</f>
        <v/>
      </c>
      <c r="C773" s="45"/>
      <c r="F773" s="46"/>
      <c r="G773" s="35"/>
      <c r="H773" s="36"/>
      <c r="I773" s="35"/>
      <c r="K773" s="37"/>
      <c r="L773" s="35"/>
      <c r="N773" s="38"/>
      <c r="O773" s="39"/>
      <c r="P773" s="47"/>
      <c r="Q773" s="48"/>
      <c r="R773" s="41"/>
      <c r="T773" s="42"/>
      <c r="U773" s="44"/>
      <c r="V773" s="42" t="str">
        <f>IF(NOTA[[#This Row],[HARGA/ CTN]]="",NOTA[[#This Row],[JUMLAH_H]],NOTA[[#This Row],[HARGA/ CTN]]*IF(NOTA[[#This Row],[C]]="",0,NOTA[[#This Row],[C]]))</f>
        <v/>
      </c>
      <c r="W773" s="42" t="str">
        <f>IF(NOTA[[#This Row],[JUMLAH]]="","",NOTA[[#This Row],[JUMLAH]]*NOTA[[#This Row],[Column6]])</f>
        <v/>
      </c>
      <c r="X773" s="42" t="str">
        <f>IF(NOTA[[#This Row],[JUMLAH]]="","",(NOTA[[#This Row],[JUMLAH]]-NOTA[[#This Row],[DISC 1-]])*NOTA[[#This Row],[Column7]])</f>
        <v/>
      </c>
      <c r="Y773" s="42" t="str">
        <f>IF(NOTA[[#This Row],[JUMLAH]]="","",(NOTA[[#This Row],[JUMLAH]]-NOTA[[#This Row],[DISC 1-]]-NOTA[[#This Row],[DISC 2-]])*NOTA[[#This Row],[Column8]])</f>
        <v/>
      </c>
      <c r="Z773" s="42" t="str">
        <f>IF(NOTA[[#This Row],[JUMLAH]]="","",NOTA[[#This Row],[DISC 1-]]+NOTA[[#This Row],[DISC 2-]]+NOTA[[#This Row],[DISC 3-]])</f>
        <v/>
      </c>
      <c r="AA773" s="42" t="str">
        <f>IF(NOTA[[#This Row],[JUMLAH]]="","",NOTA[[#This Row],[JUMLAH]]-NOTA[[#This Row],[DISC]])</f>
        <v/>
      </c>
      <c r="AB773" s="42"/>
      <c r="AC7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42" t="str">
        <f>IF(OR(NOTA[[#This Row],[QTY]]="",NOTA[[#This Row],[HARGA SATUAN]]="",),"",NOTA[[#This Row],[QTY]]*NOTA[[#This Row],[HARGA SATUAN]])</f>
        <v/>
      </c>
      <c r="AG773" s="36" t="str">
        <f ca="1">IF(NOTA[[#This Row],[ID_H]]="","",INDEX(NOTA[TANGGAL],MATCH(,INDIRECT(ADDRESS(ROW(NOTA[TANGGAL]),COLUMN(NOTA[TANGGAL]))&amp;":"&amp;ADDRESS(ROW(),COLUMN(NOTA[TANGGAL]))),-1)))</f>
        <v/>
      </c>
      <c r="AH773" s="36" t="str">
        <f ca="1">IF(NOTA[[#This Row],[ID_H]]="","",INDEX(NOTA[TGL.NOTA],MATCH(,INDIRECT(ADDRESS(ROW(NOTA[TGL.NOTA]),COLUMN(NOTA[TGL.NOTA]))&amp;":"&amp;ADDRESS(ROW(),COLUMN(NOTA[TGL.NOTA]))),-1)))</f>
        <v/>
      </c>
      <c r="AI773" s="36" t="str">
        <f ca="1">IF(NOTA[[#This Row],[ID_H]]="","",INDEX(NOTA[NO.NOTA],MATCH(NOTA[[#This Row],[ID_H]],NOTA[ID_H],0)))</f>
        <v/>
      </c>
      <c r="AJ773" s="38" t="str">
        <f ca="1">IF(NOTA[[#This Row],[NAMA BARANG]]="","",INDEX(NOTA[SUPPLIER],MATCH(,INDIRECT(ADDRESS(ROW(NOTA[ID]),COLUMN(NOTA[ID]))&amp;":"&amp;ADDRESS(ROW(),COLUMN(NOTA[ID]))),-1)))</f>
        <v/>
      </c>
      <c r="AK773" s="38" t="str">
        <f ca="1">IF(NOTA[[#This Row],[ID_H]]="","",IF(NOTA[[#This Row],[FAKTUR]]="",INDIRECT(ADDRESS(ROW()-1,COLUMN())),NOTA[[#This Row],[FAKTUR]]))</f>
        <v/>
      </c>
      <c r="AL773" s="35" t="str">
        <f ca="1">IF(NOTA[[#This Row],[ID]]="","",COUNTIF(NOTA[ID_H],NOTA[[#This Row],[ID_H]]))</f>
        <v/>
      </c>
      <c r="AM773" s="35" t="str">
        <f ca="1">IF(NOTA[[#This Row],[TGL.NOTA]]="",IF(NOTA[[#This Row],[SUPPLIER_H]]="","",AM772),MONTH(NOTA[[#This Row],[TGL.NOTA]]))</f>
        <v/>
      </c>
      <c r="AN7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3" s="35" t="str">
        <f>IF(NOTA[[#This Row],[CONCAT1]]="","",MATCH(NOTA[[#This Row],[CONCAT1]],[3]!db[NB NOTA_C],0))</f>
        <v/>
      </c>
      <c r="AS773" s="35" t="str">
        <f>IF(NOTA[[#This Row],[Column5]]="","",TRUE)</f>
        <v/>
      </c>
      <c r="AT773" s="35" t="str">
        <f ca="1">IF(NOTA[[#This Row],[ID_H]]="","",IF(NOTA[[#This Row],[Column3]]=TRUE,NOTA[[#This Row],[Column5]],INDEX([3]!db[QTY/ CTN],NOTA[[#This Row],[//DB]])))</f>
        <v/>
      </c>
      <c r="AU7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3" s="35" t="str">
        <f ca="1">IF(NOTA[[#This Row],[ID_H]]="","",MATCH(NOTA[[#This Row],[NB NOTA_C_QTY]],[3]!db[NB NOTA_C_QTY+F],0))</f>
        <v/>
      </c>
      <c r="AW773" s="43" t="str">
        <f ca="1">IF(NOTA[[#This Row],[NB NOTA_C_QTY]]="","",ROW()-2)</f>
        <v/>
      </c>
    </row>
    <row r="774" spans="1:49" ht="20.100000000000001" customHeight="1">
      <c r="A7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5" t="str">
        <f ca="1">IF(NOTA[[#This Row],[NAMA BARANG]]="","",INDEX(NOTA[ID],MATCH(,INDIRECT(ADDRESS(ROW(NOTA[ID]),COLUMN(NOTA[ID]))&amp;":"&amp;ADDRESS(ROW(),COLUMN(NOTA[ID]))),-1)))</f>
        <v/>
      </c>
      <c r="C774" s="45"/>
      <c r="F774" s="46"/>
      <c r="G774" s="35"/>
      <c r="H774" s="36"/>
      <c r="I774" s="35"/>
      <c r="K774" s="37"/>
      <c r="L774" s="35"/>
      <c r="N774" s="38"/>
      <c r="O774" s="39"/>
      <c r="P774" s="47"/>
      <c r="Q774" s="48"/>
      <c r="R774" s="41"/>
      <c r="T774" s="42"/>
      <c r="U774" s="44"/>
      <c r="V774" s="42" t="str">
        <f>IF(NOTA[[#This Row],[HARGA/ CTN]]="",NOTA[[#This Row],[JUMLAH_H]],NOTA[[#This Row],[HARGA/ CTN]]*IF(NOTA[[#This Row],[C]]="",0,NOTA[[#This Row],[C]]))</f>
        <v/>
      </c>
      <c r="W774" s="42" t="str">
        <f>IF(NOTA[[#This Row],[JUMLAH]]="","",NOTA[[#This Row],[JUMLAH]]*NOTA[[#This Row],[Column6]])</f>
        <v/>
      </c>
      <c r="X774" s="42" t="str">
        <f>IF(NOTA[[#This Row],[JUMLAH]]="","",(NOTA[[#This Row],[JUMLAH]]-NOTA[[#This Row],[DISC 1-]])*NOTA[[#This Row],[Column7]])</f>
        <v/>
      </c>
      <c r="Y774" s="42" t="str">
        <f>IF(NOTA[[#This Row],[JUMLAH]]="","",(NOTA[[#This Row],[JUMLAH]]-NOTA[[#This Row],[DISC 1-]]-NOTA[[#This Row],[DISC 2-]])*NOTA[[#This Row],[Column8]])</f>
        <v/>
      </c>
      <c r="Z774" s="42" t="str">
        <f>IF(NOTA[[#This Row],[JUMLAH]]="","",NOTA[[#This Row],[DISC 1-]]+NOTA[[#This Row],[DISC 2-]]+NOTA[[#This Row],[DISC 3-]])</f>
        <v/>
      </c>
      <c r="AA774" s="42" t="str">
        <f>IF(NOTA[[#This Row],[JUMLAH]]="","",NOTA[[#This Row],[JUMLAH]]-NOTA[[#This Row],[DISC]])</f>
        <v/>
      </c>
      <c r="AB774" s="42"/>
      <c r="AC7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42" t="str">
        <f>IF(OR(NOTA[[#This Row],[QTY]]="",NOTA[[#This Row],[HARGA SATUAN]]="",),"",NOTA[[#This Row],[QTY]]*NOTA[[#This Row],[HARGA SATUAN]])</f>
        <v/>
      </c>
      <c r="AG774" s="36" t="str">
        <f ca="1">IF(NOTA[[#This Row],[ID_H]]="","",INDEX(NOTA[TANGGAL],MATCH(,INDIRECT(ADDRESS(ROW(NOTA[TANGGAL]),COLUMN(NOTA[TANGGAL]))&amp;":"&amp;ADDRESS(ROW(),COLUMN(NOTA[TANGGAL]))),-1)))</f>
        <v/>
      </c>
      <c r="AH774" s="36" t="str">
        <f ca="1">IF(NOTA[[#This Row],[ID_H]]="","",INDEX(NOTA[TGL.NOTA],MATCH(,INDIRECT(ADDRESS(ROW(NOTA[TGL.NOTA]),COLUMN(NOTA[TGL.NOTA]))&amp;":"&amp;ADDRESS(ROW(),COLUMN(NOTA[TGL.NOTA]))),-1)))</f>
        <v/>
      </c>
      <c r="AI774" s="36" t="str">
        <f ca="1">IF(NOTA[[#This Row],[ID_H]]="","",INDEX(NOTA[NO.NOTA],MATCH(NOTA[[#This Row],[ID_H]],NOTA[ID_H],0)))</f>
        <v/>
      </c>
      <c r="AJ774" s="38" t="str">
        <f ca="1">IF(NOTA[[#This Row],[NAMA BARANG]]="","",INDEX(NOTA[SUPPLIER],MATCH(,INDIRECT(ADDRESS(ROW(NOTA[ID]),COLUMN(NOTA[ID]))&amp;":"&amp;ADDRESS(ROW(),COLUMN(NOTA[ID]))),-1)))</f>
        <v/>
      </c>
      <c r="AK774" s="38" t="str">
        <f ca="1">IF(NOTA[[#This Row],[ID_H]]="","",IF(NOTA[[#This Row],[FAKTUR]]="",INDIRECT(ADDRESS(ROW()-1,COLUMN())),NOTA[[#This Row],[FAKTUR]]))</f>
        <v/>
      </c>
      <c r="AL774" s="35" t="str">
        <f ca="1">IF(NOTA[[#This Row],[ID]]="","",COUNTIF(NOTA[ID_H],NOTA[[#This Row],[ID_H]]))</f>
        <v/>
      </c>
      <c r="AM774" s="35" t="str">
        <f ca="1">IF(NOTA[[#This Row],[TGL.NOTA]]="",IF(NOTA[[#This Row],[SUPPLIER_H]]="","",AM773),MONTH(NOTA[[#This Row],[TGL.NOTA]]))</f>
        <v/>
      </c>
      <c r="AN7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4" s="35" t="str">
        <f>IF(NOTA[[#This Row],[CONCAT1]]="","",MATCH(NOTA[[#This Row],[CONCAT1]],[3]!db[NB NOTA_C],0))</f>
        <v/>
      </c>
      <c r="AS774" s="35" t="str">
        <f>IF(NOTA[[#This Row],[Column5]]="","",TRUE)</f>
        <v/>
      </c>
      <c r="AT774" s="35" t="str">
        <f ca="1">IF(NOTA[[#This Row],[ID_H]]="","",IF(NOTA[[#This Row],[Column3]]=TRUE,NOTA[[#This Row],[Column5]],INDEX([3]!db[QTY/ CTN],NOTA[[#This Row],[//DB]])))</f>
        <v/>
      </c>
      <c r="AU7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4" s="35" t="str">
        <f ca="1">IF(NOTA[[#This Row],[ID_H]]="","",MATCH(NOTA[[#This Row],[NB NOTA_C_QTY]],[3]!db[NB NOTA_C_QTY+F],0))</f>
        <v/>
      </c>
      <c r="AW774" s="43" t="str">
        <f ca="1">IF(NOTA[[#This Row],[NB NOTA_C_QTY]]="","",ROW()-2)</f>
        <v/>
      </c>
    </row>
    <row r="775" spans="1:49" ht="20.100000000000001" customHeight="1">
      <c r="A7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5" t="str">
        <f ca="1">IF(NOTA[[#This Row],[NAMA BARANG]]="","",INDEX(NOTA[ID],MATCH(,INDIRECT(ADDRESS(ROW(NOTA[ID]),COLUMN(NOTA[ID]))&amp;":"&amp;ADDRESS(ROW(),COLUMN(NOTA[ID]))),-1)))</f>
        <v/>
      </c>
      <c r="C775" s="45"/>
      <c r="F775" s="46"/>
      <c r="G775" s="35"/>
      <c r="H775" s="36"/>
      <c r="I775" s="35"/>
      <c r="K775" s="37"/>
      <c r="L775" s="35"/>
      <c r="N775" s="38"/>
      <c r="O775" s="39"/>
      <c r="P775" s="47"/>
      <c r="Q775" s="48"/>
      <c r="R775" s="41"/>
      <c r="T775" s="42"/>
      <c r="U775" s="44"/>
      <c r="V775" s="42" t="str">
        <f>IF(NOTA[[#This Row],[HARGA/ CTN]]="",NOTA[[#This Row],[JUMLAH_H]],NOTA[[#This Row],[HARGA/ CTN]]*IF(NOTA[[#This Row],[C]]="",0,NOTA[[#This Row],[C]]))</f>
        <v/>
      </c>
      <c r="W775" s="42" t="str">
        <f>IF(NOTA[[#This Row],[JUMLAH]]="","",NOTA[[#This Row],[JUMLAH]]*NOTA[[#This Row],[Column6]])</f>
        <v/>
      </c>
      <c r="X775" s="42" t="str">
        <f>IF(NOTA[[#This Row],[JUMLAH]]="","",(NOTA[[#This Row],[JUMLAH]]-NOTA[[#This Row],[DISC 1-]])*NOTA[[#This Row],[Column7]])</f>
        <v/>
      </c>
      <c r="Y775" s="42" t="str">
        <f>IF(NOTA[[#This Row],[JUMLAH]]="","",(NOTA[[#This Row],[JUMLAH]]-NOTA[[#This Row],[DISC 1-]]-NOTA[[#This Row],[DISC 2-]])*NOTA[[#This Row],[Column8]])</f>
        <v/>
      </c>
      <c r="Z775" s="42" t="str">
        <f>IF(NOTA[[#This Row],[JUMLAH]]="","",NOTA[[#This Row],[DISC 1-]]+NOTA[[#This Row],[DISC 2-]]+NOTA[[#This Row],[DISC 3-]])</f>
        <v/>
      </c>
      <c r="AA775" s="42" t="str">
        <f>IF(NOTA[[#This Row],[JUMLAH]]="","",NOTA[[#This Row],[JUMLAH]]-NOTA[[#This Row],[DISC]])</f>
        <v/>
      </c>
      <c r="AB775" s="42"/>
      <c r="AC7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42" t="str">
        <f>IF(OR(NOTA[[#This Row],[QTY]]="",NOTA[[#This Row],[HARGA SATUAN]]="",),"",NOTA[[#This Row],[QTY]]*NOTA[[#This Row],[HARGA SATUAN]])</f>
        <v/>
      </c>
      <c r="AG775" s="36" t="str">
        <f ca="1">IF(NOTA[[#This Row],[ID_H]]="","",INDEX(NOTA[TANGGAL],MATCH(,INDIRECT(ADDRESS(ROW(NOTA[TANGGAL]),COLUMN(NOTA[TANGGAL]))&amp;":"&amp;ADDRESS(ROW(),COLUMN(NOTA[TANGGAL]))),-1)))</f>
        <v/>
      </c>
      <c r="AH775" s="36" t="str">
        <f ca="1">IF(NOTA[[#This Row],[ID_H]]="","",INDEX(NOTA[TGL.NOTA],MATCH(,INDIRECT(ADDRESS(ROW(NOTA[TGL.NOTA]),COLUMN(NOTA[TGL.NOTA]))&amp;":"&amp;ADDRESS(ROW(),COLUMN(NOTA[TGL.NOTA]))),-1)))</f>
        <v/>
      </c>
      <c r="AI775" s="36" t="str">
        <f ca="1">IF(NOTA[[#This Row],[ID_H]]="","",INDEX(NOTA[NO.NOTA],MATCH(NOTA[[#This Row],[ID_H]],NOTA[ID_H],0)))</f>
        <v/>
      </c>
      <c r="AJ775" s="38" t="str">
        <f ca="1">IF(NOTA[[#This Row],[NAMA BARANG]]="","",INDEX(NOTA[SUPPLIER],MATCH(,INDIRECT(ADDRESS(ROW(NOTA[ID]),COLUMN(NOTA[ID]))&amp;":"&amp;ADDRESS(ROW(),COLUMN(NOTA[ID]))),-1)))</f>
        <v/>
      </c>
      <c r="AK775" s="38" t="str">
        <f ca="1">IF(NOTA[[#This Row],[ID_H]]="","",IF(NOTA[[#This Row],[FAKTUR]]="",INDIRECT(ADDRESS(ROW()-1,COLUMN())),NOTA[[#This Row],[FAKTUR]]))</f>
        <v/>
      </c>
      <c r="AL775" s="35" t="str">
        <f ca="1">IF(NOTA[[#This Row],[ID]]="","",COUNTIF(NOTA[ID_H],NOTA[[#This Row],[ID_H]]))</f>
        <v/>
      </c>
      <c r="AM775" s="35" t="str">
        <f ca="1">IF(NOTA[[#This Row],[TGL.NOTA]]="",IF(NOTA[[#This Row],[SUPPLIER_H]]="","",AM774),MONTH(NOTA[[#This Row],[TGL.NOTA]]))</f>
        <v/>
      </c>
      <c r="AN7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5" s="35" t="str">
        <f>IF(NOTA[[#This Row],[CONCAT1]]="","",MATCH(NOTA[[#This Row],[CONCAT1]],[3]!db[NB NOTA_C],0))</f>
        <v/>
      </c>
      <c r="AS775" s="35" t="str">
        <f>IF(NOTA[[#This Row],[Column5]]="","",TRUE)</f>
        <v/>
      </c>
      <c r="AT775" s="35" t="str">
        <f ca="1">IF(NOTA[[#This Row],[ID_H]]="","",IF(NOTA[[#This Row],[Column3]]=TRUE,NOTA[[#This Row],[Column5]],INDEX([3]!db[QTY/ CTN],NOTA[[#This Row],[//DB]])))</f>
        <v/>
      </c>
      <c r="AU7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5" s="35" t="str">
        <f ca="1">IF(NOTA[[#This Row],[ID_H]]="","",MATCH(NOTA[[#This Row],[NB NOTA_C_QTY]],[3]!db[NB NOTA_C_QTY+F],0))</f>
        <v/>
      </c>
      <c r="AW775" s="43" t="str">
        <f ca="1">IF(NOTA[[#This Row],[NB NOTA_C_QTY]]="","",ROW()-2)</f>
        <v/>
      </c>
    </row>
    <row r="776" spans="1:49" ht="20.100000000000001" customHeight="1">
      <c r="A7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5" t="str">
        <f ca="1">IF(NOTA[[#This Row],[NAMA BARANG]]="","",INDEX(NOTA[ID],MATCH(,INDIRECT(ADDRESS(ROW(NOTA[ID]),COLUMN(NOTA[ID]))&amp;":"&amp;ADDRESS(ROW(),COLUMN(NOTA[ID]))),-1)))</f>
        <v/>
      </c>
      <c r="C776" s="45"/>
      <c r="F776" s="46"/>
      <c r="G776" s="35"/>
      <c r="H776" s="36"/>
      <c r="I776" s="35"/>
      <c r="K776" s="37"/>
      <c r="L776" s="35"/>
      <c r="N776" s="38"/>
      <c r="O776" s="39"/>
      <c r="P776" s="47"/>
      <c r="Q776" s="48"/>
      <c r="R776" s="41"/>
      <c r="T776" s="42"/>
      <c r="U776" s="44"/>
      <c r="V776" s="42" t="str">
        <f>IF(NOTA[[#This Row],[HARGA/ CTN]]="",NOTA[[#This Row],[JUMLAH_H]],NOTA[[#This Row],[HARGA/ CTN]]*IF(NOTA[[#This Row],[C]]="",0,NOTA[[#This Row],[C]]))</f>
        <v/>
      </c>
      <c r="W776" s="42" t="str">
        <f>IF(NOTA[[#This Row],[JUMLAH]]="","",NOTA[[#This Row],[JUMLAH]]*NOTA[[#This Row],[Column6]])</f>
        <v/>
      </c>
      <c r="X776" s="42" t="str">
        <f>IF(NOTA[[#This Row],[JUMLAH]]="","",(NOTA[[#This Row],[JUMLAH]]-NOTA[[#This Row],[DISC 1-]])*NOTA[[#This Row],[Column7]])</f>
        <v/>
      </c>
      <c r="Y776" s="42" t="str">
        <f>IF(NOTA[[#This Row],[JUMLAH]]="","",(NOTA[[#This Row],[JUMLAH]]-NOTA[[#This Row],[DISC 1-]]-NOTA[[#This Row],[DISC 2-]])*NOTA[[#This Row],[Column8]])</f>
        <v/>
      </c>
      <c r="Z776" s="42" t="str">
        <f>IF(NOTA[[#This Row],[JUMLAH]]="","",NOTA[[#This Row],[DISC 1-]]+NOTA[[#This Row],[DISC 2-]]+NOTA[[#This Row],[DISC 3-]])</f>
        <v/>
      </c>
      <c r="AA776" s="42" t="str">
        <f>IF(NOTA[[#This Row],[JUMLAH]]="","",NOTA[[#This Row],[JUMLAH]]-NOTA[[#This Row],[DISC]])</f>
        <v/>
      </c>
      <c r="AB776" s="42"/>
      <c r="AC7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42" t="str">
        <f>IF(OR(NOTA[[#This Row],[QTY]]="",NOTA[[#This Row],[HARGA SATUAN]]="",),"",NOTA[[#This Row],[QTY]]*NOTA[[#This Row],[HARGA SATUAN]])</f>
        <v/>
      </c>
      <c r="AG776" s="36" t="str">
        <f ca="1">IF(NOTA[[#This Row],[ID_H]]="","",INDEX(NOTA[TANGGAL],MATCH(,INDIRECT(ADDRESS(ROW(NOTA[TANGGAL]),COLUMN(NOTA[TANGGAL]))&amp;":"&amp;ADDRESS(ROW(),COLUMN(NOTA[TANGGAL]))),-1)))</f>
        <v/>
      </c>
      <c r="AH776" s="36" t="str">
        <f ca="1">IF(NOTA[[#This Row],[ID_H]]="","",INDEX(NOTA[TGL.NOTA],MATCH(,INDIRECT(ADDRESS(ROW(NOTA[TGL.NOTA]),COLUMN(NOTA[TGL.NOTA]))&amp;":"&amp;ADDRESS(ROW(),COLUMN(NOTA[TGL.NOTA]))),-1)))</f>
        <v/>
      </c>
      <c r="AI776" s="36" t="str">
        <f ca="1">IF(NOTA[[#This Row],[ID_H]]="","",INDEX(NOTA[NO.NOTA],MATCH(NOTA[[#This Row],[ID_H]],NOTA[ID_H],0)))</f>
        <v/>
      </c>
      <c r="AJ776" s="38" t="str">
        <f ca="1">IF(NOTA[[#This Row],[NAMA BARANG]]="","",INDEX(NOTA[SUPPLIER],MATCH(,INDIRECT(ADDRESS(ROW(NOTA[ID]),COLUMN(NOTA[ID]))&amp;":"&amp;ADDRESS(ROW(),COLUMN(NOTA[ID]))),-1)))</f>
        <v/>
      </c>
      <c r="AK776" s="38" t="str">
        <f ca="1">IF(NOTA[[#This Row],[ID_H]]="","",IF(NOTA[[#This Row],[FAKTUR]]="",INDIRECT(ADDRESS(ROW()-1,COLUMN())),NOTA[[#This Row],[FAKTUR]]))</f>
        <v/>
      </c>
      <c r="AL776" s="35" t="str">
        <f ca="1">IF(NOTA[[#This Row],[ID]]="","",COUNTIF(NOTA[ID_H],NOTA[[#This Row],[ID_H]]))</f>
        <v/>
      </c>
      <c r="AM776" s="35" t="str">
        <f ca="1">IF(NOTA[[#This Row],[TGL.NOTA]]="",IF(NOTA[[#This Row],[SUPPLIER_H]]="","",AM775),MONTH(NOTA[[#This Row],[TGL.NOTA]]))</f>
        <v/>
      </c>
      <c r="AN7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6" s="35" t="str">
        <f>IF(NOTA[[#This Row],[CONCAT1]]="","",MATCH(NOTA[[#This Row],[CONCAT1]],[3]!db[NB NOTA_C],0))</f>
        <v/>
      </c>
      <c r="AS776" s="35" t="str">
        <f>IF(NOTA[[#This Row],[Column5]]="","",TRUE)</f>
        <v/>
      </c>
      <c r="AT776" s="35" t="str">
        <f ca="1">IF(NOTA[[#This Row],[ID_H]]="","",IF(NOTA[[#This Row],[Column3]]=TRUE,NOTA[[#This Row],[Column5]],INDEX([3]!db[QTY/ CTN],NOTA[[#This Row],[//DB]])))</f>
        <v/>
      </c>
      <c r="AU7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6" s="35" t="str">
        <f ca="1">IF(NOTA[[#This Row],[ID_H]]="","",MATCH(NOTA[[#This Row],[NB NOTA_C_QTY]],[3]!db[NB NOTA_C_QTY+F],0))</f>
        <v/>
      </c>
      <c r="AW776" s="43" t="str">
        <f ca="1">IF(NOTA[[#This Row],[NB NOTA_C_QTY]]="","",ROW()-2)</f>
        <v/>
      </c>
    </row>
    <row r="777" spans="1:49" ht="20.100000000000001" customHeight="1">
      <c r="A7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5" t="str">
        <f ca="1">IF(NOTA[[#This Row],[NAMA BARANG]]="","",INDEX(NOTA[ID],MATCH(,INDIRECT(ADDRESS(ROW(NOTA[ID]),COLUMN(NOTA[ID]))&amp;":"&amp;ADDRESS(ROW(),COLUMN(NOTA[ID]))),-1)))</f>
        <v/>
      </c>
      <c r="C777" s="45"/>
      <c r="F777" s="46"/>
      <c r="G777" s="35"/>
      <c r="H777" s="36"/>
      <c r="I777" s="35"/>
      <c r="K777" s="37"/>
      <c r="L777" s="35"/>
      <c r="N777" s="38"/>
      <c r="O777" s="39"/>
      <c r="P777" s="47"/>
      <c r="Q777" s="48"/>
      <c r="R777" s="41"/>
      <c r="T777" s="42"/>
      <c r="U777" s="44"/>
      <c r="V777" s="42" t="str">
        <f>IF(NOTA[[#This Row],[HARGA/ CTN]]="",NOTA[[#This Row],[JUMLAH_H]],NOTA[[#This Row],[HARGA/ CTN]]*IF(NOTA[[#This Row],[C]]="",0,NOTA[[#This Row],[C]]))</f>
        <v/>
      </c>
      <c r="W777" s="42" t="str">
        <f>IF(NOTA[[#This Row],[JUMLAH]]="","",NOTA[[#This Row],[JUMLAH]]*NOTA[[#This Row],[Column6]])</f>
        <v/>
      </c>
      <c r="X777" s="42" t="str">
        <f>IF(NOTA[[#This Row],[JUMLAH]]="","",(NOTA[[#This Row],[JUMLAH]]-NOTA[[#This Row],[DISC 1-]])*NOTA[[#This Row],[Column7]])</f>
        <v/>
      </c>
      <c r="Y777" s="42" t="str">
        <f>IF(NOTA[[#This Row],[JUMLAH]]="","",(NOTA[[#This Row],[JUMLAH]]-NOTA[[#This Row],[DISC 1-]]-NOTA[[#This Row],[DISC 2-]])*NOTA[[#This Row],[Column8]])</f>
        <v/>
      </c>
      <c r="Z777" s="42" t="str">
        <f>IF(NOTA[[#This Row],[JUMLAH]]="","",NOTA[[#This Row],[DISC 1-]]+NOTA[[#This Row],[DISC 2-]]+NOTA[[#This Row],[DISC 3-]])</f>
        <v/>
      </c>
      <c r="AA777" s="42" t="str">
        <f>IF(NOTA[[#This Row],[JUMLAH]]="","",NOTA[[#This Row],[JUMLAH]]-NOTA[[#This Row],[DISC]])</f>
        <v/>
      </c>
      <c r="AB777" s="42"/>
      <c r="AC7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42" t="str">
        <f>IF(OR(NOTA[[#This Row],[QTY]]="",NOTA[[#This Row],[HARGA SATUAN]]="",),"",NOTA[[#This Row],[QTY]]*NOTA[[#This Row],[HARGA SATUAN]])</f>
        <v/>
      </c>
      <c r="AG777" s="36" t="str">
        <f ca="1">IF(NOTA[[#This Row],[ID_H]]="","",INDEX(NOTA[TANGGAL],MATCH(,INDIRECT(ADDRESS(ROW(NOTA[TANGGAL]),COLUMN(NOTA[TANGGAL]))&amp;":"&amp;ADDRESS(ROW(),COLUMN(NOTA[TANGGAL]))),-1)))</f>
        <v/>
      </c>
      <c r="AH777" s="36" t="str">
        <f ca="1">IF(NOTA[[#This Row],[ID_H]]="","",INDEX(NOTA[TGL.NOTA],MATCH(,INDIRECT(ADDRESS(ROW(NOTA[TGL.NOTA]),COLUMN(NOTA[TGL.NOTA]))&amp;":"&amp;ADDRESS(ROW(),COLUMN(NOTA[TGL.NOTA]))),-1)))</f>
        <v/>
      </c>
      <c r="AI777" s="36" t="str">
        <f ca="1">IF(NOTA[[#This Row],[ID_H]]="","",INDEX(NOTA[NO.NOTA],MATCH(NOTA[[#This Row],[ID_H]],NOTA[ID_H],0)))</f>
        <v/>
      </c>
      <c r="AJ777" s="38" t="str">
        <f ca="1">IF(NOTA[[#This Row],[NAMA BARANG]]="","",INDEX(NOTA[SUPPLIER],MATCH(,INDIRECT(ADDRESS(ROW(NOTA[ID]),COLUMN(NOTA[ID]))&amp;":"&amp;ADDRESS(ROW(),COLUMN(NOTA[ID]))),-1)))</f>
        <v/>
      </c>
      <c r="AK777" s="38" t="str">
        <f ca="1">IF(NOTA[[#This Row],[ID_H]]="","",IF(NOTA[[#This Row],[FAKTUR]]="",INDIRECT(ADDRESS(ROW()-1,COLUMN())),NOTA[[#This Row],[FAKTUR]]))</f>
        <v/>
      </c>
      <c r="AL777" s="35" t="str">
        <f ca="1">IF(NOTA[[#This Row],[ID]]="","",COUNTIF(NOTA[ID_H],NOTA[[#This Row],[ID_H]]))</f>
        <v/>
      </c>
      <c r="AM777" s="35" t="str">
        <f ca="1">IF(NOTA[[#This Row],[TGL.NOTA]]="",IF(NOTA[[#This Row],[SUPPLIER_H]]="","",AM776),MONTH(NOTA[[#This Row],[TGL.NOTA]]))</f>
        <v/>
      </c>
      <c r="AN7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7" s="35" t="str">
        <f>IF(NOTA[[#This Row],[CONCAT1]]="","",MATCH(NOTA[[#This Row],[CONCAT1]],[3]!db[NB NOTA_C],0))</f>
        <v/>
      </c>
      <c r="AS777" s="35" t="str">
        <f>IF(NOTA[[#This Row],[Column5]]="","",TRUE)</f>
        <v/>
      </c>
      <c r="AT777" s="35" t="str">
        <f ca="1">IF(NOTA[[#This Row],[ID_H]]="","",IF(NOTA[[#This Row],[Column3]]=TRUE,NOTA[[#This Row],[Column5]],INDEX([3]!db[QTY/ CTN],NOTA[[#This Row],[//DB]])))</f>
        <v/>
      </c>
      <c r="AU7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7" s="35" t="str">
        <f ca="1">IF(NOTA[[#This Row],[ID_H]]="","",MATCH(NOTA[[#This Row],[NB NOTA_C_QTY]],[3]!db[NB NOTA_C_QTY+F],0))</f>
        <v/>
      </c>
      <c r="AW777" s="43" t="str">
        <f ca="1">IF(NOTA[[#This Row],[NB NOTA_C_QTY]]="","",ROW()-2)</f>
        <v/>
      </c>
    </row>
    <row r="778" spans="1:49" ht="20.100000000000001" customHeight="1">
      <c r="A7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5" t="str">
        <f ca="1">IF(NOTA[[#This Row],[NAMA BARANG]]="","",INDEX(NOTA[ID],MATCH(,INDIRECT(ADDRESS(ROW(NOTA[ID]),COLUMN(NOTA[ID]))&amp;":"&amp;ADDRESS(ROW(),COLUMN(NOTA[ID]))),-1)))</f>
        <v/>
      </c>
      <c r="C778" s="45"/>
      <c r="F778" s="46"/>
      <c r="G778" s="35"/>
      <c r="H778" s="36"/>
      <c r="I778" s="35"/>
      <c r="K778" s="37"/>
      <c r="L778" s="35"/>
      <c r="N778" s="38"/>
      <c r="O778" s="39"/>
      <c r="P778" s="47"/>
      <c r="Q778" s="48"/>
      <c r="R778" s="41"/>
      <c r="T778" s="42"/>
      <c r="U778" s="44"/>
      <c r="V778" s="42" t="str">
        <f>IF(NOTA[[#This Row],[HARGA/ CTN]]="",NOTA[[#This Row],[JUMLAH_H]],NOTA[[#This Row],[HARGA/ CTN]]*IF(NOTA[[#This Row],[C]]="",0,NOTA[[#This Row],[C]]))</f>
        <v/>
      </c>
      <c r="W778" s="42" t="str">
        <f>IF(NOTA[[#This Row],[JUMLAH]]="","",NOTA[[#This Row],[JUMLAH]]*NOTA[[#This Row],[Column6]])</f>
        <v/>
      </c>
      <c r="X778" s="42" t="str">
        <f>IF(NOTA[[#This Row],[JUMLAH]]="","",(NOTA[[#This Row],[JUMLAH]]-NOTA[[#This Row],[DISC 1-]])*NOTA[[#This Row],[Column7]])</f>
        <v/>
      </c>
      <c r="Y778" s="42" t="str">
        <f>IF(NOTA[[#This Row],[JUMLAH]]="","",(NOTA[[#This Row],[JUMLAH]]-NOTA[[#This Row],[DISC 1-]]-NOTA[[#This Row],[DISC 2-]])*NOTA[[#This Row],[Column8]])</f>
        <v/>
      </c>
      <c r="Z778" s="42" t="str">
        <f>IF(NOTA[[#This Row],[JUMLAH]]="","",NOTA[[#This Row],[DISC 1-]]+NOTA[[#This Row],[DISC 2-]]+NOTA[[#This Row],[DISC 3-]])</f>
        <v/>
      </c>
      <c r="AA778" s="42" t="str">
        <f>IF(NOTA[[#This Row],[JUMLAH]]="","",NOTA[[#This Row],[JUMLAH]]-NOTA[[#This Row],[DISC]])</f>
        <v/>
      </c>
      <c r="AB778" s="42"/>
      <c r="AC7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42" t="str">
        <f>IF(OR(NOTA[[#This Row],[QTY]]="",NOTA[[#This Row],[HARGA SATUAN]]="",),"",NOTA[[#This Row],[QTY]]*NOTA[[#This Row],[HARGA SATUAN]])</f>
        <v/>
      </c>
      <c r="AG778" s="36" t="str">
        <f ca="1">IF(NOTA[[#This Row],[ID_H]]="","",INDEX(NOTA[TANGGAL],MATCH(,INDIRECT(ADDRESS(ROW(NOTA[TANGGAL]),COLUMN(NOTA[TANGGAL]))&amp;":"&amp;ADDRESS(ROW(),COLUMN(NOTA[TANGGAL]))),-1)))</f>
        <v/>
      </c>
      <c r="AH778" s="36" t="str">
        <f ca="1">IF(NOTA[[#This Row],[ID_H]]="","",INDEX(NOTA[TGL.NOTA],MATCH(,INDIRECT(ADDRESS(ROW(NOTA[TGL.NOTA]),COLUMN(NOTA[TGL.NOTA]))&amp;":"&amp;ADDRESS(ROW(),COLUMN(NOTA[TGL.NOTA]))),-1)))</f>
        <v/>
      </c>
      <c r="AI778" s="36" t="str">
        <f ca="1">IF(NOTA[[#This Row],[ID_H]]="","",INDEX(NOTA[NO.NOTA],MATCH(NOTA[[#This Row],[ID_H]],NOTA[ID_H],0)))</f>
        <v/>
      </c>
      <c r="AJ778" s="38" t="str">
        <f ca="1">IF(NOTA[[#This Row],[NAMA BARANG]]="","",INDEX(NOTA[SUPPLIER],MATCH(,INDIRECT(ADDRESS(ROW(NOTA[ID]),COLUMN(NOTA[ID]))&amp;":"&amp;ADDRESS(ROW(),COLUMN(NOTA[ID]))),-1)))</f>
        <v/>
      </c>
      <c r="AK778" s="38" t="str">
        <f ca="1">IF(NOTA[[#This Row],[ID_H]]="","",IF(NOTA[[#This Row],[FAKTUR]]="",INDIRECT(ADDRESS(ROW()-1,COLUMN())),NOTA[[#This Row],[FAKTUR]]))</f>
        <v/>
      </c>
      <c r="AL778" s="35" t="str">
        <f ca="1">IF(NOTA[[#This Row],[ID]]="","",COUNTIF(NOTA[ID_H],NOTA[[#This Row],[ID_H]]))</f>
        <v/>
      </c>
      <c r="AM778" s="35" t="str">
        <f ca="1">IF(NOTA[[#This Row],[TGL.NOTA]]="",IF(NOTA[[#This Row],[SUPPLIER_H]]="","",AM777),MONTH(NOTA[[#This Row],[TGL.NOTA]]))</f>
        <v/>
      </c>
      <c r="AN7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8" s="35" t="str">
        <f>IF(NOTA[[#This Row],[CONCAT1]]="","",MATCH(NOTA[[#This Row],[CONCAT1]],[3]!db[NB NOTA_C],0))</f>
        <v/>
      </c>
      <c r="AS778" s="35" t="str">
        <f>IF(NOTA[[#This Row],[Column5]]="","",TRUE)</f>
        <v/>
      </c>
      <c r="AT778" s="35" t="str">
        <f ca="1">IF(NOTA[[#This Row],[ID_H]]="","",IF(NOTA[[#This Row],[Column3]]=TRUE,NOTA[[#This Row],[Column5]],INDEX([3]!db[QTY/ CTN],NOTA[[#This Row],[//DB]])))</f>
        <v/>
      </c>
      <c r="AU7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8" s="35" t="str">
        <f ca="1">IF(NOTA[[#This Row],[ID_H]]="","",MATCH(NOTA[[#This Row],[NB NOTA_C_QTY]],[3]!db[NB NOTA_C_QTY+F],0))</f>
        <v/>
      </c>
      <c r="AW778" s="43" t="str">
        <f ca="1">IF(NOTA[[#This Row],[NB NOTA_C_QTY]]="","",ROW()-2)</f>
        <v/>
      </c>
    </row>
    <row r="779" spans="1:49" ht="20.100000000000001" customHeight="1">
      <c r="A7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5" t="str">
        <f ca="1">IF(NOTA[[#This Row],[NAMA BARANG]]="","",INDEX(NOTA[ID],MATCH(,INDIRECT(ADDRESS(ROW(NOTA[ID]),COLUMN(NOTA[ID]))&amp;":"&amp;ADDRESS(ROW(),COLUMN(NOTA[ID]))),-1)))</f>
        <v/>
      </c>
      <c r="C779" s="45"/>
      <c r="F779" s="46"/>
      <c r="G779" s="35"/>
      <c r="H779" s="36"/>
      <c r="I779" s="35"/>
      <c r="K779" s="37"/>
      <c r="L779" s="35"/>
      <c r="N779" s="38"/>
      <c r="O779" s="39"/>
      <c r="P779" s="47"/>
      <c r="Q779" s="48"/>
      <c r="R779" s="41"/>
      <c r="T779" s="42"/>
      <c r="U779" s="44"/>
      <c r="V779" s="42" t="str">
        <f>IF(NOTA[[#This Row],[HARGA/ CTN]]="",NOTA[[#This Row],[JUMLAH_H]],NOTA[[#This Row],[HARGA/ CTN]]*IF(NOTA[[#This Row],[C]]="",0,NOTA[[#This Row],[C]]))</f>
        <v/>
      </c>
      <c r="W779" s="42" t="str">
        <f>IF(NOTA[[#This Row],[JUMLAH]]="","",NOTA[[#This Row],[JUMLAH]]*NOTA[[#This Row],[Column6]])</f>
        <v/>
      </c>
      <c r="X779" s="42" t="str">
        <f>IF(NOTA[[#This Row],[JUMLAH]]="","",(NOTA[[#This Row],[JUMLAH]]-NOTA[[#This Row],[DISC 1-]])*NOTA[[#This Row],[Column7]])</f>
        <v/>
      </c>
      <c r="Y779" s="42" t="str">
        <f>IF(NOTA[[#This Row],[JUMLAH]]="","",(NOTA[[#This Row],[JUMLAH]]-NOTA[[#This Row],[DISC 1-]]-NOTA[[#This Row],[DISC 2-]])*NOTA[[#This Row],[Column8]])</f>
        <v/>
      </c>
      <c r="Z779" s="42" t="str">
        <f>IF(NOTA[[#This Row],[JUMLAH]]="","",NOTA[[#This Row],[DISC 1-]]+NOTA[[#This Row],[DISC 2-]]+NOTA[[#This Row],[DISC 3-]])</f>
        <v/>
      </c>
      <c r="AA779" s="42" t="str">
        <f>IF(NOTA[[#This Row],[JUMLAH]]="","",NOTA[[#This Row],[JUMLAH]]-NOTA[[#This Row],[DISC]])</f>
        <v/>
      </c>
      <c r="AB779" s="42"/>
      <c r="AC7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42" t="str">
        <f>IF(OR(NOTA[[#This Row],[QTY]]="",NOTA[[#This Row],[HARGA SATUAN]]="",),"",NOTA[[#This Row],[QTY]]*NOTA[[#This Row],[HARGA SATUAN]])</f>
        <v/>
      </c>
      <c r="AG779" s="36" t="str">
        <f ca="1">IF(NOTA[[#This Row],[ID_H]]="","",INDEX(NOTA[TANGGAL],MATCH(,INDIRECT(ADDRESS(ROW(NOTA[TANGGAL]),COLUMN(NOTA[TANGGAL]))&amp;":"&amp;ADDRESS(ROW(),COLUMN(NOTA[TANGGAL]))),-1)))</f>
        <v/>
      </c>
      <c r="AH779" s="36" t="str">
        <f ca="1">IF(NOTA[[#This Row],[ID_H]]="","",INDEX(NOTA[TGL.NOTA],MATCH(,INDIRECT(ADDRESS(ROW(NOTA[TGL.NOTA]),COLUMN(NOTA[TGL.NOTA]))&amp;":"&amp;ADDRESS(ROW(),COLUMN(NOTA[TGL.NOTA]))),-1)))</f>
        <v/>
      </c>
      <c r="AI779" s="36" t="str">
        <f ca="1">IF(NOTA[[#This Row],[ID_H]]="","",INDEX(NOTA[NO.NOTA],MATCH(NOTA[[#This Row],[ID_H]],NOTA[ID_H],0)))</f>
        <v/>
      </c>
      <c r="AJ779" s="38" t="str">
        <f ca="1">IF(NOTA[[#This Row],[NAMA BARANG]]="","",INDEX(NOTA[SUPPLIER],MATCH(,INDIRECT(ADDRESS(ROW(NOTA[ID]),COLUMN(NOTA[ID]))&amp;":"&amp;ADDRESS(ROW(),COLUMN(NOTA[ID]))),-1)))</f>
        <v/>
      </c>
      <c r="AK779" s="38" t="str">
        <f ca="1">IF(NOTA[[#This Row],[ID_H]]="","",IF(NOTA[[#This Row],[FAKTUR]]="",INDIRECT(ADDRESS(ROW()-1,COLUMN())),NOTA[[#This Row],[FAKTUR]]))</f>
        <v/>
      </c>
      <c r="AL779" s="35" t="str">
        <f ca="1">IF(NOTA[[#This Row],[ID]]="","",COUNTIF(NOTA[ID_H],NOTA[[#This Row],[ID_H]]))</f>
        <v/>
      </c>
      <c r="AM779" s="35" t="str">
        <f ca="1">IF(NOTA[[#This Row],[TGL.NOTA]]="",IF(NOTA[[#This Row],[SUPPLIER_H]]="","",AM778),MONTH(NOTA[[#This Row],[TGL.NOTA]]))</f>
        <v/>
      </c>
      <c r="AN7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9" s="35" t="str">
        <f>IF(NOTA[[#This Row],[CONCAT1]]="","",MATCH(NOTA[[#This Row],[CONCAT1]],[3]!db[NB NOTA_C],0))</f>
        <v/>
      </c>
      <c r="AS779" s="35" t="str">
        <f>IF(NOTA[[#This Row],[Column5]]="","",TRUE)</f>
        <v/>
      </c>
      <c r="AT779" s="35" t="str">
        <f ca="1">IF(NOTA[[#This Row],[ID_H]]="","",IF(NOTA[[#This Row],[Column3]]=TRUE,NOTA[[#This Row],[Column5]],INDEX([3]!db[QTY/ CTN],NOTA[[#This Row],[//DB]])))</f>
        <v/>
      </c>
      <c r="AU7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79" s="35" t="str">
        <f ca="1">IF(NOTA[[#This Row],[ID_H]]="","",MATCH(NOTA[[#This Row],[NB NOTA_C_QTY]],[3]!db[NB NOTA_C_QTY+F],0))</f>
        <v/>
      </c>
      <c r="AW779" s="43" t="str">
        <f ca="1">IF(NOTA[[#This Row],[NB NOTA_C_QTY]]="","",ROW()-2)</f>
        <v/>
      </c>
    </row>
    <row r="780" spans="1:49" ht="20.100000000000001" customHeight="1">
      <c r="A7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5" t="str">
        <f ca="1">IF(NOTA[[#This Row],[NAMA BARANG]]="","",INDEX(NOTA[ID],MATCH(,INDIRECT(ADDRESS(ROW(NOTA[ID]),COLUMN(NOTA[ID]))&amp;":"&amp;ADDRESS(ROW(),COLUMN(NOTA[ID]))),-1)))</f>
        <v/>
      </c>
      <c r="C780" s="45"/>
      <c r="F780" s="46"/>
      <c r="G780" s="35"/>
      <c r="H780" s="36"/>
      <c r="I780" s="35"/>
      <c r="K780" s="37"/>
      <c r="L780" s="35"/>
      <c r="N780" s="38"/>
      <c r="O780" s="39"/>
      <c r="P780" s="47"/>
      <c r="Q780" s="48"/>
      <c r="R780" s="41"/>
      <c r="T780" s="42"/>
      <c r="U780" s="44"/>
      <c r="V780" s="42" t="str">
        <f>IF(NOTA[[#This Row],[HARGA/ CTN]]="",NOTA[[#This Row],[JUMLAH_H]],NOTA[[#This Row],[HARGA/ CTN]]*IF(NOTA[[#This Row],[C]]="",0,NOTA[[#This Row],[C]]))</f>
        <v/>
      </c>
      <c r="W780" s="42" t="str">
        <f>IF(NOTA[[#This Row],[JUMLAH]]="","",NOTA[[#This Row],[JUMLAH]]*NOTA[[#This Row],[Column6]])</f>
        <v/>
      </c>
      <c r="X780" s="42" t="str">
        <f>IF(NOTA[[#This Row],[JUMLAH]]="","",(NOTA[[#This Row],[JUMLAH]]-NOTA[[#This Row],[DISC 1-]])*NOTA[[#This Row],[Column7]])</f>
        <v/>
      </c>
      <c r="Y780" s="42" t="str">
        <f>IF(NOTA[[#This Row],[JUMLAH]]="","",(NOTA[[#This Row],[JUMLAH]]-NOTA[[#This Row],[DISC 1-]]-NOTA[[#This Row],[DISC 2-]])*NOTA[[#This Row],[Column8]])</f>
        <v/>
      </c>
      <c r="Z780" s="42" t="str">
        <f>IF(NOTA[[#This Row],[JUMLAH]]="","",NOTA[[#This Row],[DISC 1-]]+NOTA[[#This Row],[DISC 2-]]+NOTA[[#This Row],[DISC 3-]])</f>
        <v/>
      </c>
      <c r="AA780" s="42" t="str">
        <f>IF(NOTA[[#This Row],[JUMLAH]]="","",NOTA[[#This Row],[JUMLAH]]-NOTA[[#This Row],[DISC]])</f>
        <v/>
      </c>
      <c r="AB780" s="42"/>
      <c r="AC7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42" t="str">
        <f>IF(OR(NOTA[[#This Row],[QTY]]="",NOTA[[#This Row],[HARGA SATUAN]]="",),"",NOTA[[#This Row],[QTY]]*NOTA[[#This Row],[HARGA SATUAN]])</f>
        <v/>
      </c>
      <c r="AG780" s="36" t="str">
        <f ca="1">IF(NOTA[[#This Row],[ID_H]]="","",INDEX(NOTA[TANGGAL],MATCH(,INDIRECT(ADDRESS(ROW(NOTA[TANGGAL]),COLUMN(NOTA[TANGGAL]))&amp;":"&amp;ADDRESS(ROW(),COLUMN(NOTA[TANGGAL]))),-1)))</f>
        <v/>
      </c>
      <c r="AH780" s="36" t="str">
        <f ca="1">IF(NOTA[[#This Row],[ID_H]]="","",INDEX(NOTA[TGL.NOTA],MATCH(,INDIRECT(ADDRESS(ROW(NOTA[TGL.NOTA]),COLUMN(NOTA[TGL.NOTA]))&amp;":"&amp;ADDRESS(ROW(),COLUMN(NOTA[TGL.NOTA]))),-1)))</f>
        <v/>
      </c>
      <c r="AI780" s="36" t="str">
        <f ca="1">IF(NOTA[[#This Row],[ID_H]]="","",INDEX(NOTA[NO.NOTA],MATCH(NOTA[[#This Row],[ID_H]],NOTA[ID_H],0)))</f>
        <v/>
      </c>
      <c r="AJ780" s="38" t="str">
        <f ca="1">IF(NOTA[[#This Row],[NAMA BARANG]]="","",INDEX(NOTA[SUPPLIER],MATCH(,INDIRECT(ADDRESS(ROW(NOTA[ID]),COLUMN(NOTA[ID]))&amp;":"&amp;ADDRESS(ROW(),COLUMN(NOTA[ID]))),-1)))</f>
        <v/>
      </c>
      <c r="AK780" s="38" t="str">
        <f ca="1">IF(NOTA[[#This Row],[ID_H]]="","",IF(NOTA[[#This Row],[FAKTUR]]="",INDIRECT(ADDRESS(ROW()-1,COLUMN())),NOTA[[#This Row],[FAKTUR]]))</f>
        <v/>
      </c>
      <c r="AL780" s="35" t="str">
        <f ca="1">IF(NOTA[[#This Row],[ID]]="","",COUNTIF(NOTA[ID_H],NOTA[[#This Row],[ID_H]]))</f>
        <v/>
      </c>
      <c r="AM780" s="35" t="str">
        <f ca="1">IF(NOTA[[#This Row],[TGL.NOTA]]="",IF(NOTA[[#This Row],[SUPPLIER_H]]="","",AM779),MONTH(NOTA[[#This Row],[TGL.NOTA]]))</f>
        <v/>
      </c>
      <c r="AN7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0" s="35" t="str">
        <f>IF(NOTA[[#This Row],[CONCAT1]]="","",MATCH(NOTA[[#This Row],[CONCAT1]],[3]!db[NB NOTA_C],0))</f>
        <v/>
      </c>
      <c r="AS780" s="35" t="str">
        <f>IF(NOTA[[#This Row],[Column5]]="","",TRUE)</f>
        <v/>
      </c>
      <c r="AT780" s="35" t="str">
        <f ca="1">IF(NOTA[[#This Row],[ID_H]]="","",IF(NOTA[[#This Row],[Column3]]=TRUE,NOTA[[#This Row],[Column5]],INDEX([3]!db[QTY/ CTN],NOTA[[#This Row],[//DB]])))</f>
        <v/>
      </c>
      <c r="AU7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0" s="35" t="str">
        <f ca="1">IF(NOTA[[#This Row],[ID_H]]="","",MATCH(NOTA[[#This Row],[NB NOTA_C_QTY]],[3]!db[NB NOTA_C_QTY+F],0))</f>
        <v/>
      </c>
      <c r="AW780" s="43" t="str">
        <f ca="1">IF(NOTA[[#This Row],[NB NOTA_C_QTY]]="","",ROW()-2)</f>
        <v/>
      </c>
    </row>
    <row r="781" spans="1:49" ht="20.100000000000001" customHeight="1">
      <c r="A7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5" t="str">
        <f ca="1">IF(NOTA[[#This Row],[NAMA BARANG]]="","",INDEX(NOTA[ID],MATCH(,INDIRECT(ADDRESS(ROW(NOTA[ID]),COLUMN(NOTA[ID]))&amp;":"&amp;ADDRESS(ROW(),COLUMN(NOTA[ID]))),-1)))</f>
        <v/>
      </c>
      <c r="C781" s="45"/>
      <c r="F781" s="46"/>
      <c r="G781" s="35"/>
      <c r="H781" s="36"/>
      <c r="I781" s="35"/>
      <c r="K781" s="37"/>
      <c r="L781" s="35"/>
      <c r="N781" s="38"/>
      <c r="O781" s="39"/>
      <c r="P781" s="47"/>
      <c r="Q781" s="48"/>
      <c r="R781" s="41"/>
      <c r="T781" s="42"/>
      <c r="U781" s="44"/>
      <c r="V781" s="42" t="str">
        <f>IF(NOTA[[#This Row],[HARGA/ CTN]]="",NOTA[[#This Row],[JUMLAH_H]],NOTA[[#This Row],[HARGA/ CTN]]*IF(NOTA[[#This Row],[C]]="",0,NOTA[[#This Row],[C]]))</f>
        <v/>
      </c>
      <c r="W781" s="42" t="str">
        <f>IF(NOTA[[#This Row],[JUMLAH]]="","",NOTA[[#This Row],[JUMLAH]]*NOTA[[#This Row],[Column6]])</f>
        <v/>
      </c>
      <c r="X781" s="42" t="str">
        <f>IF(NOTA[[#This Row],[JUMLAH]]="","",(NOTA[[#This Row],[JUMLAH]]-NOTA[[#This Row],[DISC 1-]])*NOTA[[#This Row],[Column7]])</f>
        <v/>
      </c>
      <c r="Y781" s="42" t="str">
        <f>IF(NOTA[[#This Row],[JUMLAH]]="","",(NOTA[[#This Row],[JUMLAH]]-NOTA[[#This Row],[DISC 1-]]-NOTA[[#This Row],[DISC 2-]])*NOTA[[#This Row],[Column8]])</f>
        <v/>
      </c>
      <c r="Z781" s="42" t="str">
        <f>IF(NOTA[[#This Row],[JUMLAH]]="","",NOTA[[#This Row],[DISC 1-]]+NOTA[[#This Row],[DISC 2-]]+NOTA[[#This Row],[DISC 3-]])</f>
        <v/>
      </c>
      <c r="AA781" s="42" t="str">
        <f>IF(NOTA[[#This Row],[JUMLAH]]="","",NOTA[[#This Row],[JUMLAH]]-NOTA[[#This Row],[DISC]])</f>
        <v/>
      </c>
      <c r="AB781" s="42"/>
      <c r="AC7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42" t="str">
        <f>IF(OR(NOTA[[#This Row],[QTY]]="",NOTA[[#This Row],[HARGA SATUAN]]="",),"",NOTA[[#This Row],[QTY]]*NOTA[[#This Row],[HARGA SATUAN]])</f>
        <v/>
      </c>
      <c r="AG781" s="36" t="str">
        <f ca="1">IF(NOTA[[#This Row],[ID_H]]="","",INDEX(NOTA[TANGGAL],MATCH(,INDIRECT(ADDRESS(ROW(NOTA[TANGGAL]),COLUMN(NOTA[TANGGAL]))&amp;":"&amp;ADDRESS(ROW(),COLUMN(NOTA[TANGGAL]))),-1)))</f>
        <v/>
      </c>
      <c r="AH781" s="36" t="str">
        <f ca="1">IF(NOTA[[#This Row],[ID_H]]="","",INDEX(NOTA[TGL.NOTA],MATCH(,INDIRECT(ADDRESS(ROW(NOTA[TGL.NOTA]),COLUMN(NOTA[TGL.NOTA]))&amp;":"&amp;ADDRESS(ROW(),COLUMN(NOTA[TGL.NOTA]))),-1)))</f>
        <v/>
      </c>
      <c r="AI781" s="36" t="str">
        <f ca="1">IF(NOTA[[#This Row],[ID_H]]="","",INDEX(NOTA[NO.NOTA],MATCH(NOTA[[#This Row],[ID_H]],NOTA[ID_H],0)))</f>
        <v/>
      </c>
      <c r="AJ781" s="38" t="str">
        <f ca="1">IF(NOTA[[#This Row],[NAMA BARANG]]="","",INDEX(NOTA[SUPPLIER],MATCH(,INDIRECT(ADDRESS(ROW(NOTA[ID]),COLUMN(NOTA[ID]))&amp;":"&amp;ADDRESS(ROW(),COLUMN(NOTA[ID]))),-1)))</f>
        <v/>
      </c>
      <c r="AK781" s="38" t="str">
        <f ca="1">IF(NOTA[[#This Row],[ID_H]]="","",IF(NOTA[[#This Row],[FAKTUR]]="",INDIRECT(ADDRESS(ROW()-1,COLUMN())),NOTA[[#This Row],[FAKTUR]]))</f>
        <v/>
      </c>
      <c r="AL781" s="35" t="str">
        <f ca="1">IF(NOTA[[#This Row],[ID]]="","",COUNTIF(NOTA[ID_H],NOTA[[#This Row],[ID_H]]))</f>
        <v/>
      </c>
      <c r="AM781" s="35" t="str">
        <f ca="1">IF(NOTA[[#This Row],[TGL.NOTA]]="",IF(NOTA[[#This Row],[SUPPLIER_H]]="","",AM780),MONTH(NOTA[[#This Row],[TGL.NOTA]]))</f>
        <v/>
      </c>
      <c r="AN7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1" s="35" t="str">
        <f>IF(NOTA[[#This Row],[CONCAT1]]="","",MATCH(NOTA[[#This Row],[CONCAT1]],[3]!db[NB NOTA_C],0))</f>
        <v/>
      </c>
      <c r="AS781" s="35" t="str">
        <f>IF(NOTA[[#This Row],[Column5]]="","",TRUE)</f>
        <v/>
      </c>
      <c r="AT781" s="35" t="str">
        <f ca="1">IF(NOTA[[#This Row],[ID_H]]="","",IF(NOTA[[#This Row],[Column3]]=TRUE,NOTA[[#This Row],[Column5]],INDEX([3]!db[QTY/ CTN],NOTA[[#This Row],[//DB]])))</f>
        <v/>
      </c>
      <c r="AU7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1" s="35" t="str">
        <f ca="1">IF(NOTA[[#This Row],[ID_H]]="","",MATCH(NOTA[[#This Row],[NB NOTA_C_QTY]],[3]!db[NB NOTA_C_QTY+F],0))</f>
        <v/>
      </c>
      <c r="AW781" s="43" t="str">
        <f ca="1">IF(NOTA[[#This Row],[NB NOTA_C_QTY]]="","",ROW()-2)</f>
        <v/>
      </c>
    </row>
    <row r="782" spans="1:49" ht="20.100000000000001" customHeight="1">
      <c r="A7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5" t="str">
        <f ca="1">IF(NOTA[[#This Row],[NAMA BARANG]]="","",INDEX(NOTA[ID],MATCH(,INDIRECT(ADDRESS(ROW(NOTA[ID]),COLUMN(NOTA[ID]))&amp;":"&amp;ADDRESS(ROW(),COLUMN(NOTA[ID]))),-1)))</f>
        <v/>
      </c>
      <c r="C782" s="45"/>
      <c r="F782" s="46"/>
      <c r="G782" s="35"/>
      <c r="H782" s="36"/>
      <c r="I782" s="35"/>
      <c r="K782" s="37"/>
      <c r="L782" s="35"/>
      <c r="N782" s="38"/>
      <c r="O782" s="39"/>
      <c r="P782" s="47"/>
      <c r="Q782" s="48"/>
      <c r="R782" s="41"/>
      <c r="T782" s="42"/>
      <c r="U782" s="44"/>
      <c r="V782" s="42" t="str">
        <f>IF(NOTA[[#This Row],[HARGA/ CTN]]="",NOTA[[#This Row],[JUMLAH_H]],NOTA[[#This Row],[HARGA/ CTN]]*IF(NOTA[[#This Row],[C]]="",0,NOTA[[#This Row],[C]]))</f>
        <v/>
      </c>
      <c r="W782" s="42" t="str">
        <f>IF(NOTA[[#This Row],[JUMLAH]]="","",NOTA[[#This Row],[JUMLAH]]*NOTA[[#This Row],[Column6]])</f>
        <v/>
      </c>
      <c r="X782" s="42" t="str">
        <f>IF(NOTA[[#This Row],[JUMLAH]]="","",(NOTA[[#This Row],[JUMLAH]]-NOTA[[#This Row],[DISC 1-]])*NOTA[[#This Row],[Column7]])</f>
        <v/>
      </c>
      <c r="Y782" s="42" t="str">
        <f>IF(NOTA[[#This Row],[JUMLAH]]="","",(NOTA[[#This Row],[JUMLAH]]-NOTA[[#This Row],[DISC 1-]]-NOTA[[#This Row],[DISC 2-]])*NOTA[[#This Row],[Column8]])</f>
        <v/>
      </c>
      <c r="Z782" s="42" t="str">
        <f>IF(NOTA[[#This Row],[JUMLAH]]="","",NOTA[[#This Row],[DISC 1-]]+NOTA[[#This Row],[DISC 2-]]+NOTA[[#This Row],[DISC 3-]])</f>
        <v/>
      </c>
      <c r="AA782" s="42" t="str">
        <f>IF(NOTA[[#This Row],[JUMLAH]]="","",NOTA[[#This Row],[JUMLAH]]-NOTA[[#This Row],[DISC]])</f>
        <v/>
      </c>
      <c r="AB782" s="42"/>
      <c r="AC7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42" t="str">
        <f>IF(OR(NOTA[[#This Row],[QTY]]="",NOTA[[#This Row],[HARGA SATUAN]]="",),"",NOTA[[#This Row],[QTY]]*NOTA[[#This Row],[HARGA SATUAN]])</f>
        <v/>
      </c>
      <c r="AG782" s="36" t="str">
        <f ca="1">IF(NOTA[[#This Row],[ID_H]]="","",INDEX(NOTA[TANGGAL],MATCH(,INDIRECT(ADDRESS(ROW(NOTA[TANGGAL]),COLUMN(NOTA[TANGGAL]))&amp;":"&amp;ADDRESS(ROW(),COLUMN(NOTA[TANGGAL]))),-1)))</f>
        <v/>
      </c>
      <c r="AH782" s="36" t="str">
        <f ca="1">IF(NOTA[[#This Row],[ID_H]]="","",INDEX(NOTA[TGL.NOTA],MATCH(,INDIRECT(ADDRESS(ROW(NOTA[TGL.NOTA]),COLUMN(NOTA[TGL.NOTA]))&amp;":"&amp;ADDRESS(ROW(),COLUMN(NOTA[TGL.NOTA]))),-1)))</f>
        <v/>
      </c>
      <c r="AI782" s="36" t="str">
        <f ca="1">IF(NOTA[[#This Row],[ID_H]]="","",INDEX(NOTA[NO.NOTA],MATCH(NOTA[[#This Row],[ID_H]],NOTA[ID_H],0)))</f>
        <v/>
      </c>
      <c r="AJ782" s="38" t="str">
        <f ca="1">IF(NOTA[[#This Row],[NAMA BARANG]]="","",INDEX(NOTA[SUPPLIER],MATCH(,INDIRECT(ADDRESS(ROW(NOTA[ID]),COLUMN(NOTA[ID]))&amp;":"&amp;ADDRESS(ROW(),COLUMN(NOTA[ID]))),-1)))</f>
        <v/>
      </c>
      <c r="AK782" s="38" t="str">
        <f ca="1">IF(NOTA[[#This Row],[ID_H]]="","",IF(NOTA[[#This Row],[FAKTUR]]="",INDIRECT(ADDRESS(ROW()-1,COLUMN())),NOTA[[#This Row],[FAKTUR]]))</f>
        <v/>
      </c>
      <c r="AL782" s="35" t="str">
        <f ca="1">IF(NOTA[[#This Row],[ID]]="","",COUNTIF(NOTA[ID_H],NOTA[[#This Row],[ID_H]]))</f>
        <v/>
      </c>
      <c r="AM782" s="35" t="str">
        <f ca="1">IF(NOTA[[#This Row],[TGL.NOTA]]="",IF(NOTA[[#This Row],[SUPPLIER_H]]="","",AM781),MONTH(NOTA[[#This Row],[TGL.NOTA]]))</f>
        <v/>
      </c>
      <c r="AN7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2" s="35" t="str">
        <f>IF(NOTA[[#This Row],[CONCAT1]]="","",MATCH(NOTA[[#This Row],[CONCAT1]],[3]!db[NB NOTA_C],0))</f>
        <v/>
      </c>
      <c r="AS782" s="35" t="str">
        <f>IF(NOTA[[#This Row],[Column5]]="","",TRUE)</f>
        <v/>
      </c>
      <c r="AT782" s="35" t="str">
        <f ca="1">IF(NOTA[[#This Row],[ID_H]]="","",IF(NOTA[[#This Row],[Column3]]=TRUE,NOTA[[#This Row],[Column5]],INDEX([3]!db[QTY/ CTN],NOTA[[#This Row],[//DB]])))</f>
        <v/>
      </c>
      <c r="AU7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2" s="35" t="str">
        <f ca="1">IF(NOTA[[#This Row],[ID_H]]="","",MATCH(NOTA[[#This Row],[NB NOTA_C_QTY]],[3]!db[NB NOTA_C_QTY+F],0))</f>
        <v/>
      </c>
      <c r="AW782" s="43" t="str">
        <f ca="1">IF(NOTA[[#This Row],[NB NOTA_C_QTY]]="","",ROW()-2)</f>
        <v/>
      </c>
    </row>
    <row r="783" spans="1:49" ht="20.100000000000001" customHeight="1">
      <c r="A7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5" t="str">
        <f ca="1">IF(NOTA[[#This Row],[NAMA BARANG]]="","",INDEX(NOTA[ID],MATCH(,INDIRECT(ADDRESS(ROW(NOTA[ID]),COLUMN(NOTA[ID]))&amp;":"&amp;ADDRESS(ROW(),COLUMN(NOTA[ID]))),-1)))</f>
        <v/>
      </c>
      <c r="C783" s="45"/>
      <c r="F783" s="46"/>
      <c r="G783" s="35"/>
      <c r="H783" s="36"/>
      <c r="I783" s="35"/>
      <c r="K783" s="37"/>
      <c r="L783" s="35"/>
      <c r="N783" s="38"/>
      <c r="O783" s="39"/>
      <c r="P783" s="47"/>
      <c r="Q783" s="48"/>
      <c r="R783" s="41"/>
      <c r="T783" s="42"/>
      <c r="U783" s="44"/>
      <c r="V783" s="42" t="str">
        <f>IF(NOTA[[#This Row],[HARGA/ CTN]]="",NOTA[[#This Row],[JUMLAH_H]],NOTA[[#This Row],[HARGA/ CTN]]*IF(NOTA[[#This Row],[C]]="",0,NOTA[[#This Row],[C]]))</f>
        <v/>
      </c>
      <c r="W783" s="42" t="str">
        <f>IF(NOTA[[#This Row],[JUMLAH]]="","",NOTA[[#This Row],[JUMLAH]]*NOTA[[#This Row],[Column6]])</f>
        <v/>
      </c>
      <c r="X783" s="42" t="str">
        <f>IF(NOTA[[#This Row],[JUMLAH]]="","",(NOTA[[#This Row],[JUMLAH]]-NOTA[[#This Row],[DISC 1-]])*NOTA[[#This Row],[Column7]])</f>
        <v/>
      </c>
      <c r="Y783" s="42" t="str">
        <f>IF(NOTA[[#This Row],[JUMLAH]]="","",(NOTA[[#This Row],[JUMLAH]]-NOTA[[#This Row],[DISC 1-]]-NOTA[[#This Row],[DISC 2-]])*NOTA[[#This Row],[Column8]])</f>
        <v/>
      </c>
      <c r="Z783" s="42" t="str">
        <f>IF(NOTA[[#This Row],[JUMLAH]]="","",NOTA[[#This Row],[DISC 1-]]+NOTA[[#This Row],[DISC 2-]]+NOTA[[#This Row],[DISC 3-]])</f>
        <v/>
      </c>
      <c r="AA783" s="42" t="str">
        <f>IF(NOTA[[#This Row],[JUMLAH]]="","",NOTA[[#This Row],[JUMLAH]]-NOTA[[#This Row],[DISC]])</f>
        <v/>
      </c>
      <c r="AB783" s="42"/>
      <c r="AC7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42" t="str">
        <f>IF(OR(NOTA[[#This Row],[QTY]]="",NOTA[[#This Row],[HARGA SATUAN]]="",),"",NOTA[[#This Row],[QTY]]*NOTA[[#This Row],[HARGA SATUAN]])</f>
        <v/>
      </c>
      <c r="AG783" s="36" t="str">
        <f ca="1">IF(NOTA[[#This Row],[ID_H]]="","",INDEX(NOTA[TANGGAL],MATCH(,INDIRECT(ADDRESS(ROW(NOTA[TANGGAL]),COLUMN(NOTA[TANGGAL]))&amp;":"&amp;ADDRESS(ROW(),COLUMN(NOTA[TANGGAL]))),-1)))</f>
        <v/>
      </c>
      <c r="AH783" s="36" t="str">
        <f ca="1">IF(NOTA[[#This Row],[ID_H]]="","",INDEX(NOTA[TGL.NOTA],MATCH(,INDIRECT(ADDRESS(ROW(NOTA[TGL.NOTA]),COLUMN(NOTA[TGL.NOTA]))&amp;":"&amp;ADDRESS(ROW(),COLUMN(NOTA[TGL.NOTA]))),-1)))</f>
        <v/>
      </c>
      <c r="AI783" s="36" t="str">
        <f ca="1">IF(NOTA[[#This Row],[ID_H]]="","",INDEX(NOTA[NO.NOTA],MATCH(NOTA[[#This Row],[ID_H]],NOTA[ID_H],0)))</f>
        <v/>
      </c>
      <c r="AJ783" s="38" t="str">
        <f ca="1">IF(NOTA[[#This Row],[NAMA BARANG]]="","",INDEX(NOTA[SUPPLIER],MATCH(,INDIRECT(ADDRESS(ROW(NOTA[ID]),COLUMN(NOTA[ID]))&amp;":"&amp;ADDRESS(ROW(),COLUMN(NOTA[ID]))),-1)))</f>
        <v/>
      </c>
      <c r="AK783" s="38" t="str">
        <f ca="1">IF(NOTA[[#This Row],[ID_H]]="","",IF(NOTA[[#This Row],[FAKTUR]]="",INDIRECT(ADDRESS(ROW()-1,COLUMN())),NOTA[[#This Row],[FAKTUR]]))</f>
        <v/>
      </c>
      <c r="AL783" s="35" t="str">
        <f ca="1">IF(NOTA[[#This Row],[ID]]="","",COUNTIF(NOTA[ID_H],NOTA[[#This Row],[ID_H]]))</f>
        <v/>
      </c>
      <c r="AM783" s="35" t="str">
        <f ca="1">IF(NOTA[[#This Row],[TGL.NOTA]]="",IF(NOTA[[#This Row],[SUPPLIER_H]]="","",AM782),MONTH(NOTA[[#This Row],[TGL.NOTA]]))</f>
        <v/>
      </c>
      <c r="AN7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3" s="35" t="str">
        <f>IF(NOTA[[#This Row],[CONCAT1]]="","",MATCH(NOTA[[#This Row],[CONCAT1]],[3]!db[NB NOTA_C],0))</f>
        <v/>
      </c>
      <c r="AS783" s="35" t="str">
        <f>IF(NOTA[[#This Row],[Column5]]="","",TRUE)</f>
        <v/>
      </c>
      <c r="AT783" s="35" t="str">
        <f ca="1">IF(NOTA[[#This Row],[ID_H]]="","",IF(NOTA[[#This Row],[Column3]]=TRUE,NOTA[[#This Row],[Column5]],INDEX([3]!db[QTY/ CTN],NOTA[[#This Row],[//DB]])))</f>
        <v/>
      </c>
      <c r="AU7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3" s="35" t="str">
        <f ca="1">IF(NOTA[[#This Row],[ID_H]]="","",MATCH(NOTA[[#This Row],[NB NOTA_C_QTY]],[3]!db[NB NOTA_C_QTY+F],0))</f>
        <v/>
      </c>
      <c r="AW783" s="43" t="str">
        <f ca="1">IF(NOTA[[#This Row],[NB NOTA_C_QTY]]="","",ROW()-2)</f>
        <v/>
      </c>
    </row>
    <row r="784" spans="1:49" ht="20.100000000000001" customHeight="1">
      <c r="A7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5" t="str">
        <f ca="1">IF(NOTA[[#This Row],[NAMA BARANG]]="","",INDEX(NOTA[ID],MATCH(,INDIRECT(ADDRESS(ROW(NOTA[ID]),COLUMN(NOTA[ID]))&amp;":"&amp;ADDRESS(ROW(),COLUMN(NOTA[ID]))),-1)))</f>
        <v/>
      </c>
      <c r="C784" s="45"/>
      <c r="F784" s="46"/>
      <c r="G784" s="35"/>
      <c r="H784" s="36"/>
      <c r="I784" s="35"/>
      <c r="K784" s="37"/>
      <c r="L784" s="35"/>
      <c r="N784" s="38"/>
      <c r="O784" s="39"/>
      <c r="P784" s="47"/>
      <c r="Q784" s="48"/>
      <c r="R784" s="41"/>
      <c r="T784" s="42"/>
      <c r="U784" s="44"/>
      <c r="V784" s="42" t="str">
        <f>IF(NOTA[[#This Row],[HARGA/ CTN]]="",NOTA[[#This Row],[JUMLAH_H]],NOTA[[#This Row],[HARGA/ CTN]]*IF(NOTA[[#This Row],[C]]="",0,NOTA[[#This Row],[C]]))</f>
        <v/>
      </c>
      <c r="W784" s="42" t="str">
        <f>IF(NOTA[[#This Row],[JUMLAH]]="","",NOTA[[#This Row],[JUMLAH]]*NOTA[[#This Row],[Column6]])</f>
        <v/>
      </c>
      <c r="X784" s="42" t="str">
        <f>IF(NOTA[[#This Row],[JUMLAH]]="","",(NOTA[[#This Row],[JUMLAH]]-NOTA[[#This Row],[DISC 1-]])*NOTA[[#This Row],[Column7]])</f>
        <v/>
      </c>
      <c r="Y784" s="42" t="str">
        <f>IF(NOTA[[#This Row],[JUMLAH]]="","",(NOTA[[#This Row],[JUMLAH]]-NOTA[[#This Row],[DISC 1-]]-NOTA[[#This Row],[DISC 2-]])*NOTA[[#This Row],[Column8]])</f>
        <v/>
      </c>
      <c r="Z784" s="42" t="str">
        <f>IF(NOTA[[#This Row],[JUMLAH]]="","",NOTA[[#This Row],[DISC 1-]]+NOTA[[#This Row],[DISC 2-]]+NOTA[[#This Row],[DISC 3-]])</f>
        <v/>
      </c>
      <c r="AA784" s="42" t="str">
        <f>IF(NOTA[[#This Row],[JUMLAH]]="","",NOTA[[#This Row],[JUMLAH]]-NOTA[[#This Row],[DISC]])</f>
        <v/>
      </c>
      <c r="AB784" s="42"/>
      <c r="AC7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42" t="str">
        <f>IF(OR(NOTA[[#This Row],[QTY]]="",NOTA[[#This Row],[HARGA SATUAN]]="",),"",NOTA[[#This Row],[QTY]]*NOTA[[#This Row],[HARGA SATUAN]])</f>
        <v/>
      </c>
      <c r="AG784" s="36" t="str">
        <f ca="1">IF(NOTA[[#This Row],[ID_H]]="","",INDEX(NOTA[TANGGAL],MATCH(,INDIRECT(ADDRESS(ROW(NOTA[TANGGAL]),COLUMN(NOTA[TANGGAL]))&amp;":"&amp;ADDRESS(ROW(),COLUMN(NOTA[TANGGAL]))),-1)))</f>
        <v/>
      </c>
      <c r="AH784" s="36" t="str">
        <f ca="1">IF(NOTA[[#This Row],[ID_H]]="","",INDEX(NOTA[TGL.NOTA],MATCH(,INDIRECT(ADDRESS(ROW(NOTA[TGL.NOTA]),COLUMN(NOTA[TGL.NOTA]))&amp;":"&amp;ADDRESS(ROW(),COLUMN(NOTA[TGL.NOTA]))),-1)))</f>
        <v/>
      </c>
      <c r="AI784" s="36" t="str">
        <f ca="1">IF(NOTA[[#This Row],[ID_H]]="","",INDEX(NOTA[NO.NOTA],MATCH(NOTA[[#This Row],[ID_H]],NOTA[ID_H],0)))</f>
        <v/>
      </c>
      <c r="AJ784" s="38" t="str">
        <f ca="1">IF(NOTA[[#This Row],[NAMA BARANG]]="","",INDEX(NOTA[SUPPLIER],MATCH(,INDIRECT(ADDRESS(ROW(NOTA[ID]),COLUMN(NOTA[ID]))&amp;":"&amp;ADDRESS(ROW(),COLUMN(NOTA[ID]))),-1)))</f>
        <v/>
      </c>
      <c r="AK784" s="38" t="str">
        <f ca="1">IF(NOTA[[#This Row],[ID_H]]="","",IF(NOTA[[#This Row],[FAKTUR]]="",INDIRECT(ADDRESS(ROW()-1,COLUMN())),NOTA[[#This Row],[FAKTUR]]))</f>
        <v/>
      </c>
      <c r="AL784" s="35" t="str">
        <f ca="1">IF(NOTA[[#This Row],[ID]]="","",COUNTIF(NOTA[ID_H],NOTA[[#This Row],[ID_H]]))</f>
        <v/>
      </c>
      <c r="AM784" s="35" t="str">
        <f ca="1">IF(NOTA[[#This Row],[TGL.NOTA]]="",IF(NOTA[[#This Row],[SUPPLIER_H]]="","",AM783),MONTH(NOTA[[#This Row],[TGL.NOTA]]))</f>
        <v/>
      </c>
      <c r="AN7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4" s="35" t="str">
        <f>IF(NOTA[[#This Row],[CONCAT1]]="","",MATCH(NOTA[[#This Row],[CONCAT1]],[3]!db[NB NOTA_C],0))</f>
        <v/>
      </c>
      <c r="AS784" s="35" t="str">
        <f>IF(NOTA[[#This Row],[Column5]]="","",TRUE)</f>
        <v/>
      </c>
      <c r="AT784" s="35" t="str">
        <f ca="1">IF(NOTA[[#This Row],[ID_H]]="","",IF(NOTA[[#This Row],[Column3]]=TRUE,NOTA[[#This Row],[Column5]],INDEX([3]!db[QTY/ CTN],NOTA[[#This Row],[//DB]])))</f>
        <v/>
      </c>
      <c r="AU7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4" s="35" t="str">
        <f ca="1">IF(NOTA[[#This Row],[ID_H]]="","",MATCH(NOTA[[#This Row],[NB NOTA_C_QTY]],[3]!db[NB NOTA_C_QTY+F],0))</f>
        <v/>
      </c>
      <c r="AW784" s="43" t="str">
        <f ca="1">IF(NOTA[[#This Row],[NB NOTA_C_QTY]]="","",ROW()-2)</f>
        <v/>
      </c>
    </row>
    <row r="785" spans="1:49" ht="20.100000000000001" customHeight="1">
      <c r="A7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5" t="str">
        <f ca="1">IF(NOTA[[#This Row],[NAMA BARANG]]="","",INDEX(NOTA[ID],MATCH(,INDIRECT(ADDRESS(ROW(NOTA[ID]),COLUMN(NOTA[ID]))&amp;":"&amp;ADDRESS(ROW(),COLUMN(NOTA[ID]))),-1)))</f>
        <v/>
      </c>
      <c r="C785" s="45"/>
      <c r="F785" s="46"/>
      <c r="G785" s="35"/>
      <c r="H785" s="36"/>
      <c r="I785" s="35"/>
      <c r="K785" s="37"/>
      <c r="L785" s="35"/>
      <c r="N785" s="38"/>
      <c r="O785" s="39"/>
      <c r="P785" s="47"/>
      <c r="Q785" s="48"/>
      <c r="R785" s="41"/>
      <c r="T785" s="42"/>
      <c r="U785" s="44"/>
      <c r="V785" s="42" t="str">
        <f>IF(NOTA[[#This Row],[HARGA/ CTN]]="",NOTA[[#This Row],[JUMLAH_H]],NOTA[[#This Row],[HARGA/ CTN]]*IF(NOTA[[#This Row],[C]]="",0,NOTA[[#This Row],[C]]))</f>
        <v/>
      </c>
      <c r="W785" s="42" t="str">
        <f>IF(NOTA[[#This Row],[JUMLAH]]="","",NOTA[[#This Row],[JUMLAH]]*NOTA[[#This Row],[Column6]])</f>
        <v/>
      </c>
      <c r="X785" s="42" t="str">
        <f>IF(NOTA[[#This Row],[JUMLAH]]="","",(NOTA[[#This Row],[JUMLAH]]-NOTA[[#This Row],[DISC 1-]])*NOTA[[#This Row],[Column7]])</f>
        <v/>
      </c>
      <c r="Y785" s="42" t="str">
        <f>IF(NOTA[[#This Row],[JUMLAH]]="","",(NOTA[[#This Row],[JUMLAH]]-NOTA[[#This Row],[DISC 1-]]-NOTA[[#This Row],[DISC 2-]])*NOTA[[#This Row],[Column8]])</f>
        <v/>
      </c>
      <c r="Z785" s="42" t="str">
        <f>IF(NOTA[[#This Row],[JUMLAH]]="","",NOTA[[#This Row],[DISC 1-]]+NOTA[[#This Row],[DISC 2-]]+NOTA[[#This Row],[DISC 3-]])</f>
        <v/>
      </c>
      <c r="AA785" s="42" t="str">
        <f>IF(NOTA[[#This Row],[JUMLAH]]="","",NOTA[[#This Row],[JUMLAH]]-NOTA[[#This Row],[DISC]])</f>
        <v/>
      </c>
      <c r="AB785" s="42"/>
      <c r="AC7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42" t="str">
        <f>IF(OR(NOTA[[#This Row],[QTY]]="",NOTA[[#This Row],[HARGA SATUAN]]="",),"",NOTA[[#This Row],[QTY]]*NOTA[[#This Row],[HARGA SATUAN]])</f>
        <v/>
      </c>
      <c r="AG785" s="36" t="str">
        <f ca="1">IF(NOTA[[#This Row],[ID_H]]="","",INDEX(NOTA[TANGGAL],MATCH(,INDIRECT(ADDRESS(ROW(NOTA[TANGGAL]),COLUMN(NOTA[TANGGAL]))&amp;":"&amp;ADDRESS(ROW(),COLUMN(NOTA[TANGGAL]))),-1)))</f>
        <v/>
      </c>
      <c r="AH785" s="36" t="str">
        <f ca="1">IF(NOTA[[#This Row],[ID_H]]="","",INDEX(NOTA[TGL.NOTA],MATCH(,INDIRECT(ADDRESS(ROW(NOTA[TGL.NOTA]),COLUMN(NOTA[TGL.NOTA]))&amp;":"&amp;ADDRESS(ROW(),COLUMN(NOTA[TGL.NOTA]))),-1)))</f>
        <v/>
      </c>
      <c r="AI785" s="36" t="str">
        <f ca="1">IF(NOTA[[#This Row],[ID_H]]="","",INDEX(NOTA[NO.NOTA],MATCH(NOTA[[#This Row],[ID_H]],NOTA[ID_H],0)))</f>
        <v/>
      </c>
      <c r="AJ785" s="38" t="str">
        <f ca="1">IF(NOTA[[#This Row],[NAMA BARANG]]="","",INDEX(NOTA[SUPPLIER],MATCH(,INDIRECT(ADDRESS(ROW(NOTA[ID]),COLUMN(NOTA[ID]))&amp;":"&amp;ADDRESS(ROW(),COLUMN(NOTA[ID]))),-1)))</f>
        <v/>
      </c>
      <c r="AK785" s="38" t="str">
        <f ca="1">IF(NOTA[[#This Row],[ID_H]]="","",IF(NOTA[[#This Row],[FAKTUR]]="",INDIRECT(ADDRESS(ROW()-1,COLUMN())),NOTA[[#This Row],[FAKTUR]]))</f>
        <v/>
      </c>
      <c r="AL785" s="35" t="str">
        <f ca="1">IF(NOTA[[#This Row],[ID]]="","",COUNTIF(NOTA[ID_H],NOTA[[#This Row],[ID_H]]))</f>
        <v/>
      </c>
      <c r="AM785" s="35" t="str">
        <f ca="1">IF(NOTA[[#This Row],[TGL.NOTA]]="",IF(NOTA[[#This Row],[SUPPLIER_H]]="","",AM784),MONTH(NOTA[[#This Row],[TGL.NOTA]]))</f>
        <v/>
      </c>
      <c r="AN7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5" s="35" t="str">
        <f>IF(NOTA[[#This Row],[CONCAT1]]="","",MATCH(NOTA[[#This Row],[CONCAT1]],[3]!db[NB NOTA_C],0))</f>
        <v/>
      </c>
      <c r="AS785" s="35" t="str">
        <f>IF(NOTA[[#This Row],[Column5]]="","",TRUE)</f>
        <v/>
      </c>
      <c r="AT785" s="35" t="str">
        <f ca="1">IF(NOTA[[#This Row],[ID_H]]="","",IF(NOTA[[#This Row],[Column3]]=TRUE,NOTA[[#This Row],[Column5]],INDEX([3]!db[QTY/ CTN],NOTA[[#This Row],[//DB]])))</f>
        <v/>
      </c>
      <c r="AU7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5" s="35" t="str">
        <f ca="1">IF(NOTA[[#This Row],[ID_H]]="","",MATCH(NOTA[[#This Row],[NB NOTA_C_QTY]],[3]!db[NB NOTA_C_QTY+F],0))</f>
        <v/>
      </c>
      <c r="AW785" s="43" t="str">
        <f ca="1">IF(NOTA[[#This Row],[NB NOTA_C_QTY]]="","",ROW()-2)</f>
        <v/>
      </c>
    </row>
    <row r="786" spans="1:49" ht="20.100000000000001" customHeight="1">
      <c r="A7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5" t="str">
        <f ca="1">IF(NOTA[[#This Row],[NAMA BARANG]]="","",INDEX(NOTA[ID],MATCH(,INDIRECT(ADDRESS(ROW(NOTA[ID]),COLUMN(NOTA[ID]))&amp;":"&amp;ADDRESS(ROW(),COLUMN(NOTA[ID]))),-1)))</f>
        <v/>
      </c>
      <c r="C786" s="45"/>
      <c r="F786" s="46"/>
      <c r="G786" s="35"/>
      <c r="H786" s="36"/>
      <c r="I786" s="35"/>
      <c r="K786" s="37"/>
      <c r="L786" s="35"/>
      <c r="N786" s="38"/>
      <c r="O786" s="39"/>
      <c r="P786" s="47"/>
      <c r="Q786" s="48"/>
      <c r="R786" s="41"/>
      <c r="T786" s="42"/>
      <c r="U786" s="44"/>
      <c r="V786" s="42" t="str">
        <f>IF(NOTA[[#This Row],[HARGA/ CTN]]="",NOTA[[#This Row],[JUMLAH_H]],NOTA[[#This Row],[HARGA/ CTN]]*IF(NOTA[[#This Row],[C]]="",0,NOTA[[#This Row],[C]]))</f>
        <v/>
      </c>
      <c r="W786" s="42" t="str">
        <f>IF(NOTA[[#This Row],[JUMLAH]]="","",NOTA[[#This Row],[JUMLAH]]*NOTA[[#This Row],[Column6]])</f>
        <v/>
      </c>
      <c r="X786" s="42" t="str">
        <f>IF(NOTA[[#This Row],[JUMLAH]]="","",(NOTA[[#This Row],[JUMLAH]]-NOTA[[#This Row],[DISC 1-]])*NOTA[[#This Row],[Column7]])</f>
        <v/>
      </c>
      <c r="Y786" s="42" t="str">
        <f>IF(NOTA[[#This Row],[JUMLAH]]="","",(NOTA[[#This Row],[JUMLAH]]-NOTA[[#This Row],[DISC 1-]]-NOTA[[#This Row],[DISC 2-]])*NOTA[[#This Row],[Column8]])</f>
        <v/>
      </c>
      <c r="Z786" s="42" t="str">
        <f>IF(NOTA[[#This Row],[JUMLAH]]="","",NOTA[[#This Row],[DISC 1-]]+NOTA[[#This Row],[DISC 2-]]+NOTA[[#This Row],[DISC 3-]])</f>
        <v/>
      </c>
      <c r="AA786" s="42" t="str">
        <f>IF(NOTA[[#This Row],[JUMLAH]]="","",NOTA[[#This Row],[JUMLAH]]-NOTA[[#This Row],[DISC]])</f>
        <v/>
      </c>
      <c r="AB786" s="42"/>
      <c r="AC7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42" t="str">
        <f>IF(OR(NOTA[[#This Row],[QTY]]="",NOTA[[#This Row],[HARGA SATUAN]]="",),"",NOTA[[#This Row],[QTY]]*NOTA[[#This Row],[HARGA SATUAN]])</f>
        <v/>
      </c>
      <c r="AG786" s="36" t="str">
        <f ca="1">IF(NOTA[[#This Row],[ID_H]]="","",INDEX(NOTA[TANGGAL],MATCH(,INDIRECT(ADDRESS(ROW(NOTA[TANGGAL]),COLUMN(NOTA[TANGGAL]))&amp;":"&amp;ADDRESS(ROW(),COLUMN(NOTA[TANGGAL]))),-1)))</f>
        <v/>
      </c>
      <c r="AH786" s="36" t="str">
        <f ca="1">IF(NOTA[[#This Row],[ID_H]]="","",INDEX(NOTA[TGL.NOTA],MATCH(,INDIRECT(ADDRESS(ROW(NOTA[TGL.NOTA]),COLUMN(NOTA[TGL.NOTA]))&amp;":"&amp;ADDRESS(ROW(),COLUMN(NOTA[TGL.NOTA]))),-1)))</f>
        <v/>
      </c>
      <c r="AI786" s="36" t="str">
        <f ca="1">IF(NOTA[[#This Row],[ID_H]]="","",INDEX(NOTA[NO.NOTA],MATCH(NOTA[[#This Row],[ID_H]],NOTA[ID_H],0)))</f>
        <v/>
      </c>
      <c r="AJ786" s="38" t="str">
        <f ca="1">IF(NOTA[[#This Row],[NAMA BARANG]]="","",INDEX(NOTA[SUPPLIER],MATCH(,INDIRECT(ADDRESS(ROW(NOTA[ID]),COLUMN(NOTA[ID]))&amp;":"&amp;ADDRESS(ROW(),COLUMN(NOTA[ID]))),-1)))</f>
        <v/>
      </c>
      <c r="AK786" s="38" t="str">
        <f ca="1">IF(NOTA[[#This Row],[ID_H]]="","",IF(NOTA[[#This Row],[FAKTUR]]="",INDIRECT(ADDRESS(ROW()-1,COLUMN())),NOTA[[#This Row],[FAKTUR]]))</f>
        <v/>
      </c>
      <c r="AL786" s="35" t="str">
        <f ca="1">IF(NOTA[[#This Row],[ID]]="","",COUNTIF(NOTA[ID_H],NOTA[[#This Row],[ID_H]]))</f>
        <v/>
      </c>
      <c r="AM786" s="35" t="str">
        <f ca="1">IF(NOTA[[#This Row],[TGL.NOTA]]="",IF(NOTA[[#This Row],[SUPPLIER_H]]="","",AM785),MONTH(NOTA[[#This Row],[TGL.NOTA]]))</f>
        <v/>
      </c>
      <c r="AN7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6" s="35" t="str">
        <f>IF(NOTA[[#This Row],[CONCAT1]]="","",MATCH(NOTA[[#This Row],[CONCAT1]],[3]!db[NB NOTA_C],0))</f>
        <v/>
      </c>
      <c r="AS786" s="35" t="str">
        <f>IF(NOTA[[#This Row],[Column5]]="","",TRUE)</f>
        <v/>
      </c>
      <c r="AT786" s="35" t="str">
        <f ca="1">IF(NOTA[[#This Row],[ID_H]]="","",IF(NOTA[[#This Row],[Column3]]=TRUE,NOTA[[#This Row],[Column5]],INDEX([3]!db[QTY/ CTN],NOTA[[#This Row],[//DB]])))</f>
        <v/>
      </c>
      <c r="AU7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6" s="35" t="str">
        <f ca="1">IF(NOTA[[#This Row],[ID_H]]="","",MATCH(NOTA[[#This Row],[NB NOTA_C_QTY]],[3]!db[NB NOTA_C_QTY+F],0))</f>
        <v/>
      </c>
      <c r="AW786" s="43" t="str">
        <f ca="1">IF(NOTA[[#This Row],[NB NOTA_C_QTY]]="","",ROW()-2)</f>
        <v/>
      </c>
    </row>
    <row r="787" spans="1:49" ht="20.100000000000001" customHeight="1">
      <c r="A7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5" t="str">
        <f ca="1">IF(NOTA[[#This Row],[NAMA BARANG]]="","",INDEX(NOTA[ID],MATCH(,INDIRECT(ADDRESS(ROW(NOTA[ID]),COLUMN(NOTA[ID]))&amp;":"&amp;ADDRESS(ROW(),COLUMN(NOTA[ID]))),-1)))</f>
        <v/>
      </c>
      <c r="C787" s="45"/>
      <c r="F787" s="46"/>
      <c r="G787" s="35"/>
      <c r="H787" s="36"/>
      <c r="I787" s="35"/>
      <c r="K787" s="37"/>
      <c r="L787" s="35"/>
      <c r="N787" s="38"/>
      <c r="O787" s="39"/>
      <c r="P787" s="47"/>
      <c r="Q787" s="48"/>
      <c r="R787" s="41"/>
      <c r="T787" s="42"/>
      <c r="U787" s="44"/>
      <c r="V787" s="42" t="str">
        <f>IF(NOTA[[#This Row],[HARGA/ CTN]]="",NOTA[[#This Row],[JUMLAH_H]],NOTA[[#This Row],[HARGA/ CTN]]*IF(NOTA[[#This Row],[C]]="",0,NOTA[[#This Row],[C]]))</f>
        <v/>
      </c>
      <c r="W787" s="42" t="str">
        <f>IF(NOTA[[#This Row],[JUMLAH]]="","",NOTA[[#This Row],[JUMLAH]]*NOTA[[#This Row],[Column6]])</f>
        <v/>
      </c>
      <c r="X787" s="42" t="str">
        <f>IF(NOTA[[#This Row],[JUMLAH]]="","",(NOTA[[#This Row],[JUMLAH]]-NOTA[[#This Row],[DISC 1-]])*NOTA[[#This Row],[Column7]])</f>
        <v/>
      </c>
      <c r="Y787" s="42" t="str">
        <f>IF(NOTA[[#This Row],[JUMLAH]]="","",(NOTA[[#This Row],[JUMLAH]]-NOTA[[#This Row],[DISC 1-]]-NOTA[[#This Row],[DISC 2-]])*NOTA[[#This Row],[Column8]])</f>
        <v/>
      </c>
      <c r="Z787" s="42" t="str">
        <f>IF(NOTA[[#This Row],[JUMLAH]]="","",NOTA[[#This Row],[DISC 1-]]+NOTA[[#This Row],[DISC 2-]]+NOTA[[#This Row],[DISC 3-]])</f>
        <v/>
      </c>
      <c r="AA787" s="42" t="str">
        <f>IF(NOTA[[#This Row],[JUMLAH]]="","",NOTA[[#This Row],[JUMLAH]]-NOTA[[#This Row],[DISC]])</f>
        <v/>
      </c>
      <c r="AB787" s="42"/>
      <c r="AC7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42" t="str">
        <f>IF(OR(NOTA[[#This Row],[QTY]]="",NOTA[[#This Row],[HARGA SATUAN]]="",),"",NOTA[[#This Row],[QTY]]*NOTA[[#This Row],[HARGA SATUAN]])</f>
        <v/>
      </c>
      <c r="AG787" s="36" t="str">
        <f ca="1">IF(NOTA[[#This Row],[ID_H]]="","",INDEX(NOTA[TANGGAL],MATCH(,INDIRECT(ADDRESS(ROW(NOTA[TANGGAL]),COLUMN(NOTA[TANGGAL]))&amp;":"&amp;ADDRESS(ROW(),COLUMN(NOTA[TANGGAL]))),-1)))</f>
        <v/>
      </c>
      <c r="AH787" s="36" t="str">
        <f ca="1">IF(NOTA[[#This Row],[ID_H]]="","",INDEX(NOTA[TGL.NOTA],MATCH(,INDIRECT(ADDRESS(ROW(NOTA[TGL.NOTA]),COLUMN(NOTA[TGL.NOTA]))&amp;":"&amp;ADDRESS(ROW(),COLUMN(NOTA[TGL.NOTA]))),-1)))</f>
        <v/>
      </c>
      <c r="AI787" s="36" t="str">
        <f ca="1">IF(NOTA[[#This Row],[ID_H]]="","",INDEX(NOTA[NO.NOTA],MATCH(NOTA[[#This Row],[ID_H]],NOTA[ID_H],0)))</f>
        <v/>
      </c>
      <c r="AJ787" s="38" t="str">
        <f ca="1">IF(NOTA[[#This Row],[NAMA BARANG]]="","",INDEX(NOTA[SUPPLIER],MATCH(,INDIRECT(ADDRESS(ROW(NOTA[ID]),COLUMN(NOTA[ID]))&amp;":"&amp;ADDRESS(ROW(),COLUMN(NOTA[ID]))),-1)))</f>
        <v/>
      </c>
      <c r="AK787" s="38" t="str">
        <f ca="1">IF(NOTA[[#This Row],[ID_H]]="","",IF(NOTA[[#This Row],[FAKTUR]]="",INDIRECT(ADDRESS(ROW()-1,COLUMN())),NOTA[[#This Row],[FAKTUR]]))</f>
        <v/>
      </c>
      <c r="AL787" s="35" t="str">
        <f ca="1">IF(NOTA[[#This Row],[ID]]="","",COUNTIF(NOTA[ID_H],NOTA[[#This Row],[ID_H]]))</f>
        <v/>
      </c>
      <c r="AM787" s="35" t="str">
        <f ca="1">IF(NOTA[[#This Row],[TGL.NOTA]]="",IF(NOTA[[#This Row],[SUPPLIER_H]]="","",AM786),MONTH(NOTA[[#This Row],[TGL.NOTA]]))</f>
        <v/>
      </c>
      <c r="AN7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7" s="35" t="str">
        <f>IF(NOTA[[#This Row],[CONCAT1]]="","",MATCH(NOTA[[#This Row],[CONCAT1]],[3]!db[NB NOTA_C],0))</f>
        <v/>
      </c>
      <c r="AS787" s="35" t="str">
        <f>IF(NOTA[[#This Row],[Column5]]="","",TRUE)</f>
        <v/>
      </c>
      <c r="AT787" s="35" t="str">
        <f ca="1">IF(NOTA[[#This Row],[ID_H]]="","",IF(NOTA[[#This Row],[Column3]]=TRUE,NOTA[[#This Row],[Column5]],INDEX([3]!db[QTY/ CTN],NOTA[[#This Row],[//DB]])))</f>
        <v/>
      </c>
      <c r="AU7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7" s="35" t="str">
        <f ca="1">IF(NOTA[[#This Row],[ID_H]]="","",MATCH(NOTA[[#This Row],[NB NOTA_C_QTY]],[3]!db[NB NOTA_C_QTY+F],0))</f>
        <v/>
      </c>
      <c r="AW787" s="43" t="str">
        <f ca="1">IF(NOTA[[#This Row],[NB NOTA_C_QTY]]="","",ROW()-2)</f>
        <v/>
      </c>
    </row>
    <row r="788" spans="1:49" ht="20.100000000000001" customHeight="1">
      <c r="A7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5" t="str">
        <f ca="1">IF(NOTA[[#This Row],[NAMA BARANG]]="","",INDEX(NOTA[ID],MATCH(,INDIRECT(ADDRESS(ROW(NOTA[ID]),COLUMN(NOTA[ID]))&amp;":"&amp;ADDRESS(ROW(),COLUMN(NOTA[ID]))),-1)))</f>
        <v/>
      </c>
      <c r="C788" s="45"/>
      <c r="F788" s="46"/>
      <c r="G788" s="35"/>
      <c r="H788" s="36"/>
      <c r="I788" s="35"/>
      <c r="K788" s="37"/>
      <c r="L788" s="35"/>
      <c r="N788" s="38"/>
      <c r="O788" s="39"/>
      <c r="P788" s="47"/>
      <c r="Q788" s="48"/>
      <c r="R788" s="41"/>
      <c r="T788" s="42"/>
      <c r="U788" s="44"/>
      <c r="V788" s="42" t="str">
        <f>IF(NOTA[[#This Row],[HARGA/ CTN]]="",NOTA[[#This Row],[JUMLAH_H]],NOTA[[#This Row],[HARGA/ CTN]]*IF(NOTA[[#This Row],[C]]="",0,NOTA[[#This Row],[C]]))</f>
        <v/>
      </c>
      <c r="W788" s="42" t="str">
        <f>IF(NOTA[[#This Row],[JUMLAH]]="","",NOTA[[#This Row],[JUMLAH]]*NOTA[[#This Row],[Column6]])</f>
        <v/>
      </c>
      <c r="X788" s="42" t="str">
        <f>IF(NOTA[[#This Row],[JUMLAH]]="","",(NOTA[[#This Row],[JUMLAH]]-NOTA[[#This Row],[DISC 1-]])*NOTA[[#This Row],[Column7]])</f>
        <v/>
      </c>
      <c r="Y788" s="42" t="str">
        <f>IF(NOTA[[#This Row],[JUMLAH]]="","",(NOTA[[#This Row],[JUMLAH]]-NOTA[[#This Row],[DISC 1-]]-NOTA[[#This Row],[DISC 2-]])*NOTA[[#This Row],[Column8]])</f>
        <v/>
      </c>
      <c r="Z788" s="42" t="str">
        <f>IF(NOTA[[#This Row],[JUMLAH]]="","",NOTA[[#This Row],[DISC 1-]]+NOTA[[#This Row],[DISC 2-]]+NOTA[[#This Row],[DISC 3-]])</f>
        <v/>
      </c>
      <c r="AA788" s="42" t="str">
        <f>IF(NOTA[[#This Row],[JUMLAH]]="","",NOTA[[#This Row],[JUMLAH]]-NOTA[[#This Row],[DISC]])</f>
        <v/>
      </c>
      <c r="AB788" s="42"/>
      <c r="AC7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42" t="str">
        <f>IF(OR(NOTA[[#This Row],[QTY]]="",NOTA[[#This Row],[HARGA SATUAN]]="",),"",NOTA[[#This Row],[QTY]]*NOTA[[#This Row],[HARGA SATUAN]])</f>
        <v/>
      </c>
      <c r="AG788" s="36" t="str">
        <f ca="1">IF(NOTA[[#This Row],[ID_H]]="","",INDEX(NOTA[TANGGAL],MATCH(,INDIRECT(ADDRESS(ROW(NOTA[TANGGAL]),COLUMN(NOTA[TANGGAL]))&amp;":"&amp;ADDRESS(ROW(),COLUMN(NOTA[TANGGAL]))),-1)))</f>
        <v/>
      </c>
      <c r="AH788" s="36" t="str">
        <f ca="1">IF(NOTA[[#This Row],[ID_H]]="","",INDEX(NOTA[TGL.NOTA],MATCH(,INDIRECT(ADDRESS(ROW(NOTA[TGL.NOTA]),COLUMN(NOTA[TGL.NOTA]))&amp;":"&amp;ADDRESS(ROW(),COLUMN(NOTA[TGL.NOTA]))),-1)))</f>
        <v/>
      </c>
      <c r="AI788" s="36" t="str">
        <f ca="1">IF(NOTA[[#This Row],[ID_H]]="","",INDEX(NOTA[NO.NOTA],MATCH(NOTA[[#This Row],[ID_H]],NOTA[ID_H],0)))</f>
        <v/>
      </c>
      <c r="AJ788" s="38" t="str">
        <f ca="1">IF(NOTA[[#This Row],[NAMA BARANG]]="","",INDEX(NOTA[SUPPLIER],MATCH(,INDIRECT(ADDRESS(ROW(NOTA[ID]),COLUMN(NOTA[ID]))&amp;":"&amp;ADDRESS(ROW(),COLUMN(NOTA[ID]))),-1)))</f>
        <v/>
      </c>
      <c r="AK788" s="38" t="str">
        <f ca="1">IF(NOTA[[#This Row],[ID_H]]="","",IF(NOTA[[#This Row],[FAKTUR]]="",INDIRECT(ADDRESS(ROW()-1,COLUMN())),NOTA[[#This Row],[FAKTUR]]))</f>
        <v/>
      </c>
      <c r="AL788" s="35" t="str">
        <f ca="1">IF(NOTA[[#This Row],[ID]]="","",COUNTIF(NOTA[ID_H],NOTA[[#This Row],[ID_H]]))</f>
        <v/>
      </c>
      <c r="AM788" s="35" t="str">
        <f ca="1">IF(NOTA[[#This Row],[TGL.NOTA]]="",IF(NOTA[[#This Row],[SUPPLIER_H]]="","",AM787),MONTH(NOTA[[#This Row],[TGL.NOTA]]))</f>
        <v/>
      </c>
      <c r="AN7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8" s="35" t="str">
        <f>IF(NOTA[[#This Row],[CONCAT1]]="","",MATCH(NOTA[[#This Row],[CONCAT1]],[3]!db[NB NOTA_C],0))</f>
        <v/>
      </c>
      <c r="AS788" s="35" t="str">
        <f>IF(NOTA[[#This Row],[Column5]]="","",TRUE)</f>
        <v/>
      </c>
      <c r="AT788" s="35" t="str">
        <f ca="1">IF(NOTA[[#This Row],[ID_H]]="","",IF(NOTA[[#This Row],[Column3]]=TRUE,NOTA[[#This Row],[Column5]],INDEX([3]!db[QTY/ CTN],NOTA[[#This Row],[//DB]])))</f>
        <v/>
      </c>
      <c r="AU7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8" s="35" t="str">
        <f ca="1">IF(NOTA[[#This Row],[ID_H]]="","",MATCH(NOTA[[#This Row],[NB NOTA_C_QTY]],[3]!db[NB NOTA_C_QTY+F],0))</f>
        <v/>
      </c>
      <c r="AW788" s="43" t="str">
        <f ca="1">IF(NOTA[[#This Row],[NB NOTA_C_QTY]]="","",ROW()-2)</f>
        <v/>
      </c>
    </row>
    <row r="789" spans="1:49" ht="20.100000000000001" customHeight="1">
      <c r="A7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5" t="str">
        <f ca="1">IF(NOTA[[#This Row],[NAMA BARANG]]="","",INDEX(NOTA[ID],MATCH(,INDIRECT(ADDRESS(ROW(NOTA[ID]),COLUMN(NOTA[ID]))&amp;":"&amp;ADDRESS(ROW(),COLUMN(NOTA[ID]))),-1)))</f>
        <v/>
      </c>
      <c r="C789" s="45"/>
      <c r="F789" s="46"/>
      <c r="G789" s="35"/>
      <c r="H789" s="36"/>
      <c r="I789" s="35"/>
      <c r="K789" s="37"/>
      <c r="L789" s="35"/>
      <c r="N789" s="38"/>
      <c r="O789" s="39"/>
      <c r="P789" s="47"/>
      <c r="Q789" s="48"/>
      <c r="R789" s="41"/>
      <c r="T789" s="42"/>
      <c r="U789" s="44"/>
      <c r="V789" s="42" t="str">
        <f>IF(NOTA[[#This Row],[HARGA/ CTN]]="",NOTA[[#This Row],[JUMLAH_H]],NOTA[[#This Row],[HARGA/ CTN]]*IF(NOTA[[#This Row],[C]]="",0,NOTA[[#This Row],[C]]))</f>
        <v/>
      </c>
      <c r="W789" s="42" t="str">
        <f>IF(NOTA[[#This Row],[JUMLAH]]="","",NOTA[[#This Row],[JUMLAH]]*NOTA[[#This Row],[Column6]])</f>
        <v/>
      </c>
      <c r="X789" s="42" t="str">
        <f>IF(NOTA[[#This Row],[JUMLAH]]="","",(NOTA[[#This Row],[JUMLAH]]-NOTA[[#This Row],[DISC 1-]])*NOTA[[#This Row],[Column7]])</f>
        <v/>
      </c>
      <c r="Y789" s="42" t="str">
        <f>IF(NOTA[[#This Row],[JUMLAH]]="","",(NOTA[[#This Row],[JUMLAH]]-NOTA[[#This Row],[DISC 1-]]-NOTA[[#This Row],[DISC 2-]])*NOTA[[#This Row],[Column8]])</f>
        <v/>
      </c>
      <c r="Z789" s="42" t="str">
        <f>IF(NOTA[[#This Row],[JUMLAH]]="","",NOTA[[#This Row],[DISC 1-]]+NOTA[[#This Row],[DISC 2-]]+NOTA[[#This Row],[DISC 3-]])</f>
        <v/>
      </c>
      <c r="AA789" s="42" t="str">
        <f>IF(NOTA[[#This Row],[JUMLAH]]="","",NOTA[[#This Row],[JUMLAH]]-NOTA[[#This Row],[DISC]])</f>
        <v/>
      </c>
      <c r="AB789" s="42"/>
      <c r="AC7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42" t="str">
        <f>IF(OR(NOTA[[#This Row],[QTY]]="",NOTA[[#This Row],[HARGA SATUAN]]="",),"",NOTA[[#This Row],[QTY]]*NOTA[[#This Row],[HARGA SATUAN]])</f>
        <v/>
      </c>
      <c r="AG789" s="36" t="str">
        <f ca="1">IF(NOTA[[#This Row],[ID_H]]="","",INDEX(NOTA[TANGGAL],MATCH(,INDIRECT(ADDRESS(ROW(NOTA[TANGGAL]),COLUMN(NOTA[TANGGAL]))&amp;":"&amp;ADDRESS(ROW(),COLUMN(NOTA[TANGGAL]))),-1)))</f>
        <v/>
      </c>
      <c r="AH789" s="36" t="str">
        <f ca="1">IF(NOTA[[#This Row],[ID_H]]="","",INDEX(NOTA[TGL.NOTA],MATCH(,INDIRECT(ADDRESS(ROW(NOTA[TGL.NOTA]),COLUMN(NOTA[TGL.NOTA]))&amp;":"&amp;ADDRESS(ROW(),COLUMN(NOTA[TGL.NOTA]))),-1)))</f>
        <v/>
      </c>
      <c r="AI789" s="36" t="str">
        <f ca="1">IF(NOTA[[#This Row],[ID_H]]="","",INDEX(NOTA[NO.NOTA],MATCH(NOTA[[#This Row],[ID_H]],NOTA[ID_H],0)))</f>
        <v/>
      </c>
      <c r="AJ789" s="38" t="str">
        <f ca="1">IF(NOTA[[#This Row],[NAMA BARANG]]="","",INDEX(NOTA[SUPPLIER],MATCH(,INDIRECT(ADDRESS(ROW(NOTA[ID]),COLUMN(NOTA[ID]))&amp;":"&amp;ADDRESS(ROW(),COLUMN(NOTA[ID]))),-1)))</f>
        <v/>
      </c>
      <c r="AK789" s="38" t="str">
        <f ca="1">IF(NOTA[[#This Row],[ID_H]]="","",IF(NOTA[[#This Row],[FAKTUR]]="",INDIRECT(ADDRESS(ROW()-1,COLUMN())),NOTA[[#This Row],[FAKTUR]]))</f>
        <v/>
      </c>
      <c r="AL789" s="35" t="str">
        <f ca="1">IF(NOTA[[#This Row],[ID]]="","",COUNTIF(NOTA[ID_H],NOTA[[#This Row],[ID_H]]))</f>
        <v/>
      </c>
      <c r="AM789" s="35" t="str">
        <f ca="1">IF(NOTA[[#This Row],[TGL.NOTA]]="",IF(NOTA[[#This Row],[SUPPLIER_H]]="","",AM788),MONTH(NOTA[[#This Row],[TGL.NOTA]]))</f>
        <v/>
      </c>
      <c r="AN7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9" s="35" t="str">
        <f>IF(NOTA[[#This Row],[CONCAT1]]="","",MATCH(NOTA[[#This Row],[CONCAT1]],[3]!db[NB NOTA_C],0))</f>
        <v/>
      </c>
      <c r="AS789" s="35" t="str">
        <f>IF(NOTA[[#This Row],[Column5]]="","",TRUE)</f>
        <v/>
      </c>
      <c r="AT789" s="35" t="str">
        <f ca="1">IF(NOTA[[#This Row],[ID_H]]="","",IF(NOTA[[#This Row],[Column3]]=TRUE,NOTA[[#This Row],[Column5]],INDEX([3]!db[QTY/ CTN],NOTA[[#This Row],[//DB]])))</f>
        <v/>
      </c>
      <c r="AU7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89" s="35" t="str">
        <f ca="1">IF(NOTA[[#This Row],[ID_H]]="","",MATCH(NOTA[[#This Row],[NB NOTA_C_QTY]],[3]!db[NB NOTA_C_QTY+F],0))</f>
        <v/>
      </c>
      <c r="AW789" s="43" t="str">
        <f ca="1">IF(NOTA[[#This Row],[NB NOTA_C_QTY]]="","",ROW()-2)</f>
        <v/>
      </c>
    </row>
    <row r="790" spans="1:49" ht="20.100000000000001" customHeight="1">
      <c r="A7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5" t="str">
        <f ca="1">IF(NOTA[[#This Row],[NAMA BARANG]]="","",INDEX(NOTA[ID],MATCH(,INDIRECT(ADDRESS(ROW(NOTA[ID]),COLUMN(NOTA[ID]))&amp;":"&amp;ADDRESS(ROW(),COLUMN(NOTA[ID]))),-1)))</f>
        <v/>
      </c>
      <c r="C790" s="45"/>
      <c r="F790" s="46"/>
      <c r="G790" s="35"/>
      <c r="H790" s="36"/>
      <c r="I790" s="35"/>
      <c r="K790" s="37"/>
      <c r="L790" s="35"/>
      <c r="N790" s="38"/>
      <c r="O790" s="39"/>
      <c r="P790" s="47"/>
      <c r="Q790" s="48"/>
      <c r="R790" s="41"/>
      <c r="T790" s="42"/>
      <c r="U790" s="44"/>
      <c r="V790" s="42" t="str">
        <f>IF(NOTA[[#This Row],[HARGA/ CTN]]="",NOTA[[#This Row],[JUMLAH_H]],NOTA[[#This Row],[HARGA/ CTN]]*IF(NOTA[[#This Row],[C]]="",0,NOTA[[#This Row],[C]]))</f>
        <v/>
      </c>
      <c r="W790" s="42" t="str">
        <f>IF(NOTA[[#This Row],[JUMLAH]]="","",NOTA[[#This Row],[JUMLAH]]*NOTA[[#This Row],[Column6]])</f>
        <v/>
      </c>
      <c r="X790" s="42" t="str">
        <f>IF(NOTA[[#This Row],[JUMLAH]]="","",(NOTA[[#This Row],[JUMLAH]]-NOTA[[#This Row],[DISC 1-]])*NOTA[[#This Row],[Column7]])</f>
        <v/>
      </c>
      <c r="Y790" s="42" t="str">
        <f>IF(NOTA[[#This Row],[JUMLAH]]="","",(NOTA[[#This Row],[JUMLAH]]-NOTA[[#This Row],[DISC 1-]]-NOTA[[#This Row],[DISC 2-]])*NOTA[[#This Row],[Column8]])</f>
        <v/>
      </c>
      <c r="Z790" s="42" t="str">
        <f>IF(NOTA[[#This Row],[JUMLAH]]="","",NOTA[[#This Row],[DISC 1-]]+NOTA[[#This Row],[DISC 2-]]+NOTA[[#This Row],[DISC 3-]])</f>
        <v/>
      </c>
      <c r="AA790" s="42" t="str">
        <f>IF(NOTA[[#This Row],[JUMLAH]]="","",NOTA[[#This Row],[JUMLAH]]-NOTA[[#This Row],[DISC]])</f>
        <v/>
      </c>
      <c r="AB790" s="42"/>
      <c r="AC7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42" t="str">
        <f>IF(OR(NOTA[[#This Row],[QTY]]="",NOTA[[#This Row],[HARGA SATUAN]]="",),"",NOTA[[#This Row],[QTY]]*NOTA[[#This Row],[HARGA SATUAN]])</f>
        <v/>
      </c>
      <c r="AG790" s="36" t="str">
        <f ca="1">IF(NOTA[[#This Row],[ID_H]]="","",INDEX(NOTA[TANGGAL],MATCH(,INDIRECT(ADDRESS(ROW(NOTA[TANGGAL]),COLUMN(NOTA[TANGGAL]))&amp;":"&amp;ADDRESS(ROW(),COLUMN(NOTA[TANGGAL]))),-1)))</f>
        <v/>
      </c>
      <c r="AH790" s="36" t="str">
        <f ca="1">IF(NOTA[[#This Row],[ID_H]]="","",INDEX(NOTA[TGL.NOTA],MATCH(,INDIRECT(ADDRESS(ROW(NOTA[TGL.NOTA]),COLUMN(NOTA[TGL.NOTA]))&amp;":"&amp;ADDRESS(ROW(),COLUMN(NOTA[TGL.NOTA]))),-1)))</f>
        <v/>
      </c>
      <c r="AI790" s="36" t="str">
        <f ca="1">IF(NOTA[[#This Row],[ID_H]]="","",INDEX(NOTA[NO.NOTA],MATCH(NOTA[[#This Row],[ID_H]],NOTA[ID_H],0)))</f>
        <v/>
      </c>
      <c r="AJ790" s="38" t="str">
        <f ca="1">IF(NOTA[[#This Row],[NAMA BARANG]]="","",INDEX(NOTA[SUPPLIER],MATCH(,INDIRECT(ADDRESS(ROW(NOTA[ID]),COLUMN(NOTA[ID]))&amp;":"&amp;ADDRESS(ROW(),COLUMN(NOTA[ID]))),-1)))</f>
        <v/>
      </c>
      <c r="AK790" s="38" t="str">
        <f ca="1">IF(NOTA[[#This Row],[ID_H]]="","",IF(NOTA[[#This Row],[FAKTUR]]="",INDIRECT(ADDRESS(ROW()-1,COLUMN())),NOTA[[#This Row],[FAKTUR]]))</f>
        <v/>
      </c>
      <c r="AL790" s="35" t="str">
        <f ca="1">IF(NOTA[[#This Row],[ID]]="","",COUNTIF(NOTA[ID_H],NOTA[[#This Row],[ID_H]]))</f>
        <v/>
      </c>
      <c r="AM790" s="35" t="str">
        <f ca="1">IF(NOTA[[#This Row],[TGL.NOTA]]="",IF(NOTA[[#This Row],[SUPPLIER_H]]="","",AM789),MONTH(NOTA[[#This Row],[TGL.NOTA]]))</f>
        <v/>
      </c>
      <c r="AN7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0" s="35" t="str">
        <f>IF(NOTA[[#This Row],[CONCAT1]]="","",MATCH(NOTA[[#This Row],[CONCAT1]],[3]!db[NB NOTA_C],0))</f>
        <v/>
      </c>
      <c r="AS790" s="35" t="str">
        <f>IF(NOTA[[#This Row],[Column5]]="","",TRUE)</f>
        <v/>
      </c>
      <c r="AT790" s="35" t="str">
        <f ca="1">IF(NOTA[[#This Row],[ID_H]]="","",IF(NOTA[[#This Row],[Column3]]=TRUE,NOTA[[#This Row],[Column5]],INDEX([3]!db[QTY/ CTN],NOTA[[#This Row],[//DB]])))</f>
        <v/>
      </c>
      <c r="AU7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0" s="35" t="str">
        <f ca="1">IF(NOTA[[#This Row],[ID_H]]="","",MATCH(NOTA[[#This Row],[NB NOTA_C_QTY]],[3]!db[NB NOTA_C_QTY+F],0))</f>
        <v/>
      </c>
      <c r="AW790" s="43" t="str">
        <f ca="1">IF(NOTA[[#This Row],[NB NOTA_C_QTY]]="","",ROW()-2)</f>
        <v/>
      </c>
    </row>
    <row r="791" spans="1:49" ht="20.100000000000001" customHeight="1">
      <c r="A7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5" t="str">
        <f ca="1">IF(NOTA[[#This Row],[NAMA BARANG]]="","",INDEX(NOTA[ID],MATCH(,INDIRECT(ADDRESS(ROW(NOTA[ID]),COLUMN(NOTA[ID]))&amp;":"&amp;ADDRESS(ROW(),COLUMN(NOTA[ID]))),-1)))</f>
        <v/>
      </c>
      <c r="C791" s="45"/>
      <c r="F791" s="46"/>
      <c r="G791" s="35"/>
      <c r="H791" s="36"/>
      <c r="I791" s="35"/>
      <c r="K791" s="37"/>
      <c r="L791" s="35"/>
      <c r="N791" s="38"/>
      <c r="O791" s="39"/>
      <c r="P791" s="47"/>
      <c r="Q791" s="48"/>
      <c r="R791" s="41"/>
      <c r="T791" s="42"/>
      <c r="U791" s="44"/>
      <c r="V791" s="42" t="str">
        <f>IF(NOTA[[#This Row],[HARGA/ CTN]]="",NOTA[[#This Row],[JUMLAH_H]],NOTA[[#This Row],[HARGA/ CTN]]*IF(NOTA[[#This Row],[C]]="",0,NOTA[[#This Row],[C]]))</f>
        <v/>
      </c>
      <c r="W791" s="42" t="str">
        <f>IF(NOTA[[#This Row],[JUMLAH]]="","",NOTA[[#This Row],[JUMLAH]]*NOTA[[#This Row],[Column6]])</f>
        <v/>
      </c>
      <c r="X791" s="42" t="str">
        <f>IF(NOTA[[#This Row],[JUMLAH]]="","",(NOTA[[#This Row],[JUMLAH]]-NOTA[[#This Row],[DISC 1-]])*NOTA[[#This Row],[Column7]])</f>
        <v/>
      </c>
      <c r="Y791" s="42" t="str">
        <f>IF(NOTA[[#This Row],[JUMLAH]]="","",(NOTA[[#This Row],[JUMLAH]]-NOTA[[#This Row],[DISC 1-]]-NOTA[[#This Row],[DISC 2-]])*NOTA[[#This Row],[Column8]])</f>
        <v/>
      </c>
      <c r="Z791" s="42" t="str">
        <f>IF(NOTA[[#This Row],[JUMLAH]]="","",NOTA[[#This Row],[DISC 1-]]+NOTA[[#This Row],[DISC 2-]]+NOTA[[#This Row],[DISC 3-]])</f>
        <v/>
      </c>
      <c r="AA791" s="42" t="str">
        <f>IF(NOTA[[#This Row],[JUMLAH]]="","",NOTA[[#This Row],[JUMLAH]]-NOTA[[#This Row],[DISC]])</f>
        <v/>
      </c>
      <c r="AB791" s="42"/>
      <c r="AC7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42" t="str">
        <f>IF(OR(NOTA[[#This Row],[QTY]]="",NOTA[[#This Row],[HARGA SATUAN]]="",),"",NOTA[[#This Row],[QTY]]*NOTA[[#This Row],[HARGA SATUAN]])</f>
        <v/>
      </c>
      <c r="AG791" s="36" t="str">
        <f ca="1">IF(NOTA[[#This Row],[ID_H]]="","",INDEX(NOTA[TANGGAL],MATCH(,INDIRECT(ADDRESS(ROW(NOTA[TANGGAL]),COLUMN(NOTA[TANGGAL]))&amp;":"&amp;ADDRESS(ROW(),COLUMN(NOTA[TANGGAL]))),-1)))</f>
        <v/>
      </c>
      <c r="AH791" s="36" t="str">
        <f ca="1">IF(NOTA[[#This Row],[ID_H]]="","",INDEX(NOTA[TGL.NOTA],MATCH(,INDIRECT(ADDRESS(ROW(NOTA[TGL.NOTA]),COLUMN(NOTA[TGL.NOTA]))&amp;":"&amp;ADDRESS(ROW(),COLUMN(NOTA[TGL.NOTA]))),-1)))</f>
        <v/>
      </c>
      <c r="AI791" s="36" t="str">
        <f ca="1">IF(NOTA[[#This Row],[ID_H]]="","",INDEX(NOTA[NO.NOTA],MATCH(NOTA[[#This Row],[ID_H]],NOTA[ID_H],0)))</f>
        <v/>
      </c>
      <c r="AJ791" s="38" t="str">
        <f ca="1">IF(NOTA[[#This Row],[NAMA BARANG]]="","",INDEX(NOTA[SUPPLIER],MATCH(,INDIRECT(ADDRESS(ROW(NOTA[ID]),COLUMN(NOTA[ID]))&amp;":"&amp;ADDRESS(ROW(),COLUMN(NOTA[ID]))),-1)))</f>
        <v/>
      </c>
      <c r="AK791" s="38" t="str">
        <f ca="1">IF(NOTA[[#This Row],[ID_H]]="","",IF(NOTA[[#This Row],[FAKTUR]]="",INDIRECT(ADDRESS(ROW()-1,COLUMN())),NOTA[[#This Row],[FAKTUR]]))</f>
        <v/>
      </c>
      <c r="AL791" s="35" t="str">
        <f ca="1">IF(NOTA[[#This Row],[ID]]="","",COUNTIF(NOTA[ID_H],NOTA[[#This Row],[ID_H]]))</f>
        <v/>
      </c>
      <c r="AM791" s="35" t="str">
        <f ca="1">IF(NOTA[[#This Row],[TGL.NOTA]]="",IF(NOTA[[#This Row],[SUPPLIER_H]]="","",AM790),MONTH(NOTA[[#This Row],[TGL.NOTA]]))</f>
        <v/>
      </c>
      <c r="AN7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1" s="35" t="str">
        <f>IF(NOTA[[#This Row],[CONCAT1]]="","",MATCH(NOTA[[#This Row],[CONCAT1]],[3]!db[NB NOTA_C],0))</f>
        <v/>
      </c>
      <c r="AS791" s="35" t="str">
        <f>IF(NOTA[[#This Row],[Column5]]="","",TRUE)</f>
        <v/>
      </c>
      <c r="AT791" s="35" t="str">
        <f ca="1">IF(NOTA[[#This Row],[ID_H]]="","",IF(NOTA[[#This Row],[Column3]]=TRUE,NOTA[[#This Row],[Column5]],INDEX([3]!db[QTY/ CTN],NOTA[[#This Row],[//DB]])))</f>
        <v/>
      </c>
      <c r="AU7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1" s="35" t="str">
        <f ca="1">IF(NOTA[[#This Row],[ID_H]]="","",MATCH(NOTA[[#This Row],[NB NOTA_C_QTY]],[3]!db[NB NOTA_C_QTY+F],0))</f>
        <v/>
      </c>
      <c r="AW791" s="43" t="str">
        <f ca="1">IF(NOTA[[#This Row],[NB NOTA_C_QTY]]="","",ROW()-2)</f>
        <v/>
      </c>
    </row>
    <row r="792" spans="1:49" ht="20.100000000000001" customHeight="1">
      <c r="A7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5" t="str">
        <f ca="1">IF(NOTA[[#This Row],[NAMA BARANG]]="","",INDEX(NOTA[ID],MATCH(,INDIRECT(ADDRESS(ROW(NOTA[ID]),COLUMN(NOTA[ID]))&amp;":"&amp;ADDRESS(ROW(),COLUMN(NOTA[ID]))),-1)))</f>
        <v/>
      </c>
      <c r="C792" s="45"/>
      <c r="F792" s="46"/>
      <c r="G792" s="35"/>
      <c r="H792" s="36"/>
      <c r="I792" s="35"/>
      <c r="K792" s="37"/>
      <c r="L792" s="35"/>
      <c r="N792" s="38"/>
      <c r="O792" s="39"/>
      <c r="P792" s="47"/>
      <c r="Q792" s="48"/>
      <c r="R792" s="41"/>
      <c r="T792" s="42"/>
      <c r="U792" s="44"/>
      <c r="V792" s="42" t="str">
        <f>IF(NOTA[[#This Row],[HARGA/ CTN]]="",NOTA[[#This Row],[JUMLAH_H]],NOTA[[#This Row],[HARGA/ CTN]]*IF(NOTA[[#This Row],[C]]="",0,NOTA[[#This Row],[C]]))</f>
        <v/>
      </c>
      <c r="W792" s="42" t="str">
        <f>IF(NOTA[[#This Row],[JUMLAH]]="","",NOTA[[#This Row],[JUMLAH]]*NOTA[[#This Row],[Column6]])</f>
        <v/>
      </c>
      <c r="X792" s="42" t="str">
        <f>IF(NOTA[[#This Row],[JUMLAH]]="","",(NOTA[[#This Row],[JUMLAH]]-NOTA[[#This Row],[DISC 1-]])*NOTA[[#This Row],[Column7]])</f>
        <v/>
      </c>
      <c r="Y792" s="42" t="str">
        <f>IF(NOTA[[#This Row],[JUMLAH]]="","",(NOTA[[#This Row],[JUMLAH]]-NOTA[[#This Row],[DISC 1-]]-NOTA[[#This Row],[DISC 2-]])*NOTA[[#This Row],[Column8]])</f>
        <v/>
      </c>
      <c r="Z792" s="42" t="str">
        <f>IF(NOTA[[#This Row],[JUMLAH]]="","",NOTA[[#This Row],[DISC 1-]]+NOTA[[#This Row],[DISC 2-]]+NOTA[[#This Row],[DISC 3-]])</f>
        <v/>
      </c>
      <c r="AA792" s="42" t="str">
        <f>IF(NOTA[[#This Row],[JUMLAH]]="","",NOTA[[#This Row],[JUMLAH]]-NOTA[[#This Row],[DISC]])</f>
        <v/>
      </c>
      <c r="AB792" s="42"/>
      <c r="AC7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42" t="str">
        <f>IF(OR(NOTA[[#This Row],[QTY]]="",NOTA[[#This Row],[HARGA SATUAN]]="",),"",NOTA[[#This Row],[QTY]]*NOTA[[#This Row],[HARGA SATUAN]])</f>
        <v/>
      </c>
      <c r="AG792" s="36" t="str">
        <f ca="1">IF(NOTA[[#This Row],[ID_H]]="","",INDEX(NOTA[TANGGAL],MATCH(,INDIRECT(ADDRESS(ROW(NOTA[TANGGAL]),COLUMN(NOTA[TANGGAL]))&amp;":"&amp;ADDRESS(ROW(),COLUMN(NOTA[TANGGAL]))),-1)))</f>
        <v/>
      </c>
      <c r="AH792" s="36" t="str">
        <f ca="1">IF(NOTA[[#This Row],[ID_H]]="","",INDEX(NOTA[TGL.NOTA],MATCH(,INDIRECT(ADDRESS(ROW(NOTA[TGL.NOTA]),COLUMN(NOTA[TGL.NOTA]))&amp;":"&amp;ADDRESS(ROW(),COLUMN(NOTA[TGL.NOTA]))),-1)))</f>
        <v/>
      </c>
      <c r="AI792" s="36" t="str">
        <f ca="1">IF(NOTA[[#This Row],[ID_H]]="","",INDEX(NOTA[NO.NOTA],MATCH(NOTA[[#This Row],[ID_H]],NOTA[ID_H],0)))</f>
        <v/>
      </c>
      <c r="AJ792" s="38" t="str">
        <f ca="1">IF(NOTA[[#This Row],[NAMA BARANG]]="","",INDEX(NOTA[SUPPLIER],MATCH(,INDIRECT(ADDRESS(ROW(NOTA[ID]),COLUMN(NOTA[ID]))&amp;":"&amp;ADDRESS(ROW(),COLUMN(NOTA[ID]))),-1)))</f>
        <v/>
      </c>
      <c r="AK792" s="38" t="str">
        <f ca="1">IF(NOTA[[#This Row],[ID_H]]="","",IF(NOTA[[#This Row],[FAKTUR]]="",INDIRECT(ADDRESS(ROW()-1,COLUMN())),NOTA[[#This Row],[FAKTUR]]))</f>
        <v/>
      </c>
      <c r="AL792" s="35" t="str">
        <f ca="1">IF(NOTA[[#This Row],[ID]]="","",COUNTIF(NOTA[ID_H],NOTA[[#This Row],[ID_H]]))</f>
        <v/>
      </c>
      <c r="AM792" s="35" t="str">
        <f ca="1">IF(NOTA[[#This Row],[TGL.NOTA]]="",IF(NOTA[[#This Row],[SUPPLIER_H]]="","",AM791),MONTH(NOTA[[#This Row],[TGL.NOTA]]))</f>
        <v/>
      </c>
      <c r="AN7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2" s="35" t="str">
        <f>IF(NOTA[[#This Row],[CONCAT1]]="","",MATCH(NOTA[[#This Row],[CONCAT1]],[3]!db[NB NOTA_C],0))</f>
        <v/>
      </c>
      <c r="AS792" s="35" t="str">
        <f>IF(NOTA[[#This Row],[Column5]]="","",TRUE)</f>
        <v/>
      </c>
      <c r="AT792" s="35" t="str">
        <f ca="1">IF(NOTA[[#This Row],[ID_H]]="","",IF(NOTA[[#This Row],[Column3]]=TRUE,NOTA[[#This Row],[Column5]],INDEX([3]!db[QTY/ CTN],NOTA[[#This Row],[//DB]])))</f>
        <v/>
      </c>
      <c r="AU7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2" s="35" t="str">
        <f ca="1">IF(NOTA[[#This Row],[ID_H]]="","",MATCH(NOTA[[#This Row],[NB NOTA_C_QTY]],[3]!db[NB NOTA_C_QTY+F],0))</f>
        <v/>
      </c>
      <c r="AW792" s="43" t="str">
        <f ca="1">IF(NOTA[[#This Row],[NB NOTA_C_QTY]]="","",ROW()-2)</f>
        <v/>
      </c>
    </row>
    <row r="793" spans="1:49" ht="20.100000000000001" customHeight="1">
      <c r="A7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5" t="str">
        <f ca="1">IF(NOTA[[#This Row],[NAMA BARANG]]="","",INDEX(NOTA[ID],MATCH(,INDIRECT(ADDRESS(ROW(NOTA[ID]),COLUMN(NOTA[ID]))&amp;":"&amp;ADDRESS(ROW(),COLUMN(NOTA[ID]))),-1)))</f>
        <v/>
      </c>
      <c r="C793" s="45"/>
      <c r="F793" s="46"/>
      <c r="G793" s="35"/>
      <c r="H793" s="36"/>
      <c r="I793" s="35"/>
      <c r="K793" s="37"/>
      <c r="L793" s="35"/>
      <c r="N793" s="38"/>
      <c r="O793" s="39"/>
      <c r="P793" s="47"/>
      <c r="Q793" s="48"/>
      <c r="R793" s="41"/>
      <c r="T793" s="42"/>
      <c r="U793" s="44"/>
      <c r="V793" s="42" t="str">
        <f>IF(NOTA[[#This Row],[HARGA/ CTN]]="",NOTA[[#This Row],[JUMLAH_H]],NOTA[[#This Row],[HARGA/ CTN]]*IF(NOTA[[#This Row],[C]]="",0,NOTA[[#This Row],[C]]))</f>
        <v/>
      </c>
      <c r="W793" s="42" t="str">
        <f>IF(NOTA[[#This Row],[JUMLAH]]="","",NOTA[[#This Row],[JUMLAH]]*NOTA[[#This Row],[Column6]])</f>
        <v/>
      </c>
      <c r="X793" s="42" t="str">
        <f>IF(NOTA[[#This Row],[JUMLAH]]="","",(NOTA[[#This Row],[JUMLAH]]-NOTA[[#This Row],[DISC 1-]])*NOTA[[#This Row],[Column7]])</f>
        <v/>
      </c>
      <c r="Y793" s="42" t="str">
        <f>IF(NOTA[[#This Row],[JUMLAH]]="","",(NOTA[[#This Row],[JUMLAH]]-NOTA[[#This Row],[DISC 1-]]-NOTA[[#This Row],[DISC 2-]])*NOTA[[#This Row],[Column8]])</f>
        <v/>
      </c>
      <c r="Z793" s="42" t="str">
        <f>IF(NOTA[[#This Row],[JUMLAH]]="","",NOTA[[#This Row],[DISC 1-]]+NOTA[[#This Row],[DISC 2-]]+NOTA[[#This Row],[DISC 3-]])</f>
        <v/>
      </c>
      <c r="AA793" s="42" t="str">
        <f>IF(NOTA[[#This Row],[JUMLAH]]="","",NOTA[[#This Row],[JUMLAH]]-NOTA[[#This Row],[DISC]])</f>
        <v/>
      </c>
      <c r="AB793" s="42"/>
      <c r="AC7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42" t="str">
        <f>IF(OR(NOTA[[#This Row],[QTY]]="",NOTA[[#This Row],[HARGA SATUAN]]="",),"",NOTA[[#This Row],[QTY]]*NOTA[[#This Row],[HARGA SATUAN]])</f>
        <v/>
      </c>
      <c r="AG793" s="36" t="str">
        <f ca="1">IF(NOTA[[#This Row],[ID_H]]="","",INDEX(NOTA[TANGGAL],MATCH(,INDIRECT(ADDRESS(ROW(NOTA[TANGGAL]),COLUMN(NOTA[TANGGAL]))&amp;":"&amp;ADDRESS(ROW(),COLUMN(NOTA[TANGGAL]))),-1)))</f>
        <v/>
      </c>
      <c r="AH793" s="36" t="str">
        <f ca="1">IF(NOTA[[#This Row],[ID_H]]="","",INDEX(NOTA[TGL.NOTA],MATCH(,INDIRECT(ADDRESS(ROW(NOTA[TGL.NOTA]),COLUMN(NOTA[TGL.NOTA]))&amp;":"&amp;ADDRESS(ROW(),COLUMN(NOTA[TGL.NOTA]))),-1)))</f>
        <v/>
      </c>
      <c r="AI793" s="36" t="str">
        <f ca="1">IF(NOTA[[#This Row],[ID_H]]="","",INDEX(NOTA[NO.NOTA],MATCH(NOTA[[#This Row],[ID_H]],NOTA[ID_H],0)))</f>
        <v/>
      </c>
      <c r="AJ793" s="38" t="str">
        <f ca="1">IF(NOTA[[#This Row],[NAMA BARANG]]="","",INDEX(NOTA[SUPPLIER],MATCH(,INDIRECT(ADDRESS(ROW(NOTA[ID]),COLUMN(NOTA[ID]))&amp;":"&amp;ADDRESS(ROW(),COLUMN(NOTA[ID]))),-1)))</f>
        <v/>
      </c>
      <c r="AK793" s="38" t="str">
        <f ca="1">IF(NOTA[[#This Row],[ID_H]]="","",IF(NOTA[[#This Row],[FAKTUR]]="",INDIRECT(ADDRESS(ROW()-1,COLUMN())),NOTA[[#This Row],[FAKTUR]]))</f>
        <v/>
      </c>
      <c r="AL793" s="35" t="str">
        <f ca="1">IF(NOTA[[#This Row],[ID]]="","",COUNTIF(NOTA[ID_H],NOTA[[#This Row],[ID_H]]))</f>
        <v/>
      </c>
      <c r="AM793" s="35" t="str">
        <f ca="1">IF(NOTA[[#This Row],[TGL.NOTA]]="",IF(NOTA[[#This Row],[SUPPLIER_H]]="","",AM792),MONTH(NOTA[[#This Row],[TGL.NOTA]]))</f>
        <v/>
      </c>
      <c r="AN7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3" s="35" t="str">
        <f>IF(NOTA[[#This Row],[CONCAT1]]="","",MATCH(NOTA[[#This Row],[CONCAT1]],[3]!db[NB NOTA_C],0))</f>
        <v/>
      </c>
      <c r="AS793" s="35" t="str">
        <f>IF(NOTA[[#This Row],[Column5]]="","",TRUE)</f>
        <v/>
      </c>
      <c r="AT793" s="35" t="str">
        <f ca="1">IF(NOTA[[#This Row],[ID_H]]="","",IF(NOTA[[#This Row],[Column3]]=TRUE,NOTA[[#This Row],[Column5]],INDEX([3]!db[QTY/ CTN],NOTA[[#This Row],[//DB]])))</f>
        <v/>
      </c>
      <c r="AU7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3" s="35" t="str">
        <f ca="1">IF(NOTA[[#This Row],[ID_H]]="","",MATCH(NOTA[[#This Row],[NB NOTA_C_QTY]],[3]!db[NB NOTA_C_QTY+F],0))</f>
        <v/>
      </c>
      <c r="AW793" s="43" t="str">
        <f ca="1">IF(NOTA[[#This Row],[NB NOTA_C_QTY]]="","",ROW()-2)</f>
        <v/>
      </c>
    </row>
    <row r="794" spans="1:49" ht="20.100000000000001" customHeight="1">
      <c r="A7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5" t="str">
        <f ca="1">IF(NOTA[[#This Row],[NAMA BARANG]]="","",INDEX(NOTA[ID],MATCH(,INDIRECT(ADDRESS(ROW(NOTA[ID]),COLUMN(NOTA[ID]))&amp;":"&amp;ADDRESS(ROW(),COLUMN(NOTA[ID]))),-1)))</f>
        <v/>
      </c>
      <c r="C794" s="45"/>
      <c r="F794" s="46"/>
      <c r="G794" s="35"/>
      <c r="H794" s="36"/>
      <c r="I794" s="35"/>
      <c r="K794" s="37"/>
      <c r="L794" s="35"/>
      <c r="N794" s="38"/>
      <c r="O794" s="39"/>
      <c r="P794" s="47"/>
      <c r="Q794" s="48"/>
      <c r="R794" s="41"/>
      <c r="T794" s="42"/>
      <c r="U794" s="44"/>
      <c r="V794" s="42" t="str">
        <f>IF(NOTA[[#This Row],[HARGA/ CTN]]="",NOTA[[#This Row],[JUMLAH_H]],NOTA[[#This Row],[HARGA/ CTN]]*IF(NOTA[[#This Row],[C]]="",0,NOTA[[#This Row],[C]]))</f>
        <v/>
      </c>
      <c r="W794" s="42" t="str">
        <f>IF(NOTA[[#This Row],[JUMLAH]]="","",NOTA[[#This Row],[JUMLAH]]*NOTA[[#This Row],[Column6]])</f>
        <v/>
      </c>
      <c r="X794" s="42" t="str">
        <f>IF(NOTA[[#This Row],[JUMLAH]]="","",(NOTA[[#This Row],[JUMLAH]]-NOTA[[#This Row],[DISC 1-]])*NOTA[[#This Row],[Column7]])</f>
        <v/>
      </c>
      <c r="Y794" s="42" t="str">
        <f>IF(NOTA[[#This Row],[JUMLAH]]="","",(NOTA[[#This Row],[JUMLAH]]-NOTA[[#This Row],[DISC 1-]]-NOTA[[#This Row],[DISC 2-]])*NOTA[[#This Row],[Column8]])</f>
        <v/>
      </c>
      <c r="Z794" s="42" t="str">
        <f>IF(NOTA[[#This Row],[JUMLAH]]="","",NOTA[[#This Row],[DISC 1-]]+NOTA[[#This Row],[DISC 2-]]+NOTA[[#This Row],[DISC 3-]])</f>
        <v/>
      </c>
      <c r="AA794" s="42" t="str">
        <f>IF(NOTA[[#This Row],[JUMLAH]]="","",NOTA[[#This Row],[JUMLAH]]-NOTA[[#This Row],[DISC]])</f>
        <v/>
      </c>
      <c r="AB794" s="42"/>
      <c r="AC7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42" t="str">
        <f>IF(OR(NOTA[[#This Row],[QTY]]="",NOTA[[#This Row],[HARGA SATUAN]]="",),"",NOTA[[#This Row],[QTY]]*NOTA[[#This Row],[HARGA SATUAN]])</f>
        <v/>
      </c>
      <c r="AG794" s="36" t="str">
        <f ca="1">IF(NOTA[[#This Row],[ID_H]]="","",INDEX(NOTA[TANGGAL],MATCH(,INDIRECT(ADDRESS(ROW(NOTA[TANGGAL]),COLUMN(NOTA[TANGGAL]))&amp;":"&amp;ADDRESS(ROW(),COLUMN(NOTA[TANGGAL]))),-1)))</f>
        <v/>
      </c>
      <c r="AH794" s="36" t="str">
        <f ca="1">IF(NOTA[[#This Row],[ID_H]]="","",INDEX(NOTA[TGL.NOTA],MATCH(,INDIRECT(ADDRESS(ROW(NOTA[TGL.NOTA]),COLUMN(NOTA[TGL.NOTA]))&amp;":"&amp;ADDRESS(ROW(),COLUMN(NOTA[TGL.NOTA]))),-1)))</f>
        <v/>
      </c>
      <c r="AI794" s="36" t="str">
        <f ca="1">IF(NOTA[[#This Row],[ID_H]]="","",INDEX(NOTA[NO.NOTA],MATCH(NOTA[[#This Row],[ID_H]],NOTA[ID_H],0)))</f>
        <v/>
      </c>
      <c r="AJ794" s="38" t="str">
        <f ca="1">IF(NOTA[[#This Row],[NAMA BARANG]]="","",INDEX(NOTA[SUPPLIER],MATCH(,INDIRECT(ADDRESS(ROW(NOTA[ID]),COLUMN(NOTA[ID]))&amp;":"&amp;ADDRESS(ROW(),COLUMN(NOTA[ID]))),-1)))</f>
        <v/>
      </c>
      <c r="AK794" s="38" t="str">
        <f ca="1">IF(NOTA[[#This Row],[ID_H]]="","",IF(NOTA[[#This Row],[FAKTUR]]="",INDIRECT(ADDRESS(ROW()-1,COLUMN())),NOTA[[#This Row],[FAKTUR]]))</f>
        <v/>
      </c>
      <c r="AL794" s="35" t="str">
        <f ca="1">IF(NOTA[[#This Row],[ID]]="","",COUNTIF(NOTA[ID_H],NOTA[[#This Row],[ID_H]]))</f>
        <v/>
      </c>
      <c r="AM794" s="35" t="str">
        <f ca="1">IF(NOTA[[#This Row],[TGL.NOTA]]="",IF(NOTA[[#This Row],[SUPPLIER_H]]="","",AM793),MONTH(NOTA[[#This Row],[TGL.NOTA]]))</f>
        <v/>
      </c>
      <c r="AN7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4" s="35" t="str">
        <f>IF(NOTA[[#This Row],[CONCAT1]]="","",MATCH(NOTA[[#This Row],[CONCAT1]],[3]!db[NB NOTA_C],0))</f>
        <v/>
      </c>
      <c r="AS794" s="35" t="str">
        <f>IF(NOTA[[#This Row],[Column5]]="","",TRUE)</f>
        <v/>
      </c>
      <c r="AT794" s="35" t="str">
        <f ca="1">IF(NOTA[[#This Row],[ID_H]]="","",IF(NOTA[[#This Row],[Column3]]=TRUE,NOTA[[#This Row],[Column5]],INDEX([3]!db[QTY/ CTN],NOTA[[#This Row],[//DB]])))</f>
        <v/>
      </c>
      <c r="AU7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4" s="35" t="str">
        <f ca="1">IF(NOTA[[#This Row],[ID_H]]="","",MATCH(NOTA[[#This Row],[NB NOTA_C_QTY]],[3]!db[NB NOTA_C_QTY+F],0))</f>
        <v/>
      </c>
      <c r="AW794" s="43" t="str">
        <f ca="1">IF(NOTA[[#This Row],[NB NOTA_C_QTY]]="","",ROW()-2)</f>
        <v/>
      </c>
    </row>
    <row r="795" spans="1:49" ht="20.100000000000001" customHeight="1">
      <c r="A7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5" t="str">
        <f ca="1">IF(NOTA[[#This Row],[NAMA BARANG]]="","",INDEX(NOTA[ID],MATCH(,INDIRECT(ADDRESS(ROW(NOTA[ID]),COLUMN(NOTA[ID]))&amp;":"&amp;ADDRESS(ROW(),COLUMN(NOTA[ID]))),-1)))</f>
        <v/>
      </c>
      <c r="C795" s="45"/>
      <c r="F795" s="46"/>
      <c r="G795" s="35"/>
      <c r="H795" s="36"/>
      <c r="I795" s="35"/>
      <c r="K795" s="37"/>
      <c r="L795" s="35"/>
      <c r="N795" s="38"/>
      <c r="O795" s="39"/>
      <c r="P795" s="47"/>
      <c r="Q795" s="48"/>
      <c r="R795" s="41"/>
      <c r="T795" s="42"/>
      <c r="U795" s="44"/>
      <c r="V795" s="42" t="str">
        <f>IF(NOTA[[#This Row],[HARGA/ CTN]]="",NOTA[[#This Row],[JUMLAH_H]],NOTA[[#This Row],[HARGA/ CTN]]*IF(NOTA[[#This Row],[C]]="",0,NOTA[[#This Row],[C]]))</f>
        <v/>
      </c>
      <c r="W795" s="42" t="str">
        <f>IF(NOTA[[#This Row],[JUMLAH]]="","",NOTA[[#This Row],[JUMLAH]]*NOTA[[#This Row],[Column6]])</f>
        <v/>
      </c>
      <c r="X795" s="42" t="str">
        <f>IF(NOTA[[#This Row],[JUMLAH]]="","",(NOTA[[#This Row],[JUMLAH]]-NOTA[[#This Row],[DISC 1-]])*NOTA[[#This Row],[Column7]])</f>
        <v/>
      </c>
      <c r="Y795" s="42" t="str">
        <f>IF(NOTA[[#This Row],[JUMLAH]]="","",(NOTA[[#This Row],[JUMLAH]]-NOTA[[#This Row],[DISC 1-]]-NOTA[[#This Row],[DISC 2-]])*NOTA[[#This Row],[Column8]])</f>
        <v/>
      </c>
      <c r="Z795" s="42" t="str">
        <f>IF(NOTA[[#This Row],[JUMLAH]]="","",NOTA[[#This Row],[DISC 1-]]+NOTA[[#This Row],[DISC 2-]]+NOTA[[#This Row],[DISC 3-]])</f>
        <v/>
      </c>
      <c r="AA795" s="42" t="str">
        <f>IF(NOTA[[#This Row],[JUMLAH]]="","",NOTA[[#This Row],[JUMLAH]]-NOTA[[#This Row],[DISC]])</f>
        <v/>
      </c>
      <c r="AB795" s="42"/>
      <c r="AC7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42" t="str">
        <f>IF(OR(NOTA[[#This Row],[QTY]]="",NOTA[[#This Row],[HARGA SATUAN]]="",),"",NOTA[[#This Row],[QTY]]*NOTA[[#This Row],[HARGA SATUAN]])</f>
        <v/>
      </c>
      <c r="AG795" s="36" t="str">
        <f ca="1">IF(NOTA[[#This Row],[ID_H]]="","",INDEX(NOTA[TANGGAL],MATCH(,INDIRECT(ADDRESS(ROW(NOTA[TANGGAL]),COLUMN(NOTA[TANGGAL]))&amp;":"&amp;ADDRESS(ROW(),COLUMN(NOTA[TANGGAL]))),-1)))</f>
        <v/>
      </c>
      <c r="AH795" s="36" t="str">
        <f ca="1">IF(NOTA[[#This Row],[ID_H]]="","",INDEX(NOTA[TGL.NOTA],MATCH(,INDIRECT(ADDRESS(ROW(NOTA[TGL.NOTA]),COLUMN(NOTA[TGL.NOTA]))&amp;":"&amp;ADDRESS(ROW(),COLUMN(NOTA[TGL.NOTA]))),-1)))</f>
        <v/>
      </c>
      <c r="AI795" s="36" t="str">
        <f ca="1">IF(NOTA[[#This Row],[ID_H]]="","",INDEX(NOTA[NO.NOTA],MATCH(NOTA[[#This Row],[ID_H]],NOTA[ID_H],0)))</f>
        <v/>
      </c>
      <c r="AJ795" s="38" t="str">
        <f ca="1">IF(NOTA[[#This Row],[NAMA BARANG]]="","",INDEX(NOTA[SUPPLIER],MATCH(,INDIRECT(ADDRESS(ROW(NOTA[ID]),COLUMN(NOTA[ID]))&amp;":"&amp;ADDRESS(ROW(),COLUMN(NOTA[ID]))),-1)))</f>
        <v/>
      </c>
      <c r="AK795" s="38" t="str">
        <f ca="1">IF(NOTA[[#This Row],[ID_H]]="","",IF(NOTA[[#This Row],[FAKTUR]]="",INDIRECT(ADDRESS(ROW()-1,COLUMN())),NOTA[[#This Row],[FAKTUR]]))</f>
        <v/>
      </c>
      <c r="AL795" s="35" t="str">
        <f ca="1">IF(NOTA[[#This Row],[ID]]="","",COUNTIF(NOTA[ID_H],NOTA[[#This Row],[ID_H]]))</f>
        <v/>
      </c>
      <c r="AM795" s="35" t="str">
        <f ca="1">IF(NOTA[[#This Row],[TGL.NOTA]]="",IF(NOTA[[#This Row],[SUPPLIER_H]]="","",AM794),MONTH(NOTA[[#This Row],[TGL.NOTA]]))</f>
        <v/>
      </c>
      <c r="AN7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5" s="35" t="str">
        <f>IF(NOTA[[#This Row],[CONCAT1]]="","",MATCH(NOTA[[#This Row],[CONCAT1]],[3]!db[NB NOTA_C],0))</f>
        <v/>
      </c>
      <c r="AS795" s="35" t="str">
        <f>IF(NOTA[[#This Row],[Column5]]="","",TRUE)</f>
        <v/>
      </c>
      <c r="AT795" s="35" t="str">
        <f ca="1">IF(NOTA[[#This Row],[ID_H]]="","",IF(NOTA[[#This Row],[Column3]]=TRUE,NOTA[[#This Row],[Column5]],INDEX([3]!db[QTY/ CTN],NOTA[[#This Row],[//DB]])))</f>
        <v/>
      </c>
      <c r="AU7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5" s="35" t="str">
        <f ca="1">IF(NOTA[[#This Row],[ID_H]]="","",MATCH(NOTA[[#This Row],[NB NOTA_C_QTY]],[3]!db[NB NOTA_C_QTY+F],0))</f>
        <v/>
      </c>
      <c r="AW795" s="43" t="str">
        <f ca="1">IF(NOTA[[#This Row],[NB NOTA_C_QTY]]="","",ROW()-2)</f>
        <v/>
      </c>
    </row>
    <row r="796" spans="1:49" ht="20.100000000000001" customHeight="1">
      <c r="A7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5" t="str">
        <f ca="1">IF(NOTA[[#This Row],[NAMA BARANG]]="","",INDEX(NOTA[ID],MATCH(,INDIRECT(ADDRESS(ROW(NOTA[ID]),COLUMN(NOTA[ID]))&amp;":"&amp;ADDRESS(ROW(),COLUMN(NOTA[ID]))),-1)))</f>
        <v/>
      </c>
      <c r="C796" s="45"/>
      <c r="F796" s="46"/>
      <c r="G796" s="35"/>
      <c r="H796" s="36"/>
      <c r="I796" s="35"/>
      <c r="K796" s="37"/>
      <c r="L796" s="35"/>
      <c r="N796" s="38"/>
      <c r="O796" s="39"/>
      <c r="P796" s="47"/>
      <c r="Q796" s="48"/>
      <c r="R796" s="41"/>
      <c r="T796" s="42"/>
      <c r="U796" s="44"/>
      <c r="V796" s="42" t="str">
        <f>IF(NOTA[[#This Row],[HARGA/ CTN]]="",NOTA[[#This Row],[JUMLAH_H]],NOTA[[#This Row],[HARGA/ CTN]]*IF(NOTA[[#This Row],[C]]="",0,NOTA[[#This Row],[C]]))</f>
        <v/>
      </c>
      <c r="W796" s="42" t="str">
        <f>IF(NOTA[[#This Row],[JUMLAH]]="","",NOTA[[#This Row],[JUMLAH]]*NOTA[[#This Row],[Column6]])</f>
        <v/>
      </c>
      <c r="X796" s="42" t="str">
        <f>IF(NOTA[[#This Row],[JUMLAH]]="","",(NOTA[[#This Row],[JUMLAH]]-NOTA[[#This Row],[DISC 1-]])*NOTA[[#This Row],[Column7]])</f>
        <v/>
      </c>
      <c r="Y796" s="42" t="str">
        <f>IF(NOTA[[#This Row],[JUMLAH]]="","",(NOTA[[#This Row],[JUMLAH]]-NOTA[[#This Row],[DISC 1-]]-NOTA[[#This Row],[DISC 2-]])*NOTA[[#This Row],[Column8]])</f>
        <v/>
      </c>
      <c r="Z796" s="42" t="str">
        <f>IF(NOTA[[#This Row],[JUMLAH]]="","",NOTA[[#This Row],[DISC 1-]]+NOTA[[#This Row],[DISC 2-]]+NOTA[[#This Row],[DISC 3-]])</f>
        <v/>
      </c>
      <c r="AA796" s="42" t="str">
        <f>IF(NOTA[[#This Row],[JUMLAH]]="","",NOTA[[#This Row],[JUMLAH]]-NOTA[[#This Row],[DISC]])</f>
        <v/>
      </c>
      <c r="AB796" s="42"/>
      <c r="AC7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42" t="str">
        <f>IF(OR(NOTA[[#This Row],[QTY]]="",NOTA[[#This Row],[HARGA SATUAN]]="",),"",NOTA[[#This Row],[QTY]]*NOTA[[#This Row],[HARGA SATUAN]])</f>
        <v/>
      </c>
      <c r="AG796" s="36" t="str">
        <f ca="1">IF(NOTA[[#This Row],[ID_H]]="","",INDEX(NOTA[TANGGAL],MATCH(,INDIRECT(ADDRESS(ROW(NOTA[TANGGAL]),COLUMN(NOTA[TANGGAL]))&amp;":"&amp;ADDRESS(ROW(),COLUMN(NOTA[TANGGAL]))),-1)))</f>
        <v/>
      </c>
      <c r="AH796" s="36" t="str">
        <f ca="1">IF(NOTA[[#This Row],[ID_H]]="","",INDEX(NOTA[TGL.NOTA],MATCH(,INDIRECT(ADDRESS(ROW(NOTA[TGL.NOTA]),COLUMN(NOTA[TGL.NOTA]))&amp;":"&amp;ADDRESS(ROW(),COLUMN(NOTA[TGL.NOTA]))),-1)))</f>
        <v/>
      </c>
      <c r="AI796" s="36" t="str">
        <f ca="1">IF(NOTA[[#This Row],[ID_H]]="","",INDEX(NOTA[NO.NOTA],MATCH(NOTA[[#This Row],[ID_H]],NOTA[ID_H],0)))</f>
        <v/>
      </c>
      <c r="AJ796" s="38" t="str">
        <f ca="1">IF(NOTA[[#This Row],[NAMA BARANG]]="","",INDEX(NOTA[SUPPLIER],MATCH(,INDIRECT(ADDRESS(ROW(NOTA[ID]),COLUMN(NOTA[ID]))&amp;":"&amp;ADDRESS(ROW(),COLUMN(NOTA[ID]))),-1)))</f>
        <v/>
      </c>
      <c r="AK796" s="38" t="str">
        <f ca="1">IF(NOTA[[#This Row],[ID_H]]="","",IF(NOTA[[#This Row],[FAKTUR]]="",INDIRECT(ADDRESS(ROW()-1,COLUMN())),NOTA[[#This Row],[FAKTUR]]))</f>
        <v/>
      </c>
      <c r="AL796" s="35" t="str">
        <f ca="1">IF(NOTA[[#This Row],[ID]]="","",COUNTIF(NOTA[ID_H],NOTA[[#This Row],[ID_H]]))</f>
        <v/>
      </c>
      <c r="AM796" s="35" t="str">
        <f ca="1">IF(NOTA[[#This Row],[TGL.NOTA]]="",IF(NOTA[[#This Row],[SUPPLIER_H]]="","",AM795),MONTH(NOTA[[#This Row],[TGL.NOTA]]))</f>
        <v/>
      </c>
      <c r="AN7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6" s="35" t="str">
        <f>IF(NOTA[[#This Row],[CONCAT1]]="","",MATCH(NOTA[[#This Row],[CONCAT1]],[3]!db[NB NOTA_C],0))</f>
        <v/>
      </c>
      <c r="AS796" s="35" t="str">
        <f>IF(NOTA[[#This Row],[Column5]]="","",TRUE)</f>
        <v/>
      </c>
      <c r="AT796" s="35" t="str">
        <f ca="1">IF(NOTA[[#This Row],[ID_H]]="","",IF(NOTA[[#This Row],[Column3]]=TRUE,NOTA[[#This Row],[Column5]],INDEX([3]!db[QTY/ CTN],NOTA[[#This Row],[//DB]])))</f>
        <v/>
      </c>
      <c r="AU7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6" s="35" t="str">
        <f ca="1">IF(NOTA[[#This Row],[ID_H]]="","",MATCH(NOTA[[#This Row],[NB NOTA_C_QTY]],[3]!db[NB NOTA_C_QTY+F],0))</f>
        <v/>
      </c>
      <c r="AW796" s="43" t="str">
        <f ca="1">IF(NOTA[[#This Row],[NB NOTA_C_QTY]]="","",ROW()-2)</f>
        <v/>
      </c>
    </row>
    <row r="797" spans="1:49" ht="20.100000000000001" customHeight="1">
      <c r="A7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5" t="str">
        <f ca="1">IF(NOTA[[#This Row],[NAMA BARANG]]="","",INDEX(NOTA[ID],MATCH(,INDIRECT(ADDRESS(ROW(NOTA[ID]),COLUMN(NOTA[ID]))&amp;":"&amp;ADDRESS(ROW(),COLUMN(NOTA[ID]))),-1)))</f>
        <v/>
      </c>
      <c r="C797" s="45"/>
      <c r="F797" s="46"/>
      <c r="G797" s="35"/>
      <c r="H797" s="36"/>
      <c r="I797" s="35"/>
      <c r="K797" s="37"/>
      <c r="L797" s="35"/>
      <c r="N797" s="38"/>
      <c r="O797" s="39"/>
      <c r="P797" s="47"/>
      <c r="Q797" s="48"/>
      <c r="R797" s="41"/>
      <c r="T797" s="42"/>
      <c r="U797" s="44"/>
      <c r="V797" s="42" t="str">
        <f>IF(NOTA[[#This Row],[HARGA/ CTN]]="",NOTA[[#This Row],[JUMLAH_H]],NOTA[[#This Row],[HARGA/ CTN]]*IF(NOTA[[#This Row],[C]]="",0,NOTA[[#This Row],[C]]))</f>
        <v/>
      </c>
      <c r="W797" s="42" t="str">
        <f>IF(NOTA[[#This Row],[JUMLAH]]="","",NOTA[[#This Row],[JUMLAH]]*NOTA[[#This Row],[Column6]])</f>
        <v/>
      </c>
      <c r="X797" s="42" t="str">
        <f>IF(NOTA[[#This Row],[JUMLAH]]="","",(NOTA[[#This Row],[JUMLAH]]-NOTA[[#This Row],[DISC 1-]])*NOTA[[#This Row],[Column7]])</f>
        <v/>
      </c>
      <c r="Y797" s="42" t="str">
        <f>IF(NOTA[[#This Row],[JUMLAH]]="","",(NOTA[[#This Row],[JUMLAH]]-NOTA[[#This Row],[DISC 1-]]-NOTA[[#This Row],[DISC 2-]])*NOTA[[#This Row],[Column8]])</f>
        <v/>
      </c>
      <c r="Z797" s="42" t="str">
        <f>IF(NOTA[[#This Row],[JUMLAH]]="","",NOTA[[#This Row],[DISC 1-]]+NOTA[[#This Row],[DISC 2-]]+NOTA[[#This Row],[DISC 3-]])</f>
        <v/>
      </c>
      <c r="AA797" s="42" t="str">
        <f>IF(NOTA[[#This Row],[JUMLAH]]="","",NOTA[[#This Row],[JUMLAH]]-NOTA[[#This Row],[DISC]])</f>
        <v/>
      </c>
      <c r="AB797" s="42"/>
      <c r="AC7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42" t="str">
        <f>IF(OR(NOTA[[#This Row],[QTY]]="",NOTA[[#This Row],[HARGA SATUAN]]="",),"",NOTA[[#This Row],[QTY]]*NOTA[[#This Row],[HARGA SATUAN]])</f>
        <v/>
      </c>
      <c r="AG797" s="36" t="str">
        <f ca="1">IF(NOTA[[#This Row],[ID_H]]="","",INDEX(NOTA[TANGGAL],MATCH(,INDIRECT(ADDRESS(ROW(NOTA[TANGGAL]),COLUMN(NOTA[TANGGAL]))&amp;":"&amp;ADDRESS(ROW(),COLUMN(NOTA[TANGGAL]))),-1)))</f>
        <v/>
      </c>
      <c r="AH797" s="36" t="str">
        <f ca="1">IF(NOTA[[#This Row],[ID_H]]="","",INDEX(NOTA[TGL.NOTA],MATCH(,INDIRECT(ADDRESS(ROW(NOTA[TGL.NOTA]),COLUMN(NOTA[TGL.NOTA]))&amp;":"&amp;ADDRESS(ROW(),COLUMN(NOTA[TGL.NOTA]))),-1)))</f>
        <v/>
      </c>
      <c r="AI797" s="36" t="str">
        <f ca="1">IF(NOTA[[#This Row],[ID_H]]="","",INDEX(NOTA[NO.NOTA],MATCH(NOTA[[#This Row],[ID_H]],NOTA[ID_H],0)))</f>
        <v/>
      </c>
      <c r="AJ797" s="38" t="str">
        <f ca="1">IF(NOTA[[#This Row],[NAMA BARANG]]="","",INDEX(NOTA[SUPPLIER],MATCH(,INDIRECT(ADDRESS(ROW(NOTA[ID]),COLUMN(NOTA[ID]))&amp;":"&amp;ADDRESS(ROW(),COLUMN(NOTA[ID]))),-1)))</f>
        <v/>
      </c>
      <c r="AK797" s="38" t="str">
        <f ca="1">IF(NOTA[[#This Row],[ID_H]]="","",IF(NOTA[[#This Row],[FAKTUR]]="",INDIRECT(ADDRESS(ROW()-1,COLUMN())),NOTA[[#This Row],[FAKTUR]]))</f>
        <v/>
      </c>
      <c r="AL797" s="35" t="str">
        <f ca="1">IF(NOTA[[#This Row],[ID]]="","",COUNTIF(NOTA[ID_H],NOTA[[#This Row],[ID_H]]))</f>
        <v/>
      </c>
      <c r="AM797" s="35" t="str">
        <f ca="1">IF(NOTA[[#This Row],[TGL.NOTA]]="",IF(NOTA[[#This Row],[SUPPLIER_H]]="","",AM796),MONTH(NOTA[[#This Row],[TGL.NOTA]]))</f>
        <v/>
      </c>
      <c r="AN7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7" s="35" t="str">
        <f>IF(NOTA[[#This Row],[CONCAT1]]="","",MATCH(NOTA[[#This Row],[CONCAT1]],[3]!db[NB NOTA_C],0))</f>
        <v/>
      </c>
      <c r="AS797" s="35" t="str">
        <f>IF(NOTA[[#This Row],[Column5]]="","",TRUE)</f>
        <v/>
      </c>
      <c r="AT797" s="35" t="str">
        <f ca="1">IF(NOTA[[#This Row],[ID_H]]="","",IF(NOTA[[#This Row],[Column3]]=TRUE,NOTA[[#This Row],[Column5]],INDEX([3]!db[QTY/ CTN],NOTA[[#This Row],[//DB]])))</f>
        <v/>
      </c>
      <c r="AU7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7" s="35" t="str">
        <f ca="1">IF(NOTA[[#This Row],[ID_H]]="","",MATCH(NOTA[[#This Row],[NB NOTA_C_QTY]],[3]!db[NB NOTA_C_QTY+F],0))</f>
        <v/>
      </c>
      <c r="AW797" s="43" t="str">
        <f ca="1">IF(NOTA[[#This Row],[NB NOTA_C_QTY]]="","",ROW()-2)</f>
        <v/>
      </c>
    </row>
    <row r="798" spans="1:49" ht="20.100000000000001" customHeight="1">
      <c r="A7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5" t="str">
        <f ca="1">IF(NOTA[[#This Row],[NAMA BARANG]]="","",INDEX(NOTA[ID],MATCH(,INDIRECT(ADDRESS(ROW(NOTA[ID]),COLUMN(NOTA[ID]))&amp;":"&amp;ADDRESS(ROW(),COLUMN(NOTA[ID]))),-1)))</f>
        <v/>
      </c>
      <c r="C798" s="45"/>
      <c r="F798" s="46"/>
      <c r="G798" s="35"/>
      <c r="H798" s="36"/>
      <c r="I798" s="35"/>
      <c r="K798" s="37"/>
      <c r="L798" s="35"/>
      <c r="N798" s="38"/>
      <c r="O798" s="39"/>
      <c r="P798" s="47"/>
      <c r="Q798" s="48"/>
      <c r="R798" s="41"/>
      <c r="T798" s="42"/>
      <c r="U798" s="44"/>
      <c r="V798" s="42" t="str">
        <f>IF(NOTA[[#This Row],[HARGA/ CTN]]="",NOTA[[#This Row],[JUMLAH_H]],NOTA[[#This Row],[HARGA/ CTN]]*IF(NOTA[[#This Row],[C]]="",0,NOTA[[#This Row],[C]]))</f>
        <v/>
      </c>
      <c r="W798" s="42" t="str">
        <f>IF(NOTA[[#This Row],[JUMLAH]]="","",NOTA[[#This Row],[JUMLAH]]*NOTA[[#This Row],[Column6]])</f>
        <v/>
      </c>
      <c r="X798" s="42" t="str">
        <f>IF(NOTA[[#This Row],[JUMLAH]]="","",(NOTA[[#This Row],[JUMLAH]]-NOTA[[#This Row],[DISC 1-]])*NOTA[[#This Row],[Column7]])</f>
        <v/>
      </c>
      <c r="Y798" s="42" t="str">
        <f>IF(NOTA[[#This Row],[JUMLAH]]="","",(NOTA[[#This Row],[JUMLAH]]-NOTA[[#This Row],[DISC 1-]]-NOTA[[#This Row],[DISC 2-]])*NOTA[[#This Row],[Column8]])</f>
        <v/>
      </c>
      <c r="Z798" s="42" t="str">
        <f>IF(NOTA[[#This Row],[JUMLAH]]="","",NOTA[[#This Row],[DISC 1-]]+NOTA[[#This Row],[DISC 2-]]+NOTA[[#This Row],[DISC 3-]])</f>
        <v/>
      </c>
      <c r="AA798" s="42" t="str">
        <f>IF(NOTA[[#This Row],[JUMLAH]]="","",NOTA[[#This Row],[JUMLAH]]-NOTA[[#This Row],[DISC]])</f>
        <v/>
      </c>
      <c r="AB798" s="42"/>
      <c r="AC7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42" t="str">
        <f>IF(OR(NOTA[[#This Row],[QTY]]="",NOTA[[#This Row],[HARGA SATUAN]]="",),"",NOTA[[#This Row],[QTY]]*NOTA[[#This Row],[HARGA SATUAN]])</f>
        <v/>
      </c>
      <c r="AG798" s="36" t="str">
        <f ca="1">IF(NOTA[[#This Row],[ID_H]]="","",INDEX(NOTA[TANGGAL],MATCH(,INDIRECT(ADDRESS(ROW(NOTA[TANGGAL]),COLUMN(NOTA[TANGGAL]))&amp;":"&amp;ADDRESS(ROW(),COLUMN(NOTA[TANGGAL]))),-1)))</f>
        <v/>
      </c>
      <c r="AH798" s="36" t="str">
        <f ca="1">IF(NOTA[[#This Row],[ID_H]]="","",INDEX(NOTA[TGL.NOTA],MATCH(,INDIRECT(ADDRESS(ROW(NOTA[TGL.NOTA]),COLUMN(NOTA[TGL.NOTA]))&amp;":"&amp;ADDRESS(ROW(),COLUMN(NOTA[TGL.NOTA]))),-1)))</f>
        <v/>
      </c>
      <c r="AI798" s="36" t="str">
        <f ca="1">IF(NOTA[[#This Row],[ID_H]]="","",INDEX(NOTA[NO.NOTA],MATCH(NOTA[[#This Row],[ID_H]],NOTA[ID_H],0)))</f>
        <v/>
      </c>
      <c r="AJ798" s="38" t="str">
        <f ca="1">IF(NOTA[[#This Row],[NAMA BARANG]]="","",INDEX(NOTA[SUPPLIER],MATCH(,INDIRECT(ADDRESS(ROW(NOTA[ID]),COLUMN(NOTA[ID]))&amp;":"&amp;ADDRESS(ROW(),COLUMN(NOTA[ID]))),-1)))</f>
        <v/>
      </c>
      <c r="AK798" s="38" t="str">
        <f ca="1">IF(NOTA[[#This Row],[ID_H]]="","",IF(NOTA[[#This Row],[FAKTUR]]="",INDIRECT(ADDRESS(ROW()-1,COLUMN())),NOTA[[#This Row],[FAKTUR]]))</f>
        <v/>
      </c>
      <c r="AL798" s="35" t="str">
        <f ca="1">IF(NOTA[[#This Row],[ID]]="","",COUNTIF(NOTA[ID_H],NOTA[[#This Row],[ID_H]]))</f>
        <v/>
      </c>
      <c r="AM798" s="35" t="str">
        <f ca="1">IF(NOTA[[#This Row],[TGL.NOTA]]="",IF(NOTA[[#This Row],[SUPPLIER_H]]="","",AM797),MONTH(NOTA[[#This Row],[TGL.NOTA]]))</f>
        <v/>
      </c>
      <c r="AN7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8" s="35" t="str">
        <f>IF(NOTA[[#This Row],[CONCAT1]]="","",MATCH(NOTA[[#This Row],[CONCAT1]],[3]!db[NB NOTA_C],0))</f>
        <v/>
      </c>
      <c r="AS798" s="35" t="str">
        <f>IF(NOTA[[#This Row],[Column5]]="","",TRUE)</f>
        <v/>
      </c>
      <c r="AT798" s="35" t="str">
        <f ca="1">IF(NOTA[[#This Row],[ID_H]]="","",IF(NOTA[[#This Row],[Column3]]=TRUE,NOTA[[#This Row],[Column5]],INDEX([3]!db[QTY/ CTN],NOTA[[#This Row],[//DB]])))</f>
        <v/>
      </c>
      <c r="AU7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8" s="35" t="str">
        <f ca="1">IF(NOTA[[#This Row],[ID_H]]="","",MATCH(NOTA[[#This Row],[NB NOTA_C_QTY]],[3]!db[NB NOTA_C_QTY+F],0))</f>
        <v/>
      </c>
      <c r="AW798" s="43" t="str">
        <f ca="1">IF(NOTA[[#This Row],[NB NOTA_C_QTY]]="","",ROW()-2)</f>
        <v/>
      </c>
    </row>
    <row r="799" spans="1:49" ht="20.100000000000001" customHeight="1">
      <c r="A7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5" t="str">
        <f ca="1">IF(NOTA[[#This Row],[NAMA BARANG]]="","",INDEX(NOTA[ID],MATCH(,INDIRECT(ADDRESS(ROW(NOTA[ID]),COLUMN(NOTA[ID]))&amp;":"&amp;ADDRESS(ROW(),COLUMN(NOTA[ID]))),-1)))</f>
        <v/>
      </c>
      <c r="C799" s="45"/>
      <c r="F799" s="46"/>
      <c r="G799" s="35"/>
      <c r="H799" s="36"/>
      <c r="I799" s="35"/>
      <c r="K799" s="37"/>
      <c r="L799" s="35"/>
      <c r="N799" s="38"/>
      <c r="O799" s="39"/>
      <c r="P799" s="47"/>
      <c r="Q799" s="48"/>
      <c r="R799" s="41"/>
      <c r="T799" s="42"/>
      <c r="U799" s="44"/>
      <c r="V799" s="42" t="str">
        <f>IF(NOTA[[#This Row],[HARGA/ CTN]]="",NOTA[[#This Row],[JUMLAH_H]],NOTA[[#This Row],[HARGA/ CTN]]*IF(NOTA[[#This Row],[C]]="",0,NOTA[[#This Row],[C]]))</f>
        <v/>
      </c>
      <c r="W799" s="42" t="str">
        <f>IF(NOTA[[#This Row],[JUMLAH]]="","",NOTA[[#This Row],[JUMLAH]]*NOTA[[#This Row],[Column6]])</f>
        <v/>
      </c>
      <c r="X799" s="42" t="str">
        <f>IF(NOTA[[#This Row],[JUMLAH]]="","",(NOTA[[#This Row],[JUMLAH]]-NOTA[[#This Row],[DISC 1-]])*NOTA[[#This Row],[Column7]])</f>
        <v/>
      </c>
      <c r="Y799" s="42" t="str">
        <f>IF(NOTA[[#This Row],[JUMLAH]]="","",(NOTA[[#This Row],[JUMLAH]]-NOTA[[#This Row],[DISC 1-]]-NOTA[[#This Row],[DISC 2-]])*NOTA[[#This Row],[Column8]])</f>
        <v/>
      </c>
      <c r="Z799" s="42" t="str">
        <f>IF(NOTA[[#This Row],[JUMLAH]]="","",NOTA[[#This Row],[DISC 1-]]+NOTA[[#This Row],[DISC 2-]]+NOTA[[#This Row],[DISC 3-]])</f>
        <v/>
      </c>
      <c r="AA799" s="42" t="str">
        <f>IF(NOTA[[#This Row],[JUMLAH]]="","",NOTA[[#This Row],[JUMLAH]]-NOTA[[#This Row],[DISC]])</f>
        <v/>
      </c>
      <c r="AB799" s="42"/>
      <c r="AC7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7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7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42" t="str">
        <f>IF(OR(NOTA[[#This Row],[QTY]]="",NOTA[[#This Row],[HARGA SATUAN]]="",),"",NOTA[[#This Row],[QTY]]*NOTA[[#This Row],[HARGA SATUAN]])</f>
        <v/>
      </c>
      <c r="AG799" s="36" t="str">
        <f ca="1">IF(NOTA[[#This Row],[ID_H]]="","",INDEX(NOTA[TANGGAL],MATCH(,INDIRECT(ADDRESS(ROW(NOTA[TANGGAL]),COLUMN(NOTA[TANGGAL]))&amp;":"&amp;ADDRESS(ROW(),COLUMN(NOTA[TANGGAL]))),-1)))</f>
        <v/>
      </c>
      <c r="AH799" s="36" t="str">
        <f ca="1">IF(NOTA[[#This Row],[ID_H]]="","",INDEX(NOTA[TGL.NOTA],MATCH(,INDIRECT(ADDRESS(ROW(NOTA[TGL.NOTA]),COLUMN(NOTA[TGL.NOTA]))&amp;":"&amp;ADDRESS(ROW(),COLUMN(NOTA[TGL.NOTA]))),-1)))</f>
        <v/>
      </c>
      <c r="AI799" s="36" t="str">
        <f ca="1">IF(NOTA[[#This Row],[ID_H]]="","",INDEX(NOTA[NO.NOTA],MATCH(NOTA[[#This Row],[ID_H]],NOTA[ID_H],0)))</f>
        <v/>
      </c>
      <c r="AJ799" s="38" t="str">
        <f ca="1">IF(NOTA[[#This Row],[NAMA BARANG]]="","",INDEX(NOTA[SUPPLIER],MATCH(,INDIRECT(ADDRESS(ROW(NOTA[ID]),COLUMN(NOTA[ID]))&amp;":"&amp;ADDRESS(ROW(),COLUMN(NOTA[ID]))),-1)))</f>
        <v/>
      </c>
      <c r="AK799" s="38" t="str">
        <f ca="1">IF(NOTA[[#This Row],[ID_H]]="","",IF(NOTA[[#This Row],[FAKTUR]]="",INDIRECT(ADDRESS(ROW()-1,COLUMN())),NOTA[[#This Row],[FAKTUR]]))</f>
        <v/>
      </c>
      <c r="AL799" s="35" t="str">
        <f ca="1">IF(NOTA[[#This Row],[ID]]="","",COUNTIF(NOTA[ID_H],NOTA[[#This Row],[ID_H]]))</f>
        <v/>
      </c>
      <c r="AM799" s="35" t="str">
        <f ca="1">IF(NOTA[[#This Row],[TGL.NOTA]]="",IF(NOTA[[#This Row],[SUPPLIER_H]]="","",AM798),MONTH(NOTA[[#This Row],[TGL.NOTA]]))</f>
        <v/>
      </c>
      <c r="AN7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7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7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7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9" s="35" t="str">
        <f>IF(NOTA[[#This Row],[CONCAT1]]="","",MATCH(NOTA[[#This Row],[CONCAT1]],[3]!db[NB NOTA_C],0))</f>
        <v/>
      </c>
      <c r="AS799" s="35" t="str">
        <f>IF(NOTA[[#This Row],[Column5]]="","",TRUE)</f>
        <v/>
      </c>
      <c r="AT799" s="35" t="str">
        <f ca="1">IF(NOTA[[#This Row],[ID_H]]="","",IF(NOTA[[#This Row],[Column3]]=TRUE,NOTA[[#This Row],[Column5]],INDEX([3]!db[QTY/ CTN],NOTA[[#This Row],[//DB]])))</f>
        <v/>
      </c>
      <c r="AU7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799" s="35" t="str">
        <f ca="1">IF(NOTA[[#This Row],[ID_H]]="","",MATCH(NOTA[[#This Row],[NB NOTA_C_QTY]],[3]!db[NB NOTA_C_QTY+F],0))</f>
        <v/>
      </c>
      <c r="AW799" s="43" t="str">
        <f ca="1">IF(NOTA[[#This Row],[NB NOTA_C_QTY]]="","",ROW()-2)</f>
        <v/>
      </c>
    </row>
    <row r="800" spans="1:49" ht="20.100000000000001" customHeight="1">
      <c r="A8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5" t="str">
        <f ca="1">IF(NOTA[[#This Row],[NAMA BARANG]]="","",INDEX(NOTA[ID],MATCH(,INDIRECT(ADDRESS(ROW(NOTA[ID]),COLUMN(NOTA[ID]))&amp;":"&amp;ADDRESS(ROW(),COLUMN(NOTA[ID]))),-1)))</f>
        <v/>
      </c>
      <c r="C800" s="45"/>
      <c r="F800" s="46"/>
      <c r="G800" s="35"/>
      <c r="H800" s="36"/>
      <c r="I800" s="35"/>
      <c r="K800" s="37"/>
      <c r="L800" s="35"/>
      <c r="N800" s="38"/>
      <c r="O800" s="39"/>
      <c r="P800" s="47"/>
      <c r="Q800" s="48"/>
      <c r="R800" s="41"/>
      <c r="T800" s="42"/>
      <c r="U800" s="44"/>
      <c r="V800" s="42" t="str">
        <f>IF(NOTA[[#This Row],[HARGA/ CTN]]="",NOTA[[#This Row],[JUMLAH_H]],NOTA[[#This Row],[HARGA/ CTN]]*IF(NOTA[[#This Row],[C]]="",0,NOTA[[#This Row],[C]]))</f>
        <v/>
      </c>
      <c r="W800" s="42" t="str">
        <f>IF(NOTA[[#This Row],[JUMLAH]]="","",NOTA[[#This Row],[JUMLAH]]*NOTA[[#This Row],[Column6]])</f>
        <v/>
      </c>
      <c r="X800" s="42" t="str">
        <f>IF(NOTA[[#This Row],[JUMLAH]]="","",(NOTA[[#This Row],[JUMLAH]]-NOTA[[#This Row],[DISC 1-]])*NOTA[[#This Row],[Column7]])</f>
        <v/>
      </c>
      <c r="Y800" s="42" t="str">
        <f>IF(NOTA[[#This Row],[JUMLAH]]="","",(NOTA[[#This Row],[JUMLAH]]-NOTA[[#This Row],[DISC 1-]]-NOTA[[#This Row],[DISC 2-]])*NOTA[[#This Row],[Column8]])</f>
        <v/>
      </c>
      <c r="Z800" s="42" t="str">
        <f>IF(NOTA[[#This Row],[JUMLAH]]="","",NOTA[[#This Row],[DISC 1-]]+NOTA[[#This Row],[DISC 2-]]+NOTA[[#This Row],[DISC 3-]])</f>
        <v/>
      </c>
      <c r="AA800" s="42" t="str">
        <f>IF(NOTA[[#This Row],[JUMLAH]]="","",NOTA[[#This Row],[JUMLAH]]-NOTA[[#This Row],[DISC]])</f>
        <v/>
      </c>
      <c r="AB800" s="42"/>
      <c r="AC8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42" t="str">
        <f>IF(OR(NOTA[[#This Row],[QTY]]="",NOTA[[#This Row],[HARGA SATUAN]]="",),"",NOTA[[#This Row],[QTY]]*NOTA[[#This Row],[HARGA SATUAN]])</f>
        <v/>
      </c>
      <c r="AG800" s="36" t="str">
        <f ca="1">IF(NOTA[[#This Row],[ID_H]]="","",INDEX(NOTA[TANGGAL],MATCH(,INDIRECT(ADDRESS(ROW(NOTA[TANGGAL]),COLUMN(NOTA[TANGGAL]))&amp;":"&amp;ADDRESS(ROW(),COLUMN(NOTA[TANGGAL]))),-1)))</f>
        <v/>
      </c>
      <c r="AH800" s="36" t="str">
        <f ca="1">IF(NOTA[[#This Row],[ID_H]]="","",INDEX(NOTA[TGL.NOTA],MATCH(,INDIRECT(ADDRESS(ROW(NOTA[TGL.NOTA]),COLUMN(NOTA[TGL.NOTA]))&amp;":"&amp;ADDRESS(ROW(),COLUMN(NOTA[TGL.NOTA]))),-1)))</f>
        <v/>
      </c>
      <c r="AI800" s="36" t="str">
        <f ca="1">IF(NOTA[[#This Row],[ID_H]]="","",INDEX(NOTA[NO.NOTA],MATCH(NOTA[[#This Row],[ID_H]],NOTA[ID_H],0)))</f>
        <v/>
      </c>
      <c r="AJ800" s="38" t="str">
        <f ca="1">IF(NOTA[[#This Row],[NAMA BARANG]]="","",INDEX(NOTA[SUPPLIER],MATCH(,INDIRECT(ADDRESS(ROW(NOTA[ID]),COLUMN(NOTA[ID]))&amp;":"&amp;ADDRESS(ROW(),COLUMN(NOTA[ID]))),-1)))</f>
        <v/>
      </c>
      <c r="AK800" s="38" t="str">
        <f ca="1">IF(NOTA[[#This Row],[ID_H]]="","",IF(NOTA[[#This Row],[FAKTUR]]="",INDIRECT(ADDRESS(ROW()-1,COLUMN())),NOTA[[#This Row],[FAKTUR]]))</f>
        <v/>
      </c>
      <c r="AL800" s="35" t="str">
        <f ca="1">IF(NOTA[[#This Row],[ID]]="","",COUNTIF(NOTA[ID_H],NOTA[[#This Row],[ID_H]]))</f>
        <v/>
      </c>
      <c r="AM800" s="35" t="str">
        <f ca="1">IF(NOTA[[#This Row],[TGL.NOTA]]="",IF(NOTA[[#This Row],[SUPPLIER_H]]="","",AM799),MONTH(NOTA[[#This Row],[TGL.NOTA]]))</f>
        <v/>
      </c>
      <c r="AN8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0" s="35" t="str">
        <f>IF(NOTA[[#This Row],[CONCAT1]]="","",MATCH(NOTA[[#This Row],[CONCAT1]],[3]!db[NB NOTA_C],0))</f>
        <v/>
      </c>
      <c r="AS800" s="35" t="str">
        <f>IF(NOTA[[#This Row],[Column5]]="","",TRUE)</f>
        <v/>
      </c>
      <c r="AT800" s="35" t="str">
        <f ca="1">IF(NOTA[[#This Row],[ID_H]]="","",IF(NOTA[[#This Row],[Column3]]=TRUE,NOTA[[#This Row],[Column5]],INDEX([3]!db[QTY/ CTN],NOTA[[#This Row],[//DB]])))</f>
        <v/>
      </c>
      <c r="AU8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0" s="35" t="str">
        <f ca="1">IF(NOTA[[#This Row],[ID_H]]="","",MATCH(NOTA[[#This Row],[NB NOTA_C_QTY]],[3]!db[NB NOTA_C_QTY+F],0))</f>
        <v/>
      </c>
      <c r="AW800" s="43" t="str">
        <f ca="1">IF(NOTA[[#This Row],[NB NOTA_C_QTY]]="","",ROW()-2)</f>
        <v/>
      </c>
    </row>
    <row r="801" spans="1:49" ht="20.100000000000001" customHeight="1">
      <c r="A8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5" t="str">
        <f ca="1">IF(NOTA[[#This Row],[NAMA BARANG]]="","",INDEX(NOTA[ID],MATCH(,INDIRECT(ADDRESS(ROW(NOTA[ID]),COLUMN(NOTA[ID]))&amp;":"&amp;ADDRESS(ROW(),COLUMN(NOTA[ID]))),-1)))</f>
        <v/>
      </c>
      <c r="C801" s="45"/>
      <c r="F801" s="46"/>
      <c r="G801" s="35"/>
      <c r="H801" s="36"/>
      <c r="I801" s="35"/>
      <c r="K801" s="37"/>
      <c r="L801" s="35"/>
      <c r="N801" s="38"/>
      <c r="O801" s="39"/>
      <c r="P801" s="47"/>
      <c r="Q801" s="48"/>
      <c r="R801" s="41"/>
      <c r="T801" s="42"/>
      <c r="U801" s="44"/>
      <c r="V801" s="42" t="str">
        <f>IF(NOTA[[#This Row],[HARGA/ CTN]]="",NOTA[[#This Row],[JUMLAH_H]],NOTA[[#This Row],[HARGA/ CTN]]*IF(NOTA[[#This Row],[C]]="",0,NOTA[[#This Row],[C]]))</f>
        <v/>
      </c>
      <c r="W801" s="42" t="str">
        <f>IF(NOTA[[#This Row],[JUMLAH]]="","",NOTA[[#This Row],[JUMLAH]]*NOTA[[#This Row],[Column6]])</f>
        <v/>
      </c>
      <c r="X801" s="42" t="str">
        <f>IF(NOTA[[#This Row],[JUMLAH]]="","",(NOTA[[#This Row],[JUMLAH]]-NOTA[[#This Row],[DISC 1-]])*NOTA[[#This Row],[Column7]])</f>
        <v/>
      </c>
      <c r="Y801" s="42" t="str">
        <f>IF(NOTA[[#This Row],[JUMLAH]]="","",(NOTA[[#This Row],[JUMLAH]]-NOTA[[#This Row],[DISC 1-]]-NOTA[[#This Row],[DISC 2-]])*NOTA[[#This Row],[Column8]])</f>
        <v/>
      </c>
      <c r="Z801" s="42" t="str">
        <f>IF(NOTA[[#This Row],[JUMLAH]]="","",NOTA[[#This Row],[DISC 1-]]+NOTA[[#This Row],[DISC 2-]]+NOTA[[#This Row],[DISC 3-]])</f>
        <v/>
      </c>
      <c r="AA801" s="42" t="str">
        <f>IF(NOTA[[#This Row],[JUMLAH]]="","",NOTA[[#This Row],[JUMLAH]]-NOTA[[#This Row],[DISC]])</f>
        <v/>
      </c>
      <c r="AB801" s="42"/>
      <c r="AC8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42" t="str">
        <f>IF(OR(NOTA[[#This Row],[QTY]]="",NOTA[[#This Row],[HARGA SATUAN]]="",),"",NOTA[[#This Row],[QTY]]*NOTA[[#This Row],[HARGA SATUAN]])</f>
        <v/>
      </c>
      <c r="AG801" s="36" t="str">
        <f ca="1">IF(NOTA[[#This Row],[ID_H]]="","",INDEX(NOTA[TANGGAL],MATCH(,INDIRECT(ADDRESS(ROW(NOTA[TANGGAL]),COLUMN(NOTA[TANGGAL]))&amp;":"&amp;ADDRESS(ROW(),COLUMN(NOTA[TANGGAL]))),-1)))</f>
        <v/>
      </c>
      <c r="AH801" s="36" t="str">
        <f ca="1">IF(NOTA[[#This Row],[ID_H]]="","",INDEX(NOTA[TGL.NOTA],MATCH(,INDIRECT(ADDRESS(ROW(NOTA[TGL.NOTA]),COLUMN(NOTA[TGL.NOTA]))&amp;":"&amp;ADDRESS(ROW(),COLUMN(NOTA[TGL.NOTA]))),-1)))</f>
        <v/>
      </c>
      <c r="AI801" s="36" t="str">
        <f ca="1">IF(NOTA[[#This Row],[ID_H]]="","",INDEX(NOTA[NO.NOTA],MATCH(NOTA[[#This Row],[ID_H]],NOTA[ID_H],0)))</f>
        <v/>
      </c>
      <c r="AJ801" s="38" t="str">
        <f ca="1">IF(NOTA[[#This Row],[NAMA BARANG]]="","",INDEX(NOTA[SUPPLIER],MATCH(,INDIRECT(ADDRESS(ROW(NOTA[ID]),COLUMN(NOTA[ID]))&amp;":"&amp;ADDRESS(ROW(),COLUMN(NOTA[ID]))),-1)))</f>
        <v/>
      </c>
      <c r="AK801" s="38" t="str">
        <f ca="1">IF(NOTA[[#This Row],[ID_H]]="","",IF(NOTA[[#This Row],[FAKTUR]]="",INDIRECT(ADDRESS(ROW()-1,COLUMN())),NOTA[[#This Row],[FAKTUR]]))</f>
        <v/>
      </c>
      <c r="AL801" s="35" t="str">
        <f ca="1">IF(NOTA[[#This Row],[ID]]="","",COUNTIF(NOTA[ID_H],NOTA[[#This Row],[ID_H]]))</f>
        <v/>
      </c>
      <c r="AM801" s="35" t="str">
        <f ca="1">IF(NOTA[[#This Row],[TGL.NOTA]]="",IF(NOTA[[#This Row],[SUPPLIER_H]]="","",AM800),MONTH(NOTA[[#This Row],[TGL.NOTA]]))</f>
        <v/>
      </c>
      <c r="AN8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1" s="35" t="str">
        <f>IF(NOTA[[#This Row],[CONCAT1]]="","",MATCH(NOTA[[#This Row],[CONCAT1]],[3]!db[NB NOTA_C],0))</f>
        <v/>
      </c>
      <c r="AS801" s="35" t="str">
        <f>IF(NOTA[[#This Row],[Column5]]="","",TRUE)</f>
        <v/>
      </c>
      <c r="AT801" s="35" t="str">
        <f ca="1">IF(NOTA[[#This Row],[ID_H]]="","",IF(NOTA[[#This Row],[Column3]]=TRUE,NOTA[[#This Row],[Column5]],INDEX([3]!db[QTY/ CTN],NOTA[[#This Row],[//DB]])))</f>
        <v/>
      </c>
      <c r="AU8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1" s="35" t="str">
        <f ca="1">IF(NOTA[[#This Row],[ID_H]]="","",MATCH(NOTA[[#This Row],[NB NOTA_C_QTY]],[3]!db[NB NOTA_C_QTY+F],0))</f>
        <v/>
      </c>
      <c r="AW801" s="43" t="str">
        <f ca="1">IF(NOTA[[#This Row],[NB NOTA_C_QTY]]="","",ROW()-2)</f>
        <v/>
      </c>
    </row>
    <row r="802" spans="1:49" ht="20.100000000000001" customHeight="1">
      <c r="A8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5" t="str">
        <f ca="1">IF(NOTA[[#This Row],[NAMA BARANG]]="","",INDEX(NOTA[ID],MATCH(,INDIRECT(ADDRESS(ROW(NOTA[ID]),COLUMN(NOTA[ID]))&amp;":"&amp;ADDRESS(ROW(),COLUMN(NOTA[ID]))),-1)))</f>
        <v/>
      </c>
      <c r="C802" s="45"/>
      <c r="F802" s="46"/>
      <c r="G802" s="35"/>
      <c r="H802" s="36"/>
      <c r="I802" s="35"/>
      <c r="K802" s="37"/>
      <c r="L802" s="35"/>
      <c r="N802" s="38"/>
      <c r="O802" s="39"/>
      <c r="P802" s="47"/>
      <c r="Q802" s="48"/>
      <c r="R802" s="41"/>
      <c r="T802" s="42"/>
      <c r="U802" s="44"/>
      <c r="V802" s="42" t="str">
        <f>IF(NOTA[[#This Row],[HARGA/ CTN]]="",NOTA[[#This Row],[JUMLAH_H]],NOTA[[#This Row],[HARGA/ CTN]]*IF(NOTA[[#This Row],[C]]="",0,NOTA[[#This Row],[C]]))</f>
        <v/>
      </c>
      <c r="W802" s="42" t="str">
        <f>IF(NOTA[[#This Row],[JUMLAH]]="","",NOTA[[#This Row],[JUMLAH]]*NOTA[[#This Row],[Column6]])</f>
        <v/>
      </c>
      <c r="X802" s="42" t="str">
        <f>IF(NOTA[[#This Row],[JUMLAH]]="","",(NOTA[[#This Row],[JUMLAH]]-NOTA[[#This Row],[DISC 1-]])*NOTA[[#This Row],[Column7]])</f>
        <v/>
      </c>
      <c r="Y802" s="42" t="str">
        <f>IF(NOTA[[#This Row],[JUMLAH]]="","",(NOTA[[#This Row],[JUMLAH]]-NOTA[[#This Row],[DISC 1-]]-NOTA[[#This Row],[DISC 2-]])*NOTA[[#This Row],[Column8]])</f>
        <v/>
      </c>
      <c r="Z802" s="42" t="str">
        <f>IF(NOTA[[#This Row],[JUMLAH]]="","",NOTA[[#This Row],[DISC 1-]]+NOTA[[#This Row],[DISC 2-]]+NOTA[[#This Row],[DISC 3-]])</f>
        <v/>
      </c>
      <c r="AA802" s="42" t="str">
        <f>IF(NOTA[[#This Row],[JUMLAH]]="","",NOTA[[#This Row],[JUMLAH]]-NOTA[[#This Row],[DISC]])</f>
        <v/>
      </c>
      <c r="AB802" s="42"/>
      <c r="AC8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42" t="str">
        <f>IF(OR(NOTA[[#This Row],[QTY]]="",NOTA[[#This Row],[HARGA SATUAN]]="",),"",NOTA[[#This Row],[QTY]]*NOTA[[#This Row],[HARGA SATUAN]])</f>
        <v/>
      </c>
      <c r="AG802" s="36" t="str">
        <f ca="1">IF(NOTA[[#This Row],[ID_H]]="","",INDEX(NOTA[TANGGAL],MATCH(,INDIRECT(ADDRESS(ROW(NOTA[TANGGAL]),COLUMN(NOTA[TANGGAL]))&amp;":"&amp;ADDRESS(ROW(),COLUMN(NOTA[TANGGAL]))),-1)))</f>
        <v/>
      </c>
      <c r="AH802" s="36" t="str">
        <f ca="1">IF(NOTA[[#This Row],[ID_H]]="","",INDEX(NOTA[TGL.NOTA],MATCH(,INDIRECT(ADDRESS(ROW(NOTA[TGL.NOTA]),COLUMN(NOTA[TGL.NOTA]))&amp;":"&amp;ADDRESS(ROW(),COLUMN(NOTA[TGL.NOTA]))),-1)))</f>
        <v/>
      </c>
      <c r="AI802" s="36" t="str">
        <f ca="1">IF(NOTA[[#This Row],[ID_H]]="","",INDEX(NOTA[NO.NOTA],MATCH(NOTA[[#This Row],[ID_H]],NOTA[ID_H],0)))</f>
        <v/>
      </c>
      <c r="AJ802" s="38" t="str">
        <f ca="1">IF(NOTA[[#This Row],[NAMA BARANG]]="","",INDEX(NOTA[SUPPLIER],MATCH(,INDIRECT(ADDRESS(ROW(NOTA[ID]),COLUMN(NOTA[ID]))&amp;":"&amp;ADDRESS(ROW(),COLUMN(NOTA[ID]))),-1)))</f>
        <v/>
      </c>
      <c r="AK802" s="38" t="str">
        <f ca="1">IF(NOTA[[#This Row],[ID_H]]="","",IF(NOTA[[#This Row],[FAKTUR]]="",INDIRECT(ADDRESS(ROW()-1,COLUMN())),NOTA[[#This Row],[FAKTUR]]))</f>
        <v/>
      </c>
      <c r="AL802" s="35" t="str">
        <f ca="1">IF(NOTA[[#This Row],[ID]]="","",COUNTIF(NOTA[ID_H],NOTA[[#This Row],[ID_H]]))</f>
        <v/>
      </c>
      <c r="AM802" s="35" t="str">
        <f ca="1">IF(NOTA[[#This Row],[TGL.NOTA]]="",IF(NOTA[[#This Row],[SUPPLIER_H]]="","",AM801),MONTH(NOTA[[#This Row],[TGL.NOTA]]))</f>
        <v/>
      </c>
      <c r="AN8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2" s="35" t="str">
        <f>IF(NOTA[[#This Row],[CONCAT1]]="","",MATCH(NOTA[[#This Row],[CONCAT1]],[3]!db[NB NOTA_C],0))</f>
        <v/>
      </c>
      <c r="AS802" s="35" t="str">
        <f>IF(NOTA[[#This Row],[Column5]]="","",TRUE)</f>
        <v/>
      </c>
      <c r="AT802" s="35" t="str">
        <f ca="1">IF(NOTA[[#This Row],[ID_H]]="","",IF(NOTA[[#This Row],[Column3]]=TRUE,NOTA[[#This Row],[Column5]],INDEX([3]!db[QTY/ CTN],NOTA[[#This Row],[//DB]])))</f>
        <v/>
      </c>
      <c r="AU8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2" s="35" t="str">
        <f ca="1">IF(NOTA[[#This Row],[ID_H]]="","",MATCH(NOTA[[#This Row],[NB NOTA_C_QTY]],[3]!db[NB NOTA_C_QTY+F],0))</f>
        <v/>
      </c>
      <c r="AW802" s="43" t="str">
        <f ca="1">IF(NOTA[[#This Row],[NB NOTA_C_QTY]]="","",ROW()-2)</f>
        <v/>
      </c>
    </row>
    <row r="803" spans="1:49" ht="20.100000000000001" customHeight="1">
      <c r="A8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5" t="str">
        <f ca="1">IF(NOTA[[#This Row],[NAMA BARANG]]="","",INDEX(NOTA[ID],MATCH(,INDIRECT(ADDRESS(ROW(NOTA[ID]),COLUMN(NOTA[ID]))&amp;":"&amp;ADDRESS(ROW(),COLUMN(NOTA[ID]))),-1)))</f>
        <v/>
      </c>
      <c r="C803" s="45"/>
      <c r="F803" s="46"/>
      <c r="G803" s="35"/>
      <c r="H803" s="36"/>
      <c r="I803" s="35"/>
      <c r="K803" s="37"/>
      <c r="L803" s="35"/>
      <c r="N803" s="38"/>
      <c r="O803" s="39"/>
      <c r="P803" s="47"/>
      <c r="Q803" s="48"/>
      <c r="R803" s="41"/>
      <c r="T803" s="42"/>
      <c r="U803" s="44"/>
      <c r="V803" s="42" t="str">
        <f>IF(NOTA[[#This Row],[HARGA/ CTN]]="",NOTA[[#This Row],[JUMLAH_H]],NOTA[[#This Row],[HARGA/ CTN]]*IF(NOTA[[#This Row],[C]]="",0,NOTA[[#This Row],[C]]))</f>
        <v/>
      </c>
      <c r="W803" s="42" t="str">
        <f>IF(NOTA[[#This Row],[JUMLAH]]="","",NOTA[[#This Row],[JUMLAH]]*NOTA[[#This Row],[Column6]])</f>
        <v/>
      </c>
      <c r="X803" s="42" t="str">
        <f>IF(NOTA[[#This Row],[JUMLAH]]="","",(NOTA[[#This Row],[JUMLAH]]-NOTA[[#This Row],[DISC 1-]])*NOTA[[#This Row],[Column7]])</f>
        <v/>
      </c>
      <c r="Y803" s="42" t="str">
        <f>IF(NOTA[[#This Row],[JUMLAH]]="","",(NOTA[[#This Row],[JUMLAH]]-NOTA[[#This Row],[DISC 1-]]-NOTA[[#This Row],[DISC 2-]])*NOTA[[#This Row],[Column8]])</f>
        <v/>
      </c>
      <c r="Z803" s="42" t="str">
        <f>IF(NOTA[[#This Row],[JUMLAH]]="","",NOTA[[#This Row],[DISC 1-]]+NOTA[[#This Row],[DISC 2-]]+NOTA[[#This Row],[DISC 3-]])</f>
        <v/>
      </c>
      <c r="AA803" s="42" t="str">
        <f>IF(NOTA[[#This Row],[JUMLAH]]="","",NOTA[[#This Row],[JUMLAH]]-NOTA[[#This Row],[DISC]])</f>
        <v/>
      </c>
      <c r="AB803" s="42"/>
      <c r="AC8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42" t="str">
        <f>IF(OR(NOTA[[#This Row],[QTY]]="",NOTA[[#This Row],[HARGA SATUAN]]="",),"",NOTA[[#This Row],[QTY]]*NOTA[[#This Row],[HARGA SATUAN]])</f>
        <v/>
      </c>
      <c r="AG803" s="36" t="str">
        <f ca="1">IF(NOTA[[#This Row],[ID_H]]="","",INDEX(NOTA[TANGGAL],MATCH(,INDIRECT(ADDRESS(ROW(NOTA[TANGGAL]),COLUMN(NOTA[TANGGAL]))&amp;":"&amp;ADDRESS(ROW(),COLUMN(NOTA[TANGGAL]))),-1)))</f>
        <v/>
      </c>
      <c r="AH803" s="36" t="str">
        <f ca="1">IF(NOTA[[#This Row],[ID_H]]="","",INDEX(NOTA[TGL.NOTA],MATCH(,INDIRECT(ADDRESS(ROW(NOTA[TGL.NOTA]),COLUMN(NOTA[TGL.NOTA]))&amp;":"&amp;ADDRESS(ROW(),COLUMN(NOTA[TGL.NOTA]))),-1)))</f>
        <v/>
      </c>
      <c r="AI803" s="36" t="str">
        <f ca="1">IF(NOTA[[#This Row],[ID_H]]="","",INDEX(NOTA[NO.NOTA],MATCH(NOTA[[#This Row],[ID_H]],NOTA[ID_H],0)))</f>
        <v/>
      </c>
      <c r="AJ803" s="38" t="str">
        <f ca="1">IF(NOTA[[#This Row],[NAMA BARANG]]="","",INDEX(NOTA[SUPPLIER],MATCH(,INDIRECT(ADDRESS(ROW(NOTA[ID]),COLUMN(NOTA[ID]))&amp;":"&amp;ADDRESS(ROW(),COLUMN(NOTA[ID]))),-1)))</f>
        <v/>
      </c>
      <c r="AK803" s="38" t="str">
        <f ca="1">IF(NOTA[[#This Row],[ID_H]]="","",IF(NOTA[[#This Row],[FAKTUR]]="",INDIRECT(ADDRESS(ROW()-1,COLUMN())),NOTA[[#This Row],[FAKTUR]]))</f>
        <v/>
      </c>
      <c r="AL803" s="35" t="str">
        <f ca="1">IF(NOTA[[#This Row],[ID]]="","",COUNTIF(NOTA[ID_H],NOTA[[#This Row],[ID_H]]))</f>
        <v/>
      </c>
      <c r="AM803" s="35" t="str">
        <f ca="1">IF(NOTA[[#This Row],[TGL.NOTA]]="",IF(NOTA[[#This Row],[SUPPLIER_H]]="","",AM802),MONTH(NOTA[[#This Row],[TGL.NOTA]]))</f>
        <v/>
      </c>
      <c r="AN8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3" s="35" t="str">
        <f>IF(NOTA[[#This Row],[CONCAT1]]="","",MATCH(NOTA[[#This Row],[CONCAT1]],[3]!db[NB NOTA_C],0))</f>
        <v/>
      </c>
      <c r="AS803" s="35" t="str">
        <f>IF(NOTA[[#This Row],[Column5]]="","",TRUE)</f>
        <v/>
      </c>
      <c r="AT803" s="35" t="str">
        <f ca="1">IF(NOTA[[#This Row],[ID_H]]="","",IF(NOTA[[#This Row],[Column3]]=TRUE,NOTA[[#This Row],[Column5]],INDEX([3]!db[QTY/ CTN],NOTA[[#This Row],[//DB]])))</f>
        <v/>
      </c>
      <c r="AU8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3" s="35" t="str">
        <f ca="1">IF(NOTA[[#This Row],[ID_H]]="","",MATCH(NOTA[[#This Row],[NB NOTA_C_QTY]],[3]!db[NB NOTA_C_QTY+F],0))</f>
        <v/>
      </c>
      <c r="AW803" s="43" t="str">
        <f ca="1">IF(NOTA[[#This Row],[NB NOTA_C_QTY]]="","",ROW()-2)</f>
        <v/>
      </c>
    </row>
    <row r="804" spans="1:49" ht="20.100000000000001" customHeight="1">
      <c r="A8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5" t="str">
        <f ca="1">IF(NOTA[[#This Row],[NAMA BARANG]]="","",INDEX(NOTA[ID],MATCH(,INDIRECT(ADDRESS(ROW(NOTA[ID]),COLUMN(NOTA[ID]))&amp;":"&amp;ADDRESS(ROW(),COLUMN(NOTA[ID]))),-1)))</f>
        <v/>
      </c>
      <c r="C804" s="45"/>
      <c r="F804" s="46"/>
      <c r="G804" s="35"/>
      <c r="H804" s="36"/>
      <c r="I804" s="35"/>
      <c r="K804" s="37"/>
      <c r="L804" s="35"/>
      <c r="N804" s="38"/>
      <c r="O804" s="39"/>
      <c r="P804" s="47"/>
      <c r="Q804" s="48"/>
      <c r="R804" s="41"/>
      <c r="T804" s="42"/>
      <c r="U804" s="44"/>
      <c r="V804" s="42" t="str">
        <f>IF(NOTA[[#This Row],[HARGA/ CTN]]="",NOTA[[#This Row],[JUMLAH_H]],NOTA[[#This Row],[HARGA/ CTN]]*IF(NOTA[[#This Row],[C]]="",0,NOTA[[#This Row],[C]]))</f>
        <v/>
      </c>
      <c r="W804" s="42" t="str">
        <f>IF(NOTA[[#This Row],[JUMLAH]]="","",NOTA[[#This Row],[JUMLAH]]*NOTA[[#This Row],[Column6]])</f>
        <v/>
      </c>
      <c r="X804" s="42" t="str">
        <f>IF(NOTA[[#This Row],[JUMLAH]]="","",(NOTA[[#This Row],[JUMLAH]]-NOTA[[#This Row],[DISC 1-]])*NOTA[[#This Row],[Column7]])</f>
        <v/>
      </c>
      <c r="Y804" s="42" t="str">
        <f>IF(NOTA[[#This Row],[JUMLAH]]="","",(NOTA[[#This Row],[JUMLAH]]-NOTA[[#This Row],[DISC 1-]]-NOTA[[#This Row],[DISC 2-]])*NOTA[[#This Row],[Column8]])</f>
        <v/>
      </c>
      <c r="Z804" s="42" t="str">
        <f>IF(NOTA[[#This Row],[JUMLAH]]="","",NOTA[[#This Row],[DISC 1-]]+NOTA[[#This Row],[DISC 2-]]+NOTA[[#This Row],[DISC 3-]])</f>
        <v/>
      </c>
      <c r="AA804" s="42" t="str">
        <f>IF(NOTA[[#This Row],[JUMLAH]]="","",NOTA[[#This Row],[JUMLAH]]-NOTA[[#This Row],[DISC]])</f>
        <v/>
      </c>
      <c r="AB804" s="42"/>
      <c r="AC8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42" t="str">
        <f>IF(OR(NOTA[[#This Row],[QTY]]="",NOTA[[#This Row],[HARGA SATUAN]]="",),"",NOTA[[#This Row],[QTY]]*NOTA[[#This Row],[HARGA SATUAN]])</f>
        <v/>
      </c>
      <c r="AG804" s="36" t="str">
        <f ca="1">IF(NOTA[[#This Row],[ID_H]]="","",INDEX(NOTA[TANGGAL],MATCH(,INDIRECT(ADDRESS(ROW(NOTA[TANGGAL]),COLUMN(NOTA[TANGGAL]))&amp;":"&amp;ADDRESS(ROW(),COLUMN(NOTA[TANGGAL]))),-1)))</f>
        <v/>
      </c>
      <c r="AH804" s="36" t="str">
        <f ca="1">IF(NOTA[[#This Row],[ID_H]]="","",INDEX(NOTA[TGL.NOTA],MATCH(,INDIRECT(ADDRESS(ROW(NOTA[TGL.NOTA]),COLUMN(NOTA[TGL.NOTA]))&amp;":"&amp;ADDRESS(ROW(),COLUMN(NOTA[TGL.NOTA]))),-1)))</f>
        <v/>
      </c>
      <c r="AI804" s="36" t="str">
        <f ca="1">IF(NOTA[[#This Row],[ID_H]]="","",INDEX(NOTA[NO.NOTA],MATCH(NOTA[[#This Row],[ID_H]],NOTA[ID_H],0)))</f>
        <v/>
      </c>
      <c r="AJ804" s="38" t="str">
        <f ca="1">IF(NOTA[[#This Row],[NAMA BARANG]]="","",INDEX(NOTA[SUPPLIER],MATCH(,INDIRECT(ADDRESS(ROW(NOTA[ID]),COLUMN(NOTA[ID]))&amp;":"&amp;ADDRESS(ROW(),COLUMN(NOTA[ID]))),-1)))</f>
        <v/>
      </c>
      <c r="AK804" s="38" t="str">
        <f ca="1">IF(NOTA[[#This Row],[ID_H]]="","",IF(NOTA[[#This Row],[FAKTUR]]="",INDIRECT(ADDRESS(ROW()-1,COLUMN())),NOTA[[#This Row],[FAKTUR]]))</f>
        <v/>
      </c>
      <c r="AL804" s="35" t="str">
        <f ca="1">IF(NOTA[[#This Row],[ID]]="","",COUNTIF(NOTA[ID_H],NOTA[[#This Row],[ID_H]]))</f>
        <v/>
      </c>
      <c r="AM804" s="35" t="str">
        <f ca="1">IF(NOTA[[#This Row],[TGL.NOTA]]="",IF(NOTA[[#This Row],[SUPPLIER_H]]="","",AM803),MONTH(NOTA[[#This Row],[TGL.NOTA]]))</f>
        <v/>
      </c>
      <c r="AN8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4" s="35" t="str">
        <f>IF(NOTA[[#This Row],[CONCAT1]]="","",MATCH(NOTA[[#This Row],[CONCAT1]],[3]!db[NB NOTA_C],0))</f>
        <v/>
      </c>
      <c r="AS804" s="35" t="str">
        <f>IF(NOTA[[#This Row],[Column5]]="","",TRUE)</f>
        <v/>
      </c>
      <c r="AT804" s="35" t="str">
        <f ca="1">IF(NOTA[[#This Row],[ID_H]]="","",IF(NOTA[[#This Row],[Column3]]=TRUE,NOTA[[#This Row],[Column5]],INDEX([3]!db[QTY/ CTN],NOTA[[#This Row],[//DB]])))</f>
        <v/>
      </c>
      <c r="AU8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4" s="35" t="str">
        <f ca="1">IF(NOTA[[#This Row],[ID_H]]="","",MATCH(NOTA[[#This Row],[NB NOTA_C_QTY]],[3]!db[NB NOTA_C_QTY+F],0))</f>
        <v/>
      </c>
      <c r="AW804" s="43" t="str">
        <f ca="1">IF(NOTA[[#This Row],[NB NOTA_C_QTY]]="","",ROW()-2)</f>
        <v/>
      </c>
    </row>
    <row r="805" spans="1:49" ht="20.100000000000001" customHeight="1">
      <c r="A8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5" t="str">
        <f ca="1">IF(NOTA[[#This Row],[NAMA BARANG]]="","",INDEX(NOTA[ID],MATCH(,INDIRECT(ADDRESS(ROW(NOTA[ID]),COLUMN(NOTA[ID]))&amp;":"&amp;ADDRESS(ROW(),COLUMN(NOTA[ID]))),-1)))</f>
        <v/>
      </c>
      <c r="C805" s="45"/>
      <c r="F805" s="46"/>
      <c r="G805" s="35"/>
      <c r="H805" s="36"/>
      <c r="I805" s="35"/>
      <c r="K805" s="37"/>
      <c r="L805" s="35"/>
      <c r="N805" s="38"/>
      <c r="O805" s="39"/>
      <c r="P805" s="47"/>
      <c r="Q805" s="48"/>
      <c r="R805" s="41"/>
      <c r="T805" s="42"/>
      <c r="U805" s="44"/>
      <c r="V805" s="42" t="str">
        <f>IF(NOTA[[#This Row],[HARGA/ CTN]]="",NOTA[[#This Row],[JUMLAH_H]],NOTA[[#This Row],[HARGA/ CTN]]*IF(NOTA[[#This Row],[C]]="",0,NOTA[[#This Row],[C]]))</f>
        <v/>
      </c>
      <c r="W805" s="42" t="str">
        <f>IF(NOTA[[#This Row],[JUMLAH]]="","",NOTA[[#This Row],[JUMLAH]]*NOTA[[#This Row],[Column6]])</f>
        <v/>
      </c>
      <c r="X805" s="42" t="str">
        <f>IF(NOTA[[#This Row],[JUMLAH]]="","",(NOTA[[#This Row],[JUMLAH]]-NOTA[[#This Row],[DISC 1-]])*NOTA[[#This Row],[Column7]])</f>
        <v/>
      </c>
      <c r="Y805" s="42" t="str">
        <f>IF(NOTA[[#This Row],[JUMLAH]]="","",(NOTA[[#This Row],[JUMLAH]]-NOTA[[#This Row],[DISC 1-]]-NOTA[[#This Row],[DISC 2-]])*NOTA[[#This Row],[Column8]])</f>
        <v/>
      </c>
      <c r="Z805" s="42" t="str">
        <f>IF(NOTA[[#This Row],[JUMLAH]]="","",NOTA[[#This Row],[DISC 1-]]+NOTA[[#This Row],[DISC 2-]]+NOTA[[#This Row],[DISC 3-]])</f>
        <v/>
      </c>
      <c r="AA805" s="42" t="str">
        <f>IF(NOTA[[#This Row],[JUMLAH]]="","",NOTA[[#This Row],[JUMLAH]]-NOTA[[#This Row],[DISC]])</f>
        <v/>
      </c>
      <c r="AB805" s="42"/>
      <c r="AC8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42" t="str">
        <f>IF(OR(NOTA[[#This Row],[QTY]]="",NOTA[[#This Row],[HARGA SATUAN]]="",),"",NOTA[[#This Row],[QTY]]*NOTA[[#This Row],[HARGA SATUAN]])</f>
        <v/>
      </c>
      <c r="AG805" s="36" t="str">
        <f ca="1">IF(NOTA[[#This Row],[ID_H]]="","",INDEX(NOTA[TANGGAL],MATCH(,INDIRECT(ADDRESS(ROW(NOTA[TANGGAL]),COLUMN(NOTA[TANGGAL]))&amp;":"&amp;ADDRESS(ROW(),COLUMN(NOTA[TANGGAL]))),-1)))</f>
        <v/>
      </c>
      <c r="AH805" s="36" t="str">
        <f ca="1">IF(NOTA[[#This Row],[ID_H]]="","",INDEX(NOTA[TGL.NOTA],MATCH(,INDIRECT(ADDRESS(ROW(NOTA[TGL.NOTA]),COLUMN(NOTA[TGL.NOTA]))&amp;":"&amp;ADDRESS(ROW(),COLUMN(NOTA[TGL.NOTA]))),-1)))</f>
        <v/>
      </c>
      <c r="AI805" s="36" t="str">
        <f ca="1">IF(NOTA[[#This Row],[ID_H]]="","",INDEX(NOTA[NO.NOTA],MATCH(NOTA[[#This Row],[ID_H]],NOTA[ID_H],0)))</f>
        <v/>
      </c>
      <c r="AJ805" s="38" t="str">
        <f ca="1">IF(NOTA[[#This Row],[NAMA BARANG]]="","",INDEX(NOTA[SUPPLIER],MATCH(,INDIRECT(ADDRESS(ROW(NOTA[ID]),COLUMN(NOTA[ID]))&amp;":"&amp;ADDRESS(ROW(),COLUMN(NOTA[ID]))),-1)))</f>
        <v/>
      </c>
      <c r="AK805" s="38" t="str">
        <f ca="1">IF(NOTA[[#This Row],[ID_H]]="","",IF(NOTA[[#This Row],[FAKTUR]]="",INDIRECT(ADDRESS(ROW()-1,COLUMN())),NOTA[[#This Row],[FAKTUR]]))</f>
        <v/>
      </c>
      <c r="AL805" s="35" t="str">
        <f ca="1">IF(NOTA[[#This Row],[ID]]="","",COUNTIF(NOTA[ID_H],NOTA[[#This Row],[ID_H]]))</f>
        <v/>
      </c>
      <c r="AM805" s="35" t="str">
        <f ca="1">IF(NOTA[[#This Row],[TGL.NOTA]]="",IF(NOTA[[#This Row],[SUPPLIER_H]]="","",AM804),MONTH(NOTA[[#This Row],[TGL.NOTA]]))</f>
        <v/>
      </c>
      <c r="AN8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5" s="35" t="str">
        <f>IF(NOTA[[#This Row],[CONCAT1]]="","",MATCH(NOTA[[#This Row],[CONCAT1]],[3]!db[NB NOTA_C],0))</f>
        <v/>
      </c>
      <c r="AS805" s="35" t="str">
        <f>IF(NOTA[[#This Row],[Column5]]="","",TRUE)</f>
        <v/>
      </c>
      <c r="AT805" s="35" t="str">
        <f ca="1">IF(NOTA[[#This Row],[ID_H]]="","",IF(NOTA[[#This Row],[Column3]]=TRUE,NOTA[[#This Row],[Column5]],INDEX([3]!db[QTY/ CTN],NOTA[[#This Row],[//DB]])))</f>
        <v/>
      </c>
      <c r="AU8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5" s="35" t="str">
        <f ca="1">IF(NOTA[[#This Row],[ID_H]]="","",MATCH(NOTA[[#This Row],[NB NOTA_C_QTY]],[3]!db[NB NOTA_C_QTY+F],0))</f>
        <v/>
      </c>
      <c r="AW805" s="43" t="str">
        <f ca="1">IF(NOTA[[#This Row],[NB NOTA_C_QTY]]="","",ROW()-2)</f>
        <v/>
      </c>
    </row>
    <row r="806" spans="1:49" ht="20.100000000000001" customHeight="1">
      <c r="A8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5" t="str">
        <f ca="1">IF(NOTA[[#This Row],[NAMA BARANG]]="","",INDEX(NOTA[ID],MATCH(,INDIRECT(ADDRESS(ROW(NOTA[ID]),COLUMN(NOTA[ID]))&amp;":"&amp;ADDRESS(ROW(),COLUMN(NOTA[ID]))),-1)))</f>
        <v/>
      </c>
      <c r="C806" s="45"/>
      <c r="F806" s="46"/>
      <c r="G806" s="35"/>
      <c r="H806" s="36"/>
      <c r="I806" s="35"/>
      <c r="K806" s="37"/>
      <c r="L806" s="35"/>
      <c r="N806" s="38"/>
      <c r="O806" s="39"/>
      <c r="P806" s="47"/>
      <c r="Q806" s="48"/>
      <c r="R806" s="41"/>
      <c r="T806" s="42"/>
      <c r="U806" s="44"/>
      <c r="V806" s="42" t="str">
        <f>IF(NOTA[[#This Row],[HARGA/ CTN]]="",NOTA[[#This Row],[JUMLAH_H]],NOTA[[#This Row],[HARGA/ CTN]]*IF(NOTA[[#This Row],[C]]="",0,NOTA[[#This Row],[C]]))</f>
        <v/>
      </c>
      <c r="W806" s="42" t="str">
        <f>IF(NOTA[[#This Row],[JUMLAH]]="","",NOTA[[#This Row],[JUMLAH]]*NOTA[[#This Row],[Column6]])</f>
        <v/>
      </c>
      <c r="X806" s="42" t="str">
        <f>IF(NOTA[[#This Row],[JUMLAH]]="","",(NOTA[[#This Row],[JUMLAH]]-NOTA[[#This Row],[DISC 1-]])*NOTA[[#This Row],[Column7]])</f>
        <v/>
      </c>
      <c r="Y806" s="42" t="str">
        <f>IF(NOTA[[#This Row],[JUMLAH]]="","",(NOTA[[#This Row],[JUMLAH]]-NOTA[[#This Row],[DISC 1-]]-NOTA[[#This Row],[DISC 2-]])*NOTA[[#This Row],[Column8]])</f>
        <v/>
      </c>
      <c r="Z806" s="42" t="str">
        <f>IF(NOTA[[#This Row],[JUMLAH]]="","",NOTA[[#This Row],[DISC 1-]]+NOTA[[#This Row],[DISC 2-]]+NOTA[[#This Row],[DISC 3-]])</f>
        <v/>
      </c>
      <c r="AA806" s="42" t="str">
        <f>IF(NOTA[[#This Row],[JUMLAH]]="","",NOTA[[#This Row],[JUMLAH]]-NOTA[[#This Row],[DISC]])</f>
        <v/>
      </c>
      <c r="AB806" s="42"/>
      <c r="AC8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42" t="str">
        <f>IF(OR(NOTA[[#This Row],[QTY]]="",NOTA[[#This Row],[HARGA SATUAN]]="",),"",NOTA[[#This Row],[QTY]]*NOTA[[#This Row],[HARGA SATUAN]])</f>
        <v/>
      </c>
      <c r="AG806" s="36" t="str">
        <f ca="1">IF(NOTA[[#This Row],[ID_H]]="","",INDEX(NOTA[TANGGAL],MATCH(,INDIRECT(ADDRESS(ROW(NOTA[TANGGAL]),COLUMN(NOTA[TANGGAL]))&amp;":"&amp;ADDRESS(ROW(),COLUMN(NOTA[TANGGAL]))),-1)))</f>
        <v/>
      </c>
      <c r="AH806" s="36" t="str">
        <f ca="1">IF(NOTA[[#This Row],[ID_H]]="","",INDEX(NOTA[TGL.NOTA],MATCH(,INDIRECT(ADDRESS(ROW(NOTA[TGL.NOTA]),COLUMN(NOTA[TGL.NOTA]))&amp;":"&amp;ADDRESS(ROW(),COLUMN(NOTA[TGL.NOTA]))),-1)))</f>
        <v/>
      </c>
      <c r="AI806" s="36" t="str">
        <f ca="1">IF(NOTA[[#This Row],[ID_H]]="","",INDEX(NOTA[NO.NOTA],MATCH(NOTA[[#This Row],[ID_H]],NOTA[ID_H],0)))</f>
        <v/>
      </c>
      <c r="AJ806" s="38" t="str">
        <f ca="1">IF(NOTA[[#This Row],[NAMA BARANG]]="","",INDEX(NOTA[SUPPLIER],MATCH(,INDIRECT(ADDRESS(ROW(NOTA[ID]),COLUMN(NOTA[ID]))&amp;":"&amp;ADDRESS(ROW(),COLUMN(NOTA[ID]))),-1)))</f>
        <v/>
      </c>
      <c r="AK806" s="38" t="str">
        <f ca="1">IF(NOTA[[#This Row],[ID_H]]="","",IF(NOTA[[#This Row],[FAKTUR]]="",INDIRECT(ADDRESS(ROW()-1,COLUMN())),NOTA[[#This Row],[FAKTUR]]))</f>
        <v/>
      </c>
      <c r="AL806" s="35" t="str">
        <f ca="1">IF(NOTA[[#This Row],[ID]]="","",COUNTIF(NOTA[ID_H],NOTA[[#This Row],[ID_H]]))</f>
        <v/>
      </c>
      <c r="AM806" s="35" t="str">
        <f ca="1">IF(NOTA[[#This Row],[TGL.NOTA]]="",IF(NOTA[[#This Row],[SUPPLIER_H]]="","",AM805),MONTH(NOTA[[#This Row],[TGL.NOTA]]))</f>
        <v/>
      </c>
      <c r="AN8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6" s="35" t="str">
        <f>IF(NOTA[[#This Row],[CONCAT1]]="","",MATCH(NOTA[[#This Row],[CONCAT1]],[3]!db[NB NOTA_C],0))</f>
        <v/>
      </c>
      <c r="AS806" s="35" t="str">
        <f>IF(NOTA[[#This Row],[Column5]]="","",TRUE)</f>
        <v/>
      </c>
      <c r="AT806" s="35" t="str">
        <f ca="1">IF(NOTA[[#This Row],[ID_H]]="","",IF(NOTA[[#This Row],[Column3]]=TRUE,NOTA[[#This Row],[Column5]],INDEX([3]!db[QTY/ CTN],NOTA[[#This Row],[//DB]])))</f>
        <v/>
      </c>
      <c r="AU8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6" s="35" t="str">
        <f ca="1">IF(NOTA[[#This Row],[ID_H]]="","",MATCH(NOTA[[#This Row],[NB NOTA_C_QTY]],[3]!db[NB NOTA_C_QTY+F],0))</f>
        <v/>
      </c>
      <c r="AW806" s="43" t="str">
        <f ca="1">IF(NOTA[[#This Row],[NB NOTA_C_QTY]]="","",ROW()-2)</f>
        <v/>
      </c>
    </row>
    <row r="807" spans="1:49" ht="20.100000000000001" customHeight="1">
      <c r="A8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5" t="str">
        <f ca="1">IF(NOTA[[#This Row],[NAMA BARANG]]="","",INDEX(NOTA[ID],MATCH(,INDIRECT(ADDRESS(ROW(NOTA[ID]),COLUMN(NOTA[ID]))&amp;":"&amp;ADDRESS(ROW(),COLUMN(NOTA[ID]))),-1)))</f>
        <v/>
      </c>
      <c r="C807" s="45"/>
      <c r="F807" s="46"/>
      <c r="G807" s="35"/>
      <c r="H807" s="36"/>
      <c r="I807" s="35"/>
      <c r="K807" s="37"/>
      <c r="L807" s="35"/>
      <c r="N807" s="38"/>
      <c r="O807" s="39"/>
      <c r="P807" s="47"/>
      <c r="Q807" s="48"/>
      <c r="R807" s="41"/>
      <c r="T807" s="42"/>
      <c r="U807" s="44"/>
      <c r="V807" s="42" t="str">
        <f>IF(NOTA[[#This Row],[HARGA/ CTN]]="",NOTA[[#This Row],[JUMLAH_H]],NOTA[[#This Row],[HARGA/ CTN]]*IF(NOTA[[#This Row],[C]]="",0,NOTA[[#This Row],[C]]))</f>
        <v/>
      </c>
      <c r="W807" s="42" t="str">
        <f>IF(NOTA[[#This Row],[JUMLAH]]="","",NOTA[[#This Row],[JUMLAH]]*NOTA[[#This Row],[Column6]])</f>
        <v/>
      </c>
      <c r="X807" s="42" t="str">
        <f>IF(NOTA[[#This Row],[JUMLAH]]="","",(NOTA[[#This Row],[JUMLAH]]-NOTA[[#This Row],[DISC 1-]])*NOTA[[#This Row],[Column7]])</f>
        <v/>
      </c>
      <c r="Y807" s="42" t="str">
        <f>IF(NOTA[[#This Row],[JUMLAH]]="","",(NOTA[[#This Row],[JUMLAH]]-NOTA[[#This Row],[DISC 1-]]-NOTA[[#This Row],[DISC 2-]])*NOTA[[#This Row],[Column8]])</f>
        <v/>
      </c>
      <c r="Z807" s="42" t="str">
        <f>IF(NOTA[[#This Row],[JUMLAH]]="","",NOTA[[#This Row],[DISC 1-]]+NOTA[[#This Row],[DISC 2-]]+NOTA[[#This Row],[DISC 3-]])</f>
        <v/>
      </c>
      <c r="AA807" s="42" t="str">
        <f>IF(NOTA[[#This Row],[JUMLAH]]="","",NOTA[[#This Row],[JUMLAH]]-NOTA[[#This Row],[DISC]])</f>
        <v/>
      </c>
      <c r="AB807" s="42"/>
      <c r="AC8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42" t="str">
        <f>IF(OR(NOTA[[#This Row],[QTY]]="",NOTA[[#This Row],[HARGA SATUAN]]="",),"",NOTA[[#This Row],[QTY]]*NOTA[[#This Row],[HARGA SATUAN]])</f>
        <v/>
      </c>
      <c r="AG807" s="36" t="str">
        <f ca="1">IF(NOTA[[#This Row],[ID_H]]="","",INDEX(NOTA[TANGGAL],MATCH(,INDIRECT(ADDRESS(ROW(NOTA[TANGGAL]),COLUMN(NOTA[TANGGAL]))&amp;":"&amp;ADDRESS(ROW(),COLUMN(NOTA[TANGGAL]))),-1)))</f>
        <v/>
      </c>
      <c r="AH807" s="36" t="str">
        <f ca="1">IF(NOTA[[#This Row],[ID_H]]="","",INDEX(NOTA[TGL.NOTA],MATCH(,INDIRECT(ADDRESS(ROW(NOTA[TGL.NOTA]),COLUMN(NOTA[TGL.NOTA]))&amp;":"&amp;ADDRESS(ROW(),COLUMN(NOTA[TGL.NOTA]))),-1)))</f>
        <v/>
      </c>
      <c r="AI807" s="36" t="str">
        <f ca="1">IF(NOTA[[#This Row],[ID_H]]="","",INDEX(NOTA[NO.NOTA],MATCH(NOTA[[#This Row],[ID_H]],NOTA[ID_H],0)))</f>
        <v/>
      </c>
      <c r="AJ807" s="38" t="str">
        <f ca="1">IF(NOTA[[#This Row],[NAMA BARANG]]="","",INDEX(NOTA[SUPPLIER],MATCH(,INDIRECT(ADDRESS(ROW(NOTA[ID]),COLUMN(NOTA[ID]))&amp;":"&amp;ADDRESS(ROW(),COLUMN(NOTA[ID]))),-1)))</f>
        <v/>
      </c>
      <c r="AK807" s="38" t="str">
        <f ca="1">IF(NOTA[[#This Row],[ID_H]]="","",IF(NOTA[[#This Row],[FAKTUR]]="",INDIRECT(ADDRESS(ROW()-1,COLUMN())),NOTA[[#This Row],[FAKTUR]]))</f>
        <v/>
      </c>
      <c r="AL807" s="35" t="str">
        <f ca="1">IF(NOTA[[#This Row],[ID]]="","",COUNTIF(NOTA[ID_H],NOTA[[#This Row],[ID_H]]))</f>
        <v/>
      </c>
      <c r="AM807" s="35" t="str">
        <f ca="1">IF(NOTA[[#This Row],[TGL.NOTA]]="",IF(NOTA[[#This Row],[SUPPLIER_H]]="","",AM806),MONTH(NOTA[[#This Row],[TGL.NOTA]]))</f>
        <v/>
      </c>
      <c r="AN8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7" s="35" t="str">
        <f>IF(NOTA[[#This Row],[CONCAT1]]="","",MATCH(NOTA[[#This Row],[CONCAT1]],[3]!db[NB NOTA_C],0))</f>
        <v/>
      </c>
      <c r="AS807" s="35" t="str">
        <f>IF(NOTA[[#This Row],[Column5]]="","",TRUE)</f>
        <v/>
      </c>
      <c r="AT807" s="35" t="str">
        <f ca="1">IF(NOTA[[#This Row],[ID_H]]="","",IF(NOTA[[#This Row],[Column3]]=TRUE,NOTA[[#This Row],[Column5]],INDEX([3]!db[QTY/ CTN],NOTA[[#This Row],[//DB]])))</f>
        <v/>
      </c>
      <c r="AU8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7" s="35" t="str">
        <f ca="1">IF(NOTA[[#This Row],[ID_H]]="","",MATCH(NOTA[[#This Row],[NB NOTA_C_QTY]],[3]!db[NB NOTA_C_QTY+F],0))</f>
        <v/>
      </c>
      <c r="AW807" s="43" t="str">
        <f ca="1">IF(NOTA[[#This Row],[NB NOTA_C_QTY]]="","",ROW()-2)</f>
        <v/>
      </c>
    </row>
    <row r="808" spans="1:49" ht="20.100000000000001" customHeight="1">
      <c r="A8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5" t="str">
        <f ca="1">IF(NOTA[[#This Row],[NAMA BARANG]]="","",INDEX(NOTA[ID],MATCH(,INDIRECT(ADDRESS(ROW(NOTA[ID]),COLUMN(NOTA[ID]))&amp;":"&amp;ADDRESS(ROW(),COLUMN(NOTA[ID]))),-1)))</f>
        <v/>
      </c>
      <c r="C808" s="45"/>
      <c r="F808" s="46"/>
      <c r="G808" s="35"/>
      <c r="H808" s="36"/>
      <c r="I808" s="35"/>
      <c r="K808" s="37"/>
      <c r="L808" s="35"/>
      <c r="N808" s="38"/>
      <c r="O808" s="39"/>
      <c r="P808" s="47"/>
      <c r="Q808" s="48"/>
      <c r="R808" s="41"/>
      <c r="T808" s="42"/>
      <c r="U808" s="44"/>
      <c r="V808" s="42" t="str">
        <f>IF(NOTA[[#This Row],[HARGA/ CTN]]="",NOTA[[#This Row],[JUMLAH_H]],NOTA[[#This Row],[HARGA/ CTN]]*IF(NOTA[[#This Row],[C]]="",0,NOTA[[#This Row],[C]]))</f>
        <v/>
      </c>
      <c r="W808" s="42" t="str">
        <f>IF(NOTA[[#This Row],[JUMLAH]]="","",NOTA[[#This Row],[JUMLAH]]*NOTA[[#This Row],[Column6]])</f>
        <v/>
      </c>
      <c r="X808" s="42" t="str">
        <f>IF(NOTA[[#This Row],[JUMLAH]]="","",(NOTA[[#This Row],[JUMLAH]]-NOTA[[#This Row],[DISC 1-]])*NOTA[[#This Row],[Column7]])</f>
        <v/>
      </c>
      <c r="Y808" s="42" t="str">
        <f>IF(NOTA[[#This Row],[JUMLAH]]="","",(NOTA[[#This Row],[JUMLAH]]-NOTA[[#This Row],[DISC 1-]]-NOTA[[#This Row],[DISC 2-]])*NOTA[[#This Row],[Column8]])</f>
        <v/>
      </c>
      <c r="Z808" s="42" t="str">
        <f>IF(NOTA[[#This Row],[JUMLAH]]="","",NOTA[[#This Row],[DISC 1-]]+NOTA[[#This Row],[DISC 2-]]+NOTA[[#This Row],[DISC 3-]])</f>
        <v/>
      </c>
      <c r="AA808" s="42" t="str">
        <f>IF(NOTA[[#This Row],[JUMLAH]]="","",NOTA[[#This Row],[JUMLAH]]-NOTA[[#This Row],[DISC]])</f>
        <v/>
      </c>
      <c r="AB808" s="42"/>
      <c r="AC8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42" t="str">
        <f>IF(OR(NOTA[[#This Row],[QTY]]="",NOTA[[#This Row],[HARGA SATUAN]]="",),"",NOTA[[#This Row],[QTY]]*NOTA[[#This Row],[HARGA SATUAN]])</f>
        <v/>
      </c>
      <c r="AG808" s="36" t="str">
        <f ca="1">IF(NOTA[[#This Row],[ID_H]]="","",INDEX(NOTA[TANGGAL],MATCH(,INDIRECT(ADDRESS(ROW(NOTA[TANGGAL]),COLUMN(NOTA[TANGGAL]))&amp;":"&amp;ADDRESS(ROW(),COLUMN(NOTA[TANGGAL]))),-1)))</f>
        <v/>
      </c>
      <c r="AH808" s="36" t="str">
        <f ca="1">IF(NOTA[[#This Row],[ID_H]]="","",INDEX(NOTA[TGL.NOTA],MATCH(,INDIRECT(ADDRESS(ROW(NOTA[TGL.NOTA]),COLUMN(NOTA[TGL.NOTA]))&amp;":"&amp;ADDRESS(ROW(),COLUMN(NOTA[TGL.NOTA]))),-1)))</f>
        <v/>
      </c>
      <c r="AI808" s="36" t="str">
        <f ca="1">IF(NOTA[[#This Row],[ID_H]]="","",INDEX(NOTA[NO.NOTA],MATCH(NOTA[[#This Row],[ID_H]],NOTA[ID_H],0)))</f>
        <v/>
      </c>
      <c r="AJ808" s="38" t="str">
        <f ca="1">IF(NOTA[[#This Row],[NAMA BARANG]]="","",INDEX(NOTA[SUPPLIER],MATCH(,INDIRECT(ADDRESS(ROW(NOTA[ID]),COLUMN(NOTA[ID]))&amp;":"&amp;ADDRESS(ROW(),COLUMN(NOTA[ID]))),-1)))</f>
        <v/>
      </c>
      <c r="AK808" s="38" t="str">
        <f ca="1">IF(NOTA[[#This Row],[ID_H]]="","",IF(NOTA[[#This Row],[FAKTUR]]="",INDIRECT(ADDRESS(ROW()-1,COLUMN())),NOTA[[#This Row],[FAKTUR]]))</f>
        <v/>
      </c>
      <c r="AL808" s="35" t="str">
        <f ca="1">IF(NOTA[[#This Row],[ID]]="","",COUNTIF(NOTA[ID_H],NOTA[[#This Row],[ID_H]]))</f>
        <v/>
      </c>
      <c r="AM808" s="35" t="str">
        <f ca="1">IF(NOTA[[#This Row],[TGL.NOTA]]="",IF(NOTA[[#This Row],[SUPPLIER_H]]="","",AM807),MONTH(NOTA[[#This Row],[TGL.NOTA]]))</f>
        <v/>
      </c>
      <c r="AN8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8" s="35" t="str">
        <f>IF(NOTA[[#This Row],[CONCAT1]]="","",MATCH(NOTA[[#This Row],[CONCAT1]],[3]!db[NB NOTA_C],0))</f>
        <v/>
      </c>
      <c r="AS808" s="35" t="str">
        <f>IF(NOTA[[#This Row],[Column5]]="","",TRUE)</f>
        <v/>
      </c>
      <c r="AT808" s="35" t="str">
        <f ca="1">IF(NOTA[[#This Row],[ID_H]]="","",IF(NOTA[[#This Row],[Column3]]=TRUE,NOTA[[#This Row],[Column5]],INDEX([3]!db[QTY/ CTN],NOTA[[#This Row],[//DB]])))</f>
        <v/>
      </c>
      <c r="AU8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8" s="35" t="str">
        <f ca="1">IF(NOTA[[#This Row],[ID_H]]="","",MATCH(NOTA[[#This Row],[NB NOTA_C_QTY]],[3]!db[NB NOTA_C_QTY+F],0))</f>
        <v/>
      </c>
      <c r="AW808" s="43" t="str">
        <f ca="1">IF(NOTA[[#This Row],[NB NOTA_C_QTY]]="","",ROW()-2)</f>
        <v/>
      </c>
    </row>
    <row r="809" spans="1:49" ht="20.100000000000001" customHeight="1">
      <c r="A8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5" t="str">
        <f ca="1">IF(NOTA[[#This Row],[NAMA BARANG]]="","",INDEX(NOTA[ID],MATCH(,INDIRECT(ADDRESS(ROW(NOTA[ID]),COLUMN(NOTA[ID]))&amp;":"&amp;ADDRESS(ROW(),COLUMN(NOTA[ID]))),-1)))</f>
        <v/>
      </c>
      <c r="C809" s="45"/>
      <c r="F809" s="46"/>
      <c r="G809" s="35"/>
      <c r="H809" s="36"/>
      <c r="I809" s="35"/>
      <c r="K809" s="37"/>
      <c r="L809" s="35"/>
      <c r="N809" s="38"/>
      <c r="O809" s="39"/>
      <c r="P809" s="47"/>
      <c r="Q809" s="48"/>
      <c r="R809" s="41"/>
      <c r="T809" s="42"/>
      <c r="U809" s="44"/>
      <c r="V809" s="42" t="str">
        <f>IF(NOTA[[#This Row],[HARGA/ CTN]]="",NOTA[[#This Row],[JUMLAH_H]],NOTA[[#This Row],[HARGA/ CTN]]*IF(NOTA[[#This Row],[C]]="",0,NOTA[[#This Row],[C]]))</f>
        <v/>
      </c>
      <c r="W809" s="42" t="str">
        <f>IF(NOTA[[#This Row],[JUMLAH]]="","",NOTA[[#This Row],[JUMLAH]]*NOTA[[#This Row],[Column6]])</f>
        <v/>
      </c>
      <c r="X809" s="42" t="str">
        <f>IF(NOTA[[#This Row],[JUMLAH]]="","",(NOTA[[#This Row],[JUMLAH]]-NOTA[[#This Row],[DISC 1-]])*NOTA[[#This Row],[Column7]])</f>
        <v/>
      </c>
      <c r="Y809" s="42" t="str">
        <f>IF(NOTA[[#This Row],[JUMLAH]]="","",(NOTA[[#This Row],[JUMLAH]]-NOTA[[#This Row],[DISC 1-]]-NOTA[[#This Row],[DISC 2-]])*NOTA[[#This Row],[Column8]])</f>
        <v/>
      </c>
      <c r="Z809" s="42" t="str">
        <f>IF(NOTA[[#This Row],[JUMLAH]]="","",NOTA[[#This Row],[DISC 1-]]+NOTA[[#This Row],[DISC 2-]]+NOTA[[#This Row],[DISC 3-]])</f>
        <v/>
      </c>
      <c r="AA809" s="42" t="str">
        <f>IF(NOTA[[#This Row],[JUMLAH]]="","",NOTA[[#This Row],[JUMLAH]]-NOTA[[#This Row],[DISC]])</f>
        <v/>
      </c>
      <c r="AB809" s="42"/>
      <c r="AC8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42" t="str">
        <f>IF(OR(NOTA[[#This Row],[QTY]]="",NOTA[[#This Row],[HARGA SATUAN]]="",),"",NOTA[[#This Row],[QTY]]*NOTA[[#This Row],[HARGA SATUAN]])</f>
        <v/>
      </c>
      <c r="AG809" s="36" t="str">
        <f ca="1">IF(NOTA[[#This Row],[ID_H]]="","",INDEX(NOTA[TANGGAL],MATCH(,INDIRECT(ADDRESS(ROW(NOTA[TANGGAL]),COLUMN(NOTA[TANGGAL]))&amp;":"&amp;ADDRESS(ROW(),COLUMN(NOTA[TANGGAL]))),-1)))</f>
        <v/>
      </c>
      <c r="AH809" s="36" t="str">
        <f ca="1">IF(NOTA[[#This Row],[ID_H]]="","",INDEX(NOTA[TGL.NOTA],MATCH(,INDIRECT(ADDRESS(ROW(NOTA[TGL.NOTA]),COLUMN(NOTA[TGL.NOTA]))&amp;":"&amp;ADDRESS(ROW(),COLUMN(NOTA[TGL.NOTA]))),-1)))</f>
        <v/>
      </c>
      <c r="AI809" s="36" t="str">
        <f ca="1">IF(NOTA[[#This Row],[ID_H]]="","",INDEX(NOTA[NO.NOTA],MATCH(NOTA[[#This Row],[ID_H]],NOTA[ID_H],0)))</f>
        <v/>
      </c>
      <c r="AJ809" s="38" t="str">
        <f ca="1">IF(NOTA[[#This Row],[NAMA BARANG]]="","",INDEX(NOTA[SUPPLIER],MATCH(,INDIRECT(ADDRESS(ROW(NOTA[ID]),COLUMN(NOTA[ID]))&amp;":"&amp;ADDRESS(ROW(),COLUMN(NOTA[ID]))),-1)))</f>
        <v/>
      </c>
      <c r="AK809" s="38" t="str">
        <f ca="1">IF(NOTA[[#This Row],[ID_H]]="","",IF(NOTA[[#This Row],[FAKTUR]]="",INDIRECT(ADDRESS(ROW()-1,COLUMN())),NOTA[[#This Row],[FAKTUR]]))</f>
        <v/>
      </c>
      <c r="AL809" s="35" t="str">
        <f ca="1">IF(NOTA[[#This Row],[ID]]="","",COUNTIF(NOTA[ID_H],NOTA[[#This Row],[ID_H]]))</f>
        <v/>
      </c>
      <c r="AM809" s="35" t="str">
        <f ca="1">IF(NOTA[[#This Row],[TGL.NOTA]]="",IF(NOTA[[#This Row],[SUPPLIER_H]]="","",AM808),MONTH(NOTA[[#This Row],[TGL.NOTA]]))</f>
        <v/>
      </c>
      <c r="AN8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9" s="35" t="str">
        <f>IF(NOTA[[#This Row],[CONCAT1]]="","",MATCH(NOTA[[#This Row],[CONCAT1]],[3]!db[NB NOTA_C],0))</f>
        <v/>
      </c>
      <c r="AS809" s="35" t="str">
        <f>IF(NOTA[[#This Row],[Column5]]="","",TRUE)</f>
        <v/>
      </c>
      <c r="AT809" s="35" t="str">
        <f ca="1">IF(NOTA[[#This Row],[ID_H]]="","",IF(NOTA[[#This Row],[Column3]]=TRUE,NOTA[[#This Row],[Column5]],INDEX([3]!db[QTY/ CTN],NOTA[[#This Row],[//DB]])))</f>
        <v/>
      </c>
      <c r="AU8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09" s="35" t="str">
        <f ca="1">IF(NOTA[[#This Row],[ID_H]]="","",MATCH(NOTA[[#This Row],[NB NOTA_C_QTY]],[3]!db[NB NOTA_C_QTY+F],0))</f>
        <v/>
      </c>
      <c r="AW809" s="43" t="str">
        <f ca="1">IF(NOTA[[#This Row],[NB NOTA_C_QTY]]="","",ROW()-2)</f>
        <v/>
      </c>
    </row>
    <row r="810" spans="1:49" ht="20.100000000000001" customHeight="1">
      <c r="A8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5" t="str">
        <f ca="1">IF(NOTA[[#This Row],[NAMA BARANG]]="","",INDEX(NOTA[ID],MATCH(,INDIRECT(ADDRESS(ROW(NOTA[ID]),COLUMN(NOTA[ID]))&amp;":"&amp;ADDRESS(ROW(),COLUMN(NOTA[ID]))),-1)))</f>
        <v/>
      </c>
      <c r="C810" s="45"/>
      <c r="F810" s="46"/>
      <c r="G810" s="35"/>
      <c r="H810" s="36"/>
      <c r="I810" s="35"/>
      <c r="K810" s="37"/>
      <c r="L810" s="35"/>
      <c r="N810" s="38"/>
      <c r="O810" s="39"/>
      <c r="P810" s="47"/>
      <c r="Q810" s="48"/>
      <c r="R810" s="41"/>
      <c r="T810" s="42"/>
      <c r="U810" s="44"/>
      <c r="V810" s="42" t="str">
        <f>IF(NOTA[[#This Row],[HARGA/ CTN]]="",NOTA[[#This Row],[JUMLAH_H]],NOTA[[#This Row],[HARGA/ CTN]]*IF(NOTA[[#This Row],[C]]="",0,NOTA[[#This Row],[C]]))</f>
        <v/>
      </c>
      <c r="W810" s="42" t="str">
        <f>IF(NOTA[[#This Row],[JUMLAH]]="","",NOTA[[#This Row],[JUMLAH]]*NOTA[[#This Row],[Column6]])</f>
        <v/>
      </c>
      <c r="X810" s="42" t="str">
        <f>IF(NOTA[[#This Row],[JUMLAH]]="","",(NOTA[[#This Row],[JUMLAH]]-NOTA[[#This Row],[DISC 1-]])*NOTA[[#This Row],[Column7]])</f>
        <v/>
      </c>
      <c r="Y810" s="42" t="str">
        <f>IF(NOTA[[#This Row],[JUMLAH]]="","",(NOTA[[#This Row],[JUMLAH]]-NOTA[[#This Row],[DISC 1-]]-NOTA[[#This Row],[DISC 2-]])*NOTA[[#This Row],[Column8]])</f>
        <v/>
      </c>
      <c r="Z810" s="42" t="str">
        <f>IF(NOTA[[#This Row],[JUMLAH]]="","",NOTA[[#This Row],[DISC 1-]]+NOTA[[#This Row],[DISC 2-]]+NOTA[[#This Row],[DISC 3-]])</f>
        <v/>
      </c>
      <c r="AA810" s="42" t="str">
        <f>IF(NOTA[[#This Row],[JUMLAH]]="","",NOTA[[#This Row],[JUMLAH]]-NOTA[[#This Row],[DISC]])</f>
        <v/>
      </c>
      <c r="AB810" s="42"/>
      <c r="AC8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42" t="str">
        <f>IF(OR(NOTA[[#This Row],[QTY]]="",NOTA[[#This Row],[HARGA SATUAN]]="",),"",NOTA[[#This Row],[QTY]]*NOTA[[#This Row],[HARGA SATUAN]])</f>
        <v/>
      </c>
      <c r="AG810" s="36" t="str">
        <f ca="1">IF(NOTA[[#This Row],[ID_H]]="","",INDEX(NOTA[TANGGAL],MATCH(,INDIRECT(ADDRESS(ROW(NOTA[TANGGAL]),COLUMN(NOTA[TANGGAL]))&amp;":"&amp;ADDRESS(ROW(),COLUMN(NOTA[TANGGAL]))),-1)))</f>
        <v/>
      </c>
      <c r="AH810" s="36" t="str">
        <f ca="1">IF(NOTA[[#This Row],[ID_H]]="","",INDEX(NOTA[TGL.NOTA],MATCH(,INDIRECT(ADDRESS(ROW(NOTA[TGL.NOTA]),COLUMN(NOTA[TGL.NOTA]))&amp;":"&amp;ADDRESS(ROW(),COLUMN(NOTA[TGL.NOTA]))),-1)))</f>
        <v/>
      </c>
      <c r="AI810" s="36" t="str">
        <f ca="1">IF(NOTA[[#This Row],[ID_H]]="","",INDEX(NOTA[NO.NOTA],MATCH(NOTA[[#This Row],[ID_H]],NOTA[ID_H],0)))</f>
        <v/>
      </c>
      <c r="AJ810" s="38" t="str">
        <f ca="1">IF(NOTA[[#This Row],[NAMA BARANG]]="","",INDEX(NOTA[SUPPLIER],MATCH(,INDIRECT(ADDRESS(ROW(NOTA[ID]),COLUMN(NOTA[ID]))&amp;":"&amp;ADDRESS(ROW(),COLUMN(NOTA[ID]))),-1)))</f>
        <v/>
      </c>
      <c r="AK810" s="38" t="str">
        <f ca="1">IF(NOTA[[#This Row],[ID_H]]="","",IF(NOTA[[#This Row],[FAKTUR]]="",INDIRECT(ADDRESS(ROW()-1,COLUMN())),NOTA[[#This Row],[FAKTUR]]))</f>
        <v/>
      </c>
      <c r="AL810" s="35" t="str">
        <f ca="1">IF(NOTA[[#This Row],[ID]]="","",COUNTIF(NOTA[ID_H],NOTA[[#This Row],[ID_H]]))</f>
        <v/>
      </c>
      <c r="AM810" s="35" t="str">
        <f ca="1">IF(NOTA[[#This Row],[TGL.NOTA]]="",IF(NOTA[[#This Row],[SUPPLIER_H]]="","",AM809),MONTH(NOTA[[#This Row],[TGL.NOTA]]))</f>
        <v/>
      </c>
      <c r="AN8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0" s="35" t="str">
        <f>IF(NOTA[[#This Row],[CONCAT1]]="","",MATCH(NOTA[[#This Row],[CONCAT1]],[3]!db[NB NOTA_C],0))</f>
        <v/>
      </c>
      <c r="AS810" s="35" t="str">
        <f>IF(NOTA[[#This Row],[Column5]]="","",TRUE)</f>
        <v/>
      </c>
      <c r="AT810" s="35" t="str">
        <f ca="1">IF(NOTA[[#This Row],[ID_H]]="","",IF(NOTA[[#This Row],[Column3]]=TRUE,NOTA[[#This Row],[Column5]],INDEX([3]!db[QTY/ CTN],NOTA[[#This Row],[//DB]])))</f>
        <v/>
      </c>
      <c r="AU8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0" s="35" t="str">
        <f ca="1">IF(NOTA[[#This Row],[ID_H]]="","",MATCH(NOTA[[#This Row],[NB NOTA_C_QTY]],[3]!db[NB NOTA_C_QTY+F],0))</f>
        <v/>
      </c>
      <c r="AW810" s="43" t="str">
        <f ca="1">IF(NOTA[[#This Row],[NB NOTA_C_QTY]]="","",ROW()-2)</f>
        <v/>
      </c>
    </row>
    <row r="811" spans="1:49" ht="20.100000000000001" customHeight="1">
      <c r="A8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5" t="str">
        <f ca="1">IF(NOTA[[#This Row],[NAMA BARANG]]="","",INDEX(NOTA[ID],MATCH(,INDIRECT(ADDRESS(ROW(NOTA[ID]),COLUMN(NOTA[ID]))&amp;":"&amp;ADDRESS(ROW(),COLUMN(NOTA[ID]))),-1)))</f>
        <v/>
      </c>
      <c r="C811" s="45"/>
      <c r="F811" s="46"/>
      <c r="G811" s="35"/>
      <c r="H811" s="36"/>
      <c r="I811" s="35"/>
      <c r="K811" s="37"/>
      <c r="L811" s="35"/>
      <c r="N811" s="38"/>
      <c r="O811" s="39"/>
      <c r="P811" s="47"/>
      <c r="Q811" s="48"/>
      <c r="R811" s="41"/>
      <c r="T811" s="42"/>
      <c r="U811" s="44"/>
      <c r="V811" s="42" t="str">
        <f>IF(NOTA[[#This Row],[HARGA/ CTN]]="",NOTA[[#This Row],[JUMLAH_H]],NOTA[[#This Row],[HARGA/ CTN]]*IF(NOTA[[#This Row],[C]]="",0,NOTA[[#This Row],[C]]))</f>
        <v/>
      </c>
      <c r="W811" s="42" t="str">
        <f>IF(NOTA[[#This Row],[JUMLAH]]="","",NOTA[[#This Row],[JUMLAH]]*NOTA[[#This Row],[Column6]])</f>
        <v/>
      </c>
      <c r="X811" s="42" t="str">
        <f>IF(NOTA[[#This Row],[JUMLAH]]="","",(NOTA[[#This Row],[JUMLAH]]-NOTA[[#This Row],[DISC 1-]])*NOTA[[#This Row],[Column7]])</f>
        <v/>
      </c>
      <c r="Y811" s="42" t="str">
        <f>IF(NOTA[[#This Row],[JUMLAH]]="","",(NOTA[[#This Row],[JUMLAH]]-NOTA[[#This Row],[DISC 1-]]-NOTA[[#This Row],[DISC 2-]])*NOTA[[#This Row],[Column8]])</f>
        <v/>
      </c>
      <c r="Z811" s="42" t="str">
        <f>IF(NOTA[[#This Row],[JUMLAH]]="","",NOTA[[#This Row],[DISC 1-]]+NOTA[[#This Row],[DISC 2-]]+NOTA[[#This Row],[DISC 3-]])</f>
        <v/>
      </c>
      <c r="AA811" s="42" t="str">
        <f>IF(NOTA[[#This Row],[JUMLAH]]="","",NOTA[[#This Row],[JUMLAH]]-NOTA[[#This Row],[DISC]])</f>
        <v/>
      </c>
      <c r="AB811" s="42"/>
      <c r="AC8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42" t="str">
        <f>IF(OR(NOTA[[#This Row],[QTY]]="",NOTA[[#This Row],[HARGA SATUAN]]="",),"",NOTA[[#This Row],[QTY]]*NOTA[[#This Row],[HARGA SATUAN]])</f>
        <v/>
      </c>
      <c r="AG811" s="36" t="str">
        <f ca="1">IF(NOTA[[#This Row],[ID_H]]="","",INDEX(NOTA[TANGGAL],MATCH(,INDIRECT(ADDRESS(ROW(NOTA[TANGGAL]),COLUMN(NOTA[TANGGAL]))&amp;":"&amp;ADDRESS(ROW(),COLUMN(NOTA[TANGGAL]))),-1)))</f>
        <v/>
      </c>
      <c r="AH811" s="36" t="str">
        <f ca="1">IF(NOTA[[#This Row],[ID_H]]="","",INDEX(NOTA[TGL.NOTA],MATCH(,INDIRECT(ADDRESS(ROW(NOTA[TGL.NOTA]),COLUMN(NOTA[TGL.NOTA]))&amp;":"&amp;ADDRESS(ROW(),COLUMN(NOTA[TGL.NOTA]))),-1)))</f>
        <v/>
      </c>
      <c r="AI811" s="36" t="str">
        <f ca="1">IF(NOTA[[#This Row],[ID_H]]="","",INDEX(NOTA[NO.NOTA],MATCH(NOTA[[#This Row],[ID_H]],NOTA[ID_H],0)))</f>
        <v/>
      </c>
      <c r="AJ811" s="38" t="str">
        <f ca="1">IF(NOTA[[#This Row],[NAMA BARANG]]="","",INDEX(NOTA[SUPPLIER],MATCH(,INDIRECT(ADDRESS(ROW(NOTA[ID]),COLUMN(NOTA[ID]))&amp;":"&amp;ADDRESS(ROW(),COLUMN(NOTA[ID]))),-1)))</f>
        <v/>
      </c>
      <c r="AK811" s="38" t="str">
        <f ca="1">IF(NOTA[[#This Row],[ID_H]]="","",IF(NOTA[[#This Row],[FAKTUR]]="",INDIRECT(ADDRESS(ROW()-1,COLUMN())),NOTA[[#This Row],[FAKTUR]]))</f>
        <v/>
      </c>
      <c r="AL811" s="35" t="str">
        <f ca="1">IF(NOTA[[#This Row],[ID]]="","",COUNTIF(NOTA[ID_H],NOTA[[#This Row],[ID_H]]))</f>
        <v/>
      </c>
      <c r="AM811" s="35" t="str">
        <f ca="1">IF(NOTA[[#This Row],[TGL.NOTA]]="",IF(NOTA[[#This Row],[SUPPLIER_H]]="","",AM810),MONTH(NOTA[[#This Row],[TGL.NOTA]]))</f>
        <v/>
      </c>
      <c r="AN8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1" s="35" t="str">
        <f>IF(NOTA[[#This Row],[CONCAT1]]="","",MATCH(NOTA[[#This Row],[CONCAT1]],[3]!db[NB NOTA_C],0))</f>
        <v/>
      </c>
      <c r="AS811" s="35" t="str">
        <f>IF(NOTA[[#This Row],[Column5]]="","",TRUE)</f>
        <v/>
      </c>
      <c r="AT811" s="35" t="str">
        <f ca="1">IF(NOTA[[#This Row],[ID_H]]="","",IF(NOTA[[#This Row],[Column3]]=TRUE,NOTA[[#This Row],[Column5]],INDEX([3]!db[QTY/ CTN],NOTA[[#This Row],[//DB]])))</f>
        <v/>
      </c>
      <c r="AU8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1" s="35" t="str">
        <f ca="1">IF(NOTA[[#This Row],[ID_H]]="","",MATCH(NOTA[[#This Row],[NB NOTA_C_QTY]],[3]!db[NB NOTA_C_QTY+F],0))</f>
        <v/>
      </c>
      <c r="AW811" s="43" t="str">
        <f ca="1">IF(NOTA[[#This Row],[NB NOTA_C_QTY]]="","",ROW()-2)</f>
        <v/>
      </c>
    </row>
    <row r="812" spans="1:49" ht="20.100000000000001" customHeight="1">
      <c r="A8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5" t="str">
        <f ca="1">IF(NOTA[[#This Row],[NAMA BARANG]]="","",INDEX(NOTA[ID],MATCH(,INDIRECT(ADDRESS(ROW(NOTA[ID]),COLUMN(NOTA[ID]))&amp;":"&amp;ADDRESS(ROW(),COLUMN(NOTA[ID]))),-1)))</f>
        <v/>
      </c>
      <c r="C812" s="45"/>
      <c r="F812" s="46"/>
      <c r="G812" s="35"/>
      <c r="H812" s="36"/>
      <c r="I812" s="35"/>
      <c r="K812" s="37"/>
      <c r="L812" s="35"/>
      <c r="N812" s="38"/>
      <c r="O812" s="39"/>
      <c r="P812" s="47"/>
      <c r="Q812" s="48"/>
      <c r="R812" s="41"/>
      <c r="T812" s="42"/>
      <c r="U812" s="44"/>
      <c r="V812" s="42" t="str">
        <f>IF(NOTA[[#This Row],[HARGA/ CTN]]="",NOTA[[#This Row],[JUMLAH_H]],NOTA[[#This Row],[HARGA/ CTN]]*IF(NOTA[[#This Row],[C]]="",0,NOTA[[#This Row],[C]]))</f>
        <v/>
      </c>
      <c r="W812" s="42" t="str">
        <f>IF(NOTA[[#This Row],[JUMLAH]]="","",NOTA[[#This Row],[JUMLAH]]*NOTA[[#This Row],[Column6]])</f>
        <v/>
      </c>
      <c r="X812" s="42" t="str">
        <f>IF(NOTA[[#This Row],[JUMLAH]]="","",(NOTA[[#This Row],[JUMLAH]]-NOTA[[#This Row],[DISC 1-]])*NOTA[[#This Row],[Column7]])</f>
        <v/>
      </c>
      <c r="Y812" s="42" t="str">
        <f>IF(NOTA[[#This Row],[JUMLAH]]="","",(NOTA[[#This Row],[JUMLAH]]-NOTA[[#This Row],[DISC 1-]]-NOTA[[#This Row],[DISC 2-]])*NOTA[[#This Row],[Column8]])</f>
        <v/>
      </c>
      <c r="Z812" s="42" t="str">
        <f>IF(NOTA[[#This Row],[JUMLAH]]="","",NOTA[[#This Row],[DISC 1-]]+NOTA[[#This Row],[DISC 2-]]+NOTA[[#This Row],[DISC 3-]])</f>
        <v/>
      </c>
      <c r="AA812" s="42" t="str">
        <f>IF(NOTA[[#This Row],[JUMLAH]]="","",NOTA[[#This Row],[JUMLAH]]-NOTA[[#This Row],[DISC]])</f>
        <v/>
      </c>
      <c r="AB812" s="42"/>
      <c r="AC8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42" t="str">
        <f>IF(OR(NOTA[[#This Row],[QTY]]="",NOTA[[#This Row],[HARGA SATUAN]]="",),"",NOTA[[#This Row],[QTY]]*NOTA[[#This Row],[HARGA SATUAN]])</f>
        <v/>
      </c>
      <c r="AG812" s="36" t="str">
        <f ca="1">IF(NOTA[[#This Row],[ID_H]]="","",INDEX(NOTA[TANGGAL],MATCH(,INDIRECT(ADDRESS(ROW(NOTA[TANGGAL]),COLUMN(NOTA[TANGGAL]))&amp;":"&amp;ADDRESS(ROW(),COLUMN(NOTA[TANGGAL]))),-1)))</f>
        <v/>
      </c>
      <c r="AH812" s="36" t="str">
        <f ca="1">IF(NOTA[[#This Row],[ID_H]]="","",INDEX(NOTA[TGL.NOTA],MATCH(,INDIRECT(ADDRESS(ROW(NOTA[TGL.NOTA]),COLUMN(NOTA[TGL.NOTA]))&amp;":"&amp;ADDRESS(ROW(),COLUMN(NOTA[TGL.NOTA]))),-1)))</f>
        <v/>
      </c>
      <c r="AI812" s="36" t="str">
        <f ca="1">IF(NOTA[[#This Row],[ID_H]]="","",INDEX(NOTA[NO.NOTA],MATCH(NOTA[[#This Row],[ID_H]],NOTA[ID_H],0)))</f>
        <v/>
      </c>
      <c r="AJ812" s="38" t="str">
        <f ca="1">IF(NOTA[[#This Row],[NAMA BARANG]]="","",INDEX(NOTA[SUPPLIER],MATCH(,INDIRECT(ADDRESS(ROW(NOTA[ID]),COLUMN(NOTA[ID]))&amp;":"&amp;ADDRESS(ROW(),COLUMN(NOTA[ID]))),-1)))</f>
        <v/>
      </c>
      <c r="AK812" s="38" t="str">
        <f ca="1">IF(NOTA[[#This Row],[ID_H]]="","",IF(NOTA[[#This Row],[FAKTUR]]="",INDIRECT(ADDRESS(ROW()-1,COLUMN())),NOTA[[#This Row],[FAKTUR]]))</f>
        <v/>
      </c>
      <c r="AL812" s="35" t="str">
        <f ca="1">IF(NOTA[[#This Row],[ID]]="","",COUNTIF(NOTA[ID_H],NOTA[[#This Row],[ID_H]]))</f>
        <v/>
      </c>
      <c r="AM812" s="35" t="str">
        <f ca="1">IF(NOTA[[#This Row],[TGL.NOTA]]="",IF(NOTA[[#This Row],[SUPPLIER_H]]="","",AM811),MONTH(NOTA[[#This Row],[TGL.NOTA]]))</f>
        <v/>
      </c>
      <c r="AN8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2" s="35" t="str">
        <f>IF(NOTA[[#This Row],[CONCAT1]]="","",MATCH(NOTA[[#This Row],[CONCAT1]],[3]!db[NB NOTA_C],0))</f>
        <v/>
      </c>
      <c r="AS812" s="35" t="str">
        <f>IF(NOTA[[#This Row],[Column5]]="","",TRUE)</f>
        <v/>
      </c>
      <c r="AT812" s="35" t="str">
        <f ca="1">IF(NOTA[[#This Row],[ID_H]]="","",IF(NOTA[[#This Row],[Column3]]=TRUE,NOTA[[#This Row],[Column5]],INDEX([3]!db[QTY/ CTN],NOTA[[#This Row],[//DB]])))</f>
        <v/>
      </c>
      <c r="AU8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2" s="35" t="str">
        <f ca="1">IF(NOTA[[#This Row],[ID_H]]="","",MATCH(NOTA[[#This Row],[NB NOTA_C_QTY]],[3]!db[NB NOTA_C_QTY+F],0))</f>
        <v/>
      </c>
      <c r="AW812" s="43" t="str">
        <f ca="1">IF(NOTA[[#This Row],[NB NOTA_C_QTY]]="","",ROW()-2)</f>
        <v/>
      </c>
    </row>
    <row r="813" spans="1:49" ht="20.100000000000001" customHeight="1">
      <c r="A8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5" t="str">
        <f ca="1">IF(NOTA[[#This Row],[NAMA BARANG]]="","",INDEX(NOTA[ID],MATCH(,INDIRECT(ADDRESS(ROW(NOTA[ID]),COLUMN(NOTA[ID]))&amp;":"&amp;ADDRESS(ROW(),COLUMN(NOTA[ID]))),-1)))</f>
        <v/>
      </c>
      <c r="C813" s="45"/>
      <c r="F813" s="46"/>
      <c r="G813" s="35"/>
      <c r="H813" s="36"/>
      <c r="I813" s="35"/>
      <c r="K813" s="37"/>
      <c r="L813" s="35"/>
      <c r="N813" s="38"/>
      <c r="O813" s="39"/>
      <c r="P813" s="47"/>
      <c r="Q813" s="48"/>
      <c r="R813" s="41"/>
      <c r="T813" s="42"/>
      <c r="U813" s="44"/>
      <c r="V813" s="42" t="str">
        <f>IF(NOTA[[#This Row],[HARGA/ CTN]]="",NOTA[[#This Row],[JUMLAH_H]],NOTA[[#This Row],[HARGA/ CTN]]*IF(NOTA[[#This Row],[C]]="",0,NOTA[[#This Row],[C]]))</f>
        <v/>
      </c>
      <c r="W813" s="42" t="str">
        <f>IF(NOTA[[#This Row],[JUMLAH]]="","",NOTA[[#This Row],[JUMLAH]]*NOTA[[#This Row],[Column6]])</f>
        <v/>
      </c>
      <c r="X813" s="42" t="str">
        <f>IF(NOTA[[#This Row],[JUMLAH]]="","",(NOTA[[#This Row],[JUMLAH]]-NOTA[[#This Row],[DISC 1-]])*NOTA[[#This Row],[Column7]])</f>
        <v/>
      </c>
      <c r="Y813" s="42" t="str">
        <f>IF(NOTA[[#This Row],[JUMLAH]]="","",(NOTA[[#This Row],[JUMLAH]]-NOTA[[#This Row],[DISC 1-]]-NOTA[[#This Row],[DISC 2-]])*NOTA[[#This Row],[Column8]])</f>
        <v/>
      </c>
      <c r="Z813" s="42" t="str">
        <f>IF(NOTA[[#This Row],[JUMLAH]]="","",NOTA[[#This Row],[DISC 1-]]+NOTA[[#This Row],[DISC 2-]]+NOTA[[#This Row],[DISC 3-]])</f>
        <v/>
      </c>
      <c r="AA813" s="42" t="str">
        <f>IF(NOTA[[#This Row],[JUMLAH]]="","",NOTA[[#This Row],[JUMLAH]]-NOTA[[#This Row],[DISC]])</f>
        <v/>
      </c>
      <c r="AB813" s="42"/>
      <c r="AC8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42" t="str">
        <f>IF(OR(NOTA[[#This Row],[QTY]]="",NOTA[[#This Row],[HARGA SATUAN]]="",),"",NOTA[[#This Row],[QTY]]*NOTA[[#This Row],[HARGA SATUAN]])</f>
        <v/>
      </c>
      <c r="AG813" s="36" t="str">
        <f ca="1">IF(NOTA[[#This Row],[ID_H]]="","",INDEX(NOTA[TANGGAL],MATCH(,INDIRECT(ADDRESS(ROW(NOTA[TANGGAL]),COLUMN(NOTA[TANGGAL]))&amp;":"&amp;ADDRESS(ROW(),COLUMN(NOTA[TANGGAL]))),-1)))</f>
        <v/>
      </c>
      <c r="AH813" s="36" t="str">
        <f ca="1">IF(NOTA[[#This Row],[ID_H]]="","",INDEX(NOTA[TGL.NOTA],MATCH(,INDIRECT(ADDRESS(ROW(NOTA[TGL.NOTA]),COLUMN(NOTA[TGL.NOTA]))&amp;":"&amp;ADDRESS(ROW(),COLUMN(NOTA[TGL.NOTA]))),-1)))</f>
        <v/>
      </c>
      <c r="AI813" s="36" t="str">
        <f ca="1">IF(NOTA[[#This Row],[ID_H]]="","",INDEX(NOTA[NO.NOTA],MATCH(NOTA[[#This Row],[ID_H]],NOTA[ID_H],0)))</f>
        <v/>
      </c>
      <c r="AJ813" s="38" t="str">
        <f ca="1">IF(NOTA[[#This Row],[NAMA BARANG]]="","",INDEX(NOTA[SUPPLIER],MATCH(,INDIRECT(ADDRESS(ROW(NOTA[ID]),COLUMN(NOTA[ID]))&amp;":"&amp;ADDRESS(ROW(),COLUMN(NOTA[ID]))),-1)))</f>
        <v/>
      </c>
      <c r="AK813" s="38" t="str">
        <f ca="1">IF(NOTA[[#This Row],[ID_H]]="","",IF(NOTA[[#This Row],[FAKTUR]]="",INDIRECT(ADDRESS(ROW()-1,COLUMN())),NOTA[[#This Row],[FAKTUR]]))</f>
        <v/>
      </c>
      <c r="AL813" s="35" t="str">
        <f ca="1">IF(NOTA[[#This Row],[ID]]="","",COUNTIF(NOTA[ID_H],NOTA[[#This Row],[ID_H]]))</f>
        <v/>
      </c>
      <c r="AM813" s="35" t="str">
        <f ca="1">IF(NOTA[[#This Row],[TGL.NOTA]]="",IF(NOTA[[#This Row],[SUPPLIER_H]]="","",AM812),MONTH(NOTA[[#This Row],[TGL.NOTA]]))</f>
        <v/>
      </c>
      <c r="AN8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3" s="35" t="str">
        <f>IF(NOTA[[#This Row],[CONCAT1]]="","",MATCH(NOTA[[#This Row],[CONCAT1]],[3]!db[NB NOTA_C],0))</f>
        <v/>
      </c>
      <c r="AS813" s="35" t="str">
        <f>IF(NOTA[[#This Row],[Column5]]="","",TRUE)</f>
        <v/>
      </c>
      <c r="AT813" s="35" t="str">
        <f ca="1">IF(NOTA[[#This Row],[ID_H]]="","",IF(NOTA[[#This Row],[Column3]]=TRUE,NOTA[[#This Row],[Column5]],INDEX([3]!db[QTY/ CTN],NOTA[[#This Row],[//DB]])))</f>
        <v/>
      </c>
      <c r="AU8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3" s="35" t="str">
        <f ca="1">IF(NOTA[[#This Row],[ID_H]]="","",MATCH(NOTA[[#This Row],[NB NOTA_C_QTY]],[3]!db[NB NOTA_C_QTY+F],0))</f>
        <v/>
      </c>
      <c r="AW813" s="43" t="str">
        <f ca="1">IF(NOTA[[#This Row],[NB NOTA_C_QTY]]="","",ROW()-2)</f>
        <v/>
      </c>
    </row>
    <row r="814" spans="1:49" ht="20.100000000000001" customHeight="1">
      <c r="A8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5" t="str">
        <f ca="1">IF(NOTA[[#This Row],[NAMA BARANG]]="","",INDEX(NOTA[ID],MATCH(,INDIRECT(ADDRESS(ROW(NOTA[ID]),COLUMN(NOTA[ID]))&amp;":"&amp;ADDRESS(ROW(),COLUMN(NOTA[ID]))),-1)))</f>
        <v/>
      </c>
      <c r="C814" s="45"/>
      <c r="F814" s="46"/>
      <c r="G814" s="35"/>
      <c r="H814" s="36"/>
      <c r="I814" s="35"/>
      <c r="K814" s="37"/>
      <c r="L814" s="35"/>
      <c r="N814" s="38"/>
      <c r="O814" s="39"/>
      <c r="P814" s="47"/>
      <c r="Q814" s="48"/>
      <c r="R814" s="41"/>
      <c r="T814" s="42"/>
      <c r="U814" s="44"/>
      <c r="V814" s="42" t="str">
        <f>IF(NOTA[[#This Row],[HARGA/ CTN]]="",NOTA[[#This Row],[JUMLAH_H]],NOTA[[#This Row],[HARGA/ CTN]]*IF(NOTA[[#This Row],[C]]="",0,NOTA[[#This Row],[C]]))</f>
        <v/>
      </c>
      <c r="W814" s="42" t="str">
        <f>IF(NOTA[[#This Row],[JUMLAH]]="","",NOTA[[#This Row],[JUMLAH]]*NOTA[[#This Row],[Column6]])</f>
        <v/>
      </c>
      <c r="X814" s="42" t="str">
        <f>IF(NOTA[[#This Row],[JUMLAH]]="","",(NOTA[[#This Row],[JUMLAH]]-NOTA[[#This Row],[DISC 1-]])*NOTA[[#This Row],[Column7]])</f>
        <v/>
      </c>
      <c r="Y814" s="42" t="str">
        <f>IF(NOTA[[#This Row],[JUMLAH]]="","",(NOTA[[#This Row],[JUMLAH]]-NOTA[[#This Row],[DISC 1-]]-NOTA[[#This Row],[DISC 2-]])*NOTA[[#This Row],[Column8]])</f>
        <v/>
      </c>
      <c r="Z814" s="42" t="str">
        <f>IF(NOTA[[#This Row],[JUMLAH]]="","",NOTA[[#This Row],[DISC 1-]]+NOTA[[#This Row],[DISC 2-]]+NOTA[[#This Row],[DISC 3-]])</f>
        <v/>
      </c>
      <c r="AA814" s="42" t="str">
        <f>IF(NOTA[[#This Row],[JUMLAH]]="","",NOTA[[#This Row],[JUMLAH]]-NOTA[[#This Row],[DISC]])</f>
        <v/>
      </c>
      <c r="AB814" s="42"/>
      <c r="AC8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42" t="str">
        <f>IF(OR(NOTA[[#This Row],[QTY]]="",NOTA[[#This Row],[HARGA SATUAN]]="",),"",NOTA[[#This Row],[QTY]]*NOTA[[#This Row],[HARGA SATUAN]])</f>
        <v/>
      </c>
      <c r="AG814" s="36" t="str">
        <f ca="1">IF(NOTA[[#This Row],[ID_H]]="","",INDEX(NOTA[TANGGAL],MATCH(,INDIRECT(ADDRESS(ROW(NOTA[TANGGAL]),COLUMN(NOTA[TANGGAL]))&amp;":"&amp;ADDRESS(ROW(),COLUMN(NOTA[TANGGAL]))),-1)))</f>
        <v/>
      </c>
      <c r="AH814" s="36" t="str">
        <f ca="1">IF(NOTA[[#This Row],[ID_H]]="","",INDEX(NOTA[TGL.NOTA],MATCH(,INDIRECT(ADDRESS(ROW(NOTA[TGL.NOTA]),COLUMN(NOTA[TGL.NOTA]))&amp;":"&amp;ADDRESS(ROW(),COLUMN(NOTA[TGL.NOTA]))),-1)))</f>
        <v/>
      </c>
      <c r="AI814" s="36" t="str">
        <f ca="1">IF(NOTA[[#This Row],[ID_H]]="","",INDEX(NOTA[NO.NOTA],MATCH(NOTA[[#This Row],[ID_H]],NOTA[ID_H],0)))</f>
        <v/>
      </c>
      <c r="AJ814" s="38" t="str">
        <f ca="1">IF(NOTA[[#This Row],[NAMA BARANG]]="","",INDEX(NOTA[SUPPLIER],MATCH(,INDIRECT(ADDRESS(ROW(NOTA[ID]),COLUMN(NOTA[ID]))&amp;":"&amp;ADDRESS(ROW(),COLUMN(NOTA[ID]))),-1)))</f>
        <v/>
      </c>
      <c r="AK814" s="38" t="str">
        <f ca="1">IF(NOTA[[#This Row],[ID_H]]="","",IF(NOTA[[#This Row],[FAKTUR]]="",INDIRECT(ADDRESS(ROW()-1,COLUMN())),NOTA[[#This Row],[FAKTUR]]))</f>
        <v/>
      </c>
      <c r="AL814" s="35" t="str">
        <f ca="1">IF(NOTA[[#This Row],[ID]]="","",COUNTIF(NOTA[ID_H],NOTA[[#This Row],[ID_H]]))</f>
        <v/>
      </c>
      <c r="AM814" s="35" t="str">
        <f ca="1">IF(NOTA[[#This Row],[TGL.NOTA]]="",IF(NOTA[[#This Row],[SUPPLIER_H]]="","",AM813),MONTH(NOTA[[#This Row],[TGL.NOTA]]))</f>
        <v/>
      </c>
      <c r="AN8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4" s="35" t="str">
        <f>IF(NOTA[[#This Row],[CONCAT1]]="","",MATCH(NOTA[[#This Row],[CONCAT1]],[3]!db[NB NOTA_C],0))</f>
        <v/>
      </c>
      <c r="AS814" s="35" t="str">
        <f>IF(NOTA[[#This Row],[Column5]]="","",TRUE)</f>
        <v/>
      </c>
      <c r="AT814" s="35" t="str">
        <f ca="1">IF(NOTA[[#This Row],[ID_H]]="","",IF(NOTA[[#This Row],[Column3]]=TRUE,NOTA[[#This Row],[Column5]],INDEX([3]!db[QTY/ CTN],NOTA[[#This Row],[//DB]])))</f>
        <v/>
      </c>
      <c r="AU8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4" s="35" t="str">
        <f ca="1">IF(NOTA[[#This Row],[ID_H]]="","",MATCH(NOTA[[#This Row],[NB NOTA_C_QTY]],[3]!db[NB NOTA_C_QTY+F],0))</f>
        <v/>
      </c>
      <c r="AW814" s="43" t="str">
        <f ca="1">IF(NOTA[[#This Row],[NB NOTA_C_QTY]]="","",ROW()-2)</f>
        <v/>
      </c>
    </row>
    <row r="815" spans="1:49" ht="20.100000000000001" customHeight="1">
      <c r="A8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5" t="str">
        <f ca="1">IF(NOTA[[#This Row],[NAMA BARANG]]="","",INDEX(NOTA[ID],MATCH(,INDIRECT(ADDRESS(ROW(NOTA[ID]),COLUMN(NOTA[ID]))&amp;":"&amp;ADDRESS(ROW(),COLUMN(NOTA[ID]))),-1)))</f>
        <v/>
      </c>
      <c r="C815" s="45"/>
      <c r="F815" s="46"/>
      <c r="G815" s="35"/>
      <c r="H815" s="36"/>
      <c r="I815" s="35"/>
      <c r="K815" s="37"/>
      <c r="L815" s="35"/>
      <c r="N815" s="38"/>
      <c r="O815" s="39"/>
      <c r="P815" s="47"/>
      <c r="Q815" s="48"/>
      <c r="R815" s="41"/>
      <c r="T815" s="42"/>
      <c r="U815" s="44"/>
      <c r="V815" s="42" t="str">
        <f>IF(NOTA[[#This Row],[HARGA/ CTN]]="",NOTA[[#This Row],[JUMLAH_H]],NOTA[[#This Row],[HARGA/ CTN]]*IF(NOTA[[#This Row],[C]]="",0,NOTA[[#This Row],[C]]))</f>
        <v/>
      </c>
      <c r="W815" s="42" t="str">
        <f>IF(NOTA[[#This Row],[JUMLAH]]="","",NOTA[[#This Row],[JUMLAH]]*NOTA[[#This Row],[Column6]])</f>
        <v/>
      </c>
      <c r="X815" s="42" t="str">
        <f>IF(NOTA[[#This Row],[JUMLAH]]="","",(NOTA[[#This Row],[JUMLAH]]-NOTA[[#This Row],[DISC 1-]])*NOTA[[#This Row],[Column7]])</f>
        <v/>
      </c>
      <c r="Y815" s="42" t="str">
        <f>IF(NOTA[[#This Row],[JUMLAH]]="","",(NOTA[[#This Row],[JUMLAH]]-NOTA[[#This Row],[DISC 1-]]-NOTA[[#This Row],[DISC 2-]])*NOTA[[#This Row],[Column8]])</f>
        <v/>
      </c>
      <c r="Z815" s="42" t="str">
        <f>IF(NOTA[[#This Row],[JUMLAH]]="","",NOTA[[#This Row],[DISC 1-]]+NOTA[[#This Row],[DISC 2-]]+NOTA[[#This Row],[DISC 3-]])</f>
        <v/>
      </c>
      <c r="AA815" s="42" t="str">
        <f>IF(NOTA[[#This Row],[JUMLAH]]="","",NOTA[[#This Row],[JUMLAH]]-NOTA[[#This Row],[DISC]])</f>
        <v/>
      </c>
      <c r="AB815" s="42"/>
      <c r="AC8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42" t="str">
        <f>IF(OR(NOTA[[#This Row],[QTY]]="",NOTA[[#This Row],[HARGA SATUAN]]="",),"",NOTA[[#This Row],[QTY]]*NOTA[[#This Row],[HARGA SATUAN]])</f>
        <v/>
      </c>
      <c r="AG815" s="36" t="str">
        <f ca="1">IF(NOTA[[#This Row],[ID_H]]="","",INDEX(NOTA[TANGGAL],MATCH(,INDIRECT(ADDRESS(ROW(NOTA[TANGGAL]),COLUMN(NOTA[TANGGAL]))&amp;":"&amp;ADDRESS(ROW(),COLUMN(NOTA[TANGGAL]))),-1)))</f>
        <v/>
      </c>
      <c r="AH815" s="36" t="str">
        <f ca="1">IF(NOTA[[#This Row],[ID_H]]="","",INDEX(NOTA[TGL.NOTA],MATCH(,INDIRECT(ADDRESS(ROW(NOTA[TGL.NOTA]),COLUMN(NOTA[TGL.NOTA]))&amp;":"&amp;ADDRESS(ROW(),COLUMN(NOTA[TGL.NOTA]))),-1)))</f>
        <v/>
      </c>
      <c r="AI815" s="36" t="str">
        <f ca="1">IF(NOTA[[#This Row],[ID_H]]="","",INDEX(NOTA[NO.NOTA],MATCH(NOTA[[#This Row],[ID_H]],NOTA[ID_H],0)))</f>
        <v/>
      </c>
      <c r="AJ815" s="38" t="str">
        <f ca="1">IF(NOTA[[#This Row],[NAMA BARANG]]="","",INDEX(NOTA[SUPPLIER],MATCH(,INDIRECT(ADDRESS(ROW(NOTA[ID]),COLUMN(NOTA[ID]))&amp;":"&amp;ADDRESS(ROW(),COLUMN(NOTA[ID]))),-1)))</f>
        <v/>
      </c>
      <c r="AK815" s="38" t="str">
        <f ca="1">IF(NOTA[[#This Row],[ID_H]]="","",IF(NOTA[[#This Row],[FAKTUR]]="",INDIRECT(ADDRESS(ROW()-1,COLUMN())),NOTA[[#This Row],[FAKTUR]]))</f>
        <v/>
      </c>
      <c r="AL815" s="35" t="str">
        <f ca="1">IF(NOTA[[#This Row],[ID]]="","",COUNTIF(NOTA[ID_H],NOTA[[#This Row],[ID_H]]))</f>
        <v/>
      </c>
      <c r="AM815" s="35" t="str">
        <f ca="1">IF(NOTA[[#This Row],[TGL.NOTA]]="",IF(NOTA[[#This Row],[SUPPLIER_H]]="","",AM814),MONTH(NOTA[[#This Row],[TGL.NOTA]]))</f>
        <v/>
      </c>
      <c r="AN8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5" s="35" t="str">
        <f>IF(NOTA[[#This Row],[CONCAT1]]="","",MATCH(NOTA[[#This Row],[CONCAT1]],[3]!db[NB NOTA_C],0))</f>
        <v/>
      </c>
      <c r="AS815" s="35" t="str">
        <f>IF(NOTA[[#This Row],[Column5]]="","",TRUE)</f>
        <v/>
      </c>
      <c r="AT815" s="35" t="str">
        <f ca="1">IF(NOTA[[#This Row],[ID_H]]="","",IF(NOTA[[#This Row],[Column3]]=TRUE,NOTA[[#This Row],[Column5]],INDEX([3]!db[QTY/ CTN],NOTA[[#This Row],[//DB]])))</f>
        <v/>
      </c>
      <c r="AU8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5" s="35" t="str">
        <f ca="1">IF(NOTA[[#This Row],[ID_H]]="","",MATCH(NOTA[[#This Row],[NB NOTA_C_QTY]],[3]!db[NB NOTA_C_QTY+F],0))</f>
        <v/>
      </c>
      <c r="AW815" s="43" t="str">
        <f ca="1">IF(NOTA[[#This Row],[NB NOTA_C_QTY]]="","",ROW()-2)</f>
        <v/>
      </c>
    </row>
    <row r="816" spans="1:49" ht="20.100000000000001" customHeight="1">
      <c r="A8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5" t="str">
        <f ca="1">IF(NOTA[[#This Row],[NAMA BARANG]]="","",INDEX(NOTA[ID],MATCH(,INDIRECT(ADDRESS(ROW(NOTA[ID]),COLUMN(NOTA[ID]))&amp;":"&amp;ADDRESS(ROW(),COLUMN(NOTA[ID]))),-1)))</f>
        <v/>
      </c>
      <c r="C816" s="45"/>
      <c r="F816" s="46"/>
      <c r="G816" s="35"/>
      <c r="H816" s="36"/>
      <c r="I816" s="35"/>
      <c r="K816" s="37"/>
      <c r="L816" s="35"/>
      <c r="N816" s="38"/>
      <c r="O816" s="39"/>
      <c r="P816" s="47"/>
      <c r="Q816" s="48"/>
      <c r="R816" s="41"/>
      <c r="T816" s="42"/>
      <c r="U816" s="44"/>
      <c r="V816" s="42" t="str">
        <f>IF(NOTA[[#This Row],[HARGA/ CTN]]="",NOTA[[#This Row],[JUMLAH_H]],NOTA[[#This Row],[HARGA/ CTN]]*IF(NOTA[[#This Row],[C]]="",0,NOTA[[#This Row],[C]]))</f>
        <v/>
      </c>
      <c r="W816" s="42" t="str">
        <f>IF(NOTA[[#This Row],[JUMLAH]]="","",NOTA[[#This Row],[JUMLAH]]*NOTA[[#This Row],[Column6]])</f>
        <v/>
      </c>
      <c r="X816" s="42" t="str">
        <f>IF(NOTA[[#This Row],[JUMLAH]]="","",(NOTA[[#This Row],[JUMLAH]]-NOTA[[#This Row],[DISC 1-]])*NOTA[[#This Row],[Column7]])</f>
        <v/>
      </c>
      <c r="Y816" s="42" t="str">
        <f>IF(NOTA[[#This Row],[JUMLAH]]="","",(NOTA[[#This Row],[JUMLAH]]-NOTA[[#This Row],[DISC 1-]]-NOTA[[#This Row],[DISC 2-]])*NOTA[[#This Row],[Column8]])</f>
        <v/>
      </c>
      <c r="Z816" s="42" t="str">
        <f>IF(NOTA[[#This Row],[JUMLAH]]="","",NOTA[[#This Row],[DISC 1-]]+NOTA[[#This Row],[DISC 2-]]+NOTA[[#This Row],[DISC 3-]])</f>
        <v/>
      </c>
      <c r="AA816" s="42" t="str">
        <f>IF(NOTA[[#This Row],[JUMLAH]]="","",NOTA[[#This Row],[JUMLAH]]-NOTA[[#This Row],[DISC]])</f>
        <v/>
      </c>
      <c r="AB816" s="42"/>
      <c r="AC8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42" t="str">
        <f>IF(OR(NOTA[[#This Row],[QTY]]="",NOTA[[#This Row],[HARGA SATUAN]]="",),"",NOTA[[#This Row],[QTY]]*NOTA[[#This Row],[HARGA SATUAN]])</f>
        <v/>
      </c>
      <c r="AG816" s="36" t="str">
        <f ca="1">IF(NOTA[[#This Row],[ID_H]]="","",INDEX(NOTA[TANGGAL],MATCH(,INDIRECT(ADDRESS(ROW(NOTA[TANGGAL]),COLUMN(NOTA[TANGGAL]))&amp;":"&amp;ADDRESS(ROW(),COLUMN(NOTA[TANGGAL]))),-1)))</f>
        <v/>
      </c>
      <c r="AH816" s="36" t="str">
        <f ca="1">IF(NOTA[[#This Row],[ID_H]]="","",INDEX(NOTA[TGL.NOTA],MATCH(,INDIRECT(ADDRESS(ROW(NOTA[TGL.NOTA]),COLUMN(NOTA[TGL.NOTA]))&amp;":"&amp;ADDRESS(ROW(),COLUMN(NOTA[TGL.NOTA]))),-1)))</f>
        <v/>
      </c>
      <c r="AI816" s="36" t="str">
        <f ca="1">IF(NOTA[[#This Row],[ID_H]]="","",INDEX(NOTA[NO.NOTA],MATCH(NOTA[[#This Row],[ID_H]],NOTA[ID_H],0)))</f>
        <v/>
      </c>
      <c r="AJ816" s="38" t="str">
        <f ca="1">IF(NOTA[[#This Row],[NAMA BARANG]]="","",INDEX(NOTA[SUPPLIER],MATCH(,INDIRECT(ADDRESS(ROW(NOTA[ID]),COLUMN(NOTA[ID]))&amp;":"&amp;ADDRESS(ROW(),COLUMN(NOTA[ID]))),-1)))</f>
        <v/>
      </c>
      <c r="AK816" s="38" t="str">
        <f ca="1">IF(NOTA[[#This Row],[ID_H]]="","",IF(NOTA[[#This Row],[FAKTUR]]="",INDIRECT(ADDRESS(ROW()-1,COLUMN())),NOTA[[#This Row],[FAKTUR]]))</f>
        <v/>
      </c>
      <c r="AL816" s="35" t="str">
        <f ca="1">IF(NOTA[[#This Row],[ID]]="","",COUNTIF(NOTA[ID_H],NOTA[[#This Row],[ID_H]]))</f>
        <v/>
      </c>
      <c r="AM816" s="35" t="str">
        <f ca="1">IF(NOTA[[#This Row],[TGL.NOTA]]="",IF(NOTA[[#This Row],[SUPPLIER_H]]="","",AM815),MONTH(NOTA[[#This Row],[TGL.NOTA]]))</f>
        <v/>
      </c>
      <c r="AN8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6" s="35" t="str">
        <f>IF(NOTA[[#This Row],[CONCAT1]]="","",MATCH(NOTA[[#This Row],[CONCAT1]],[3]!db[NB NOTA_C],0))</f>
        <v/>
      </c>
      <c r="AS816" s="35" t="str">
        <f>IF(NOTA[[#This Row],[Column5]]="","",TRUE)</f>
        <v/>
      </c>
      <c r="AT816" s="35" t="str">
        <f ca="1">IF(NOTA[[#This Row],[ID_H]]="","",IF(NOTA[[#This Row],[Column3]]=TRUE,NOTA[[#This Row],[Column5]],INDEX([3]!db[QTY/ CTN],NOTA[[#This Row],[//DB]])))</f>
        <v/>
      </c>
      <c r="AU8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6" s="35" t="str">
        <f ca="1">IF(NOTA[[#This Row],[ID_H]]="","",MATCH(NOTA[[#This Row],[NB NOTA_C_QTY]],[3]!db[NB NOTA_C_QTY+F],0))</f>
        <v/>
      </c>
      <c r="AW816" s="43" t="str">
        <f ca="1">IF(NOTA[[#This Row],[NB NOTA_C_QTY]]="","",ROW()-2)</f>
        <v/>
      </c>
    </row>
    <row r="817" spans="1:49" ht="20.100000000000001" customHeight="1">
      <c r="A8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5" t="str">
        <f ca="1">IF(NOTA[[#This Row],[NAMA BARANG]]="","",INDEX(NOTA[ID],MATCH(,INDIRECT(ADDRESS(ROW(NOTA[ID]),COLUMN(NOTA[ID]))&amp;":"&amp;ADDRESS(ROW(),COLUMN(NOTA[ID]))),-1)))</f>
        <v/>
      </c>
      <c r="C817" s="45"/>
      <c r="F817" s="46"/>
      <c r="G817" s="35"/>
      <c r="H817" s="36"/>
      <c r="I817" s="35"/>
      <c r="K817" s="37"/>
      <c r="L817" s="35"/>
      <c r="N817" s="38"/>
      <c r="O817" s="39"/>
      <c r="P817" s="47"/>
      <c r="Q817" s="48"/>
      <c r="R817" s="41"/>
      <c r="T817" s="42"/>
      <c r="U817" s="44"/>
      <c r="V817" s="42" t="str">
        <f>IF(NOTA[[#This Row],[HARGA/ CTN]]="",NOTA[[#This Row],[JUMLAH_H]],NOTA[[#This Row],[HARGA/ CTN]]*IF(NOTA[[#This Row],[C]]="",0,NOTA[[#This Row],[C]]))</f>
        <v/>
      </c>
      <c r="W817" s="42" t="str">
        <f>IF(NOTA[[#This Row],[JUMLAH]]="","",NOTA[[#This Row],[JUMLAH]]*NOTA[[#This Row],[Column6]])</f>
        <v/>
      </c>
      <c r="X817" s="42" t="str">
        <f>IF(NOTA[[#This Row],[JUMLAH]]="","",(NOTA[[#This Row],[JUMLAH]]-NOTA[[#This Row],[DISC 1-]])*NOTA[[#This Row],[Column7]])</f>
        <v/>
      </c>
      <c r="Y817" s="42" t="str">
        <f>IF(NOTA[[#This Row],[JUMLAH]]="","",(NOTA[[#This Row],[JUMLAH]]-NOTA[[#This Row],[DISC 1-]]-NOTA[[#This Row],[DISC 2-]])*NOTA[[#This Row],[Column8]])</f>
        <v/>
      </c>
      <c r="Z817" s="42" t="str">
        <f>IF(NOTA[[#This Row],[JUMLAH]]="","",NOTA[[#This Row],[DISC 1-]]+NOTA[[#This Row],[DISC 2-]]+NOTA[[#This Row],[DISC 3-]])</f>
        <v/>
      </c>
      <c r="AA817" s="42" t="str">
        <f>IF(NOTA[[#This Row],[JUMLAH]]="","",NOTA[[#This Row],[JUMLAH]]-NOTA[[#This Row],[DISC]])</f>
        <v/>
      </c>
      <c r="AB817" s="42"/>
      <c r="AC8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42" t="str">
        <f>IF(OR(NOTA[[#This Row],[QTY]]="",NOTA[[#This Row],[HARGA SATUAN]]="",),"",NOTA[[#This Row],[QTY]]*NOTA[[#This Row],[HARGA SATUAN]])</f>
        <v/>
      </c>
      <c r="AG817" s="36" t="str">
        <f ca="1">IF(NOTA[[#This Row],[ID_H]]="","",INDEX(NOTA[TANGGAL],MATCH(,INDIRECT(ADDRESS(ROW(NOTA[TANGGAL]),COLUMN(NOTA[TANGGAL]))&amp;":"&amp;ADDRESS(ROW(),COLUMN(NOTA[TANGGAL]))),-1)))</f>
        <v/>
      </c>
      <c r="AH817" s="36" t="str">
        <f ca="1">IF(NOTA[[#This Row],[ID_H]]="","",INDEX(NOTA[TGL.NOTA],MATCH(,INDIRECT(ADDRESS(ROW(NOTA[TGL.NOTA]),COLUMN(NOTA[TGL.NOTA]))&amp;":"&amp;ADDRESS(ROW(),COLUMN(NOTA[TGL.NOTA]))),-1)))</f>
        <v/>
      </c>
      <c r="AI817" s="36" t="str">
        <f ca="1">IF(NOTA[[#This Row],[ID_H]]="","",INDEX(NOTA[NO.NOTA],MATCH(NOTA[[#This Row],[ID_H]],NOTA[ID_H],0)))</f>
        <v/>
      </c>
      <c r="AJ817" s="38" t="str">
        <f ca="1">IF(NOTA[[#This Row],[NAMA BARANG]]="","",INDEX(NOTA[SUPPLIER],MATCH(,INDIRECT(ADDRESS(ROW(NOTA[ID]),COLUMN(NOTA[ID]))&amp;":"&amp;ADDRESS(ROW(),COLUMN(NOTA[ID]))),-1)))</f>
        <v/>
      </c>
      <c r="AK817" s="38" t="str">
        <f ca="1">IF(NOTA[[#This Row],[ID_H]]="","",IF(NOTA[[#This Row],[FAKTUR]]="",INDIRECT(ADDRESS(ROW()-1,COLUMN())),NOTA[[#This Row],[FAKTUR]]))</f>
        <v/>
      </c>
      <c r="AL817" s="35" t="str">
        <f ca="1">IF(NOTA[[#This Row],[ID]]="","",COUNTIF(NOTA[ID_H],NOTA[[#This Row],[ID_H]]))</f>
        <v/>
      </c>
      <c r="AM817" s="35" t="str">
        <f ca="1">IF(NOTA[[#This Row],[TGL.NOTA]]="",IF(NOTA[[#This Row],[SUPPLIER_H]]="","",AM816),MONTH(NOTA[[#This Row],[TGL.NOTA]]))</f>
        <v/>
      </c>
      <c r="AN8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7" s="35" t="str">
        <f>IF(NOTA[[#This Row],[CONCAT1]]="","",MATCH(NOTA[[#This Row],[CONCAT1]],[3]!db[NB NOTA_C],0))</f>
        <v/>
      </c>
      <c r="AS817" s="35" t="str">
        <f>IF(NOTA[[#This Row],[Column5]]="","",TRUE)</f>
        <v/>
      </c>
      <c r="AT817" s="35" t="str">
        <f ca="1">IF(NOTA[[#This Row],[ID_H]]="","",IF(NOTA[[#This Row],[Column3]]=TRUE,NOTA[[#This Row],[Column5]],INDEX([3]!db[QTY/ CTN],NOTA[[#This Row],[//DB]])))</f>
        <v/>
      </c>
      <c r="AU8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7" s="35" t="str">
        <f ca="1">IF(NOTA[[#This Row],[ID_H]]="","",MATCH(NOTA[[#This Row],[NB NOTA_C_QTY]],[3]!db[NB NOTA_C_QTY+F],0))</f>
        <v/>
      </c>
      <c r="AW817" s="43" t="str">
        <f ca="1">IF(NOTA[[#This Row],[NB NOTA_C_QTY]]="","",ROW()-2)</f>
        <v/>
      </c>
    </row>
    <row r="818" spans="1:49" ht="20.100000000000001" customHeight="1">
      <c r="A8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5" t="str">
        <f ca="1">IF(NOTA[[#This Row],[NAMA BARANG]]="","",INDEX(NOTA[ID],MATCH(,INDIRECT(ADDRESS(ROW(NOTA[ID]),COLUMN(NOTA[ID]))&amp;":"&amp;ADDRESS(ROW(),COLUMN(NOTA[ID]))),-1)))</f>
        <v/>
      </c>
      <c r="C818" s="45"/>
      <c r="F818" s="46"/>
      <c r="G818" s="35"/>
      <c r="H818" s="36"/>
      <c r="I818" s="35"/>
      <c r="K818" s="37"/>
      <c r="L818" s="35"/>
      <c r="N818" s="38"/>
      <c r="O818" s="39"/>
      <c r="P818" s="47"/>
      <c r="Q818" s="48"/>
      <c r="R818" s="41"/>
      <c r="T818" s="42"/>
      <c r="U818" s="44"/>
      <c r="V818" s="42" t="str">
        <f>IF(NOTA[[#This Row],[HARGA/ CTN]]="",NOTA[[#This Row],[JUMLAH_H]],NOTA[[#This Row],[HARGA/ CTN]]*IF(NOTA[[#This Row],[C]]="",0,NOTA[[#This Row],[C]]))</f>
        <v/>
      </c>
      <c r="W818" s="42" t="str">
        <f>IF(NOTA[[#This Row],[JUMLAH]]="","",NOTA[[#This Row],[JUMLAH]]*NOTA[[#This Row],[Column6]])</f>
        <v/>
      </c>
      <c r="X818" s="42" t="str">
        <f>IF(NOTA[[#This Row],[JUMLAH]]="","",(NOTA[[#This Row],[JUMLAH]]-NOTA[[#This Row],[DISC 1-]])*NOTA[[#This Row],[Column7]])</f>
        <v/>
      </c>
      <c r="Y818" s="42" t="str">
        <f>IF(NOTA[[#This Row],[JUMLAH]]="","",(NOTA[[#This Row],[JUMLAH]]-NOTA[[#This Row],[DISC 1-]]-NOTA[[#This Row],[DISC 2-]])*NOTA[[#This Row],[Column8]])</f>
        <v/>
      </c>
      <c r="Z818" s="42" t="str">
        <f>IF(NOTA[[#This Row],[JUMLAH]]="","",NOTA[[#This Row],[DISC 1-]]+NOTA[[#This Row],[DISC 2-]]+NOTA[[#This Row],[DISC 3-]])</f>
        <v/>
      </c>
      <c r="AA818" s="42" t="str">
        <f>IF(NOTA[[#This Row],[JUMLAH]]="","",NOTA[[#This Row],[JUMLAH]]-NOTA[[#This Row],[DISC]])</f>
        <v/>
      </c>
      <c r="AB818" s="42"/>
      <c r="AC8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42" t="str">
        <f>IF(OR(NOTA[[#This Row],[QTY]]="",NOTA[[#This Row],[HARGA SATUAN]]="",),"",NOTA[[#This Row],[QTY]]*NOTA[[#This Row],[HARGA SATUAN]])</f>
        <v/>
      </c>
      <c r="AG818" s="36" t="str">
        <f ca="1">IF(NOTA[[#This Row],[ID_H]]="","",INDEX(NOTA[TANGGAL],MATCH(,INDIRECT(ADDRESS(ROW(NOTA[TANGGAL]),COLUMN(NOTA[TANGGAL]))&amp;":"&amp;ADDRESS(ROW(),COLUMN(NOTA[TANGGAL]))),-1)))</f>
        <v/>
      </c>
      <c r="AH818" s="36" t="str">
        <f ca="1">IF(NOTA[[#This Row],[ID_H]]="","",INDEX(NOTA[TGL.NOTA],MATCH(,INDIRECT(ADDRESS(ROW(NOTA[TGL.NOTA]),COLUMN(NOTA[TGL.NOTA]))&amp;":"&amp;ADDRESS(ROW(),COLUMN(NOTA[TGL.NOTA]))),-1)))</f>
        <v/>
      </c>
      <c r="AI818" s="36" t="str">
        <f ca="1">IF(NOTA[[#This Row],[ID_H]]="","",INDEX(NOTA[NO.NOTA],MATCH(NOTA[[#This Row],[ID_H]],NOTA[ID_H],0)))</f>
        <v/>
      </c>
      <c r="AJ818" s="38" t="str">
        <f ca="1">IF(NOTA[[#This Row],[NAMA BARANG]]="","",INDEX(NOTA[SUPPLIER],MATCH(,INDIRECT(ADDRESS(ROW(NOTA[ID]),COLUMN(NOTA[ID]))&amp;":"&amp;ADDRESS(ROW(),COLUMN(NOTA[ID]))),-1)))</f>
        <v/>
      </c>
      <c r="AK818" s="38" t="str">
        <f ca="1">IF(NOTA[[#This Row],[ID_H]]="","",IF(NOTA[[#This Row],[FAKTUR]]="",INDIRECT(ADDRESS(ROW()-1,COLUMN())),NOTA[[#This Row],[FAKTUR]]))</f>
        <v/>
      </c>
      <c r="AL818" s="35" t="str">
        <f ca="1">IF(NOTA[[#This Row],[ID]]="","",COUNTIF(NOTA[ID_H],NOTA[[#This Row],[ID_H]]))</f>
        <v/>
      </c>
      <c r="AM818" s="35" t="str">
        <f ca="1">IF(NOTA[[#This Row],[TGL.NOTA]]="",IF(NOTA[[#This Row],[SUPPLIER_H]]="","",AM817),MONTH(NOTA[[#This Row],[TGL.NOTA]]))</f>
        <v/>
      </c>
      <c r="AN8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8" s="35" t="str">
        <f>IF(NOTA[[#This Row],[CONCAT1]]="","",MATCH(NOTA[[#This Row],[CONCAT1]],[3]!db[NB NOTA_C],0))</f>
        <v/>
      </c>
      <c r="AS818" s="35" t="str">
        <f>IF(NOTA[[#This Row],[Column5]]="","",TRUE)</f>
        <v/>
      </c>
      <c r="AT818" s="35" t="str">
        <f ca="1">IF(NOTA[[#This Row],[ID_H]]="","",IF(NOTA[[#This Row],[Column3]]=TRUE,NOTA[[#This Row],[Column5]],INDEX([3]!db[QTY/ CTN],NOTA[[#This Row],[//DB]])))</f>
        <v/>
      </c>
      <c r="AU8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8" s="35" t="str">
        <f ca="1">IF(NOTA[[#This Row],[ID_H]]="","",MATCH(NOTA[[#This Row],[NB NOTA_C_QTY]],[3]!db[NB NOTA_C_QTY+F],0))</f>
        <v/>
      </c>
      <c r="AW818" s="43" t="str">
        <f ca="1">IF(NOTA[[#This Row],[NB NOTA_C_QTY]]="","",ROW()-2)</f>
        <v/>
      </c>
    </row>
    <row r="819" spans="1:49" ht="20.100000000000001" customHeight="1">
      <c r="A8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5" t="str">
        <f ca="1">IF(NOTA[[#This Row],[NAMA BARANG]]="","",INDEX(NOTA[ID],MATCH(,INDIRECT(ADDRESS(ROW(NOTA[ID]),COLUMN(NOTA[ID]))&amp;":"&amp;ADDRESS(ROW(),COLUMN(NOTA[ID]))),-1)))</f>
        <v/>
      </c>
      <c r="C819" s="45"/>
      <c r="F819" s="46"/>
      <c r="G819" s="35"/>
      <c r="H819" s="36"/>
      <c r="I819" s="35"/>
      <c r="K819" s="37"/>
      <c r="L819" s="35"/>
      <c r="N819" s="38"/>
      <c r="O819" s="39"/>
      <c r="P819" s="47"/>
      <c r="Q819" s="48"/>
      <c r="R819" s="41"/>
      <c r="T819" s="42"/>
      <c r="U819" s="44"/>
      <c r="V819" s="42" t="str">
        <f>IF(NOTA[[#This Row],[HARGA/ CTN]]="",NOTA[[#This Row],[JUMLAH_H]],NOTA[[#This Row],[HARGA/ CTN]]*IF(NOTA[[#This Row],[C]]="",0,NOTA[[#This Row],[C]]))</f>
        <v/>
      </c>
      <c r="W819" s="42" t="str">
        <f>IF(NOTA[[#This Row],[JUMLAH]]="","",NOTA[[#This Row],[JUMLAH]]*NOTA[[#This Row],[Column6]])</f>
        <v/>
      </c>
      <c r="X819" s="42" t="str">
        <f>IF(NOTA[[#This Row],[JUMLAH]]="","",(NOTA[[#This Row],[JUMLAH]]-NOTA[[#This Row],[DISC 1-]])*NOTA[[#This Row],[Column7]])</f>
        <v/>
      </c>
      <c r="Y819" s="42" t="str">
        <f>IF(NOTA[[#This Row],[JUMLAH]]="","",(NOTA[[#This Row],[JUMLAH]]-NOTA[[#This Row],[DISC 1-]]-NOTA[[#This Row],[DISC 2-]])*NOTA[[#This Row],[Column8]])</f>
        <v/>
      </c>
      <c r="Z819" s="42" t="str">
        <f>IF(NOTA[[#This Row],[JUMLAH]]="","",NOTA[[#This Row],[DISC 1-]]+NOTA[[#This Row],[DISC 2-]]+NOTA[[#This Row],[DISC 3-]])</f>
        <v/>
      </c>
      <c r="AA819" s="42" t="str">
        <f>IF(NOTA[[#This Row],[JUMLAH]]="","",NOTA[[#This Row],[JUMLAH]]-NOTA[[#This Row],[DISC]])</f>
        <v/>
      </c>
      <c r="AB819" s="42"/>
      <c r="AC8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42" t="str">
        <f>IF(OR(NOTA[[#This Row],[QTY]]="",NOTA[[#This Row],[HARGA SATUAN]]="",),"",NOTA[[#This Row],[QTY]]*NOTA[[#This Row],[HARGA SATUAN]])</f>
        <v/>
      </c>
      <c r="AG819" s="36" t="str">
        <f ca="1">IF(NOTA[[#This Row],[ID_H]]="","",INDEX(NOTA[TANGGAL],MATCH(,INDIRECT(ADDRESS(ROW(NOTA[TANGGAL]),COLUMN(NOTA[TANGGAL]))&amp;":"&amp;ADDRESS(ROW(),COLUMN(NOTA[TANGGAL]))),-1)))</f>
        <v/>
      </c>
      <c r="AH819" s="36" t="str">
        <f ca="1">IF(NOTA[[#This Row],[ID_H]]="","",INDEX(NOTA[TGL.NOTA],MATCH(,INDIRECT(ADDRESS(ROW(NOTA[TGL.NOTA]),COLUMN(NOTA[TGL.NOTA]))&amp;":"&amp;ADDRESS(ROW(),COLUMN(NOTA[TGL.NOTA]))),-1)))</f>
        <v/>
      </c>
      <c r="AI819" s="36" t="str">
        <f ca="1">IF(NOTA[[#This Row],[ID_H]]="","",INDEX(NOTA[NO.NOTA],MATCH(NOTA[[#This Row],[ID_H]],NOTA[ID_H],0)))</f>
        <v/>
      </c>
      <c r="AJ819" s="38" t="str">
        <f ca="1">IF(NOTA[[#This Row],[NAMA BARANG]]="","",INDEX(NOTA[SUPPLIER],MATCH(,INDIRECT(ADDRESS(ROW(NOTA[ID]),COLUMN(NOTA[ID]))&amp;":"&amp;ADDRESS(ROW(),COLUMN(NOTA[ID]))),-1)))</f>
        <v/>
      </c>
      <c r="AK819" s="38" t="str">
        <f ca="1">IF(NOTA[[#This Row],[ID_H]]="","",IF(NOTA[[#This Row],[FAKTUR]]="",INDIRECT(ADDRESS(ROW()-1,COLUMN())),NOTA[[#This Row],[FAKTUR]]))</f>
        <v/>
      </c>
      <c r="AL819" s="35" t="str">
        <f ca="1">IF(NOTA[[#This Row],[ID]]="","",COUNTIF(NOTA[ID_H],NOTA[[#This Row],[ID_H]]))</f>
        <v/>
      </c>
      <c r="AM819" s="35" t="str">
        <f ca="1">IF(NOTA[[#This Row],[TGL.NOTA]]="",IF(NOTA[[#This Row],[SUPPLIER_H]]="","",AM818),MONTH(NOTA[[#This Row],[TGL.NOTA]]))</f>
        <v/>
      </c>
      <c r="AN8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9" s="35" t="str">
        <f>IF(NOTA[[#This Row],[CONCAT1]]="","",MATCH(NOTA[[#This Row],[CONCAT1]],[3]!db[NB NOTA_C],0))</f>
        <v/>
      </c>
      <c r="AS819" s="35" t="str">
        <f>IF(NOTA[[#This Row],[Column5]]="","",TRUE)</f>
        <v/>
      </c>
      <c r="AT819" s="35" t="str">
        <f ca="1">IF(NOTA[[#This Row],[ID_H]]="","",IF(NOTA[[#This Row],[Column3]]=TRUE,NOTA[[#This Row],[Column5]],INDEX([3]!db[QTY/ CTN],NOTA[[#This Row],[//DB]])))</f>
        <v/>
      </c>
      <c r="AU8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19" s="35" t="str">
        <f ca="1">IF(NOTA[[#This Row],[ID_H]]="","",MATCH(NOTA[[#This Row],[NB NOTA_C_QTY]],[3]!db[NB NOTA_C_QTY+F],0))</f>
        <v/>
      </c>
      <c r="AW819" s="43" t="str">
        <f ca="1">IF(NOTA[[#This Row],[NB NOTA_C_QTY]]="","",ROW()-2)</f>
        <v/>
      </c>
    </row>
    <row r="820" spans="1:49" ht="20.100000000000001" customHeight="1">
      <c r="A8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5" t="str">
        <f ca="1">IF(NOTA[[#This Row],[NAMA BARANG]]="","",INDEX(NOTA[ID],MATCH(,INDIRECT(ADDRESS(ROW(NOTA[ID]),COLUMN(NOTA[ID]))&amp;":"&amp;ADDRESS(ROW(),COLUMN(NOTA[ID]))),-1)))</f>
        <v/>
      </c>
      <c r="C820" s="45"/>
      <c r="F820" s="46"/>
      <c r="G820" s="35"/>
      <c r="H820" s="36"/>
      <c r="I820" s="35"/>
      <c r="K820" s="37"/>
      <c r="L820" s="35"/>
      <c r="N820" s="38"/>
      <c r="O820" s="39"/>
      <c r="P820" s="47"/>
      <c r="Q820" s="48"/>
      <c r="R820" s="41"/>
      <c r="T820" s="42"/>
      <c r="U820" s="44"/>
      <c r="V820" s="42" t="str">
        <f>IF(NOTA[[#This Row],[HARGA/ CTN]]="",NOTA[[#This Row],[JUMLAH_H]],NOTA[[#This Row],[HARGA/ CTN]]*IF(NOTA[[#This Row],[C]]="",0,NOTA[[#This Row],[C]]))</f>
        <v/>
      </c>
      <c r="W820" s="42" t="str">
        <f>IF(NOTA[[#This Row],[JUMLAH]]="","",NOTA[[#This Row],[JUMLAH]]*NOTA[[#This Row],[Column6]])</f>
        <v/>
      </c>
      <c r="X820" s="42" t="str">
        <f>IF(NOTA[[#This Row],[JUMLAH]]="","",(NOTA[[#This Row],[JUMLAH]]-NOTA[[#This Row],[DISC 1-]])*NOTA[[#This Row],[Column7]])</f>
        <v/>
      </c>
      <c r="Y820" s="42" t="str">
        <f>IF(NOTA[[#This Row],[JUMLAH]]="","",(NOTA[[#This Row],[JUMLAH]]-NOTA[[#This Row],[DISC 1-]]-NOTA[[#This Row],[DISC 2-]])*NOTA[[#This Row],[Column8]])</f>
        <v/>
      </c>
      <c r="Z820" s="42" t="str">
        <f>IF(NOTA[[#This Row],[JUMLAH]]="","",NOTA[[#This Row],[DISC 1-]]+NOTA[[#This Row],[DISC 2-]]+NOTA[[#This Row],[DISC 3-]])</f>
        <v/>
      </c>
      <c r="AA820" s="42" t="str">
        <f>IF(NOTA[[#This Row],[JUMLAH]]="","",NOTA[[#This Row],[JUMLAH]]-NOTA[[#This Row],[DISC]])</f>
        <v/>
      </c>
      <c r="AB820" s="42"/>
      <c r="AC8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42" t="str">
        <f>IF(OR(NOTA[[#This Row],[QTY]]="",NOTA[[#This Row],[HARGA SATUAN]]="",),"",NOTA[[#This Row],[QTY]]*NOTA[[#This Row],[HARGA SATUAN]])</f>
        <v/>
      </c>
      <c r="AG820" s="36" t="str">
        <f ca="1">IF(NOTA[[#This Row],[ID_H]]="","",INDEX(NOTA[TANGGAL],MATCH(,INDIRECT(ADDRESS(ROW(NOTA[TANGGAL]),COLUMN(NOTA[TANGGAL]))&amp;":"&amp;ADDRESS(ROW(),COLUMN(NOTA[TANGGAL]))),-1)))</f>
        <v/>
      </c>
      <c r="AH820" s="36" t="str">
        <f ca="1">IF(NOTA[[#This Row],[ID_H]]="","",INDEX(NOTA[TGL.NOTA],MATCH(,INDIRECT(ADDRESS(ROW(NOTA[TGL.NOTA]),COLUMN(NOTA[TGL.NOTA]))&amp;":"&amp;ADDRESS(ROW(),COLUMN(NOTA[TGL.NOTA]))),-1)))</f>
        <v/>
      </c>
      <c r="AI820" s="36" t="str">
        <f ca="1">IF(NOTA[[#This Row],[ID_H]]="","",INDEX(NOTA[NO.NOTA],MATCH(NOTA[[#This Row],[ID_H]],NOTA[ID_H],0)))</f>
        <v/>
      </c>
      <c r="AJ820" s="38" t="str">
        <f ca="1">IF(NOTA[[#This Row],[NAMA BARANG]]="","",INDEX(NOTA[SUPPLIER],MATCH(,INDIRECT(ADDRESS(ROW(NOTA[ID]),COLUMN(NOTA[ID]))&amp;":"&amp;ADDRESS(ROW(),COLUMN(NOTA[ID]))),-1)))</f>
        <v/>
      </c>
      <c r="AK820" s="38" t="str">
        <f ca="1">IF(NOTA[[#This Row],[ID_H]]="","",IF(NOTA[[#This Row],[FAKTUR]]="",INDIRECT(ADDRESS(ROW()-1,COLUMN())),NOTA[[#This Row],[FAKTUR]]))</f>
        <v/>
      </c>
      <c r="AL820" s="35" t="str">
        <f ca="1">IF(NOTA[[#This Row],[ID]]="","",COUNTIF(NOTA[ID_H],NOTA[[#This Row],[ID_H]]))</f>
        <v/>
      </c>
      <c r="AM820" s="35" t="str">
        <f ca="1">IF(NOTA[[#This Row],[TGL.NOTA]]="",IF(NOTA[[#This Row],[SUPPLIER_H]]="","",AM819),MONTH(NOTA[[#This Row],[TGL.NOTA]]))</f>
        <v/>
      </c>
      <c r="AN8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0" s="35" t="str">
        <f>IF(NOTA[[#This Row],[CONCAT1]]="","",MATCH(NOTA[[#This Row],[CONCAT1]],[3]!db[NB NOTA_C],0))</f>
        <v/>
      </c>
      <c r="AS820" s="35" t="str">
        <f>IF(NOTA[[#This Row],[Column5]]="","",TRUE)</f>
        <v/>
      </c>
      <c r="AT820" s="35" t="str">
        <f ca="1">IF(NOTA[[#This Row],[ID_H]]="","",IF(NOTA[[#This Row],[Column3]]=TRUE,NOTA[[#This Row],[Column5]],INDEX([3]!db[QTY/ CTN],NOTA[[#This Row],[//DB]])))</f>
        <v/>
      </c>
      <c r="AU8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0" s="35" t="str">
        <f ca="1">IF(NOTA[[#This Row],[ID_H]]="","",MATCH(NOTA[[#This Row],[NB NOTA_C_QTY]],[3]!db[NB NOTA_C_QTY+F],0))</f>
        <v/>
      </c>
      <c r="AW820" s="43" t="str">
        <f ca="1">IF(NOTA[[#This Row],[NB NOTA_C_QTY]]="","",ROW()-2)</f>
        <v/>
      </c>
    </row>
    <row r="821" spans="1:49" ht="20.100000000000001" customHeight="1">
      <c r="A8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5" t="str">
        <f ca="1">IF(NOTA[[#This Row],[NAMA BARANG]]="","",INDEX(NOTA[ID],MATCH(,INDIRECT(ADDRESS(ROW(NOTA[ID]),COLUMN(NOTA[ID]))&amp;":"&amp;ADDRESS(ROW(),COLUMN(NOTA[ID]))),-1)))</f>
        <v/>
      </c>
      <c r="C821" s="45"/>
      <c r="F821" s="46"/>
      <c r="G821" s="35"/>
      <c r="H821" s="36"/>
      <c r="I821" s="35"/>
      <c r="K821" s="37"/>
      <c r="L821" s="35"/>
      <c r="N821" s="38"/>
      <c r="O821" s="39"/>
      <c r="P821" s="47"/>
      <c r="Q821" s="48"/>
      <c r="R821" s="41"/>
      <c r="T821" s="42"/>
      <c r="U821" s="44"/>
      <c r="V821" s="42" t="str">
        <f>IF(NOTA[[#This Row],[HARGA/ CTN]]="",NOTA[[#This Row],[JUMLAH_H]],NOTA[[#This Row],[HARGA/ CTN]]*IF(NOTA[[#This Row],[C]]="",0,NOTA[[#This Row],[C]]))</f>
        <v/>
      </c>
      <c r="W821" s="42" t="str">
        <f>IF(NOTA[[#This Row],[JUMLAH]]="","",NOTA[[#This Row],[JUMLAH]]*NOTA[[#This Row],[Column6]])</f>
        <v/>
      </c>
      <c r="X821" s="42" t="str">
        <f>IF(NOTA[[#This Row],[JUMLAH]]="","",(NOTA[[#This Row],[JUMLAH]]-NOTA[[#This Row],[DISC 1-]])*NOTA[[#This Row],[Column7]])</f>
        <v/>
      </c>
      <c r="Y821" s="42" t="str">
        <f>IF(NOTA[[#This Row],[JUMLAH]]="","",(NOTA[[#This Row],[JUMLAH]]-NOTA[[#This Row],[DISC 1-]]-NOTA[[#This Row],[DISC 2-]])*NOTA[[#This Row],[Column8]])</f>
        <v/>
      </c>
      <c r="Z821" s="42" t="str">
        <f>IF(NOTA[[#This Row],[JUMLAH]]="","",NOTA[[#This Row],[DISC 1-]]+NOTA[[#This Row],[DISC 2-]]+NOTA[[#This Row],[DISC 3-]])</f>
        <v/>
      </c>
      <c r="AA821" s="42" t="str">
        <f>IF(NOTA[[#This Row],[JUMLAH]]="","",NOTA[[#This Row],[JUMLAH]]-NOTA[[#This Row],[DISC]])</f>
        <v/>
      </c>
      <c r="AB821" s="42"/>
      <c r="AC8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42" t="str">
        <f>IF(OR(NOTA[[#This Row],[QTY]]="",NOTA[[#This Row],[HARGA SATUAN]]="",),"",NOTA[[#This Row],[QTY]]*NOTA[[#This Row],[HARGA SATUAN]])</f>
        <v/>
      </c>
      <c r="AG821" s="36" t="str">
        <f ca="1">IF(NOTA[[#This Row],[ID_H]]="","",INDEX(NOTA[TANGGAL],MATCH(,INDIRECT(ADDRESS(ROW(NOTA[TANGGAL]),COLUMN(NOTA[TANGGAL]))&amp;":"&amp;ADDRESS(ROW(),COLUMN(NOTA[TANGGAL]))),-1)))</f>
        <v/>
      </c>
      <c r="AH821" s="36" t="str">
        <f ca="1">IF(NOTA[[#This Row],[ID_H]]="","",INDEX(NOTA[TGL.NOTA],MATCH(,INDIRECT(ADDRESS(ROW(NOTA[TGL.NOTA]),COLUMN(NOTA[TGL.NOTA]))&amp;":"&amp;ADDRESS(ROW(),COLUMN(NOTA[TGL.NOTA]))),-1)))</f>
        <v/>
      </c>
      <c r="AI821" s="36" t="str">
        <f ca="1">IF(NOTA[[#This Row],[ID_H]]="","",INDEX(NOTA[NO.NOTA],MATCH(NOTA[[#This Row],[ID_H]],NOTA[ID_H],0)))</f>
        <v/>
      </c>
      <c r="AJ821" s="38" t="str">
        <f ca="1">IF(NOTA[[#This Row],[NAMA BARANG]]="","",INDEX(NOTA[SUPPLIER],MATCH(,INDIRECT(ADDRESS(ROW(NOTA[ID]),COLUMN(NOTA[ID]))&amp;":"&amp;ADDRESS(ROW(),COLUMN(NOTA[ID]))),-1)))</f>
        <v/>
      </c>
      <c r="AK821" s="38" t="str">
        <f ca="1">IF(NOTA[[#This Row],[ID_H]]="","",IF(NOTA[[#This Row],[FAKTUR]]="",INDIRECT(ADDRESS(ROW()-1,COLUMN())),NOTA[[#This Row],[FAKTUR]]))</f>
        <v/>
      </c>
      <c r="AL821" s="35" t="str">
        <f ca="1">IF(NOTA[[#This Row],[ID]]="","",COUNTIF(NOTA[ID_H],NOTA[[#This Row],[ID_H]]))</f>
        <v/>
      </c>
      <c r="AM821" s="35" t="str">
        <f ca="1">IF(NOTA[[#This Row],[TGL.NOTA]]="",IF(NOTA[[#This Row],[SUPPLIER_H]]="","",AM820),MONTH(NOTA[[#This Row],[TGL.NOTA]]))</f>
        <v/>
      </c>
      <c r="AN8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1" s="35" t="str">
        <f>IF(NOTA[[#This Row],[CONCAT1]]="","",MATCH(NOTA[[#This Row],[CONCAT1]],[3]!db[NB NOTA_C],0))</f>
        <v/>
      </c>
      <c r="AS821" s="35" t="str">
        <f>IF(NOTA[[#This Row],[Column5]]="","",TRUE)</f>
        <v/>
      </c>
      <c r="AT821" s="35" t="str">
        <f ca="1">IF(NOTA[[#This Row],[ID_H]]="","",IF(NOTA[[#This Row],[Column3]]=TRUE,NOTA[[#This Row],[Column5]],INDEX([3]!db[QTY/ CTN],NOTA[[#This Row],[//DB]])))</f>
        <v/>
      </c>
      <c r="AU8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1" s="35" t="str">
        <f ca="1">IF(NOTA[[#This Row],[ID_H]]="","",MATCH(NOTA[[#This Row],[NB NOTA_C_QTY]],[3]!db[NB NOTA_C_QTY+F],0))</f>
        <v/>
      </c>
      <c r="AW821" s="43" t="str">
        <f ca="1">IF(NOTA[[#This Row],[NB NOTA_C_QTY]]="","",ROW()-2)</f>
        <v/>
      </c>
    </row>
    <row r="822" spans="1:49" ht="20.100000000000001" customHeight="1">
      <c r="A8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5" t="str">
        <f ca="1">IF(NOTA[[#This Row],[NAMA BARANG]]="","",INDEX(NOTA[ID],MATCH(,INDIRECT(ADDRESS(ROW(NOTA[ID]),COLUMN(NOTA[ID]))&amp;":"&amp;ADDRESS(ROW(),COLUMN(NOTA[ID]))),-1)))</f>
        <v/>
      </c>
      <c r="C822" s="45"/>
      <c r="F822" s="46"/>
      <c r="G822" s="35"/>
      <c r="H822" s="36"/>
      <c r="I822" s="35"/>
      <c r="K822" s="37"/>
      <c r="L822" s="35"/>
      <c r="N822" s="38"/>
      <c r="O822" s="39"/>
      <c r="P822" s="47"/>
      <c r="Q822" s="48"/>
      <c r="R822" s="41"/>
      <c r="T822" s="42"/>
      <c r="U822" s="44"/>
      <c r="V822" s="42" t="str">
        <f>IF(NOTA[[#This Row],[HARGA/ CTN]]="",NOTA[[#This Row],[JUMLAH_H]],NOTA[[#This Row],[HARGA/ CTN]]*IF(NOTA[[#This Row],[C]]="",0,NOTA[[#This Row],[C]]))</f>
        <v/>
      </c>
      <c r="W822" s="42" t="str">
        <f>IF(NOTA[[#This Row],[JUMLAH]]="","",NOTA[[#This Row],[JUMLAH]]*NOTA[[#This Row],[Column6]])</f>
        <v/>
      </c>
      <c r="X822" s="42" t="str">
        <f>IF(NOTA[[#This Row],[JUMLAH]]="","",(NOTA[[#This Row],[JUMLAH]]-NOTA[[#This Row],[DISC 1-]])*NOTA[[#This Row],[Column7]])</f>
        <v/>
      </c>
      <c r="Y822" s="42" t="str">
        <f>IF(NOTA[[#This Row],[JUMLAH]]="","",(NOTA[[#This Row],[JUMLAH]]-NOTA[[#This Row],[DISC 1-]]-NOTA[[#This Row],[DISC 2-]])*NOTA[[#This Row],[Column8]])</f>
        <v/>
      </c>
      <c r="Z822" s="42" t="str">
        <f>IF(NOTA[[#This Row],[JUMLAH]]="","",NOTA[[#This Row],[DISC 1-]]+NOTA[[#This Row],[DISC 2-]]+NOTA[[#This Row],[DISC 3-]])</f>
        <v/>
      </c>
      <c r="AA822" s="42" t="str">
        <f>IF(NOTA[[#This Row],[JUMLAH]]="","",NOTA[[#This Row],[JUMLAH]]-NOTA[[#This Row],[DISC]])</f>
        <v/>
      </c>
      <c r="AB822" s="42"/>
      <c r="AC8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42" t="str">
        <f>IF(OR(NOTA[[#This Row],[QTY]]="",NOTA[[#This Row],[HARGA SATUAN]]="",),"",NOTA[[#This Row],[QTY]]*NOTA[[#This Row],[HARGA SATUAN]])</f>
        <v/>
      </c>
      <c r="AG822" s="36" t="str">
        <f ca="1">IF(NOTA[[#This Row],[ID_H]]="","",INDEX(NOTA[TANGGAL],MATCH(,INDIRECT(ADDRESS(ROW(NOTA[TANGGAL]),COLUMN(NOTA[TANGGAL]))&amp;":"&amp;ADDRESS(ROW(),COLUMN(NOTA[TANGGAL]))),-1)))</f>
        <v/>
      </c>
      <c r="AH822" s="36" t="str">
        <f ca="1">IF(NOTA[[#This Row],[ID_H]]="","",INDEX(NOTA[TGL.NOTA],MATCH(,INDIRECT(ADDRESS(ROW(NOTA[TGL.NOTA]),COLUMN(NOTA[TGL.NOTA]))&amp;":"&amp;ADDRESS(ROW(),COLUMN(NOTA[TGL.NOTA]))),-1)))</f>
        <v/>
      </c>
      <c r="AI822" s="36" t="str">
        <f ca="1">IF(NOTA[[#This Row],[ID_H]]="","",INDEX(NOTA[NO.NOTA],MATCH(NOTA[[#This Row],[ID_H]],NOTA[ID_H],0)))</f>
        <v/>
      </c>
      <c r="AJ822" s="38" t="str">
        <f ca="1">IF(NOTA[[#This Row],[NAMA BARANG]]="","",INDEX(NOTA[SUPPLIER],MATCH(,INDIRECT(ADDRESS(ROW(NOTA[ID]),COLUMN(NOTA[ID]))&amp;":"&amp;ADDRESS(ROW(),COLUMN(NOTA[ID]))),-1)))</f>
        <v/>
      </c>
      <c r="AK822" s="38" t="str">
        <f ca="1">IF(NOTA[[#This Row],[ID_H]]="","",IF(NOTA[[#This Row],[FAKTUR]]="",INDIRECT(ADDRESS(ROW()-1,COLUMN())),NOTA[[#This Row],[FAKTUR]]))</f>
        <v/>
      </c>
      <c r="AL822" s="35" t="str">
        <f ca="1">IF(NOTA[[#This Row],[ID]]="","",COUNTIF(NOTA[ID_H],NOTA[[#This Row],[ID_H]]))</f>
        <v/>
      </c>
      <c r="AM822" s="35" t="str">
        <f ca="1">IF(NOTA[[#This Row],[TGL.NOTA]]="",IF(NOTA[[#This Row],[SUPPLIER_H]]="","",AM821),MONTH(NOTA[[#This Row],[TGL.NOTA]]))</f>
        <v/>
      </c>
      <c r="AN8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2" s="35" t="str">
        <f>IF(NOTA[[#This Row],[CONCAT1]]="","",MATCH(NOTA[[#This Row],[CONCAT1]],[3]!db[NB NOTA_C],0))</f>
        <v/>
      </c>
      <c r="AS822" s="35" t="str">
        <f>IF(NOTA[[#This Row],[Column5]]="","",TRUE)</f>
        <v/>
      </c>
      <c r="AT822" s="35" t="str">
        <f ca="1">IF(NOTA[[#This Row],[ID_H]]="","",IF(NOTA[[#This Row],[Column3]]=TRUE,NOTA[[#This Row],[Column5]],INDEX([3]!db[QTY/ CTN],NOTA[[#This Row],[//DB]])))</f>
        <v/>
      </c>
      <c r="AU8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2" s="35" t="str">
        <f ca="1">IF(NOTA[[#This Row],[ID_H]]="","",MATCH(NOTA[[#This Row],[NB NOTA_C_QTY]],[3]!db[NB NOTA_C_QTY+F],0))</f>
        <v/>
      </c>
      <c r="AW822" s="43" t="str">
        <f ca="1">IF(NOTA[[#This Row],[NB NOTA_C_QTY]]="","",ROW()-2)</f>
        <v/>
      </c>
    </row>
    <row r="823" spans="1:49" ht="20.100000000000001" customHeight="1">
      <c r="A8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5" t="str">
        <f ca="1">IF(NOTA[[#This Row],[NAMA BARANG]]="","",INDEX(NOTA[ID],MATCH(,INDIRECT(ADDRESS(ROW(NOTA[ID]),COLUMN(NOTA[ID]))&amp;":"&amp;ADDRESS(ROW(),COLUMN(NOTA[ID]))),-1)))</f>
        <v/>
      </c>
      <c r="C823" s="45"/>
      <c r="F823" s="46"/>
      <c r="G823" s="35"/>
      <c r="H823" s="36"/>
      <c r="I823" s="35"/>
      <c r="K823" s="37"/>
      <c r="L823" s="35"/>
      <c r="N823" s="38"/>
      <c r="O823" s="39"/>
      <c r="P823" s="47"/>
      <c r="Q823" s="48"/>
      <c r="R823" s="41"/>
      <c r="T823" s="42"/>
      <c r="U823" s="44"/>
      <c r="V823" s="42" t="str">
        <f>IF(NOTA[[#This Row],[HARGA/ CTN]]="",NOTA[[#This Row],[JUMLAH_H]],NOTA[[#This Row],[HARGA/ CTN]]*IF(NOTA[[#This Row],[C]]="",0,NOTA[[#This Row],[C]]))</f>
        <v/>
      </c>
      <c r="W823" s="42" t="str">
        <f>IF(NOTA[[#This Row],[JUMLAH]]="","",NOTA[[#This Row],[JUMLAH]]*NOTA[[#This Row],[Column6]])</f>
        <v/>
      </c>
      <c r="X823" s="42" t="str">
        <f>IF(NOTA[[#This Row],[JUMLAH]]="","",(NOTA[[#This Row],[JUMLAH]]-NOTA[[#This Row],[DISC 1-]])*NOTA[[#This Row],[Column7]])</f>
        <v/>
      </c>
      <c r="Y823" s="42" t="str">
        <f>IF(NOTA[[#This Row],[JUMLAH]]="","",(NOTA[[#This Row],[JUMLAH]]-NOTA[[#This Row],[DISC 1-]]-NOTA[[#This Row],[DISC 2-]])*NOTA[[#This Row],[Column8]])</f>
        <v/>
      </c>
      <c r="Z823" s="42" t="str">
        <f>IF(NOTA[[#This Row],[JUMLAH]]="","",NOTA[[#This Row],[DISC 1-]]+NOTA[[#This Row],[DISC 2-]]+NOTA[[#This Row],[DISC 3-]])</f>
        <v/>
      </c>
      <c r="AA823" s="42" t="str">
        <f>IF(NOTA[[#This Row],[JUMLAH]]="","",NOTA[[#This Row],[JUMLAH]]-NOTA[[#This Row],[DISC]])</f>
        <v/>
      </c>
      <c r="AB823" s="42"/>
      <c r="AC8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42" t="str">
        <f>IF(OR(NOTA[[#This Row],[QTY]]="",NOTA[[#This Row],[HARGA SATUAN]]="",),"",NOTA[[#This Row],[QTY]]*NOTA[[#This Row],[HARGA SATUAN]])</f>
        <v/>
      </c>
      <c r="AG823" s="36" t="str">
        <f ca="1">IF(NOTA[[#This Row],[ID_H]]="","",INDEX(NOTA[TANGGAL],MATCH(,INDIRECT(ADDRESS(ROW(NOTA[TANGGAL]),COLUMN(NOTA[TANGGAL]))&amp;":"&amp;ADDRESS(ROW(),COLUMN(NOTA[TANGGAL]))),-1)))</f>
        <v/>
      </c>
      <c r="AH823" s="36" t="str">
        <f ca="1">IF(NOTA[[#This Row],[ID_H]]="","",INDEX(NOTA[TGL.NOTA],MATCH(,INDIRECT(ADDRESS(ROW(NOTA[TGL.NOTA]),COLUMN(NOTA[TGL.NOTA]))&amp;":"&amp;ADDRESS(ROW(),COLUMN(NOTA[TGL.NOTA]))),-1)))</f>
        <v/>
      </c>
      <c r="AI823" s="36" t="str">
        <f ca="1">IF(NOTA[[#This Row],[ID_H]]="","",INDEX(NOTA[NO.NOTA],MATCH(NOTA[[#This Row],[ID_H]],NOTA[ID_H],0)))</f>
        <v/>
      </c>
      <c r="AJ823" s="38" t="str">
        <f ca="1">IF(NOTA[[#This Row],[NAMA BARANG]]="","",INDEX(NOTA[SUPPLIER],MATCH(,INDIRECT(ADDRESS(ROW(NOTA[ID]),COLUMN(NOTA[ID]))&amp;":"&amp;ADDRESS(ROW(),COLUMN(NOTA[ID]))),-1)))</f>
        <v/>
      </c>
      <c r="AK823" s="38" t="str">
        <f ca="1">IF(NOTA[[#This Row],[ID_H]]="","",IF(NOTA[[#This Row],[FAKTUR]]="",INDIRECT(ADDRESS(ROW()-1,COLUMN())),NOTA[[#This Row],[FAKTUR]]))</f>
        <v/>
      </c>
      <c r="AL823" s="35" t="str">
        <f ca="1">IF(NOTA[[#This Row],[ID]]="","",COUNTIF(NOTA[ID_H],NOTA[[#This Row],[ID_H]]))</f>
        <v/>
      </c>
      <c r="AM823" s="35" t="str">
        <f ca="1">IF(NOTA[[#This Row],[TGL.NOTA]]="",IF(NOTA[[#This Row],[SUPPLIER_H]]="","",AM822),MONTH(NOTA[[#This Row],[TGL.NOTA]]))</f>
        <v/>
      </c>
      <c r="AN8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3" s="35" t="str">
        <f>IF(NOTA[[#This Row],[CONCAT1]]="","",MATCH(NOTA[[#This Row],[CONCAT1]],[3]!db[NB NOTA_C],0))</f>
        <v/>
      </c>
      <c r="AS823" s="35" t="str">
        <f>IF(NOTA[[#This Row],[Column5]]="","",TRUE)</f>
        <v/>
      </c>
      <c r="AT823" s="35" t="str">
        <f ca="1">IF(NOTA[[#This Row],[ID_H]]="","",IF(NOTA[[#This Row],[Column3]]=TRUE,NOTA[[#This Row],[Column5]],INDEX([3]!db[QTY/ CTN],NOTA[[#This Row],[//DB]])))</f>
        <v/>
      </c>
      <c r="AU8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3" s="35" t="str">
        <f ca="1">IF(NOTA[[#This Row],[ID_H]]="","",MATCH(NOTA[[#This Row],[NB NOTA_C_QTY]],[3]!db[NB NOTA_C_QTY+F],0))</f>
        <v/>
      </c>
      <c r="AW823" s="43" t="str">
        <f ca="1">IF(NOTA[[#This Row],[NB NOTA_C_QTY]]="","",ROW()-2)</f>
        <v/>
      </c>
    </row>
    <row r="824" spans="1:49" ht="20.100000000000001" customHeight="1">
      <c r="A8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5" t="str">
        <f ca="1">IF(NOTA[[#This Row],[NAMA BARANG]]="","",INDEX(NOTA[ID],MATCH(,INDIRECT(ADDRESS(ROW(NOTA[ID]),COLUMN(NOTA[ID]))&amp;":"&amp;ADDRESS(ROW(),COLUMN(NOTA[ID]))),-1)))</f>
        <v/>
      </c>
      <c r="C824" s="45"/>
      <c r="F824" s="46"/>
      <c r="G824" s="35"/>
      <c r="H824" s="36"/>
      <c r="I824" s="35"/>
      <c r="K824" s="37"/>
      <c r="L824" s="35"/>
      <c r="N824" s="38"/>
      <c r="O824" s="39"/>
      <c r="P824" s="47"/>
      <c r="Q824" s="48"/>
      <c r="R824" s="41"/>
      <c r="T824" s="42"/>
      <c r="U824" s="44"/>
      <c r="V824" s="42" t="str">
        <f>IF(NOTA[[#This Row],[HARGA/ CTN]]="",NOTA[[#This Row],[JUMLAH_H]],NOTA[[#This Row],[HARGA/ CTN]]*IF(NOTA[[#This Row],[C]]="",0,NOTA[[#This Row],[C]]))</f>
        <v/>
      </c>
      <c r="W824" s="42" t="str">
        <f>IF(NOTA[[#This Row],[JUMLAH]]="","",NOTA[[#This Row],[JUMLAH]]*NOTA[[#This Row],[Column6]])</f>
        <v/>
      </c>
      <c r="X824" s="42" t="str">
        <f>IF(NOTA[[#This Row],[JUMLAH]]="","",(NOTA[[#This Row],[JUMLAH]]-NOTA[[#This Row],[DISC 1-]])*NOTA[[#This Row],[Column7]])</f>
        <v/>
      </c>
      <c r="Y824" s="42" t="str">
        <f>IF(NOTA[[#This Row],[JUMLAH]]="","",(NOTA[[#This Row],[JUMLAH]]-NOTA[[#This Row],[DISC 1-]]-NOTA[[#This Row],[DISC 2-]])*NOTA[[#This Row],[Column8]])</f>
        <v/>
      </c>
      <c r="Z824" s="42" t="str">
        <f>IF(NOTA[[#This Row],[JUMLAH]]="","",NOTA[[#This Row],[DISC 1-]]+NOTA[[#This Row],[DISC 2-]]+NOTA[[#This Row],[DISC 3-]])</f>
        <v/>
      </c>
      <c r="AA824" s="42" t="str">
        <f>IF(NOTA[[#This Row],[JUMLAH]]="","",NOTA[[#This Row],[JUMLAH]]-NOTA[[#This Row],[DISC]])</f>
        <v/>
      </c>
      <c r="AB824" s="42"/>
      <c r="AC8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42" t="str">
        <f>IF(OR(NOTA[[#This Row],[QTY]]="",NOTA[[#This Row],[HARGA SATUAN]]="",),"",NOTA[[#This Row],[QTY]]*NOTA[[#This Row],[HARGA SATUAN]])</f>
        <v/>
      </c>
      <c r="AG824" s="36" t="str">
        <f ca="1">IF(NOTA[[#This Row],[ID_H]]="","",INDEX(NOTA[TANGGAL],MATCH(,INDIRECT(ADDRESS(ROW(NOTA[TANGGAL]),COLUMN(NOTA[TANGGAL]))&amp;":"&amp;ADDRESS(ROW(),COLUMN(NOTA[TANGGAL]))),-1)))</f>
        <v/>
      </c>
      <c r="AH824" s="36" t="str">
        <f ca="1">IF(NOTA[[#This Row],[ID_H]]="","",INDEX(NOTA[TGL.NOTA],MATCH(,INDIRECT(ADDRESS(ROW(NOTA[TGL.NOTA]),COLUMN(NOTA[TGL.NOTA]))&amp;":"&amp;ADDRESS(ROW(),COLUMN(NOTA[TGL.NOTA]))),-1)))</f>
        <v/>
      </c>
      <c r="AI824" s="36" t="str">
        <f ca="1">IF(NOTA[[#This Row],[ID_H]]="","",INDEX(NOTA[NO.NOTA],MATCH(NOTA[[#This Row],[ID_H]],NOTA[ID_H],0)))</f>
        <v/>
      </c>
      <c r="AJ824" s="38" t="str">
        <f ca="1">IF(NOTA[[#This Row],[NAMA BARANG]]="","",INDEX(NOTA[SUPPLIER],MATCH(,INDIRECT(ADDRESS(ROW(NOTA[ID]),COLUMN(NOTA[ID]))&amp;":"&amp;ADDRESS(ROW(),COLUMN(NOTA[ID]))),-1)))</f>
        <v/>
      </c>
      <c r="AK824" s="38" t="str">
        <f ca="1">IF(NOTA[[#This Row],[ID_H]]="","",IF(NOTA[[#This Row],[FAKTUR]]="",INDIRECT(ADDRESS(ROW()-1,COLUMN())),NOTA[[#This Row],[FAKTUR]]))</f>
        <v/>
      </c>
      <c r="AL824" s="35" t="str">
        <f ca="1">IF(NOTA[[#This Row],[ID]]="","",COUNTIF(NOTA[ID_H],NOTA[[#This Row],[ID_H]]))</f>
        <v/>
      </c>
      <c r="AM824" s="35" t="str">
        <f ca="1">IF(NOTA[[#This Row],[TGL.NOTA]]="",IF(NOTA[[#This Row],[SUPPLIER_H]]="","",AM823),MONTH(NOTA[[#This Row],[TGL.NOTA]]))</f>
        <v/>
      </c>
      <c r="AN8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4" s="35" t="str">
        <f>IF(NOTA[[#This Row],[CONCAT1]]="","",MATCH(NOTA[[#This Row],[CONCAT1]],[3]!db[NB NOTA_C],0))</f>
        <v/>
      </c>
      <c r="AS824" s="35" t="str">
        <f>IF(NOTA[[#This Row],[Column5]]="","",TRUE)</f>
        <v/>
      </c>
      <c r="AT824" s="35" t="str">
        <f ca="1">IF(NOTA[[#This Row],[ID_H]]="","",IF(NOTA[[#This Row],[Column3]]=TRUE,NOTA[[#This Row],[Column5]],INDEX([3]!db[QTY/ CTN],NOTA[[#This Row],[//DB]])))</f>
        <v/>
      </c>
      <c r="AU8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4" s="35" t="str">
        <f ca="1">IF(NOTA[[#This Row],[ID_H]]="","",MATCH(NOTA[[#This Row],[NB NOTA_C_QTY]],[3]!db[NB NOTA_C_QTY+F],0))</f>
        <v/>
      </c>
      <c r="AW824" s="43" t="str">
        <f ca="1">IF(NOTA[[#This Row],[NB NOTA_C_QTY]]="","",ROW()-2)</f>
        <v/>
      </c>
    </row>
    <row r="825" spans="1:49" ht="20.100000000000001" customHeight="1">
      <c r="A8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5" t="str">
        <f ca="1">IF(NOTA[[#This Row],[NAMA BARANG]]="","",INDEX(NOTA[ID],MATCH(,INDIRECT(ADDRESS(ROW(NOTA[ID]),COLUMN(NOTA[ID]))&amp;":"&amp;ADDRESS(ROW(),COLUMN(NOTA[ID]))),-1)))</f>
        <v/>
      </c>
      <c r="C825" s="45"/>
      <c r="F825" s="46"/>
      <c r="G825" s="35"/>
      <c r="H825" s="36"/>
      <c r="I825" s="35"/>
      <c r="K825" s="37"/>
      <c r="L825" s="35"/>
      <c r="N825" s="38"/>
      <c r="O825" s="39"/>
      <c r="P825" s="47"/>
      <c r="Q825" s="48"/>
      <c r="R825" s="41"/>
      <c r="T825" s="42"/>
      <c r="U825" s="44"/>
      <c r="V825" s="42" t="str">
        <f>IF(NOTA[[#This Row],[HARGA/ CTN]]="",NOTA[[#This Row],[JUMLAH_H]],NOTA[[#This Row],[HARGA/ CTN]]*IF(NOTA[[#This Row],[C]]="",0,NOTA[[#This Row],[C]]))</f>
        <v/>
      </c>
      <c r="W825" s="42" t="str">
        <f>IF(NOTA[[#This Row],[JUMLAH]]="","",NOTA[[#This Row],[JUMLAH]]*NOTA[[#This Row],[Column6]])</f>
        <v/>
      </c>
      <c r="X825" s="42" t="str">
        <f>IF(NOTA[[#This Row],[JUMLAH]]="","",(NOTA[[#This Row],[JUMLAH]]-NOTA[[#This Row],[DISC 1-]])*NOTA[[#This Row],[Column7]])</f>
        <v/>
      </c>
      <c r="Y825" s="42" t="str">
        <f>IF(NOTA[[#This Row],[JUMLAH]]="","",(NOTA[[#This Row],[JUMLAH]]-NOTA[[#This Row],[DISC 1-]]-NOTA[[#This Row],[DISC 2-]])*NOTA[[#This Row],[Column8]])</f>
        <v/>
      </c>
      <c r="Z825" s="42" t="str">
        <f>IF(NOTA[[#This Row],[JUMLAH]]="","",NOTA[[#This Row],[DISC 1-]]+NOTA[[#This Row],[DISC 2-]]+NOTA[[#This Row],[DISC 3-]])</f>
        <v/>
      </c>
      <c r="AA825" s="42" t="str">
        <f>IF(NOTA[[#This Row],[JUMLAH]]="","",NOTA[[#This Row],[JUMLAH]]-NOTA[[#This Row],[DISC]])</f>
        <v/>
      </c>
      <c r="AB825" s="42"/>
      <c r="AC8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42" t="str">
        <f>IF(OR(NOTA[[#This Row],[QTY]]="",NOTA[[#This Row],[HARGA SATUAN]]="",),"",NOTA[[#This Row],[QTY]]*NOTA[[#This Row],[HARGA SATUAN]])</f>
        <v/>
      </c>
      <c r="AG825" s="36" t="str">
        <f ca="1">IF(NOTA[[#This Row],[ID_H]]="","",INDEX(NOTA[TANGGAL],MATCH(,INDIRECT(ADDRESS(ROW(NOTA[TANGGAL]),COLUMN(NOTA[TANGGAL]))&amp;":"&amp;ADDRESS(ROW(),COLUMN(NOTA[TANGGAL]))),-1)))</f>
        <v/>
      </c>
      <c r="AH825" s="36" t="str">
        <f ca="1">IF(NOTA[[#This Row],[ID_H]]="","",INDEX(NOTA[TGL.NOTA],MATCH(,INDIRECT(ADDRESS(ROW(NOTA[TGL.NOTA]),COLUMN(NOTA[TGL.NOTA]))&amp;":"&amp;ADDRESS(ROW(),COLUMN(NOTA[TGL.NOTA]))),-1)))</f>
        <v/>
      </c>
      <c r="AI825" s="36" t="str">
        <f ca="1">IF(NOTA[[#This Row],[ID_H]]="","",INDEX(NOTA[NO.NOTA],MATCH(NOTA[[#This Row],[ID_H]],NOTA[ID_H],0)))</f>
        <v/>
      </c>
      <c r="AJ825" s="38" t="str">
        <f ca="1">IF(NOTA[[#This Row],[NAMA BARANG]]="","",INDEX(NOTA[SUPPLIER],MATCH(,INDIRECT(ADDRESS(ROW(NOTA[ID]),COLUMN(NOTA[ID]))&amp;":"&amp;ADDRESS(ROW(),COLUMN(NOTA[ID]))),-1)))</f>
        <v/>
      </c>
      <c r="AK825" s="38" t="str">
        <f ca="1">IF(NOTA[[#This Row],[ID_H]]="","",IF(NOTA[[#This Row],[FAKTUR]]="",INDIRECT(ADDRESS(ROW()-1,COLUMN())),NOTA[[#This Row],[FAKTUR]]))</f>
        <v/>
      </c>
      <c r="AL825" s="35" t="str">
        <f ca="1">IF(NOTA[[#This Row],[ID]]="","",COUNTIF(NOTA[ID_H],NOTA[[#This Row],[ID_H]]))</f>
        <v/>
      </c>
      <c r="AM825" s="35" t="str">
        <f ca="1">IF(NOTA[[#This Row],[TGL.NOTA]]="",IF(NOTA[[#This Row],[SUPPLIER_H]]="","",AM824),MONTH(NOTA[[#This Row],[TGL.NOTA]]))</f>
        <v/>
      </c>
      <c r="AN8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5" s="35" t="str">
        <f>IF(NOTA[[#This Row],[CONCAT1]]="","",MATCH(NOTA[[#This Row],[CONCAT1]],[3]!db[NB NOTA_C],0))</f>
        <v/>
      </c>
      <c r="AS825" s="35" t="str">
        <f>IF(NOTA[[#This Row],[Column5]]="","",TRUE)</f>
        <v/>
      </c>
      <c r="AT825" s="35" t="str">
        <f ca="1">IF(NOTA[[#This Row],[ID_H]]="","",IF(NOTA[[#This Row],[Column3]]=TRUE,NOTA[[#This Row],[Column5]],INDEX([3]!db[QTY/ CTN],NOTA[[#This Row],[//DB]])))</f>
        <v/>
      </c>
      <c r="AU8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5" s="35" t="str">
        <f ca="1">IF(NOTA[[#This Row],[ID_H]]="","",MATCH(NOTA[[#This Row],[NB NOTA_C_QTY]],[3]!db[NB NOTA_C_QTY+F],0))</f>
        <v/>
      </c>
      <c r="AW825" s="43" t="str">
        <f ca="1">IF(NOTA[[#This Row],[NB NOTA_C_QTY]]="","",ROW()-2)</f>
        <v/>
      </c>
    </row>
    <row r="826" spans="1:49" ht="20.100000000000001" customHeight="1">
      <c r="A8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5" t="str">
        <f ca="1">IF(NOTA[[#This Row],[NAMA BARANG]]="","",INDEX(NOTA[ID],MATCH(,INDIRECT(ADDRESS(ROW(NOTA[ID]),COLUMN(NOTA[ID]))&amp;":"&amp;ADDRESS(ROW(),COLUMN(NOTA[ID]))),-1)))</f>
        <v/>
      </c>
      <c r="C826" s="45"/>
      <c r="F826" s="46"/>
      <c r="G826" s="35"/>
      <c r="H826" s="36"/>
      <c r="I826" s="35"/>
      <c r="K826" s="37"/>
      <c r="L826" s="35"/>
      <c r="N826" s="38"/>
      <c r="O826" s="39"/>
      <c r="P826" s="47"/>
      <c r="Q826" s="48"/>
      <c r="R826" s="41"/>
      <c r="T826" s="42"/>
      <c r="U826" s="44"/>
      <c r="V826" s="42" t="str">
        <f>IF(NOTA[[#This Row],[HARGA/ CTN]]="",NOTA[[#This Row],[JUMLAH_H]],NOTA[[#This Row],[HARGA/ CTN]]*IF(NOTA[[#This Row],[C]]="",0,NOTA[[#This Row],[C]]))</f>
        <v/>
      </c>
      <c r="W826" s="42" t="str">
        <f>IF(NOTA[[#This Row],[JUMLAH]]="","",NOTA[[#This Row],[JUMLAH]]*NOTA[[#This Row],[Column6]])</f>
        <v/>
      </c>
      <c r="X826" s="42" t="str">
        <f>IF(NOTA[[#This Row],[JUMLAH]]="","",(NOTA[[#This Row],[JUMLAH]]-NOTA[[#This Row],[DISC 1-]])*NOTA[[#This Row],[Column7]])</f>
        <v/>
      </c>
      <c r="Y826" s="42" t="str">
        <f>IF(NOTA[[#This Row],[JUMLAH]]="","",(NOTA[[#This Row],[JUMLAH]]-NOTA[[#This Row],[DISC 1-]]-NOTA[[#This Row],[DISC 2-]])*NOTA[[#This Row],[Column8]])</f>
        <v/>
      </c>
      <c r="Z826" s="42" t="str">
        <f>IF(NOTA[[#This Row],[JUMLAH]]="","",NOTA[[#This Row],[DISC 1-]]+NOTA[[#This Row],[DISC 2-]]+NOTA[[#This Row],[DISC 3-]])</f>
        <v/>
      </c>
      <c r="AA826" s="42" t="str">
        <f>IF(NOTA[[#This Row],[JUMLAH]]="","",NOTA[[#This Row],[JUMLAH]]-NOTA[[#This Row],[DISC]])</f>
        <v/>
      </c>
      <c r="AB826" s="42"/>
      <c r="AC8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42" t="str">
        <f>IF(OR(NOTA[[#This Row],[QTY]]="",NOTA[[#This Row],[HARGA SATUAN]]="",),"",NOTA[[#This Row],[QTY]]*NOTA[[#This Row],[HARGA SATUAN]])</f>
        <v/>
      </c>
      <c r="AG826" s="36" t="str">
        <f ca="1">IF(NOTA[[#This Row],[ID_H]]="","",INDEX(NOTA[TANGGAL],MATCH(,INDIRECT(ADDRESS(ROW(NOTA[TANGGAL]),COLUMN(NOTA[TANGGAL]))&amp;":"&amp;ADDRESS(ROW(),COLUMN(NOTA[TANGGAL]))),-1)))</f>
        <v/>
      </c>
      <c r="AH826" s="36" t="str">
        <f ca="1">IF(NOTA[[#This Row],[ID_H]]="","",INDEX(NOTA[TGL.NOTA],MATCH(,INDIRECT(ADDRESS(ROW(NOTA[TGL.NOTA]),COLUMN(NOTA[TGL.NOTA]))&amp;":"&amp;ADDRESS(ROW(),COLUMN(NOTA[TGL.NOTA]))),-1)))</f>
        <v/>
      </c>
      <c r="AI826" s="36" t="str">
        <f ca="1">IF(NOTA[[#This Row],[ID_H]]="","",INDEX(NOTA[NO.NOTA],MATCH(NOTA[[#This Row],[ID_H]],NOTA[ID_H],0)))</f>
        <v/>
      </c>
      <c r="AJ826" s="38" t="str">
        <f ca="1">IF(NOTA[[#This Row],[NAMA BARANG]]="","",INDEX(NOTA[SUPPLIER],MATCH(,INDIRECT(ADDRESS(ROW(NOTA[ID]),COLUMN(NOTA[ID]))&amp;":"&amp;ADDRESS(ROW(),COLUMN(NOTA[ID]))),-1)))</f>
        <v/>
      </c>
      <c r="AK826" s="38" t="str">
        <f ca="1">IF(NOTA[[#This Row],[ID_H]]="","",IF(NOTA[[#This Row],[FAKTUR]]="",INDIRECT(ADDRESS(ROW()-1,COLUMN())),NOTA[[#This Row],[FAKTUR]]))</f>
        <v/>
      </c>
      <c r="AL826" s="35" t="str">
        <f ca="1">IF(NOTA[[#This Row],[ID]]="","",COUNTIF(NOTA[ID_H],NOTA[[#This Row],[ID_H]]))</f>
        <v/>
      </c>
      <c r="AM826" s="35" t="str">
        <f ca="1">IF(NOTA[[#This Row],[TGL.NOTA]]="",IF(NOTA[[#This Row],[SUPPLIER_H]]="","",AM825),MONTH(NOTA[[#This Row],[TGL.NOTA]]))</f>
        <v/>
      </c>
      <c r="AN8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6" s="35" t="str">
        <f>IF(NOTA[[#This Row],[CONCAT1]]="","",MATCH(NOTA[[#This Row],[CONCAT1]],[3]!db[NB NOTA_C],0))</f>
        <v/>
      </c>
      <c r="AS826" s="35" t="str">
        <f>IF(NOTA[[#This Row],[Column5]]="","",TRUE)</f>
        <v/>
      </c>
      <c r="AT826" s="35" t="str">
        <f ca="1">IF(NOTA[[#This Row],[ID_H]]="","",IF(NOTA[[#This Row],[Column3]]=TRUE,NOTA[[#This Row],[Column5]],INDEX([3]!db[QTY/ CTN],NOTA[[#This Row],[//DB]])))</f>
        <v/>
      </c>
      <c r="AU8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6" s="35" t="str">
        <f ca="1">IF(NOTA[[#This Row],[ID_H]]="","",MATCH(NOTA[[#This Row],[NB NOTA_C_QTY]],[3]!db[NB NOTA_C_QTY+F],0))</f>
        <v/>
      </c>
      <c r="AW826" s="43" t="str">
        <f ca="1">IF(NOTA[[#This Row],[NB NOTA_C_QTY]]="","",ROW()-2)</f>
        <v/>
      </c>
    </row>
    <row r="827" spans="1:49" ht="20.100000000000001" customHeight="1">
      <c r="A8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5" t="str">
        <f ca="1">IF(NOTA[[#This Row],[NAMA BARANG]]="","",INDEX(NOTA[ID],MATCH(,INDIRECT(ADDRESS(ROW(NOTA[ID]),COLUMN(NOTA[ID]))&amp;":"&amp;ADDRESS(ROW(),COLUMN(NOTA[ID]))),-1)))</f>
        <v/>
      </c>
      <c r="C827" s="45"/>
      <c r="F827" s="46"/>
      <c r="G827" s="35"/>
      <c r="H827" s="36"/>
      <c r="I827" s="35"/>
      <c r="K827" s="37"/>
      <c r="L827" s="35"/>
      <c r="N827" s="38"/>
      <c r="O827" s="39"/>
      <c r="P827" s="47"/>
      <c r="Q827" s="48"/>
      <c r="R827" s="41"/>
      <c r="T827" s="42"/>
      <c r="U827" s="44"/>
      <c r="V827" s="42" t="str">
        <f>IF(NOTA[[#This Row],[HARGA/ CTN]]="",NOTA[[#This Row],[JUMLAH_H]],NOTA[[#This Row],[HARGA/ CTN]]*IF(NOTA[[#This Row],[C]]="",0,NOTA[[#This Row],[C]]))</f>
        <v/>
      </c>
      <c r="W827" s="42" t="str">
        <f>IF(NOTA[[#This Row],[JUMLAH]]="","",NOTA[[#This Row],[JUMLAH]]*NOTA[[#This Row],[Column6]])</f>
        <v/>
      </c>
      <c r="X827" s="42" t="str">
        <f>IF(NOTA[[#This Row],[JUMLAH]]="","",(NOTA[[#This Row],[JUMLAH]]-NOTA[[#This Row],[DISC 1-]])*NOTA[[#This Row],[Column7]])</f>
        <v/>
      </c>
      <c r="Y827" s="42" t="str">
        <f>IF(NOTA[[#This Row],[JUMLAH]]="","",(NOTA[[#This Row],[JUMLAH]]-NOTA[[#This Row],[DISC 1-]]-NOTA[[#This Row],[DISC 2-]])*NOTA[[#This Row],[Column8]])</f>
        <v/>
      </c>
      <c r="Z827" s="42" t="str">
        <f>IF(NOTA[[#This Row],[JUMLAH]]="","",NOTA[[#This Row],[DISC 1-]]+NOTA[[#This Row],[DISC 2-]]+NOTA[[#This Row],[DISC 3-]])</f>
        <v/>
      </c>
      <c r="AA827" s="42" t="str">
        <f>IF(NOTA[[#This Row],[JUMLAH]]="","",NOTA[[#This Row],[JUMLAH]]-NOTA[[#This Row],[DISC]])</f>
        <v/>
      </c>
      <c r="AB827" s="42"/>
      <c r="AC8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42" t="str">
        <f>IF(OR(NOTA[[#This Row],[QTY]]="",NOTA[[#This Row],[HARGA SATUAN]]="",),"",NOTA[[#This Row],[QTY]]*NOTA[[#This Row],[HARGA SATUAN]])</f>
        <v/>
      </c>
      <c r="AG827" s="36" t="str">
        <f ca="1">IF(NOTA[[#This Row],[ID_H]]="","",INDEX(NOTA[TANGGAL],MATCH(,INDIRECT(ADDRESS(ROW(NOTA[TANGGAL]),COLUMN(NOTA[TANGGAL]))&amp;":"&amp;ADDRESS(ROW(),COLUMN(NOTA[TANGGAL]))),-1)))</f>
        <v/>
      </c>
      <c r="AH827" s="36" t="str">
        <f ca="1">IF(NOTA[[#This Row],[ID_H]]="","",INDEX(NOTA[TGL.NOTA],MATCH(,INDIRECT(ADDRESS(ROW(NOTA[TGL.NOTA]),COLUMN(NOTA[TGL.NOTA]))&amp;":"&amp;ADDRESS(ROW(),COLUMN(NOTA[TGL.NOTA]))),-1)))</f>
        <v/>
      </c>
      <c r="AI827" s="36" t="str">
        <f ca="1">IF(NOTA[[#This Row],[ID_H]]="","",INDEX(NOTA[NO.NOTA],MATCH(NOTA[[#This Row],[ID_H]],NOTA[ID_H],0)))</f>
        <v/>
      </c>
      <c r="AJ827" s="38" t="str">
        <f ca="1">IF(NOTA[[#This Row],[NAMA BARANG]]="","",INDEX(NOTA[SUPPLIER],MATCH(,INDIRECT(ADDRESS(ROW(NOTA[ID]),COLUMN(NOTA[ID]))&amp;":"&amp;ADDRESS(ROW(),COLUMN(NOTA[ID]))),-1)))</f>
        <v/>
      </c>
      <c r="AK827" s="38" t="str">
        <f ca="1">IF(NOTA[[#This Row],[ID_H]]="","",IF(NOTA[[#This Row],[FAKTUR]]="",INDIRECT(ADDRESS(ROW()-1,COLUMN())),NOTA[[#This Row],[FAKTUR]]))</f>
        <v/>
      </c>
      <c r="AL827" s="35" t="str">
        <f ca="1">IF(NOTA[[#This Row],[ID]]="","",COUNTIF(NOTA[ID_H],NOTA[[#This Row],[ID_H]]))</f>
        <v/>
      </c>
      <c r="AM827" s="35" t="str">
        <f ca="1">IF(NOTA[[#This Row],[TGL.NOTA]]="",IF(NOTA[[#This Row],[SUPPLIER_H]]="","",AM826),MONTH(NOTA[[#This Row],[TGL.NOTA]]))</f>
        <v/>
      </c>
      <c r="AN8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7" s="35" t="str">
        <f>IF(NOTA[[#This Row],[CONCAT1]]="","",MATCH(NOTA[[#This Row],[CONCAT1]],[3]!db[NB NOTA_C],0))</f>
        <v/>
      </c>
      <c r="AS827" s="35" t="str">
        <f>IF(NOTA[[#This Row],[Column5]]="","",TRUE)</f>
        <v/>
      </c>
      <c r="AT827" s="35" t="str">
        <f ca="1">IF(NOTA[[#This Row],[ID_H]]="","",IF(NOTA[[#This Row],[Column3]]=TRUE,NOTA[[#This Row],[Column5]],INDEX([3]!db[QTY/ CTN],NOTA[[#This Row],[//DB]])))</f>
        <v/>
      </c>
      <c r="AU8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7" s="35" t="str">
        <f ca="1">IF(NOTA[[#This Row],[ID_H]]="","",MATCH(NOTA[[#This Row],[NB NOTA_C_QTY]],[3]!db[NB NOTA_C_QTY+F],0))</f>
        <v/>
      </c>
      <c r="AW827" s="43" t="str">
        <f ca="1">IF(NOTA[[#This Row],[NB NOTA_C_QTY]]="","",ROW()-2)</f>
        <v/>
      </c>
    </row>
    <row r="828" spans="1:49" ht="20.100000000000001" customHeight="1">
      <c r="A8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5" t="str">
        <f ca="1">IF(NOTA[[#This Row],[NAMA BARANG]]="","",INDEX(NOTA[ID],MATCH(,INDIRECT(ADDRESS(ROW(NOTA[ID]),COLUMN(NOTA[ID]))&amp;":"&amp;ADDRESS(ROW(),COLUMN(NOTA[ID]))),-1)))</f>
        <v/>
      </c>
      <c r="C828" s="45"/>
      <c r="F828" s="46"/>
      <c r="G828" s="35"/>
      <c r="H828" s="36"/>
      <c r="I828" s="35"/>
      <c r="K828" s="37"/>
      <c r="L828" s="35"/>
      <c r="N828" s="38"/>
      <c r="O828" s="39"/>
      <c r="P828" s="47"/>
      <c r="Q828" s="48"/>
      <c r="R828" s="41"/>
      <c r="T828" s="42"/>
      <c r="U828" s="44"/>
      <c r="V828" s="42" t="str">
        <f>IF(NOTA[[#This Row],[HARGA/ CTN]]="",NOTA[[#This Row],[JUMLAH_H]],NOTA[[#This Row],[HARGA/ CTN]]*IF(NOTA[[#This Row],[C]]="",0,NOTA[[#This Row],[C]]))</f>
        <v/>
      </c>
      <c r="W828" s="42" t="str">
        <f>IF(NOTA[[#This Row],[JUMLAH]]="","",NOTA[[#This Row],[JUMLAH]]*NOTA[[#This Row],[Column6]])</f>
        <v/>
      </c>
      <c r="X828" s="42" t="str">
        <f>IF(NOTA[[#This Row],[JUMLAH]]="","",(NOTA[[#This Row],[JUMLAH]]-NOTA[[#This Row],[DISC 1-]])*NOTA[[#This Row],[Column7]])</f>
        <v/>
      </c>
      <c r="Y828" s="42" t="str">
        <f>IF(NOTA[[#This Row],[JUMLAH]]="","",(NOTA[[#This Row],[JUMLAH]]-NOTA[[#This Row],[DISC 1-]]-NOTA[[#This Row],[DISC 2-]])*NOTA[[#This Row],[Column8]])</f>
        <v/>
      </c>
      <c r="Z828" s="42" t="str">
        <f>IF(NOTA[[#This Row],[JUMLAH]]="","",NOTA[[#This Row],[DISC 1-]]+NOTA[[#This Row],[DISC 2-]]+NOTA[[#This Row],[DISC 3-]])</f>
        <v/>
      </c>
      <c r="AA828" s="42" t="str">
        <f>IF(NOTA[[#This Row],[JUMLAH]]="","",NOTA[[#This Row],[JUMLAH]]-NOTA[[#This Row],[DISC]])</f>
        <v/>
      </c>
      <c r="AB828" s="42"/>
      <c r="AC8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42" t="str">
        <f>IF(OR(NOTA[[#This Row],[QTY]]="",NOTA[[#This Row],[HARGA SATUAN]]="",),"",NOTA[[#This Row],[QTY]]*NOTA[[#This Row],[HARGA SATUAN]])</f>
        <v/>
      </c>
      <c r="AG828" s="36" t="str">
        <f ca="1">IF(NOTA[[#This Row],[ID_H]]="","",INDEX(NOTA[TANGGAL],MATCH(,INDIRECT(ADDRESS(ROW(NOTA[TANGGAL]),COLUMN(NOTA[TANGGAL]))&amp;":"&amp;ADDRESS(ROW(),COLUMN(NOTA[TANGGAL]))),-1)))</f>
        <v/>
      </c>
      <c r="AH828" s="36" t="str">
        <f ca="1">IF(NOTA[[#This Row],[ID_H]]="","",INDEX(NOTA[TGL.NOTA],MATCH(,INDIRECT(ADDRESS(ROW(NOTA[TGL.NOTA]),COLUMN(NOTA[TGL.NOTA]))&amp;":"&amp;ADDRESS(ROW(),COLUMN(NOTA[TGL.NOTA]))),-1)))</f>
        <v/>
      </c>
      <c r="AI828" s="36" t="str">
        <f ca="1">IF(NOTA[[#This Row],[ID_H]]="","",INDEX(NOTA[NO.NOTA],MATCH(NOTA[[#This Row],[ID_H]],NOTA[ID_H],0)))</f>
        <v/>
      </c>
      <c r="AJ828" s="38" t="str">
        <f ca="1">IF(NOTA[[#This Row],[NAMA BARANG]]="","",INDEX(NOTA[SUPPLIER],MATCH(,INDIRECT(ADDRESS(ROW(NOTA[ID]),COLUMN(NOTA[ID]))&amp;":"&amp;ADDRESS(ROW(),COLUMN(NOTA[ID]))),-1)))</f>
        <v/>
      </c>
      <c r="AK828" s="38" t="str">
        <f ca="1">IF(NOTA[[#This Row],[ID_H]]="","",IF(NOTA[[#This Row],[FAKTUR]]="",INDIRECT(ADDRESS(ROW()-1,COLUMN())),NOTA[[#This Row],[FAKTUR]]))</f>
        <v/>
      </c>
      <c r="AL828" s="35" t="str">
        <f ca="1">IF(NOTA[[#This Row],[ID]]="","",COUNTIF(NOTA[ID_H],NOTA[[#This Row],[ID_H]]))</f>
        <v/>
      </c>
      <c r="AM828" s="35" t="str">
        <f ca="1">IF(NOTA[[#This Row],[TGL.NOTA]]="",IF(NOTA[[#This Row],[SUPPLIER_H]]="","",AM827),MONTH(NOTA[[#This Row],[TGL.NOTA]]))</f>
        <v/>
      </c>
      <c r="AN8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8" s="35" t="str">
        <f>IF(NOTA[[#This Row],[CONCAT1]]="","",MATCH(NOTA[[#This Row],[CONCAT1]],[3]!db[NB NOTA_C],0))</f>
        <v/>
      </c>
      <c r="AS828" s="35" t="str">
        <f>IF(NOTA[[#This Row],[Column5]]="","",TRUE)</f>
        <v/>
      </c>
      <c r="AT828" s="35" t="str">
        <f ca="1">IF(NOTA[[#This Row],[ID_H]]="","",IF(NOTA[[#This Row],[Column3]]=TRUE,NOTA[[#This Row],[Column5]],INDEX([3]!db[QTY/ CTN],NOTA[[#This Row],[//DB]])))</f>
        <v/>
      </c>
      <c r="AU8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8" s="35" t="str">
        <f ca="1">IF(NOTA[[#This Row],[ID_H]]="","",MATCH(NOTA[[#This Row],[NB NOTA_C_QTY]],[3]!db[NB NOTA_C_QTY+F],0))</f>
        <v/>
      </c>
      <c r="AW828" s="43" t="str">
        <f ca="1">IF(NOTA[[#This Row],[NB NOTA_C_QTY]]="","",ROW()-2)</f>
        <v/>
      </c>
    </row>
    <row r="829" spans="1:49" ht="20.100000000000001" customHeight="1">
      <c r="A8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5" t="str">
        <f ca="1">IF(NOTA[[#This Row],[NAMA BARANG]]="","",INDEX(NOTA[ID],MATCH(,INDIRECT(ADDRESS(ROW(NOTA[ID]),COLUMN(NOTA[ID]))&amp;":"&amp;ADDRESS(ROW(),COLUMN(NOTA[ID]))),-1)))</f>
        <v/>
      </c>
      <c r="C829" s="45"/>
      <c r="F829" s="46"/>
      <c r="G829" s="35"/>
      <c r="H829" s="36"/>
      <c r="I829" s="35"/>
      <c r="K829" s="37"/>
      <c r="L829" s="35"/>
      <c r="N829" s="38"/>
      <c r="O829" s="39"/>
      <c r="P829" s="47"/>
      <c r="Q829" s="48"/>
      <c r="R829" s="41"/>
      <c r="T829" s="42"/>
      <c r="U829" s="44"/>
      <c r="V829" s="42" t="str">
        <f>IF(NOTA[[#This Row],[HARGA/ CTN]]="",NOTA[[#This Row],[JUMLAH_H]],NOTA[[#This Row],[HARGA/ CTN]]*IF(NOTA[[#This Row],[C]]="",0,NOTA[[#This Row],[C]]))</f>
        <v/>
      </c>
      <c r="W829" s="42" t="str">
        <f>IF(NOTA[[#This Row],[JUMLAH]]="","",NOTA[[#This Row],[JUMLAH]]*NOTA[[#This Row],[Column6]])</f>
        <v/>
      </c>
      <c r="X829" s="42" t="str">
        <f>IF(NOTA[[#This Row],[JUMLAH]]="","",(NOTA[[#This Row],[JUMLAH]]-NOTA[[#This Row],[DISC 1-]])*NOTA[[#This Row],[Column7]])</f>
        <v/>
      </c>
      <c r="Y829" s="42" t="str">
        <f>IF(NOTA[[#This Row],[JUMLAH]]="","",(NOTA[[#This Row],[JUMLAH]]-NOTA[[#This Row],[DISC 1-]]-NOTA[[#This Row],[DISC 2-]])*NOTA[[#This Row],[Column8]])</f>
        <v/>
      </c>
      <c r="Z829" s="42" t="str">
        <f>IF(NOTA[[#This Row],[JUMLAH]]="","",NOTA[[#This Row],[DISC 1-]]+NOTA[[#This Row],[DISC 2-]]+NOTA[[#This Row],[DISC 3-]])</f>
        <v/>
      </c>
      <c r="AA829" s="42" t="str">
        <f>IF(NOTA[[#This Row],[JUMLAH]]="","",NOTA[[#This Row],[JUMLAH]]-NOTA[[#This Row],[DISC]])</f>
        <v/>
      </c>
      <c r="AB829" s="42"/>
      <c r="AC8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42" t="str">
        <f>IF(OR(NOTA[[#This Row],[QTY]]="",NOTA[[#This Row],[HARGA SATUAN]]="",),"",NOTA[[#This Row],[QTY]]*NOTA[[#This Row],[HARGA SATUAN]])</f>
        <v/>
      </c>
      <c r="AG829" s="36" t="str">
        <f ca="1">IF(NOTA[[#This Row],[ID_H]]="","",INDEX(NOTA[TANGGAL],MATCH(,INDIRECT(ADDRESS(ROW(NOTA[TANGGAL]),COLUMN(NOTA[TANGGAL]))&amp;":"&amp;ADDRESS(ROW(),COLUMN(NOTA[TANGGAL]))),-1)))</f>
        <v/>
      </c>
      <c r="AH829" s="36" t="str">
        <f ca="1">IF(NOTA[[#This Row],[ID_H]]="","",INDEX(NOTA[TGL.NOTA],MATCH(,INDIRECT(ADDRESS(ROW(NOTA[TGL.NOTA]),COLUMN(NOTA[TGL.NOTA]))&amp;":"&amp;ADDRESS(ROW(),COLUMN(NOTA[TGL.NOTA]))),-1)))</f>
        <v/>
      </c>
      <c r="AI829" s="36" t="str">
        <f ca="1">IF(NOTA[[#This Row],[ID_H]]="","",INDEX(NOTA[NO.NOTA],MATCH(NOTA[[#This Row],[ID_H]],NOTA[ID_H],0)))</f>
        <v/>
      </c>
      <c r="AJ829" s="38" t="str">
        <f ca="1">IF(NOTA[[#This Row],[NAMA BARANG]]="","",INDEX(NOTA[SUPPLIER],MATCH(,INDIRECT(ADDRESS(ROW(NOTA[ID]),COLUMN(NOTA[ID]))&amp;":"&amp;ADDRESS(ROW(),COLUMN(NOTA[ID]))),-1)))</f>
        <v/>
      </c>
      <c r="AK829" s="38" t="str">
        <f ca="1">IF(NOTA[[#This Row],[ID_H]]="","",IF(NOTA[[#This Row],[FAKTUR]]="",INDIRECT(ADDRESS(ROW()-1,COLUMN())),NOTA[[#This Row],[FAKTUR]]))</f>
        <v/>
      </c>
      <c r="AL829" s="35" t="str">
        <f ca="1">IF(NOTA[[#This Row],[ID]]="","",COUNTIF(NOTA[ID_H],NOTA[[#This Row],[ID_H]]))</f>
        <v/>
      </c>
      <c r="AM829" s="35" t="str">
        <f ca="1">IF(NOTA[[#This Row],[TGL.NOTA]]="",IF(NOTA[[#This Row],[SUPPLIER_H]]="","",AM828),MONTH(NOTA[[#This Row],[TGL.NOTA]]))</f>
        <v/>
      </c>
      <c r="AN8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9" s="35" t="str">
        <f>IF(NOTA[[#This Row],[CONCAT1]]="","",MATCH(NOTA[[#This Row],[CONCAT1]],[3]!db[NB NOTA_C],0))</f>
        <v/>
      </c>
      <c r="AS829" s="35" t="str">
        <f>IF(NOTA[[#This Row],[Column5]]="","",TRUE)</f>
        <v/>
      </c>
      <c r="AT829" s="35" t="str">
        <f ca="1">IF(NOTA[[#This Row],[ID_H]]="","",IF(NOTA[[#This Row],[Column3]]=TRUE,NOTA[[#This Row],[Column5]],INDEX([3]!db[QTY/ CTN],NOTA[[#This Row],[//DB]])))</f>
        <v/>
      </c>
      <c r="AU8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29" s="35" t="str">
        <f ca="1">IF(NOTA[[#This Row],[ID_H]]="","",MATCH(NOTA[[#This Row],[NB NOTA_C_QTY]],[3]!db[NB NOTA_C_QTY+F],0))</f>
        <v/>
      </c>
      <c r="AW829" s="43" t="str">
        <f ca="1">IF(NOTA[[#This Row],[NB NOTA_C_QTY]]="","",ROW()-2)</f>
        <v/>
      </c>
    </row>
    <row r="830" spans="1:49" ht="20.100000000000001" customHeight="1">
      <c r="A8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5" t="str">
        <f ca="1">IF(NOTA[[#This Row],[NAMA BARANG]]="","",INDEX(NOTA[ID],MATCH(,INDIRECT(ADDRESS(ROW(NOTA[ID]),COLUMN(NOTA[ID]))&amp;":"&amp;ADDRESS(ROW(),COLUMN(NOTA[ID]))),-1)))</f>
        <v/>
      </c>
      <c r="C830" s="45"/>
      <c r="F830" s="46"/>
      <c r="G830" s="35"/>
      <c r="H830" s="36"/>
      <c r="I830" s="35"/>
      <c r="K830" s="37"/>
      <c r="L830" s="35"/>
      <c r="N830" s="38"/>
      <c r="O830" s="39"/>
      <c r="P830" s="47"/>
      <c r="Q830" s="48"/>
      <c r="R830" s="41"/>
      <c r="T830" s="42"/>
      <c r="U830" s="44"/>
      <c r="V830" s="42" t="str">
        <f>IF(NOTA[[#This Row],[HARGA/ CTN]]="",NOTA[[#This Row],[JUMLAH_H]],NOTA[[#This Row],[HARGA/ CTN]]*IF(NOTA[[#This Row],[C]]="",0,NOTA[[#This Row],[C]]))</f>
        <v/>
      </c>
      <c r="W830" s="42" t="str">
        <f>IF(NOTA[[#This Row],[JUMLAH]]="","",NOTA[[#This Row],[JUMLAH]]*NOTA[[#This Row],[Column6]])</f>
        <v/>
      </c>
      <c r="X830" s="42" t="str">
        <f>IF(NOTA[[#This Row],[JUMLAH]]="","",(NOTA[[#This Row],[JUMLAH]]-NOTA[[#This Row],[DISC 1-]])*NOTA[[#This Row],[Column7]])</f>
        <v/>
      </c>
      <c r="Y830" s="42" t="str">
        <f>IF(NOTA[[#This Row],[JUMLAH]]="","",(NOTA[[#This Row],[JUMLAH]]-NOTA[[#This Row],[DISC 1-]]-NOTA[[#This Row],[DISC 2-]])*NOTA[[#This Row],[Column8]])</f>
        <v/>
      </c>
      <c r="Z830" s="42" t="str">
        <f>IF(NOTA[[#This Row],[JUMLAH]]="","",NOTA[[#This Row],[DISC 1-]]+NOTA[[#This Row],[DISC 2-]]+NOTA[[#This Row],[DISC 3-]])</f>
        <v/>
      </c>
      <c r="AA830" s="42" t="str">
        <f>IF(NOTA[[#This Row],[JUMLAH]]="","",NOTA[[#This Row],[JUMLAH]]-NOTA[[#This Row],[DISC]])</f>
        <v/>
      </c>
      <c r="AB830" s="42"/>
      <c r="AC8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42" t="str">
        <f>IF(OR(NOTA[[#This Row],[QTY]]="",NOTA[[#This Row],[HARGA SATUAN]]="",),"",NOTA[[#This Row],[QTY]]*NOTA[[#This Row],[HARGA SATUAN]])</f>
        <v/>
      </c>
      <c r="AG830" s="36" t="str">
        <f ca="1">IF(NOTA[[#This Row],[ID_H]]="","",INDEX(NOTA[TANGGAL],MATCH(,INDIRECT(ADDRESS(ROW(NOTA[TANGGAL]),COLUMN(NOTA[TANGGAL]))&amp;":"&amp;ADDRESS(ROW(),COLUMN(NOTA[TANGGAL]))),-1)))</f>
        <v/>
      </c>
      <c r="AH830" s="36" t="str">
        <f ca="1">IF(NOTA[[#This Row],[ID_H]]="","",INDEX(NOTA[TGL.NOTA],MATCH(,INDIRECT(ADDRESS(ROW(NOTA[TGL.NOTA]),COLUMN(NOTA[TGL.NOTA]))&amp;":"&amp;ADDRESS(ROW(),COLUMN(NOTA[TGL.NOTA]))),-1)))</f>
        <v/>
      </c>
      <c r="AI830" s="36" t="str">
        <f ca="1">IF(NOTA[[#This Row],[ID_H]]="","",INDEX(NOTA[NO.NOTA],MATCH(NOTA[[#This Row],[ID_H]],NOTA[ID_H],0)))</f>
        <v/>
      </c>
      <c r="AJ830" s="38" t="str">
        <f ca="1">IF(NOTA[[#This Row],[NAMA BARANG]]="","",INDEX(NOTA[SUPPLIER],MATCH(,INDIRECT(ADDRESS(ROW(NOTA[ID]),COLUMN(NOTA[ID]))&amp;":"&amp;ADDRESS(ROW(),COLUMN(NOTA[ID]))),-1)))</f>
        <v/>
      </c>
      <c r="AK830" s="38" t="str">
        <f ca="1">IF(NOTA[[#This Row],[ID_H]]="","",IF(NOTA[[#This Row],[FAKTUR]]="",INDIRECT(ADDRESS(ROW()-1,COLUMN())),NOTA[[#This Row],[FAKTUR]]))</f>
        <v/>
      </c>
      <c r="AL830" s="35" t="str">
        <f ca="1">IF(NOTA[[#This Row],[ID]]="","",COUNTIF(NOTA[ID_H],NOTA[[#This Row],[ID_H]]))</f>
        <v/>
      </c>
      <c r="AM830" s="35" t="str">
        <f ca="1">IF(NOTA[[#This Row],[TGL.NOTA]]="",IF(NOTA[[#This Row],[SUPPLIER_H]]="","",AM829),MONTH(NOTA[[#This Row],[TGL.NOTA]]))</f>
        <v/>
      </c>
      <c r="AN8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0" s="35" t="str">
        <f>IF(NOTA[[#This Row],[CONCAT1]]="","",MATCH(NOTA[[#This Row],[CONCAT1]],[3]!db[NB NOTA_C],0))</f>
        <v/>
      </c>
      <c r="AS830" s="35" t="str">
        <f>IF(NOTA[[#This Row],[Column5]]="","",TRUE)</f>
        <v/>
      </c>
      <c r="AT830" s="35" t="str">
        <f ca="1">IF(NOTA[[#This Row],[ID_H]]="","",IF(NOTA[[#This Row],[Column3]]=TRUE,NOTA[[#This Row],[Column5]],INDEX([3]!db[QTY/ CTN],NOTA[[#This Row],[//DB]])))</f>
        <v/>
      </c>
      <c r="AU8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0" s="35" t="str">
        <f ca="1">IF(NOTA[[#This Row],[ID_H]]="","",MATCH(NOTA[[#This Row],[NB NOTA_C_QTY]],[3]!db[NB NOTA_C_QTY+F],0))</f>
        <v/>
      </c>
      <c r="AW830" s="43" t="str">
        <f ca="1">IF(NOTA[[#This Row],[NB NOTA_C_QTY]]="","",ROW()-2)</f>
        <v/>
      </c>
    </row>
    <row r="831" spans="1:49" ht="20.100000000000001" customHeight="1">
      <c r="A8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5" t="str">
        <f ca="1">IF(NOTA[[#This Row],[NAMA BARANG]]="","",INDEX(NOTA[ID],MATCH(,INDIRECT(ADDRESS(ROW(NOTA[ID]),COLUMN(NOTA[ID]))&amp;":"&amp;ADDRESS(ROW(),COLUMN(NOTA[ID]))),-1)))</f>
        <v/>
      </c>
      <c r="C831" s="45"/>
      <c r="F831" s="46"/>
      <c r="G831" s="35"/>
      <c r="H831" s="36"/>
      <c r="I831" s="35"/>
      <c r="K831" s="37"/>
      <c r="L831" s="35"/>
      <c r="N831" s="38"/>
      <c r="O831" s="39"/>
      <c r="P831" s="47"/>
      <c r="Q831" s="48"/>
      <c r="R831" s="41"/>
      <c r="T831" s="42"/>
      <c r="U831" s="44"/>
      <c r="V831" s="42" t="str">
        <f>IF(NOTA[[#This Row],[HARGA/ CTN]]="",NOTA[[#This Row],[JUMLAH_H]],NOTA[[#This Row],[HARGA/ CTN]]*IF(NOTA[[#This Row],[C]]="",0,NOTA[[#This Row],[C]]))</f>
        <v/>
      </c>
      <c r="W831" s="42" t="str">
        <f>IF(NOTA[[#This Row],[JUMLAH]]="","",NOTA[[#This Row],[JUMLAH]]*NOTA[[#This Row],[Column6]])</f>
        <v/>
      </c>
      <c r="X831" s="42" t="str">
        <f>IF(NOTA[[#This Row],[JUMLAH]]="","",(NOTA[[#This Row],[JUMLAH]]-NOTA[[#This Row],[DISC 1-]])*NOTA[[#This Row],[Column7]])</f>
        <v/>
      </c>
      <c r="Y831" s="42" t="str">
        <f>IF(NOTA[[#This Row],[JUMLAH]]="","",(NOTA[[#This Row],[JUMLAH]]-NOTA[[#This Row],[DISC 1-]]-NOTA[[#This Row],[DISC 2-]])*NOTA[[#This Row],[Column8]])</f>
        <v/>
      </c>
      <c r="Z831" s="42" t="str">
        <f>IF(NOTA[[#This Row],[JUMLAH]]="","",NOTA[[#This Row],[DISC 1-]]+NOTA[[#This Row],[DISC 2-]]+NOTA[[#This Row],[DISC 3-]])</f>
        <v/>
      </c>
      <c r="AA831" s="42" t="str">
        <f>IF(NOTA[[#This Row],[JUMLAH]]="","",NOTA[[#This Row],[JUMLAH]]-NOTA[[#This Row],[DISC]])</f>
        <v/>
      </c>
      <c r="AB831" s="42"/>
      <c r="AC8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42" t="str">
        <f>IF(OR(NOTA[[#This Row],[QTY]]="",NOTA[[#This Row],[HARGA SATUAN]]="",),"",NOTA[[#This Row],[QTY]]*NOTA[[#This Row],[HARGA SATUAN]])</f>
        <v/>
      </c>
      <c r="AG831" s="36" t="str">
        <f ca="1">IF(NOTA[[#This Row],[ID_H]]="","",INDEX(NOTA[TANGGAL],MATCH(,INDIRECT(ADDRESS(ROW(NOTA[TANGGAL]),COLUMN(NOTA[TANGGAL]))&amp;":"&amp;ADDRESS(ROW(),COLUMN(NOTA[TANGGAL]))),-1)))</f>
        <v/>
      </c>
      <c r="AH831" s="36" t="str">
        <f ca="1">IF(NOTA[[#This Row],[ID_H]]="","",INDEX(NOTA[TGL.NOTA],MATCH(,INDIRECT(ADDRESS(ROW(NOTA[TGL.NOTA]),COLUMN(NOTA[TGL.NOTA]))&amp;":"&amp;ADDRESS(ROW(),COLUMN(NOTA[TGL.NOTA]))),-1)))</f>
        <v/>
      </c>
      <c r="AI831" s="36" t="str">
        <f ca="1">IF(NOTA[[#This Row],[ID_H]]="","",INDEX(NOTA[NO.NOTA],MATCH(NOTA[[#This Row],[ID_H]],NOTA[ID_H],0)))</f>
        <v/>
      </c>
      <c r="AJ831" s="38" t="str">
        <f ca="1">IF(NOTA[[#This Row],[NAMA BARANG]]="","",INDEX(NOTA[SUPPLIER],MATCH(,INDIRECT(ADDRESS(ROW(NOTA[ID]),COLUMN(NOTA[ID]))&amp;":"&amp;ADDRESS(ROW(),COLUMN(NOTA[ID]))),-1)))</f>
        <v/>
      </c>
      <c r="AK831" s="38" t="str">
        <f ca="1">IF(NOTA[[#This Row],[ID_H]]="","",IF(NOTA[[#This Row],[FAKTUR]]="",INDIRECT(ADDRESS(ROW()-1,COLUMN())),NOTA[[#This Row],[FAKTUR]]))</f>
        <v/>
      </c>
      <c r="AL831" s="35" t="str">
        <f ca="1">IF(NOTA[[#This Row],[ID]]="","",COUNTIF(NOTA[ID_H],NOTA[[#This Row],[ID_H]]))</f>
        <v/>
      </c>
      <c r="AM831" s="35" t="str">
        <f ca="1">IF(NOTA[[#This Row],[TGL.NOTA]]="",IF(NOTA[[#This Row],[SUPPLIER_H]]="","",AM830),MONTH(NOTA[[#This Row],[TGL.NOTA]]))</f>
        <v/>
      </c>
      <c r="AN8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1" s="35" t="str">
        <f>IF(NOTA[[#This Row],[CONCAT1]]="","",MATCH(NOTA[[#This Row],[CONCAT1]],[3]!db[NB NOTA_C],0))</f>
        <v/>
      </c>
      <c r="AS831" s="35" t="str">
        <f>IF(NOTA[[#This Row],[Column5]]="","",TRUE)</f>
        <v/>
      </c>
      <c r="AT831" s="35" t="str">
        <f ca="1">IF(NOTA[[#This Row],[ID_H]]="","",IF(NOTA[[#This Row],[Column3]]=TRUE,NOTA[[#This Row],[Column5]],INDEX([3]!db[QTY/ CTN],NOTA[[#This Row],[//DB]])))</f>
        <v/>
      </c>
      <c r="AU8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1" s="35" t="str">
        <f ca="1">IF(NOTA[[#This Row],[ID_H]]="","",MATCH(NOTA[[#This Row],[NB NOTA_C_QTY]],[3]!db[NB NOTA_C_QTY+F],0))</f>
        <v/>
      </c>
      <c r="AW831" s="43" t="str">
        <f ca="1">IF(NOTA[[#This Row],[NB NOTA_C_QTY]]="","",ROW()-2)</f>
        <v/>
      </c>
    </row>
    <row r="832" spans="1:49" ht="20.100000000000001" customHeight="1">
      <c r="A8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5" t="str">
        <f ca="1">IF(NOTA[[#This Row],[NAMA BARANG]]="","",INDEX(NOTA[ID],MATCH(,INDIRECT(ADDRESS(ROW(NOTA[ID]),COLUMN(NOTA[ID]))&amp;":"&amp;ADDRESS(ROW(),COLUMN(NOTA[ID]))),-1)))</f>
        <v/>
      </c>
      <c r="C832" s="45"/>
      <c r="F832" s="46"/>
      <c r="G832" s="35"/>
      <c r="H832" s="36"/>
      <c r="I832" s="35"/>
      <c r="K832" s="37"/>
      <c r="L832" s="35"/>
      <c r="N832" s="38"/>
      <c r="O832" s="39"/>
      <c r="P832" s="47"/>
      <c r="Q832" s="48"/>
      <c r="R832" s="41"/>
      <c r="T832" s="42"/>
      <c r="U832" s="44"/>
      <c r="V832" s="42" t="str">
        <f>IF(NOTA[[#This Row],[HARGA/ CTN]]="",NOTA[[#This Row],[JUMLAH_H]],NOTA[[#This Row],[HARGA/ CTN]]*IF(NOTA[[#This Row],[C]]="",0,NOTA[[#This Row],[C]]))</f>
        <v/>
      </c>
      <c r="W832" s="42" t="str">
        <f>IF(NOTA[[#This Row],[JUMLAH]]="","",NOTA[[#This Row],[JUMLAH]]*NOTA[[#This Row],[Column6]])</f>
        <v/>
      </c>
      <c r="X832" s="42" t="str">
        <f>IF(NOTA[[#This Row],[JUMLAH]]="","",(NOTA[[#This Row],[JUMLAH]]-NOTA[[#This Row],[DISC 1-]])*NOTA[[#This Row],[Column7]])</f>
        <v/>
      </c>
      <c r="Y832" s="42" t="str">
        <f>IF(NOTA[[#This Row],[JUMLAH]]="","",(NOTA[[#This Row],[JUMLAH]]-NOTA[[#This Row],[DISC 1-]]-NOTA[[#This Row],[DISC 2-]])*NOTA[[#This Row],[Column8]])</f>
        <v/>
      </c>
      <c r="Z832" s="42" t="str">
        <f>IF(NOTA[[#This Row],[JUMLAH]]="","",NOTA[[#This Row],[DISC 1-]]+NOTA[[#This Row],[DISC 2-]]+NOTA[[#This Row],[DISC 3-]])</f>
        <v/>
      </c>
      <c r="AA832" s="42" t="str">
        <f>IF(NOTA[[#This Row],[JUMLAH]]="","",NOTA[[#This Row],[JUMLAH]]-NOTA[[#This Row],[DISC]])</f>
        <v/>
      </c>
      <c r="AB832" s="42"/>
      <c r="AC8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42" t="str">
        <f>IF(OR(NOTA[[#This Row],[QTY]]="",NOTA[[#This Row],[HARGA SATUAN]]="",),"",NOTA[[#This Row],[QTY]]*NOTA[[#This Row],[HARGA SATUAN]])</f>
        <v/>
      </c>
      <c r="AG832" s="36" t="str">
        <f ca="1">IF(NOTA[[#This Row],[ID_H]]="","",INDEX(NOTA[TANGGAL],MATCH(,INDIRECT(ADDRESS(ROW(NOTA[TANGGAL]),COLUMN(NOTA[TANGGAL]))&amp;":"&amp;ADDRESS(ROW(),COLUMN(NOTA[TANGGAL]))),-1)))</f>
        <v/>
      </c>
      <c r="AH832" s="36" t="str">
        <f ca="1">IF(NOTA[[#This Row],[ID_H]]="","",INDEX(NOTA[TGL.NOTA],MATCH(,INDIRECT(ADDRESS(ROW(NOTA[TGL.NOTA]),COLUMN(NOTA[TGL.NOTA]))&amp;":"&amp;ADDRESS(ROW(),COLUMN(NOTA[TGL.NOTA]))),-1)))</f>
        <v/>
      </c>
      <c r="AI832" s="36" t="str">
        <f ca="1">IF(NOTA[[#This Row],[ID_H]]="","",INDEX(NOTA[NO.NOTA],MATCH(NOTA[[#This Row],[ID_H]],NOTA[ID_H],0)))</f>
        <v/>
      </c>
      <c r="AJ832" s="38" t="str">
        <f ca="1">IF(NOTA[[#This Row],[NAMA BARANG]]="","",INDEX(NOTA[SUPPLIER],MATCH(,INDIRECT(ADDRESS(ROW(NOTA[ID]),COLUMN(NOTA[ID]))&amp;":"&amp;ADDRESS(ROW(),COLUMN(NOTA[ID]))),-1)))</f>
        <v/>
      </c>
      <c r="AK832" s="38" t="str">
        <f ca="1">IF(NOTA[[#This Row],[ID_H]]="","",IF(NOTA[[#This Row],[FAKTUR]]="",INDIRECT(ADDRESS(ROW()-1,COLUMN())),NOTA[[#This Row],[FAKTUR]]))</f>
        <v/>
      </c>
      <c r="AL832" s="35" t="str">
        <f ca="1">IF(NOTA[[#This Row],[ID]]="","",COUNTIF(NOTA[ID_H],NOTA[[#This Row],[ID_H]]))</f>
        <v/>
      </c>
      <c r="AM832" s="35" t="str">
        <f ca="1">IF(NOTA[[#This Row],[TGL.NOTA]]="",IF(NOTA[[#This Row],[SUPPLIER_H]]="","",AM831),MONTH(NOTA[[#This Row],[TGL.NOTA]]))</f>
        <v/>
      </c>
      <c r="AN8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2" s="35" t="str">
        <f>IF(NOTA[[#This Row],[CONCAT1]]="","",MATCH(NOTA[[#This Row],[CONCAT1]],[3]!db[NB NOTA_C],0))</f>
        <v/>
      </c>
      <c r="AS832" s="35" t="str">
        <f>IF(NOTA[[#This Row],[Column5]]="","",TRUE)</f>
        <v/>
      </c>
      <c r="AT832" s="35" t="str">
        <f ca="1">IF(NOTA[[#This Row],[ID_H]]="","",IF(NOTA[[#This Row],[Column3]]=TRUE,NOTA[[#This Row],[Column5]],INDEX([3]!db[QTY/ CTN],NOTA[[#This Row],[//DB]])))</f>
        <v/>
      </c>
      <c r="AU8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2" s="35" t="str">
        <f ca="1">IF(NOTA[[#This Row],[ID_H]]="","",MATCH(NOTA[[#This Row],[NB NOTA_C_QTY]],[3]!db[NB NOTA_C_QTY+F],0))</f>
        <v/>
      </c>
      <c r="AW832" s="43" t="str">
        <f ca="1">IF(NOTA[[#This Row],[NB NOTA_C_QTY]]="","",ROW()-2)</f>
        <v/>
      </c>
    </row>
    <row r="833" spans="1:49" ht="20.100000000000001" customHeight="1">
      <c r="A8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5" t="str">
        <f ca="1">IF(NOTA[[#This Row],[NAMA BARANG]]="","",INDEX(NOTA[ID],MATCH(,INDIRECT(ADDRESS(ROW(NOTA[ID]),COLUMN(NOTA[ID]))&amp;":"&amp;ADDRESS(ROW(),COLUMN(NOTA[ID]))),-1)))</f>
        <v/>
      </c>
      <c r="C833" s="45"/>
      <c r="F833" s="46"/>
      <c r="G833" s="35"/>
      <c r="H833" s="36"/>
      <c r="I833" s="35"/>
      <c r="K833" s="37"/>
      <c r="L833" s="35"/>
      <c r="N833" s="38"/>
      <c r="O833" s="39"/>
      <c r="P833" s="47"/>
      <c r="Q833" s="48"/>
      <c r="R833" s="41"/>
      <c r="T833" s="42"/>
      <c r="U833" s="44"/>
      <c r="V833" s="42" t="str">
        <f>IF(NOTA[[#This Row],[HARGA/ CTN]]="",NOTA[[#This Row],[JUMLAH_H]],NOTA[[#This Row],[HARGA/ CTN]]*IF(NOTA[[#This Row],[C]]="",0,NOTA[[#This Row],[C]]))</f>
        <v/>
      </c>
      <c r="W833" s="42" t="str">
        <f>IF(NOTA[[#This Row],[JUMLAH]]="","",NOTA[[#This Row],[JUMLAH]]*NOTA[[#This Row],[Column6]])</f>
        <v/>
      </c>
      <c r="X833" s="42" t="str">
        <f>IF(NOTA[[#This Row],[JUMLAH]]="","",(NOTA[[#This Row],[JUMLAH]]-NOTA[[#This Row],[DISC 1-]])*NOTA[[#This Row],[Column7]])</f>
        <v/>
      </c>
      <c r="Y833" s="42" t="str">
        <f>IF(NOTA[[#This Row],[JUMLAH]]="","",(NOTA[[#This Row],[JUMLAH]]-NOTA[[#This Row],[DISC 1-]]-NOTA[[#This Row],[DISC 2-]])*NOTA[[#This Row],[Column8]])</f>
        <v/>
      </c>
      <c r="Z833" s="42" t="str">
        <f>IF(NOTA[[#This Row],[JUMLAH]]="","",NOTA[[#This Row],[DISC 1-]]+NOTA[[#This Row],[DISC 2-]]+NOTA[[#This Row],[DISC 3-]])</f>
        <v/>
      </c>
      <c r="AA833" s="42" t="str">
        <f>IF(NOTA[[#This Row],[JUMLAH]]="","",NOTA[[#This Row],[JUMLAH]]-NOTA[[#This Row],[DISC]])</f>
        <v/>
      </c>
      <c r="AB833" s="42"/>
      <c r="AC8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42" t="str">
        <f>IF(OR(NOTA[[#This Row],[QTY]]="",NOTA[[#This Row],[HARGA SATUAN]]="",),"",NOTA[[#This Row],[QTY]]*NOTA[[#This Row],[HARGA SATUAN]])</f>
        <v/>
      </c>
      <c r="AG833" s="36" t="str">
        <f ca="1">IF(NOTA[[#This Row],[ID_H]]="","",INDEX(NOTA[TANGGAL],MATCH(,INDIRECT(ADDRESS(ROW(NOTA[TANGGAL]),COLUMN(NOTA[TANGGAL]))&amp;":"&amp;ADDRESS(ROW(),COLUMN(NOTA[TANGGAL]))),-1)))</f>
        <v/>
      </c>
      <c r="AH833" s="36" t="str">
        <f ca="1">IF(NOTA[[#This Row],[ID_H]]="","",INDEX(NOTA[TGL.NOTA],MATCH(,INDIRECT(ADDRESS(ROW(NOTA[TGL.NOTA]),COLUMN(NOTA[TGL.NOTA]))&amp;":"&amp;ADDRESS(ROW(),COLUMN(NOTA[TGL.NOTA]))),-1)))</f>
        <v/>
      </c>
      <c r="AI833" s="36" t="str">
        <f ca="1">IF(NOTA[[#This Row],[ID_H]]="","",INDEX(NOTA[NO.NOTA],MATCH(NOTA[[#This Row],[ID_H]],NOTA[ID_H],0)))</f>
        <v/>
      </c>
      <c r="AJ833" s="38" t="str">
        <f ca="1">IF(NOTA[[#This Row],[NAMA BARANG]]="","",INDEX(NOTA[SUPPLIER],MATCH(,INDIRECT(ADDRESS(ROW(NOTA[ID]),COLUMN(NOTA[ID]))&amp;":"&amp;ADDRESS(ROW(),COLUMN(NOTA[ID]))),-1)))</f>
        <v/>
      </c>
      <c r="AK833" s="38" t="str">
        <f ca="1">IF(NOTA[[#This Row],[ID_H]]="","",IF(NOTA[[#This Row],[FAKTUR]]="",INDIRECT(ADDRESS(ROW()-1,COLUMN())),NOTA[[#This Row],[FAKTUR]]))</f>
        <v/>
      </c>
      <c r="AL833" s="35" t="str">
        <f ca="1">IF(NOTA[[#This Row],[ID]]="","",COUNTIF(NOTA[ID_H],NOTA[[#This Row],[ID_H]]))</f>
        <v/>
      </c>
      <c r="AM833" s="35" t="str">
        <f ca="1">IF(NOTA[[#This Row],[TGL.NOTA]]="",IF(NOTA[[#This Row],[SUPPLIER_H]]="","",AM832),MONTH(NOTA[[#This Row],[TGL.NOTA]]))</f>
        <v/>
      </c>
      <c r="AN8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3" s="35" t="str">
        <f>IF(NOTA[[#This Row],[CONCAT1]]="","",MATCH(NOTA[[#This Row],[CONCAT1]],[3]!db[NB NOTA_C],0))</f>
        <v/>
      </c>
      <c r="AS833" s="35" t="str">
        <f>IF(NOTA[[#This Row],[Column5]]="","",TRUE)</f>
        <v/>
      </c>
      <c r="AT833" s="35" t="str">
        <f ca="1">IF(NOTA[[#This Row],[ID_H]]="","",IF(NOTA[[#This Row],[Column3]]=TRUE,NOTA[[#This Row],[Column5]],INDEX([3]!db[QTY/ CTN],NOTA[[#This Row],[//DB]])))</f>
        <v/>
      </c>
      <c r="AU8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3" s="35" t="str">
        <f ca="1">IF(NOTA[[#This Row],[ID_H]]="","",MATCH(NOTA[[#This Row],[NB NOTA_C_QTY]],[3]!db[NB NOTA_C_QTY+F],0))</f>
        <v/>
      </c>
      <c r="AW833" s="43" t="str">
        <f ca="1">IF(NOTA[[#This Row],[NB NOTA_C_QTY]]="","",ROW()-2)</f>
        <v/>
      </c>
    </row>
    <row r="834" spans="1:49" ht="20.100000000000001" customHeight="1">
      <c r="A8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5" t="str">
        <f ca="1">IF(NOTA[[#This Row],[NAMA BARANG]]="","",INDEX(NOTA[ID],MATCH(,INDIRECT(ADDRESS(ROW(NOTA[ID]),COLUMN(NOTA[ID]))&amp;":"&amp;ADDRESS(ROW(),COLUMN(NOTA[ID]))),-1)))</f>
        <v/>
      </c>
      <c r="C834" s="45"/>
      <c r="F834" s="46"/>
      <c r="G834" s="35"/>
      <c r="H834" s="36"/>
      <c r="I834" s="35"/>
      <c r="K834" s="37"/>
      <c r="L834" s="35"/>
      <c r="N834" s="38"/>
      <c r="O834" s="39"/>
      <c r="P834" s="47"/>
      <c r="Q834" s="48"/>
      <c r="R834" s="41"/>
      <c r="T834" s="42"/>
      <c r="U834" s="44"/>
      <c r="V834" s="42" t="str">
        <f>IF(NOTA[[#This Row],[HARGA/ CTN]]="",NOTA[[#This Row],[JUMLAH_H]],NOTA[[#This Row],[HARGA/ CTN]]*IF(NOTA[[#This Row],[C]]="",0,NOTA[[#This Row],[C]]))</f>
        <v/>
      </c>
      <c r="W834" s="42" t="str">
        <f>IF(NOTA[[#This Row],[JUMLAH]]="","",NOTA[[#This Row],[JUMLAH]]*NOTA[[#This Row],[Column6]])</f>
        <v/>
      </c>
      <c r="X834" s="42" t="str">
        <f>IF(NOTA[[#This Row],[JUMLAH]]="","",(NOTA[[#This Row],[JUMLAH]]-NOTA[[#This Row],[DISC 1-]])*NOTA[[#This Row],[Column7]])</f>
        <v/>
      </c>
      <c r="Y834" s="42" t="str">
        <f>IF(NOTA[[#This Row],[JUMLAH]]="","",(NOTA[[#This Row],[JUMLAH]]-NOTA[[#This Row],[DISC 1-]]-NOTA[[#This Row],[DISC 2-]])*NOTA[[#This Row],[Column8]])</f>
        <v/>
      </c>
      <c r="Z834" s="42" t="str">
        <f>IF(NOTA[[#This Row],[JUMLAH]]="","",NOTA[[#This Row],[DISC 1-]]+NOTA[[#This Row],[DISC 2-]]+NOTA[[#This Row],[DISC 3-]])</f>
        <v/>
      </c>
      <c r="AA834" s="42" t="str">
        <f>IF(NOTA[[#This Row],[JUMLAH]]="","",NOTA[[#This Row],[JUMLAH]]-NOTA[[#This Row],[DISC]])</f>
        <v/>
      </c>
      <c r="AB834" s="42"/>
      <c r="AC8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42" t="str">
        <f>IF(OR(NOTA[[#This Row],[QTY]]="",NOTA[[#This Row],[HARGA SATUAN]]="",),"",NOTA[[#This Row],[QTY]]*NOTA[[#This Row],[HARGA SATUAN]])</f>
        <v/>
      </c>
      <c r="AG834" s="36" t="str">
        <f ca="1">IF(NOTA[[#This Row],[ID_H]]="","",INDEX(NOTA[TANGGAL],MATCH(,INDIRECT(ADDRESS(ROW(NOTA[TANGGAL]),COLUMN(NOTA[TANGGAL]))&amp;":"&amp;ADDRESS(ROW(),COLUMN(NOTA[TANGGAL]))),-1)))</f>
        <v/>
      </c>
      <c r="AH834" s="36" t="str">
        <f ca="1">IF(NOTA[[#This Row],[ID_H]]="","",INDEX(NOTA[TGL.NOTA],MATCH(,INDIRECT(ADDRESS(ROW(NOTA[TGL.NOTA]),COLUMN(NOTA[TGL.NOTA]))&amp;":"&amp;ADDRESS(ROW(),COLUMN(NOTA[TGL.NOTA]))),-1)))</f>
        <v/>
      </c>
      <c r="AI834" s="36" t="str">
        <f ca="1">IF(NOTA[[#This Row],[ID_H]]="","",INDEX(NOTA[NO.NOTA],MATCH(NOTA[[#This Row],[ID_H]],NOTA[ID_H],0)))</f>
        <v/>
      </c>
      <c r="AJ834" s="38" t="str">
        <f ca="1">IF(NOTA[[#This Row],[NAMA BARANG]]="","",INDEX(NOTA[SUPPLIER],MATCH(,INDIRECT(ADDRESS(ROW(NOTA[ID]),COLUMN(NOTA[ID]))&amp;":"&amp;ADDRESS(ROW(),COLUMN(NOTA[ID]))),-1)))</f>
        <v/>
      </c>
      <c r="AK834" s="38" t="str">
        <f ca="1">IF(NOTA[[#This Row],[ID_H]]="","",IF(NOTA[[#This Row],[FAKTUR]]="",INDIRECT(ADDRESS(ROW()-1,COLUMN())),NOTA[[#This Row],[FAKTUR]]))</f>
        <v/>
      </c>
      <c r="AL834" s="35" t="str">
        <f ca="1">IF(NOTA[[#This Row],[ID]]="","",COUNTIF(NOTA[ID_H],NOTA[[#This Row],[ID_H]]))</f>
        <v/>
      </c>
      <c r="AM834" s="35" t="str">
        <f ca="1">IF(NOTA[[#This Row],[TGL.NOTA]]="",IF(NOTA[[#This Row],[SUPPLIER_H]]="","",AM833),MONTH(NOTA[[#This Row],[TGL.NOTA]]))</f>
        <v/>
      </c>
      <c r="AN8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4" s="35" t="str">
        <f>IF(NOTA[[#This Row],[CONCAT1]]="","",MATCH(NOTA[[#This Row],[CONCAT1]],[3]!db[NB NOTA_C],0))</f>
        <v/>
      </c>
      <c r="AS834" s="35" t="str">
        <f>IF(NOTA[[#This Row],[Column5]]="","",TRUE)</f>
        <v/>
      </c>
      <c r="AT834" s="35" t="str">
        <f ca="1">IF(NOTA[[#This Row],[ID_H]]="","",IF(NOTA[[#This Row],[Column3]]=TRUE,NOTA[[#This Row],[Column5]],INDEX([3]!db[QTY/ CTN],NOTA[[#This Row],[//DB]])))</f>
        <v/>
      </c>
      <c r="AU8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4" s="35" t="str">
        <f ca="1">IF(NOTA[[#This Row],[ID_H]]="","",MATCH(NOTA[[#This Row],[NB NOTA_C_QTY]],[3]!db[NB NOTA_C_QTY+F],0))</f>
        <v/>
      </c>
      <c r="AW834" s="43" t="str">
        <f ca="1">IF(NOTA[[#This Row],[NB NOTA_C_QTY]]="","",ROW()-2)</f>
        <v/>
      </c>
    </row>
    <row r="835" spans="1:49" ht="20.100000000000001" customHeight="1">
      <c r="A8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5" t="str">
        <f ca="1">IF(NOTA[[#This Row],[NAMA BARANG]]="","",INDEX(NOTA[ID],MATCH(,INDIRECT(ADDRESS(ROW(NOTA[ID]),COLUMN(NOTA[ID]))&amp;":"&amp;ADDRESS(ROW(),COLUMN(NOTA[ID]))),-1)))</f>
        <v/>
      </c>
      <c r="C835" s="45"/>
      <c r="F835" s="46"/>
      <c r="G835" s="35"/>
      <c r="H835" s="36"/>
      <c r="I835" s="35"/>
      <c r="K835" s="37"/>
      <c r="L835" s="35"/>
      <c r="N835" s="38"/>
      <c r="O835" s="39"/>
      <c r="P835" s="47"/>
      <c r="Q835" s="48"/>
      <c r="R835" s="41"/>
      <c r="T835" s="42"/>
      <c r="U835" s="44"/>
      <c r="V835" s="42" t="str">
        <f>IF(NOTA[[#This Row],[HARGA/ CTN]]="",NOTA[[#This Row],[JUMLAH_H]],NOTA[[#This Row],[HARGA/ CTN]]*IF(NOTA[[#This Row],[C]]="",0,NOTA[[#This Row],[C]]))</f>
        <v/>
      </c>
      <c r="W835" s="42" t="str">
        <f>IF(NOTA[[#This Row],[JUMLAH]]="","",NOTA[[#This Row],[JUMLAH]]*NOTA[[#This Row],[Column6]])</f>
        <v/>
      </c>
      <c r="X835" s="42" t="str">
        <f>IF(NOTA[[#This Row],[JUMLAH]]="","",(NOTA[[#This Row],[JUMLAH]]-NOTA[[#This Row],[DISC 1-]])*NOTA[[#This Row],[Column7]])</f>
        <v/>
      </c>
      <c r="Y835" s="42" t="str">
        <f>IF(NOTA[[#This Row],[JUMLAH]]="","",(NOTA[[#This Row],[JUMLAH]]-NOTA[[#This Row],[DISC 1-]]-NOTA[[#This Row],[DISC 2-]])*NOTA[[#This Row],[Column8]])</f>
        <v/>
      </c>
      <c r="Z835" s="42" t="str">
        <f>IF(NOTA[[#This Row],[JUMLAH]]="","",NOTA[[#This Row],[DISC 1-]]+NOTA[[#This Row],[DISC 2-]]+NOTA[[#This Row],[DISC 3-]])</f>
        <v/>
      </c>
      <c r="AA835" s="42" t="str">
        <f>IF(NOTA[[#This Row],[JUMLAH]]="","",NOTA[[#This Row],[JUMLAH]]-NOTA[[#This Row],[DISC]])</f>
        <v/>
      </c>
      <c r="AB835" s="42"/>
      <c r="AC8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42" t="str">
        <f>IF(OR(NOTA[[#This Row],[QTY]]="",NOTA[[#This Row],[HARGA SATUAN]]="",),"",NOTA[[#This Row],[QTY]]*NOTA[[#This Row],[HARGA SATUAN]])</f>
        <v/>
      </c>
      <c r="AG835" s="36" t="str">
        <f ca="1">IF(NOTA[[#This Row],[ID_H]]="","",INDEX(NOTA[TANGGAL],MATCH(,INDIRECT(ADDRESS(ROW(NOTA[TANGGAL]),COLUMN(NOTA[TANGGAL]))&amp;":"&amp;ADDRESS(ROW(),COLUMN(NOTA[TANGGAL]))),-1)))</f>
        <v/>
      </c>
      <c r="AH835" s="36" t="str">
        <f ca="1">IF(NOTA[[#This Row],[ID_H]]="","",INDEX(NOTA[TGL.NOTA],MATCH(,INDIRECT(ADDRESS(ROW(NOTA[TGL.NOTA]),COLUMN(NOTA[TGL.NOTA]))&amp;":"&amp;ADDRESS(ROW(),COLUMN(NOTA[TGL.NOTA]))),-1)))</f>
        <v/>
      </c>
      <c r="AI835" s="36" t="str">
        <f ca="1">IF(NOTA[[#This Row],[ID_H]]="","",INDEX(NOTA[NO.NOTA],MATCH(NOTA[[#This Row],[ID_H]],NOTA[ID_H],0)))</f>
        <v/>
      </c>
      <c r="AJ835" s="38" t="str">
        <f ca="1">IF(NOTA[[#This Row],[NAMA BARANG]]="","",INDEX(NOTA[SUPPLIER],MATCH(,INDIRECT(ADDRESS(ROW(NOTA[ID]),COLUMN(NOTA[ID]))&amp;":"&amp;ADDRESS(ROW(),COLUMN(NOTA[ID]))),-1)))</f>
        <v/>
      </c>
      <c r="AK835" s="38" t="str">
        <f ca="1">IF(NOTA[[#This Row],[ID_H]]="","",IF(NOTA[[#This Row],[FAKTUR]]="",INDIRECT(ADDRESS(ROW()-1,COLUMN())),NOTA[[#This Row],[FAKTUR]]))</f>
        <v/>
      </c>
      <c r="AL835" s="35" t="str">
        <f ca="1">IF(NOTA[[#This Row],[ID]]="","",COUNTIF(NOTA[ID_H],NOTA[[#This Row],[ID_H]]))</f>
        <v/>
      </c>
      <c r="AM835" s="35" t="str">
        <f ca="1">IF(NOTA[[#This Row],[TGL.NOTA]]="",IF(NOTA[[#This Row],[SUPPLIER_H]]="","",AM834),MONTH(NOTA[[#This Row],[TGL.NOTA]]))</f>
        <v/>
      </c>
      <c r="AN8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5" s="35" t="str">
        <f>IF(NOTA[[#This Row],[CONCAT1]]="","",MATCH(NOTA[[#This Row],[CONCAT1]],[3]!db[NB NOTA_C],0))</f>
        <v/>
      </c>
      <c r="AS835" s="35" t="str">
        <f>IF(NOTA[[#This Row],[Column5]]="","",TRUE)</f>
        <v/>
      </c>
      <c r="AT835" s="35" t="str">
        <f ca="1">IF(NOTA[[#This Row],[ID_H]]="","",IF(NOTA[[#This Row],[Column3]]=TRUE,NOTA[[#This Row],[Column5]],INDEX([3]!db[QTY/ CTN],NOTA[[#This Row],[//DB]])))</f>
        <v/>
      </c>
      <c r="AU8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5" s="35" t="str">
        <f ca="1">IF(NOTA[[#This Row],[ID_H]]="","",MATCH(NOTA[[#This Row],[NB NOTA_C_QTY]],[3]!db[NB NOTA_C_QTY+F],0))</f>
        <v/>
      </c>
      <c r="AW835" s="43" t="str">
        <f ca="1">IF(NOTA[[#This Row],[NB NOTA_C_QTY]]="","",ROW()-2)</f>
        <v/>
      </c>
    </row>
    <row r="836" spans="1:49" ht="20.100000000000001" customHeight="1">
      <c r="A8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5" t="str">
        <f ca="1">IF(NOTA[[#This Row],[NAMA BARANG]]="","",INDEX(NOTA[ID],MATCH(,INDIRECT(ADDRESS(ROW(NOTA[ID]),COLUMN(NOTA[ID]))&amp;":"&amp;ADDRESS(ROW(),COLUMN(NOTA[ID]))),-1)))</f>
        <v/>
      </c>
      <c r="C836" s="45"/>
      <c r="F836" s="46"/>
      <c r="G836" s="35"/>
      <c r="H836" s="36"/>
      <c r="I836" s="35"/>
      <c r="K836" s="37"/>
      <c r="L836" s="35"/>
      <c r="N836" s="38"/>
      <c r="O836" s="39"/>
      <c r="P836" s="47"/>
      <c r="Q836" s="48"/>
      <c r="R836" s="41"/>
      <c r="T836" s="42"/>
      <c r="U836" s="44"/>
      <c r="V836" s="42" t="str">
        <f>IF(NOTA[[#This Row],[HARGA/ CTN]]="",NOTA[[#This Row],[JUMLAH_H]],NOTA[[#This Row],[HARGA/ CTN]]*IF(NOTA[[#This Row],[C]]="",0,NOTA[[#This Row],[C]]))</f>
        <v/>
      </c>
      <c r="W836" s="42" t="str">
        <f>IF(NOTA[[#This Row],[JUMLAH]]="","",NOTA[[#This Row],[JUMLAH]]*NOTA[[#This Row],[Column6]])</f>
        <v/>
      </c>
      <c r="X836" s="42" t="str">
        <f>IF(NOTA[[#This Row],[JUMLAH]]="","",(NOTA[[#This Row],[JUMLAH]]-NOTA[[#This Row],[DISC 1-]])*NOTA[[#This Row],[Column7]])</f>
        <v/>
      </c>
      <c r="Y836" s="42" t="str">
        <f>IF(NOTA[[#This Row],[JUMLAH]]="","",(NOTA[[#This Row],[JUMLAH]]-NOTA[[#This Row],[DISC 1-]]-NOTA[[#This Row],[DISC 2-]])*NOTA[[#This Row],[Column8]])</f>
        <v/>
      </c>
      <c r="Z836" s="42" t="str">
        <f>IF(NOTA[[#This Row],[JUMLAH]]="","",NOTA[[#This Row],[DISC 1-]]+NOTA[[#This Row],[DISC 2-]]+NOTA[[#This Row],[DISC 3-]])</f>
        <v/>
      </c>
      <c r="AA836" s="42" t="str">
        <f>IF(NOTA[[#This Row],[JUMLAH]]="","",NOTA[[#This Row],[JUMLAH]]-NOTA[[#This Row],[DISC]])</f>
        <v/>
      </c>
      <c r="AB836" s="42"/>
      <c r="AC8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42" t="str">
        <f>IF(OR(NOTA[[#This Row],[QTY]]="",NOTA[[#This Row],[HARGA SATUAN]]="",),"",NOTA[[#This Row],[QTY]]*NOTA[[#This Row],[HARGA SATUAN]])</f>
        <v/>
      </c>
      <c r="AG836" s="36" t="str">
        <f ca="1">IF(NOTA[[#This Row],[ID_H]]="","",INDEX(NOTA[TANGGAL],MATCH(,INDIRECT(ADDRESS(ROW(NOTA[TANGGAL]),COLUMN(NOTA[TANGGAL]))&amp;":"&amp;ADDRESS(ROW(),COLUMN(NOTA[TANGGAL]))),-1)))</f>
        <v/>
      </c>
      <c r="AH836" s="36" t="str">
        <f ca="1">IF(NOTA[[#This Row],[ID_H]]="","",INDEX(NOTA[TGL.NOTA],MATCH(,INDIRECT(ADDRESS(ROW(NOTA[TGL.NOTA]),COLUMN(NOTA[TGL.NOTA]))&amp;":"&amp;ADDRESS(ROW(),COLUMN(NOTA[TGL.NOTA]))),-1)))</f>
        <v/>
      </c>
      <c r="AI836" s="36" t="str">
        <f ca="1">IF(NOTA[[#This Row],[ID_H]]="","",INDEX(NOTA[NO.NOTA],MATCH(NOTA[[#This Row],[ID_H]],NOTA[ID_H],0)))</f>
        <v/>
      </c>
      <c r="AJ836" s="38" t="str">
        <f ca="1">IF(NOTA[[#This Row],[NAMA BARANG]]="","",INDEX(NOTA[SUPPLIER],MATCH(,INDIRECT(ADDRESS(ROW(NOTA[ID]),COLUMN(NOTA[ID]))&amp;":"&amp;ADDRESS(ROW(),COLUMN(NOTA[ID]))),-1)))</f>
        <v/>
      </c>
      <c r="AK836" s="38" t="str">
        <f ca="1">IF(NOTA[[#This Row],[ID_H]]="","",IF(NOTA[[#This Row],[FAKTUR]]="",INDIRECT(ADDRESS(ROW()-1,COLUMN())),NOTA[[#This Row],[FAKTUR]]))</f>
        <v/>
      </c>
      <c r="AL836" s="35" t="str">
        <f ca="1">IF(NOTA[[#This Row],[ID]]="","",COUNTIF(NOTA[ID_H],NOTA[[#This Row],[ID_H]]))</f>
        <v/>
      </c>
      <c r="AM836" s="35" t="str">
        <f ca="1">IF(NOTA[[#This Row],[TGL.NOTA]]="",IF(NOTA[[#This Row],[SUPPLIER_H]]="","",AM835),MONTH(NOTA[[#This Row],[TGL.NOTA]]))</f>
        <v/>
      </c>
      <c r="AN8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6" s="35" t="str">
        <f>IF(NOTA[[#This Row],[CONCAT1]]="","",MATCH(NOTA[[#This Row],[CONCAT1]],[3]!db[NB NOTA_C],0))</f>
        <v/>
      </c>
      <c r="AS836" s="35" t="str">
        <f>IF(NOTA[[#This Row],[Column5]]="","",TRUE)</f>
        <v/>
      </c>
      <c r="AT836" s="35" t="str">
        <f ca="1">IF(NOTA[[#This Row],[ID_H]]="","",IF(NOTA[[#This Row],[Column3]]=TRUE,NOTA[[#This Row],[Column5]],INDEX([3]!db[QTY/ CTN],NOTA[[#This Row],[//DB]])))</f>
        <v/>
      </c>
      <c r="AU8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6" s="35" t="str">
        <f ca="1">IF(NOTA[[#This Row],[ID_H]]="","",MATCH(NOTA[[#This Row],[NB NOTA_C_QTY]],[3]!db[NB NOTA_C_QTY+F],0))</f>
        <v/>
      </c>
      <c r="AW836" s="43" t="str">
        <f ca="1">IF(NOTA[[#This Row],[NB NOTA_C_QTY]]="","",ROW()-2)</f>
        <v/>
      </c>
    </row>
    <row r="837" spans="1:49" ht="20.100000000000001" customHeight="1">
      <c r="A8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5" t="str">
        <f ca="1">IF(NOTA[[#This Row],[NAMA BARANG]]="","",INDEX(NOTA[ID],MATCH(,INDIRECT(ADDRESS(ROW(NOTA[ID]),COLUMN(NOTA[ID]))&amp;":"&amp;ADDRESS(ROW(),COLUMN(NOTA[ID]))),-1)))</f>
        <v/>
      </c>
      <c r="C837" s="45"/>
      <c r="F837" s="46"/>
      <c r="G837" s="35"/>
      <c r="H837" s="36"/>
      <c r="I837" s="35"/>
      <c r="K837" s="37"/>
      <c r="L837" s="35"/>
      <c r="N837" s="38"/>
      <c r="O837" s="39"/>
      <c r="P837" s="47"/>
      <c r="Q837" s="48"/>
      <c r="R837" s="41"/>
      <c r="T837" s="42"/>
      <c r="U837" s="44"/>
      <c r="V837" s="42" t="str">
        <f>IF(NOTA[[#This Row],[HARGA/ CTN]]="",NOTA[[#This Row],[JUMLAH_H]],NOTA[[#This Row],[HARGA/ CTN]]*IF(NOTA[[#This Row],[C]]="",0,NOTA[[#This Row],[C]]))</f>
        <v/>
      </c>
      <c r="W837" s="42" t="str">
        <f>IF(NOTA[[#This Row],[JUMLAH]]="","",NOTA[[#This Row],[JUMLAH]]*NOTA[[#This Row],[Column6]])</f>
        <v/>
      </c>
      <c r="X837" s="42" t="str">
        <f>IF(NOTA[[#This Row],[JUMLAH]]="","",(NOTA[[#This Row],[JUMLAH]]-NOTA[[#This Row],[DISC 1-]])*NOTA[[#This Row],[Column7]])</f>
        <v/>
      </c>
      <c r="Y837" s="42" t="str">
        <f>IF(NOTA[[#This Row],[JUMLAH]]="","",(NOTA[[#This Row],[JUMLAH]]-NOTA[[#This Row],[DISC 1-]]-NOTA[[#This Row],[DISC 2-]])*NOTA[[#This Row],[Column8]])</f>
        <v/>
      </c>
      <c r="Z837" s="42" t="str">
        <f>IF(NOTA[[#This Row],[JUMLAH]]="","",NOTA[[#This Row],[DISC 1-]]+NOTA[[#This Row],[DISC 2-]]+NOTA[[#This Row],[DISC 3-]])</f>
        <v/>
      </c>
      <c r="AA837" s="42" t="str">
        <f>IF(NOTA[[#This Row],[JUMLAH]]="","",NOTA[[#This Row],[JUMLAH]]-NOTA[[#This Row],[DISC]])</f>
        <v/>
      </c>
      <c r="AB837" s="42"/>
      <c r="AC8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42" t="str">
        <f>IF(OR(NOTA[[#This Row],[QTY]]="",NOTA[[#This Row],[HARGA SATUAN]]="",),"",NOTA[[#This Row],[QTY]]*NOTA[[#This Row],[HARGA SATUAN]])</f>
        <v/>
      </c>
      <c r="AG837" s="36" t="str">
        <f ca="1">IF(NOTA[[#This Row],[ID_H]]="","",INDEX(NOTA[TANGGAL],MATCH(,INDIRECT(ADDRESS(ROW(NOTA[TANGGAL]),COLUMN(NOTA[TANGGAL]))&amp;":"&amp;ADDRESS(ROW(),COLUMN(NOTA[TANGGAL]))),-1)))</f>
        <v/>
      </c>
      <c r="AH837" s="36" t="str">
        <f ca="1">IF(NOTA[[#This Row],[ID_H]]="","",INDEX(NOTA[TGL.NOTA],MATCH(,INDIRECT(ADDRESS(ROW(NOTA[TGL.NOTA]),COLUMN(NOTA[TGL.NOTA]))&amp;":"&amp;ADDRESS(ROW(),COLUMN(NOTA[TGL.NOTA]))),-1)))</f>
        <v/>
      </c>
      <c r="AI837" s="36" t="str">
        <f ca="1">IF(NOTA[[#This Row],[ID_H]]="","",INDEX(NOTA[NO.NOTA],MATCH(NOTA[[#This Row],[ID_H]],NOTA[ID_H],0)))</f>
        <v/>
      </c>
      <c r="AJ837" s="38" t="str">
        <f ca="1">IF(NOTA[[#This Row],[NAMA BARANG]]="","",INDEX(NOTA[SUPPLIER],MATCH(,INDIRECT(ADDRESS(ROW(NOTA[ID]),COLUMN(NOTA[ID]))&amp;":"&amp;ADDRESS(ROW(),COLUMN(NOTA[ID]))),-1)))</f>
        <v/>
      </c>
      <c r="AK837" s="38" t="str">
        <f ca="1">IF(NOTA[[#This Row],[ID_H]]="","",IF(NOTA[[#This Row],[FAKTUR]]="",INDIRECT(ADDRESS(ROW()-1,COLUMN())),NOTA[[#This Row],[FAKTUR]]))</f>
        <v/>
      </c>
      <c r="AL837" s="35" t="str">
        <f ca="1">IF(NOTA[[#This Row],[ID]]="","",COUNTIF(NOTA[ID_H],NOTA[[#This Row],[ID_H]]))</f>
        <v/>
      </c>
      <c r="AM837" s="35" t="str">
        <f ca="1">IF(NOTA[[#This Row],[TGL.NOTA]]="",IF(NOTA[[#This Row],[SUPPLIER_H]]="","",AM836),MONTH(NOTA[[#This Row],[TGL.NOTA]]))</f>
        <v/>
      </c>
      <c r="AN8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7" s="35" t="str">
        <f>IF(NOTA[[#This Row],[CONCAT1]]="","",MATCH(NOTA[[#This Row],[CONCAT1]],[3]!db[NB NOTA_C],0))</f>
        <v/>
      </c>
      <c r="AS837" s="35" t="str">
        <f>IF(NOTA[[#This Row],[Column5]]="","",TRUE)</f>
        <v/>
      </c>
      <c r="AT837" s="35" t="str">
        <f ca="1">IF(NOTA[[#This Row],[ID_H]]="","",IF(NOTA[[#This Row],[Column3]]=TRUE,NOTA[[#This Row],[Column5]],INDEX([3]!db[QTY/ CTN],NOTA[[#This Row],[//DB]])))</f>
        <v/>
      </c>
      <c r="AU8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7" s="35" t="str">
        <f ca="1">IF(NOTA[[#This Row],[ID_H]]="","",MATCH(NOTA[[#This Row],[NB NOTA_C_QTY]],[3]!db[NB NOTA_C_QTY+F],0))</f>
        <v/>
      </c>
      <c r="AW837" s="43" t="str">
        <f ca="1">IF(NOTA[[#This Row],[NB NOTA_C_QTY]]="","",ROW()-2)</f>
        <v/>
      </c>
    </row>
    <row r="838" spans="1:49" ht="20.100000000000001" customHeight="1">
      <c r="A8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5" t="str">
        <f ca="1">IF(NOTA[[#This Row],[NAMA BARANG]]="","",INDEX(NOTA[ID],MATCH(,INDIRECT(ADDRESS(ROW(NOTA[ID]),COLUMN(NOTA[ID]))&amp;":"&amp;ADDRESS(ROW(),COLUMN(NOTA[ID]))),-1)))</f>
        <v/>
      </c>
      <c r="C838" s="45"/>
      <c r="F838" s="46"/>
      <c r="G838" s="35"/>
      <c r="H838" s="36"/>
      <c r="I838" s="35"/>
      <c r="K838" s="37"/>
      <c r="L838" s="35"/>
      <c r="N838" s="38"/>
      <c r="O838" s="39"/>
      <c r="P838" s="47"/>
      <c r="Q838" s="48"/>
      <c r="R838" s="41"/>
      <c r="T838" s="42"/>
      <c r="U838" s="44"/>
      <c r="V838" s="42" t="str">
        <f>IF(NOTA[[#This Row],[HARGA/ CTN]]="",NOTA[[#This Row],[JUMLAH_H]],NOTA[[#This Row],[HARGA/ CTN]]*IF(NOTA[[#This Row],[C]]="",0,NOTA[[#This Row],[C]]))</f>
        <v/>
      </c>
      <c r="W838" s="42" t="str">
        <f>IF(NOTA[[#This Row],[JUMLAH]]="","",NOTA[[#This Row],[JUMLAH]]*NOTA[[#This Row],[Column6]])</f>
        <v/>
      </c>
      <c r="X838" s="42" t="str">
        <f>IF(NOTA[[#This Row],[JUMLAH]]="","",(NOTA[[#This Row],[JUMLAH]]-NOTA[[#This Row],[DISC 1-]])*NOTA[[#This Row],[Column7]])</f>
        <v/>
      </c>
      <c r="Y838" s="42" t="str">
        <f>IF(NOTA[[#This Row],[JUMLAH]]="","",(NOTA[[#This Row],[JUMLAH]]-NOTA[[#This Row],[DISC 1-]]-NOTA[[#This Row],[DISC 2-]])*NOTA[[#This Row],[Column8]])</f>
        <v/>
      </c>
      <c r="Z838" s="42" t="str">
        <f>IF(NOTA[[#This Row],[JUMLAH]]="","",NOTA[[#This Row],[DISC 1-]]+NOTA[[#This Row],[DISC 2-]]+NOTA[[#This Row],[DISC 3-]])</f>
        <v/>
      </c>
      <c r="AA838" s="42" t="str">
        <f>IF(NOTA[[#This Row],[JUMLAH]]="","",NOTA[[#This Row],[JUMLAH]]-NOTA[[#This Row],[DISC]])</f>
        <v/>
      </c>
      <c r="AB838" s="42"/>
      <c r="AC8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42" t="str">
        <f>IF(OR(NOTA[[#This Row],[QTY]]="",NOTA[[#This Row],[HARGA SATUAN]]="",),"",NOTA[[#This Row],[QTY]]*NOTA[[#This Row],[HARGA SATUAN]])</f>
        <v/>
      </c>
      <c r="AG838" s="36" t="str">
        <f ca="1">IF(NOTA[[#This Row],[ID_H]]="","",INDEX(NOTA[TANGGAL],MATCH(,INDIRECT(ADDRESS(ROW(NOTA[TANGGAL]),COLUMN(NOTA[TANGGAL]))&amp;":"&amp;ADDRESS(ROW(),COLUMN(NOTA[TANGGAL]))),-1)))</f>
        <v/>
      </c>
      <c r="AH838" s="36" t="str">
        <f ca="1">IF(NOTA[[#This Row],[ID_H]]="","",INDEX(NOTA[TGL.NOTA],MATCH(,INDIRECT(ADDRESS(ROW(NOTA[TGL.NOTA]),COLUMN(NOTA[TGL.NOTA]))&amp;":"&amp;ADDRESS(ROW(),COLUMN(NOTA[TGL.NOTA]))),-1)))</f>
        <v/>
      </c>
      <c r="AI838" s="36" t="str">
        <f ca="1">IF(NOTA[[#This Row],[ID_H]]="","",INDEX(NOTA[NO.NOTA],MATCH(NOTA[[#This Row],[ID_H]],NOTA[ID_H],0)))</f>
        <v/>
      </c>
      <c r="AJ838" s="38" t="str">
        <f ca="1">IF(NOTA[[#This Row],[NAMA BARANG]]="","",INDEX(NOTA[SUPPLIER],MATCH(,INDIRECT(ADDRESS(ROW(NOTA[ID]),COLUMN(NOTA[ID]))&amp;":"&amp;ADDRESS(ROW(),COLUMN(NOTA[ID]))),-1)))</f>
        <v/>
      </c>
      <c r="AK838" s="38" t="str">
        <f ca="1">IF(NOTA[[#This Row],[ID_H]]="","",IF(NOTA[[#This Row],[FAKTUR]]="",INDIRECT(ADDRESS(ROW()-1,COLUMN())),NOTA[[#This Row],[FAKTUR]]))</f>
        <v/>
      </c>
      <c r="AL838" s="35" t="str">
        <f ca="1">IF(NOTA[[#This Row],[ID]]="","",COUNTIF(NOTA[ID_H],NOTA[[#This Row],[ID_H]]))</f>
        <v/>
      </c>
      <c r="AM838" s="35" t="str">
        <f ca="1">IF(NOTA[[#This Row],[TGL.NOTA]]="",IF(NOTA[[#This Row],[SUPPLIER_H]]="","",AM837),MONTH(NOTA[[#This Row],[TGL.NOTA]]))</f>
        <v/>
      </c>
      <c r="AN8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8" s="35" t="str">
        <f>IF(NOTA[[#This Row],[CONCAT1]]="","",MATCH(NOTA[[#This Row],[CONCAT1]],[3]!db[NB NOTA_C],0))</f>
        <v/>
      </c>
      <c r="AS838" s="35" t="str">
        <f>IF(NOTA[[#This Row],[Column5]]="","",TRUE)</f>
        <v/>
      </c>
      <c r="AT838" s="35" t="str">
        <f ca="1">IF(NOTA[[#This Row],[ID_H]]="","",IF(NOTA[[#This Row],[Column3]]=TRUE,NOTA[[#This Row],[Column5]],INDEX([3]!db[QTY/ CTN],NOTA[[#This Row],[//DB]])))</f>
        <v/>
      </c>
      <c r="AU8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8" s="35" t="str">
        <f ca="1">IF(NOTA[[#This Row],[ID_H]]="","",MATCH(NOTA[[#This Row],[NB NOTA_C_QTY]],[3]!db[NB NOTA_C_QTY+F],0))</f>
        <v/>
      </c>
      <c r="AW838" s="43" t="str">
        <f ca="1">IF(NOTA[[#This Row],[NB NOTA_C_QTY]]="","",ROW()-2)</f>
        <v/>
      </c>
    </row>
    <row r="839" spans="1:49" ht="20.100000000000001" customHeight="1">
      <c r="A8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5" t="str">
        <f ca="1">IF(NOTA[[#This Row],[NAMA BARANG]]="","",INDEX(NOTA[ID],MATCH(,INDIRECT(ADDRESS(ROW(NOTA[ID]),COLUMN(NOTA[ID]))&amp;":"&amp;ADDRESS(ROW(),COLUMN(NOTA[ID]))),-1)))</f>
        <v/>
      </c>
      <c r="C839" s="45"/>
      <c r="F839" s="46"/>
      <c r="G839" s="35"/>
      <c r="H839" s="36"/>
      <c r="I839" s="35"/>
      <c r="K839" s="37"/>
      <c r="L839" s="35"/>
      <c r="N839" s="38"/>
      <c r="O839" s="39"/>
      <c r="P839" s="47"/>
      <c r="Q839" s="48"/>
      <c r="R839" s="41"/>
      <c r="T839" s="42"/>
      <c r="U839" s="44"/>
      <c r="V839" s="42" t="str">
        <f>IF(NOTA[[#This Row],[HARGA/ CTN]]="",NOTA[[#This Row],[JUMLAH_H]],NOTA[[#This Row],[HARGA/ CTN]]*IF(NOTA[[#This Row],[C]]="",0,NOTA[[#This Row],[C]]))</f>
        <v/>
      </c>
      <c r="W839" s="42" t="str">
        <f>IF(NOTA[[#This Row],[JUMLAH]]="","",NOTA[[#This Row],[JUMLAH]]*NOTA[[#This Row],[Column6]])</f>
        <v/>
      </c>
      <c r="X839" s="42" t="str">
        <f>IF(NOTA[[#This Row],[JUMLAH]]="","",(NOTA[[#This Row],[JUMLAH]]-NOTA[[#This Row],[DISC 1-]])*NOTA[[#This Row],[Column7]])</f>
        <v/>
      </c>
      <c r="Y839" s="42" t="str">
        <f>IF(NOTA[[#This Row],[JUMLAH]]="","",(NOTA[[#This Row],[JUMLAH]]-NOTA[[#This Row],[DISC 1-]]-NOTA[[#This Row],[DISC 2-]])*NOTA[[#This Row],[Column8]])</f>
        <v/>
      </c>
      <c r="Z839" s="42" t="str">
        <f>IF(NOTA[[#This Row],[JUMLAH]]="","",NOTA[[#This Row],[DISC 1-]]+NOTA[[#This Row],[DISC 2-]]+NOTA[[#This Row],[DISC 3-]])</f>
        <v/>
      </c>
      <c r="AA839" s="42" t="str">
        <f>IF(NOTA[[#This Row],[JUMLAH]]="","",NOTA[[#This Row],[JUMLAH]]-NOTA[[#This Row],[DISC]])</f>
        <v/>
      </c>
      <c r="AB839" s="42"/>
      <c r="AC8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42" t="str">
        <f>IF(OR(NOTA[[#This Row],[QTY]]="",NOTA[[#This Row],[HARGA SATUAN]]="",),"",NOTA[[#This Row],[QTY]]*NOTA[[#This Row],[HARGA SATUAN]])</f>
        <v/>
      </c>
      <c r="AG839" s="36" t="str">
        <f ca="1">IF(NOTA[[#This Row],[ID_H]]="","",INDEX(NOTA[TANGGAL],MATCH(,INDIRECT(ADDRESS(ROW(NOTA[TANGGAL]),COLUMN(NOTA[TANGGAL]))&amp;":"&amp;ADDRESS(ROW(),COLUMN(NOTA[TANGGAL]))),-1)))</f>
        <v/>
      </c>
      <c r="AH839" s="36" t="str">
        <f ca="1">IF(NOTA[[#This Row],[ID_H]]="","",INDEX(NOTA[TGL.NOTA],MATCH(,INDIRECT(ADDRESS(ROW(NOTA[TGL.NOTA]),COLUMN(NOTA[TGL.NOTA]))&amp;":"&amp;ADDRESS(ROW(),COLUMN(NOTA[TGL.NOTA]))),-1)))</f>
        <v/>
      </c>
      <c r="AI839" s="36" t="str">
        <f ca="1">IF(NOTA[[#This Row],[ID_H]]="","",INDEX(NOTA[NO.NOTA],MATCH(NOTA[[#This Row],[ID_H]],NOTA[ID_H],0)))</f>
        <v/>
      </c>
      <c r="AJ839" s="38" t="str">
        <f ca="1">IF(NOTA[[#This Row],[NAMA BARANG]]="","",INDEX(NOTA[SUPPLIER],MATCH(,INDIRECT(ADDRESS(ROW(NOTA[ID]),COLUMN(NOTA[ID]))&amp;":"&amp;ADDRESS(ROW(),COLUMN(NOTA[ID]))),-1)))</f>
        <v/>
      </c>
      <c r="AK839" s="38" t="str">
        <f ca="1">IF(NOTA[[#This Row],[ID_H]]="","",IF(NOTA[[#This Row],[FAKTUR]]="",INDIRECT(ADDRESS(ROW()-1,COLUMN())),NOTA[[#This Row],[FAKTUR]]))</f>
        <v/>
      </c>
      <c r="AL839" s="35" t="str">
        <f ca="1">IF(NOTA[[#This Row],[ID]]="","",COUNTIF(NOTA[ID_H],NOTA[[#This Row],[ID_H]]))</f>
        <v/>
      </c>
      <c r="AM839" s="35" t="str">
        <f ca="1">IF(NOTA[[#This Row],[TGL.NOTA]]="",IF(NOTA[[#This Row],[SUPPLIER_H]]="","",AM838),MONTH(NOTA[[#This Row],[TGL.NOTA]]))</f>
        <v/>
      </c>
      <c r="AN8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9" s="35" t="str">
        <f>IF(NOTA[[#This Row],[CONCAT1]]="","",MATCH(NOTA[[#This Row],[CONCAT1]],[3]!db[NB NOTA_C],0))</f>
        <v/>
      </c>
      <c r="AS839" s="35" t="str">
        <f>IF(NOTA[[#This Row],[Column5]]="","",TRUE)</f>
        <v/>
      </c>
      <c r="AT839" s="35" t="str">
        <f ca="1">IF(NOTA[[#This Row],[ID_H]]="","",IF(NOTA[[#This Row],[Column3]]=TRUE,NOTA[[#This Row],[Column5]],INDEX([3]!db[QTY/ CTN],NOTA[[#This Row],[//DB]])))</f>
        <v/>
      </c>
      <c r="AU8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39" s="35" t="str">
        <f ca="1">IF(NOTA[[#This Row],[ID_H]]="","",MATCH(NOTA[[#This Row],[NB NOTA_C_QTY]],[3]!db[NB NOTA_C_QTY+F],0))</f>
        <v/>
      </c>
      <c r="AW839" s="43" t="str">
        <f ca="1">IF(NOTA[[#This Row],[NB NOTA_C_QTY]]="","",ROW()-2)</f>
        <v/>
      </c>
    </row>
    <row r="840" spans="1:49" ht="20.100000000000001" customHeight="1">
      <c r="A8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5" t="str">
        <f ca="1">IF(NOTA[[#This Row],[NAMA BARANG]]="","",INDEX(NOTA[ID],MATCH(,INDIRECT(ADDRESS(ROW(NOTA[ID]),COLUMN(NOTA[ID]))&amp;":"&amp;ADDRESS(ROW(),COLUMN(NOTA[ID]))),-1)))</f>
        <v/>
      </c>
      <c r="C840" s="45"/>
      <c r="F840" s="46"/>
      <c r="G840" s="35"/>
      <c r="H840" s="36"/>
      <c r="I840" s="35"/>
      <c r="K840" s="37"/>
      <c r="L840" s="35"/>
      <c r="N840" s="38"/>
      <c r="O840" s="39"/>
      <c r="P840" s="47"/>
      <c r="Q840" s="48"/>
      <c r="R840" s="41"/>
      <c r="T840" s="42"/>
      <c r="U840" s="44"/>
      <c r="V840" s="42" t="str">
        <f>IF(NOTA[[#This Row],[HARGA/ CTN]]="",NOTA[[#This Row],[JUMLAH_H]],NOTA[[#This Row],[HARGA/ CTN]]*IF(NOTA[[#This Row],[C]]="",0,NOTA[[#This Row],[C]]))</f>
        <v/>
      </c>
      <c r="W840" s="42" t="str">
        <f>IF(NOTA[[#This Row],[JUMLAH]]="","",NOTA[[#This Row],[JUMLAH]]*NOTA[[#This Row],[Column6]])</f>
        <v/>
      </c>
      <c r="X840" s="42" t="str">
        <f>IF(NOTA[[#This Row],[JUMLAH]]="","",(NOTA[[#This Row],[JUMLAH]]-NOTA[[#This Row],[DISC 1-]])*NOTA[[#This Row],[Column7]])</f>
        <v/>
      </c>
      <c r="Y840" s="42" t="str">
        <f>IF(NOTA[[#This Row],[JUMLAH]]="","",(NOTA[[#This Row],[JUMLAH]]-NOTA[[#This Row],[DISC 1-]]-NOTA[[#This Row],[DISC 2-]])*NOTA[[#This Row],[Column8]])</f>
        <v/>
      </c>
      <c r="Z840" s="42" t="str">
        <f>IF(NOTA[[#This Row],[JUMLAH]]="","",NOTA[[#This Row],[DISC 1-]]+NOTA[[#This Row],[DISC 2-]]+NOTA[[#This Row],[DISC 3-]])</f>
        <v/>
      </c>
      <c r="AA840" s="42" t="str">
        <f>IF(NOTA[[#This Row],[JUMLAH]]="","",NOTA[[#This Row],[JUMLAH]]-NOTA[[#This Row],[DISC]])</f>
        <v/>
      </c>
      <c r="AB840" s="42"/>
      <c r="AC8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42" t="str">
        <f>IF(OR(NOTA[[#This Row],[QTY]]="",NOTA[[#This Row],[HARGA SATUAN]]="",),"",NOTA[[#This Row],[QTY]]*NOTA[[#This Row],[HARGA SATUAN]])</f>
        <v/>
      </c>
      <c r="AG840" s="36" t="str">
        <f ca="1">IF(NOTA[[#This Row],[ID_H]]="","",INDEX(NOTA[TANGGAL],MATCH(,INDIRECT(ADDRESS(ROW(NOTA[TANGGAL]),COLUMN(NOTA[TANGGAL]))&amp;":"&amp;ADDRESS(ROW(),COLUMN(NOTA[TANGGAL]))),-1)))</f>
        <v/>
      </c>
      <c r="AH840" s="36" t="str">
        <f ca="1">IF(NOTA[[#This Row],[ID_H]]="","",INDEX(NOTA[TGL.NOTA],MATCH(,INDIRECT(ADDRESS(ROW(NOTA[TGL.NOTA]),COLUMN(NOTA[TGL.NOTA]))&amp;":"&amp;ADDRESS(ROW(),COLUMN(NOTA[TGL.NOTA]))),-1)))</f>
        <v/>
      </c>
      <c r="AI840" s="36" t="str">
        <f ca="1">IF(NOTA[[#This Row],[ID_H]]="","",INDEX(NOTA[NO.NOTA],MATCH(NOTA[[#This Row],[ID_H]],NOTA[ID_H],0)))</f>
        <v/>
      </c>
      <c r="AJ840" s="38" t="str">
        <f ca="1">IF(NOTA[[#This Row],[NAMA BARANG]]="","",INDEX(NOTA[SUPPLIER],MATCH(,INDIRECT(ADDRESS(ROW(NOTA[ID]),COLUMN(NOTA[ID]))&amp;":"&amp;ADDRESS(ROW(),COLUMN(NOTA[ID]))),-1)))</f>
        <v/>
      </c>
      <c r="AK840" s="38" t="str">
        <f ca="1">IF(NOTA[[#This Row],[ID_H]]="","",IF(NOTA[[#This Row],[FAKTUR]]="",INDIRECT(ADDRESS(ROW()-1,COLUMN())),NOTA[[#This Row],[FAKTUR]]))</f>
        <v/>
      </c>
      <c r="AL840" s="35" t="str">
        <f ca="1">IF(NOTA[[#This Row],[ID]]="","",COUNTIF(NOTA[ID_H],NOTA[[#This Row],[ID_H]]))</f>
        <v/>
      </c>
      <c r="AM840" s="35" t="str">
        <f ca="1">IF(NOTA[[#This Row],[TGL.NOTA]]="",IF(NOTA[[#This Row],[SUPPLIER_H]]="","",AM839),MONTH(NOTA[[#This Row],[TGL.NOTA]]))</f>
        <v/>
      </c>
      <c r="AN8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0" s="35" t="str">
        <f>IF(NOTA[[#This Row],[CONCAT1]]="","",MATCH(NOTA[[#This Row],[CONCAT1]],[3]!db[NB NOTA_C],0))</f>
        <v/>
      </c>
      <c r="AS840" s="35" t="str">
        <f>IF(NOTA[[#This Row],[Column5]]="","",TRUE)</f>
        <v/>
      </c>
      <c r="AT840" s="35" t="str">
        <f ca="1">IF(NOTA[[#This Row],[ID_H]]="","",IF(NOTA[[#This Row],[Column3]]=TRUE,NOTA[[#This Row],[Column5]],INDEX([3]!db[QTY/ CTN],NOTA[[#This Row],[//DB]])))</f>
        <v/>
      </c>
      <c r="AU8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0" s="35" t="str">
        <f ca="1">IF(NOTA[[#This Row],[ID_H]]="","",MATCH(NOTA[[#This Row],[NB NOTA_C_QTY]],[3]!db[NB NOTA_C_QTY+F],0))</f>
        <v/>
      </c>
      <c r="AW840" s="43" t="str">
        <f ca="1">IF(NOTA[[#This Row],[NB NOTA_C_QTY]]="","",ROW()-2)</f>
        <v/>
      </c>
    </row>
    <row r="841" spans="1:49" ht="20.100000000000001" customHeight="1">
      <c r="A8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5" t="str">
        <f ca="1">IF(NOTA[[#This Row],[NAMA BARANG]]="","",INDEX(NOTA[ID],MATCH(,INDIRECT(ADDRESS(ROW(NOTA[ID]),COLUMN(NOTA[ID]))&amp;":"&amp;ADDRESS(ROW(),COLUMN(NOTA[ID]))),-1)))</f>
        <v/>
      </c>
      <c r="C841" s="45"/>
      <c r="F841" s="46"/>
      <c r="G841" s="35"/>
      <c r="H841" s="36"/>
      <c r="I841" s="35"/>
      <c r="K841" s="37"/>
      <c r="L841" s="35"/>
      <c r="N841" s="38"/>
      <c r="O841" s="39"/>
      <c r="P841" s="47"/>
      <c r="Q841" s="48"/>
      <c r="R841" s="41"/>
      <c r="T841" s="42"/>
      <c r="U841" s="44"/>
      <c r="V841" s="42" t="str">
        <f>IF(NOTA[[#This Row],[HARGA/ CTN]]="",NOTA[[#This Row],[JUMLAH_H]],NOTA[[#This Row],[HARGA/ CTN]]*IF(NOTA[[#This Row],[C]]="",0,NOTA[[#This Row],[C]]))</f>
        <v/>
      </c>
      <c r="W841" s="42" t="str">
        <f>IF(NOTA[[#This Row],[JUMLAH]]="","",NOTA[[#This Row],[JUMLAH]]*NOTA[[#This Row],[Column6]])</f>
        <v/>
      </c>
      <c r="X841" s="42" t="str">
        <f>IF(NOTA[[#This Row],[JUMLAH]]="","",(NOTA[[#This Row],[JUMLAH]]-NOTA[[#This Row],[DISC 1-]])*NOTA[[#This Row],[Column7]])</f>
        <v/>
      </c>
      <c r="Y841" s="42" t="str">
        <f>IF(NOTA[[#This Row],[JUMLAH]]="","",(NOTA[[#This Row],[JUMLAH]]-NOTA[[#This Row],[DISC 1-]]-NOTA[[#This Row],[DISC 2-]])*NOTA[[#This Row],[Column8]])</f>
        <v/>
      </c>
      <c r="Z841" s="42" t="str">
        <f>IF(NOTA[[#This Row],[JUMLAH]]="","",NOTA[[#This Row],[DISC 1-]]+NOTA[[#This Row],[DISC 2-]]+NOTA[[#This Row],[DISC 3-]])</f>
        <v/>
      </c>
      <c r="AA841" s="42" t="str">
        <f>IF(NOTA[[#This Row],[JUMLAH]]="","",NOTA[[#This Row],[JUMLAH]]-NOTA[[#This Row],[DISC]])</f>
        <v/>
      </c>
      <c r="AB841" s="42"/>
      <c r="AC8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42" t="str">
        <f>IF(OR(NOTA[[#This Row],[QTY]]="",NOTA[[#This Row],[HARGA SATUAN]]="",),"",NOTA[[#This Row],[QTY]]*NOTA[[#This Row],[HARGA SATUAN]])</f>
        <v/>
      </c>
      <c r="AG841" s="36" t="str">
        <f ca="1">IF(NOTA[[#This Row],[ID_H]]="","",INDEX(NOTA[TANGGAL],MATCH(,INDIRECT(ADDRESS(ROW(NOTA[TANGGAL]),COLUMN(NOTA[TANGGAL]))&amp;":"&amp;ADDRESS(ROW(),COLUMN(NOTA[TANGGAL]))),-1)))</f>
        <v/>
      </c>
      <c r="AH841" s="36" t="str">
        <f ca="1">IF(NOTA[[#This Row],[ID_H]]="","",INDEX(NOTA[TGL.NOTA],MATCH(,INDIRECT(ADDRESS(ROW(NOTA[TGL.NOTA]),COLUMN(NOTA[TGL.NOTA]))&amp;":"&amp;ADDRESS(ROW(),COLUMN(NOTA[TGL.NOTA]))),-1)))</f>
        <v/>
      </c>
      <c r="AI841" s="36" t="str">
        <f ca="1">IF(NOTA[[#This Row],[ID_H]]="","",INDEX(NOTA[NO.NOTA],MATCH(NOTA[[#This Row],[ID_H]],NOTA[ID_H],0)))</f>
        <v/>
      </c>
      <c r="AJ841" s="38" t="str">
        <f ca="1">IF(NOTA[[#This Row],[NAMA BARANG]]="","",INDEX(NOTA[SUPPLIER],MATCH(,INDIRECT(ADDRESS(ROW(NOTA[ID]),COLUMN(NOTA[ID]))&amp;":"&amp;ADDRESS(ROW(),COLUMN(NOTA[ID]))),-1)))</f>
        <v/>
      </c>
      <c r="AK841" s="38" t="str">
        <f ca="1">IF(NOTA[[#This Row],[ID_H]]="","",IF(NOTA[[#This Row],[FAKTUR]]="",INDIRECT(ADDRESS(ROW()-1,COLUMN())),NOTA[[#This Row],[FAKTUR]]))</f>
        <v/>
      </c>
      <c r="AL841" s="35" t="str">
        <f ca="1">IF(NOTA[[#This Row],[ID]]="","",COUNTIF(NOTA[ID_H],NOTA[[#This Row],[ID_H]]))</f>
        <v/>
      </c>
      <c r="AM841" s="35" t="str">
        <f ca="1">IF(NOTA[[#This Row],[TGL.NOTA]]="",IF(NOTA[[#This Row],[SUPPLIER_H]]="","",AM840),MONTH(NOTA[[#This Row],[TGL.NOTA]]))</f>
        <v/>
      </c>
      <c r="AN8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1" s="35" t="str">
        <f>IF(NOTA[[#This Row],[CONCAT1]]="","",MATCH(NOTA[[#This Row],[CONCAT1]],[3]!db[NB NOTA_C],0))</f>
        <v/>
      </c>
      <c r="AS841" s="35" t="str">
        <f>IF(NOTA[[#This Row],[Column5]]="","",TRUE)</f>
        <v/>
      </c>
      <c r="AT841" s="35" t="str">
        <f ca="1">IF(NOTA[[#This Row],[ID_H]]="","",IF(NOTA[[#This Row],[Column3]]=TRUE,NOTA[[#This Row],[Column5]],INDEX([3]!db[QTY/ CTN],NOTA[[#This Row],[//DB]])))</f>
        <v/>
      </c>
      <c r="AU8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1" s="35" t="str">
        <f ca="1">IF(NOTA[[#This Row],[ID_H]]="","",MATCH(NOTA[[#This Row],[NB NOTA_C_QTY]],[3]!db[NB NOTA_C_QTY+F],0))</f>
        <v/>
      </c>
      <c r="AW841" s="43" t="str">
        <f ca="1">IF(NOTA[[#This Row],[NB NOTA_C_QTY]]="","",ROW()-2)</f>
        <v/>
      </c>
    </row>
    <row r="842" spans="1:49" ht="20.100000000000001" customHeight="1">
      <c r="A8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5" t="str">
        <f ca="1">IF(NOTA[[#This Row],[NAMA BARANG]]="","",INDEX(NOTA[ID],MATCH(,INDIRECT(ADDRESS(ROW(NOTA[ID]),COLUMN(NOTA[ID]))&amp;":"&amp;ADDRESS(ROW(),COLUMN(NOTA[ID]))),-1)))</f>
        <v/>
      </c>
      <c r="C842" s="45"/>
      <c r="F842" s="46"/>
      <c r="G842" s="35"/>
      <c r="H842" s="36"/>
      <c r="I842" s="35"/>
      <c r="K842" s="37"/>
      <c r="L842" s="35"/>
      <c r="N842" s="38"/>
      <c r="O842" s="39"/>
      <c r="P842" s="47"/>
      <c r="Q842" s="48"/>
      <c r="R842" s="41"/>
      <c r="T842" s="42"/>
      <c r="U842" s="44"/>
      <c r="V842" s="42" t="str">
        <f>IF(NOTA[[#This Row],[HARGA/ CTN]]="",NOTA[[#This Row],[JUMLAH_H]],NOTA[[#This Row],[HARGA/ CTN]]*IF(NOTA[[#This Row],[C]]="",0,NOTA[[#This Row],[C]]))</f>
        <v/>
      </c>
      <c r="W842" s="42" t="str">
        <f>IF(NOTA[[#This Row],[JUMLAH]]="","",NOTA[[#This Row],[JUMLAH]]*NOTA[[#This Row],[Column6]])</f>
        <v/>
      </c>
      <c r="X842" s="42" t="str">
        <f>IF(NOTA[[#This Row],[JUMLAH]]="","",(NOTA[[#This Row],[JUMLAH]]-NOTA[[#This Row],[DISC 1-]])*NOTA[[#This Row],[Column7]])</f>
        <v/>
      </c>
      <c r="Y842" s="42" t="str">
        <f>IF(NOTA[[#This Row],[JUMLAH]]="","",(NOTA[[#This Row],[JUMLAH]]-NOTA[[#This Row],[DISC 1-]]-NOTA[[#This Row],[DISC 2-]])*NOTA[[#This Row],[Column8]])</f>
        <v/>
      </c>
      <c r="Z842" s="42" t="str">
        <f>IF(NOTA[[#This Row],[JUMLAH]]="","",NOTA[[#This Row],[DISC 1-]]+NOTA[[#This Row],[DISC 2-]]+NOTA[[#This Row],[DISC 3-]])</f>
        <v/>
      </c>
      <c r="AA842" s="42" t="str">
        <f>IF(NOTA[[#This Row],[JUMLAH]]="","",NOTA[[#This Row],[JUMLAH]]-NOTA[[#This Row],[DISC]])</f>
        <v/>
      </c>
      <c r="AB842" s="42"/>
      <c r="AC8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42" t="str">
        <f>IF(OR(NOTA[[#This Row],[QTY]]="",NOTA[[#This Row],[HARGA SATUAN]]="",),"",NOTA[[#This Row],[QTY]]*NOTA[[#This Row],[HARGA SATUAN]])</f>
        <v/>
      </c>
      <c r="AG842" s="36" t="str">
        <f ca="1">IF(NOTA[[#This Row],[ID_H]]="","",INDEX(NOTA[TANGGAL],MATCH(,INDIRECT(ADDRESS(ROW(NOTA[TANGGAL]),COLUMN(NOTA[TANGGAL]))&amp;":"&amp;ADDRESS(ROW(),COLUMN(NOTA[TANGGAL]))),-1)))</f>
        <v/>
      </c>
      <c r="AH842" s="36" t="str">
        <f ca="1">IF(NOTA[[#This Row],[ID_H]]="","",INDEX(NOTA[TGL.NOTA],MATCH(,INDIRECT(ADDRESS(ROW(NOTA[TGL.NOTA]),COLUMN(NOTA[TGL.NOTA]))&amp;":"&amp;ADDRESS(ROW(),COLUMN(NOTA[TGL.NOTA]))),-1)))</f>
        <v/>
      </c>
      <c r="AI842" s="36" t="str">
        <f ca="1">IF(NOTA[[#This Row],[ID_H]]="","",INDEX(NOTA[NO.NOTA],MATCH(NOTA[[#This Row],[ID_H]],NOTA[ID_H],0)))</f>
        <v/>
      </c>
      <c r="AJ842" s="38" t="str">
        <f ca="1">IF(NOTA[[#This Row],[NAMA BARANG]]="","",INDEX(NOTA[SUPPLIER],MATCH(,INDIRECT(ADDRESS(ROW(NOTA[ID]),COLUMN(NOTA[ID]))&amp;":"&amp;ADDRESS(ROW(),COLUMN(NOTA[ID]))),-1)))</f>
        <v/>
      </c>
      <c r="AK842" s="38" t="str">
        <f ca="1">IF(NOTA[[#This Row],[ID_H]]="","",IF(NOTA[[#This Row],[FAKTUR]]="",INDIRECT(ADDRESS(ROW()-1,COLUMN())),NOTA[[#This Row],[FAKTUR]]))</f>
        <v/>
      </c>
      <c r="AL842" s="35" t="str">
        <f ca="1">IF(NOTA[[#This Row],[ID]]="","",COUNTIF(NOTA[ID_H],NOTA[[#This Row],[ID_H]]))</f>
        <v/>
      </c>
      <c r="AM842" s="35" t="str">
        <f ca="1">IF(NOTA[[#This Row],[TGL.NOTA]]="",IF(NOTA[[#This Row],[SUPPLIER_H]]="","",AM841),MONTH(NOTA[[#This Row],[TGL.NOTA]]))</f>
        <v/>
      </c>
      <c r="AN8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2" s="35" t="str">
        <f>IF(NOTA[[#This Row],[CONCAT1]]="","",MATCH(NOTA[[#This Row],[CONCAT1]],[3]!db[NB NOTA_C],0))</f>
        <v/>
      </c>
      <c r="AS842" s="35" t="str">
        <f>IF(NOTA[[#This Row],[Column5]]="","",TRUE)</f>
        <v/>
      </c>
      <c r="AT842" s="35" t="str">
        <f ca="1">IF(NOTA[[#This Row],[ID_H]]="","",IF(NOTA[[#This Row],[Column3]]=TRUE,NOTA[[#This Row],[Column5]],INDEX([3]!db[QTY/ CTN],NOTA[[#This Row],[//DB]])))</f>
        <v/>
      </c>
      <c r="AU8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2" s="35" t="str">
        <f ca="1">IF(NOTA[[#This Row],[ID_H]]="","",MATCH(NOTA[[#This Row],[NB NOTA_C_QTY]],[3]!db[NB NOTA_C_QTY+F],0))</f>
        <v/>
      </c>
      <c r="AW842" s="43" t="str">
        <f ca="1">IF(NOTA[[#This Row],[NB NOTA_C_QTY]]="","",ROW()-2)</f>
        <v/>
      </c>
    </row>
    <row r="843" spans="1:49" ht="20.100000000000001" customHeight="1">
      <c r="A8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5" t="str">
        <f ca="1">IF(NOTA[[#This Row],[NAMA BARANG]]="","",INDEX(NOTA[ID],MATCH(,INDIRECT(ADDRESS(ROW(NOTA[ID]),COLUMN(NOTA[ID]))&amp;":"&amp;ADDRESS(ROW(),COLUMN(NOTA[ID]))),-1)))</f>
        <v/>
      </c>
      <c r="C843" s="45"/>
      <c r="F843" s="46"/>
      <c r="G843" s="35"/>
      <c r="H843" s="36"/>
      <c r="I843" s="35"/>
      <c r="K843" s="37"/>
      <c r="L843" s="35"/>
      <c r="N843" s="38"/>
      <c r="O843" s="39"/>
      <c r="P843" s="47"/>
      <c r="Q843" s="48"/>
      <c r="R843" s="41"/>
      <c r="T843" s="42"/>
      <c r="U843" s="44"/>
      <c r="V843" s="42" t="str">
        <f>IF(NOTA[[#This Row],[HARGA/ CTN]]="",NOTA[[#This Row],[JUMLAH_H]],NOTA[[#This Row],[HARGA/ CTN]]*IF(NOTA[[#This Row],[C]]="",0,NOTA[[#This Row],[C]]))</f>
        <v/>
      </c>
      <c r="W843" s="42" t="str">
        <f>IF(NOTA[[#This Row],[JUMLAH]]="","",NOTA[[#This Row],[JUMLAH]]*NOTA[[#This Row],[Column6]])</f>
        <v/>
      </c>
      <c r="X843" s="42" t="str">
        <f>IF(NOTA[[#This Row],[JUMLAH]]="","",(NOTA[[#This Row],[JUMLAH]]-NOTA[[#This Row],[DISC 1-]])*NOTA[[#This Row],[Column7]])</f>
        <v/>
      </c>
      <c r="Y843" s="42" t="str">
        <f>IF(NOTA[[#This Row],[JUMLAH]]="","",(NOTA[[#This Row],[JUMLAH]]-NOTA[[#This Row],[DISC 1-]]-NOTA[[#This Row],[DISC 2-]])*NOTA[[#This Row],[Column8]])</f>
        <v/>
      </c>
      <c r="Z843" s="42" t="str">
        <f>IF(NOTA[[#This Row],[JUMLAH]]="","",NOTA[[#This Row],[DISC 1-]]+NOTA[[#This Row],[DISC 2-]]+NOTA[[#This Row],[DISC 3-]])</f>
        <v/>
      </c>
      <c r="AA843" s="42" t="str">
        <f>IF(NOTA[[#This Row],[JUMLAH]]="","",NOTA[[#This Row],[JUMLAH]]-NOTA[[#This Row],[DISC]])</f>
        <v/>
      </c>
      <c r="AB843" s="42"/>
      <c r="AC8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42" t="str">
        <f>IF(OR(NOTA[[#This Row],[QTY]]="",NOTA[[#This Row],[HARGA SATUAN]]="",),"",NOTA[[#This Row],[QTY]]*NOTA[[#This Row],[HARGA SATUAN]])</f>
        <v/>
      </c>
      <c r="AG843" s="36" t="str">
        <f ca="1">IF(NOTA[[#This Row],[ID_H]]="","",INDEX(NOTA[TANGGAL],MATCH(,INDIRECT(ADDRESS(ROW(NOTA[TANGGAL]),COLUMN(NOTA[TANGGAL]))&amp;":"&amp;ADDRESS(ROW(),COLUMN(NOTA[TANGGAL]))),-1)))</f>
        <v/>
      </c>
      <c r="AH843" s="36" t="str">
        <f ca="1">IF(NOTA[[#This Row],[ID_H]]="","",INDEX(NOTA[TGL.NOTA],MATCH(,INDIRECT(ADDRESS(ROW(NOTA[TGL.NOTA]),COLUMN(NOTA[TGL.NOTA]))&amp;":"&amp;ADDRESS(ROW(),COLUMN(NOTA[TGL.NOTA]))),-1)))</f>
        <v/>
      </c>
      <c r="AI843" s="36" t="str">
        <f ca="1">IF(NOTA[[#This Row],[ID_H]]="","",INDEX(NOTA[NO.NOTA],MATCH(NOTA[[#This Row],[ID_H]],NOTA[ID_H],0)))</f>
        <v/>
      </c>
      <c r="AJ843" s="38" t="str">
        <f ca="1">IF(NOTA[[#This Row],[NAMA BARANG]]="","",INDEX(NOTA[SUPPLIER],MATCH(,INDIRECT(ADDRESS(ROW(NOTA[ID]),COLUMN(NOTA[ID]))&amp;":"&amp;ADDRESS(ROW(),COLUMN(NOTA[ID]))),-1)))</f>
        <v/>
      </c>
      <c r="AK843" s="38" t="str">
        <f ca="1">IF(NOTA[[#This Row],[ID_H]]="","",IF(NOTA[[#This Row],[FAKTUR]]="",INDIRECT(ADDRESS(ROW()-1,COLUMN())),NOTA[[#This Row],[FAKTUR]]))</f>
        <v/>
      </c>
      <c r="AL843" s="35" t="str">
        <f ca="1">IF(NOTA[[#This Row],[ID]]="","",COUNTIF(NOTA[ID_H],NOTA[[#This Row],[ID_H]]))</f>
        <v/>
      </c>
      <c r="AM843" s="35" t="str">
        <f ca="1">IF(NOTA[[#This Row],[TGL.NOTA]]="",IF(NOTA[[#This Row],[SUPPLIER_H]]="","",AM842),MONTH(NOTA[[#This Row],[TGL.NOTA]]))</f>
        <v/>
      </c>
      <c r="AN8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3" s="35" t="str">
        <f>IF(NOTA[[#This Row],[CONCAT1]]="","",MATCH(NOTA[[#This Row],[CONCAT1]],[3]!db[NB NOTA_C],0))</f>
        <v/>
      </c>
      <c r="AS843" s="35" t="str">
        <f>IF(NOTA[[#This Row],[Column5]]="","",TRUE)</f>
        <v/>
      </c>
      <c r="AT843" s="35" t="str">
        <f ca="1">IF(NOTA[[#This Row],[ID_H]]="","",IF(NOTA[[#This Row],[Column3]]=TRUE,NOTA[[#This Row],[Column5]],INDEX([3]!db[QTY/ CTN],NOTA[[#This Row],[//DB]])))</f>
        <v/>
      </c>
      <c r="AU8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3" s="35" t="str">
        <f ca="1">IF(NOTA[[#This Row],[ID_H]]="","",MATCH(NOTA[[#This Row],[NB NOTA_C_QTY]],[3]!db[NB NOTA_C_QTY+F],0))</f>
        <v/>
      </c>
      <c r="AW843" s="43" t="str">
        <f ca="1">IF(NOTA[[#This Row],[NB NOTA_C_QTY]]="","",ROW()-2)</f>
        <v/>
      </c>
    </row>
    <row r="844" spans="1:49" ht="20.100000000000001" customHeight="1">
      <c r="A8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5" t="str">
        <f ca="1">IF(NOTA[[#This Row],[NAMA BARANG]]="","",INDEX(NOTA[ID],MATCH(,INDIRECT(ADDRESS(ROW(NOTA[ID]),COLUMN(NOTA[ID]))&amp;":"&amp;ADDRESS(ROW(),COLUMN(NOTA[ID]))),-1)))</f>
        <v/>
      </c>
      <c r="C844" s="45"/>
      <c r="F844" s="46"/>
      <c r="G844" s="35"/>
      <c r="H844" s="36"/>
      <c r="I844" s="35"/>
      <c r="K844" s="37"/>
      <c r="L844" s="35"/>
      <c r="N844" s="38"/>
      <c r="O844" s="39"/>
      <c r="P844" s="47"/>
      <c r="Q844" s="48"/>
      <c r="R844" s="41"/>
      <c r="T844" s="42"/>
      <c r="U844" s="44"/>
      <c r="V844" s="42" t="str">
        <f>IF(NOTA[[#This Row],[HARGA/ CTN]]="",NOTA[[#This Row],[JUMLAH_H]],NOTA[[#This Row],[HARGA/ CTN]]*IF(NOTA[[#This Row],[C]]="",0,NOTA[[#This Row],[C]]))</f>
        <v/>
      </c>
      <c r="W844" s="42" t="str">
        <f>IF(NOTA[[#This Row],[JUMLAH]]="","",NOTA[[#This Row],[JUMLAH]]*NOTA[[#This Row],[Column6]])</f>
        <v/>
      </c>
      <c r="X844" s="42" t="str">
        <f>IF(NOTA[[#This Row],[JUMLAH]]="","",(NOTA[[#This Row],[JUMLAH]]-NOTA[[#This Row],[DISC 1-]])*NOTA[[#This Row],[Column7]])</f>
        <v/>
      </c>
      <c r="Y844" s="42" t="str">
        <f>IF(NOTA[[#This Row],[JUMLAH]]="","",(NOTA[[#This Row],[JUMLAH]]-NOTA[[#This Row],[DISC 1-]]-NOTA[[#This Row],[DISC 2-]])*NOTA[[#This Row],[Column8]])</f>
        <v/>
      </c>
      <c r="Z844" s="42" t="str">
        <f>IF(NOTA[[#This Row],[JUMLAH]]="","",NOTA[[#This Row],[DISC 1-]]+NOTA[[#This Row],[DISC 2-]]+NOTA[[#This Row],[DISC 3-]])</f>
        <v/>
      </c>
      <c r="AA844" s="42" t="str">
        <f>IF(NOTA[[#This Row],[JUMLAH]]="","",NOTA[[#This Row],[JUMLAH]]-NOTA[[#This Row],[DISC]])</f>
        <v/>
      </c>
      <c r="AB844" s="42"/>
      <c r="AC8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42" t="str">
        <f>IF(OR(NOTA[[#This Row],[QTY]]="",NOTA[[#This Row],[HARGA SATUAN]]="",),"",NOTA[[#This Row],[QTY]]*NOTA[[#This Row],[HARGA SATUAN]])</f>
        <v/>
      </c>
      <c r="AG844" s="36" t="str">
        <f ca="1">IF(NOTA[[#This Row],[ID_H]]="","",INDEX(NOTA[TANGGAL],MATCH(,INDIRECT(ADDRESS(ROW(NOTA[TANGGAL]),COLUMN(NOTA[TANGGAL]))&amp;":"&amp;ADDRESS(ROW(),COLUMN(NOTA[TANGGAL]))),-1)))</f>
        <v/>
      </c>
      <c r="AH844" s="36" t="str">
        <f ca="1">IF(NOTA[[#This Row],[ID_H]]="","",INDEX(NOTA[TGL.NOTA],MATCH(,INDIRECT(ADDRESS(ROW(NOTA[TGL.NOTA]),COLUMN(NOTA[TGL.NOTA]))&amp;":"&amp;ADDRESS(ROW(),COLUMN(NOTA[TGL.NOTA]))),-1)))</f>
        <v/>
      </c>
      <c r="AI844" s="36" t="str">
        <f ca="1">IF(NOTA[[#This Row],[ID_H]]="","",INDEX(NOTA[NO.NOTA],MATCH(NOTA[[#This Row],[ID_H]],NOTA[ID_H],0)))</f>
        <v/>
      </c>
      <c r="AJ844" s="38" t="str">
        <f ca="1">IF(NOTA[[#This Row],[NAMA BARANG]]="","",INDEX(NOTA[SUPPLIER],MATCH(,INDIRECT(ADDRESS(ROW(NOTA[ID]),COLUMN(NOTA[ID]))&amp;":"&amp;ADDRESS(ROW(),COLUMN(NOTA[ID]))),-1)))</f>
        <v/>
      </c>
      <c r="AK844" s="38" t="str">
        <f ca="1">IF(NOTA[[#This Row],[ID_H]]="","",IF(NOTA[[#This Row],[FAKTUR]]="",INDIRECT(ADDRESS(ROW()-1,COLUMN())),NOTA[[#This Row],[FAKTUR]]))</f>
        <v/>
      </c>
      <c r="AL844" s="35" t="str">
        <f ca="1">IF(NOTA[[#This Row],[ID]]="","",COUNTIF(NOTA[ID_H],NOTA[[#This Row],[ID_H]]))</f>
        <v/>
      </c>
      <c r="AM844" s="35" t="str">
        <f ca="1">IF(NOTA[[#This Row],[TGL.NOTA]]="",IF(NOTA[[#This Row],[SUPPLIER_H]]="","",AM843),MONTH(NOTA[[#This Row],[TGL.NOTA]]))</f>
        <v/>
      </c>
      <c r="AN8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4" s="35" t="str">
        <f>IF(NOTA[[#This Row],[CONCAT1]]="","",MATCH(NOTA[[#This Row],[CONCAT1]],[3]!db[NB NOTA_C],0))</f>
        <v/>
      </c>
      <c r="AS844" s="35" t="str">
        <f>IF(NOTA[[#This Row],[Column5]]="","",TRUE)</f>
        <v/>
      </c>
      <c r="AT844" s="35" t="str">
        <f ca="1">IF(NOTA[[#This Row],[ID_H]]="","",IF(NOTA[[#This Row],[Column3]]=TRUE,NOTA[[#This Row],[Column5]],INDEX([3]!db[QTY/ CTN],NOTA[[#This Row],[//DB]])))</f>
        <v/>
      </c>
      <c r="AU8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4" s="35" t="str">
        <f ca="1">IF(NOTA[[#This Row],[ID_H]]="","",MATCH(NOTA[[#This Row],[NB NOTA_C_QTY]],[3]!db[NB NOTA_C_QTY+F],0))</f>
        <v/>
      </c>
      <c r="AW844" s="43" t="str">
        <f ca="1">IF(NOTA[[#This Row],[NB NOTA_C_QTY]]="","",ROW()-2)</f>
        <v/>
      </c>
    </row>
    <row r="845" spans="1:49" ht="20.100000000000001" customHeight="1">
      <c r="A8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5" t="str">
        <f ca="1">IF(NOTA[[#This Row],[NAMA BARANG]]="","",INDEX(NOTA[ID],MATCH(,INDIRECT(ADDRESS(ROW(NOTA[ID]),COLUMN(NOTA[ID]))&amp;":"&amp;ADDRESS(ROW(),COLUMN(NOTA[ID]))),-1)))</f>
        <v/>
      </c>
      <c r="C845" s="45"/>
      <c r="F845" s="46"/>
      <c r="G845" s="35"/>
      <c r="H845" s="36"/>
      <c r="I845" s="35"/>
      <c r="K845" s="37"/>
      <c r="L845" s="35"/>
      <c r="N845" s="38"/>
      <c r="O845" s="39"/>
      <c r="P845" s="47"/>
      <c r="Q845" s="48"/>
      <c r="R845" s="41"/>
      <c r="T845" s="42"/>
      <c r="U845" s="44"/>
      <c r="V845" s="42" t="str">
        <f>IF(NOTA[[#This Row],[HARGA/ CTN]]="",NOTA[[#This Row],[JUMLAH_H]],NOTA[[#This Row],[HARGA/ CTN]]*IF(NOTA[[#This Row],[C]]="",0,NOTA[[#This Row],[C]]))</f>
        <v/>
      </c>
      <c r="W845" s="42" t="str">
        <f>IF(NOTA[[#This Row],[JUMLAH]]="","",NOTA[[#This Row],[JUMLAH]]*NOTA[[#This Row],[Column6]])</f>
        <v/>
      </c>
      <c r="X845" s="42" t="str">
        <f>IF(NOTA[[#This Row],[JUMLAH]]="","",(NOTA[[#This Row],[JUMLAH]]-NOTA[[#This Row],[DISC 1-]])*NOTA[[#This Row],[Column7]])</f>
        <v/>
      </c>
      <c r="Y845" s="42" t="str">
        <f>IF(NOTA[[#This Row],[JUMLAH]]="","",(NOTA[[#This Row],[JUMLAH]]-NOTA[[#This Row],[DISC 1-]]-NOTA[[#This Row],[DISC 2-]])*NOTA[[#This Row],[Column8]])</f>
        <v/>
      </c>
      <c r="Z845" s="42" t="str">
        <f>IF(NOTA[[#This Row],[JUMLAH]]="","",NOTA[[#This Row],[DISC 1-]]+NOTA[[#This Row],[DISC 2-]]+NOTA[[#This Row],[DISC 3-]])</f>
        <v/>
      </c>
      <c r="AA845" s="42" t="str">
        <f>IF(NOTA[[#This Row],[JUMLAH]]="","",NOTA[[#This Row],[JUMLAH]]-NOTA[[#This Row],[DISC]])</f>
        <v/>
      </c>
      <c r="AB845" s="42"/>
      <c r="AC8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42" t="str">
        <f>IF(OR(NOTA[[#This Row],[QTY]]="",NOTA[[#This Row],[HARGA SATUAN]]="",),"",NOTA[[#This Row],[QTY]]*NOTA[[#This Row],[HARGA SATUAN]])</f>
        <v/>
      </c>
      <c r="AG845" s="36" t="str">
        <f ca="1">IF(NOTA[[#This Row],[ID_H]]="","",INDEX(NOTA[TANGGAL],MATCH(,INDIRECT(ADDRESS(ROW(NOTA[TANGGAL]),COLUMN(NOTA[TANGGAL]))&amp;":"&amp;ADDRESS(ROW(),COLUMN(NOTA[TANGGAL]))),-1)))</f>
        <v/>
      </c>
      <c r="AH845" s="36" t="str">
        <f ca="1">IF(NOTA[[#This Row],[ID_H]]="","",INDEX(NOTA[TGL.NOTA],MATCH(,INDIRECT(ADDRESS(ROW(NOTA[TGL.NOTA]),COLUMN(NOTA[TGL.NOTA]))&amp;":"&amp;ADDRESS(ROW(),COLUMN(NOTA[TGL.NOTA]))),-1)))</f>
        <v/>
      </c>
      <c r="AI845" s="36" t="str">
        <f ca="1">IF(NOTA[[#This Row],[ID_H]]="","",INDEX(NOTA[NO.NOTA],MATCH(NOTA[[#This Row],[ID_H]],NOTA[ID_H],0)))</f>
        <v/>
      </c>
      <c r="AJ845" s="38" t="str">
        <f ca="1">IF(NOTA[[#This Row],[NAMA BARANG]]="","",INDEX(NOTA[SUPPLIER],MATCH(,INDIRECT(ADDRESS(ROW(NOTA[ID]),COLUMN(NOTA[ID]))&amp;":"&amp;ADDRESS(ROW(),COLUMN(NOTA[ID]))),-1)))</f>
        <v/>
      </c>
      <c r="AK845" s="38" t="str">
        <f ca="1">IF(NOTA[[#This Row],[ID_H]]="","",IF(NOTA[[#This Row],[FAKTUR]]="",INDIRECT(ADDRESS(ROW()-1,COLUMN())),NOTA[[#This Row],[FAKTUR]]))</f>
        <v/>
      </c>
      <c r="AL845" s="35" t="str">
        <f ca="1">IF(NOTA[[#This Row],[ID]]="","",COUNTIF(NOTA[ID_H],NOTA[[#This Row],[ID_H]]))</f>
        <v/>
      </c>
      <c r="AM845" s="35" t="str">
        <f ca="1">IF(NOTA[[#This Row],[TGL.NOTA]]="",IF(NOTA[[#This Row],[SUPPLIER_H]]="","",AM844),MONTH(NOTA[[#This Row],[TGL.NOTA]]))</f>
        <v/>
      </c>
      <c r="AN8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5" s="35" t="str">
        <f>IF(NOTA[[#This Row],[CONCAT1]]="","",MATCH(NOTA[[#This Row],[CONCAT1]],[3]!db[NB NOTA_C],0))</f>
        <v/>
      </c>
      <c r="AS845" s="35" t="str">
        <f>IF(NOTA[[#This Row],[Column5]]="","",TRUE)</f>
        <v/>
      </c>
      <c r="AT845" s="35" t="str">
        <f ca="1">IF(NOTA[[#This Row],[ID_H]]="","",IF(NOTA[[#This Row],[Column3]]=TRUE,NOTA[[#This Row],[Column5]],INDEX([3]!db[QTY/ CTN],NOTA[[#This Row],[//DB]])))</f>
        <v/>
      </c>
      <c r="AU8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5" s="35" t="str">
        <f ca="1">IF(NOTA[[#This Row],[ID_H]]="","",MATCH(NOTA[[#This Row],[NB NOTA_C_QTY]],[3]!db[NB NOTA_C_QTY+F],0))</f>
        <v/>
      </c>
      <c r="AW845" s="43" t="str">
        <f ca="1">IF(NOTA[[#This Row],[NB NOTA_C_QTY]]="","",ROW()-2)</f>
        <v/>
      </c>
    </row>
    <row r="846" spans="1:49" ht="20.100000000000001" customHeight="1">
      <c r="A8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5" t="str">
        <f ca="1">IF(NOTA[[#This Row],[NAMA BARANG]]="","",INDEX(NOTA[ID],MATCH(,INDIRECT(ADDRESS(ROW(NOTA[ID]),COLUMN(NOTA[ID]))&amp;":"&amp;ADDRESS(ROW(),COLUMN(NOTA[ID]))),-1)))</f>
        <v/>
      </c>
      <c r="C846" s="45"/>
      <c r="F846" s="46"/>
      <c r="G846" s="35"/>
      <c r="H846" s="36"/>
      <c r="I846" s="35"/>
      <c r="K846" s="37"/>
      <c r="L846" s="35"/>
      <c r="N846" s="38"/>
      <c r="O846" s="39"/>
      <c r="P846" s="47"/>
      <c r="Q846" s="48"/>
      <c r="R846" s="41"/>
      <c r="T846" s="42"/>
      <c r="U846" s="44"/>
      <c r="V846" s="42" t="str">
        <f>IF(NOTA[[#This Row],[HARGA/ CTN]]="",NOTA[[#This Row],[JUMLAH_H]],NOTA[[#This Row],[HARGA/ CTN]]*IF(NOTA[[#This Row],[C]]="",0,NOTA[[#This Row],[C]]))</f>
        <v/>
      </c>
      <c r="W846" s="42" t="str">
        <f>IF(NOTA[[#This Row],[JUMLAH]]="","",NOTA[[#This Row],[JUMLAH]]*NOTA[[#This Row],[Column6]])</f>
        <v/>
      </c>
      <c r="X846" s="42" t="str">
        <f>IF(NOTA[[#This Row],[JUMLAH]]="","",(NOTA[[#This Row],[JUMLAH]]-NOTA[[#This Row],[DISC 1-]])*NOTA[[#This Row],[Column7]])</f>
        <v/>
      </c>
      <c r="Y846" s="42" t="str">
        <f>IF(NOTA[[#This Row],[JUMLAH]]="","",(NOTA[[#This Row],[JUMLAH]]-NOTA[[#This Row],[DISC 1-]]-NOTA[[#This Row],[DISC 2-]])*NOTA[[#This Row],[Column8]])</f>
        <v/>
      </c>
      <c r="Z846" s="42" t="str">
        <f>IF(NOTA[[#This Row],[JUMLAH]]="","",NOTA[[#This Row],[DISC 1-]]+NOTA[[#This Row],[DISC 2-]]+NOTA[[#This Row],[DISC 3-]])</f>
        <v/>
      </c>
      <c r="AA846" s="42" t="str">
        <f>IF(NOTA[[#This Row],[JUMLAH]]="","",NOTA[[#This Row],[JUMLAH]]-NOTA[[#This Row],[DISC]])</f>
        <v/>
      </c>
      <c r="AB846" s="42"/>
      <c r="AC8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42" t="str">
        <f>IF(OR(NOTA[[#This Row],[QTY]]="",NOTA[[#This Row],[HARGA SATUAN]]="",),"",NOTA[[#This Row],[QTY]]*NOTA[[#This Row],[HARGA SATUAN]])</f>
        <v/>
      </c>
      <c r="AG846" s="36" t="str">
        <f ca="1">IF(NOTA[[#This Row],[ID_H]]="","",INDEX(NOTA[TANGGAL],MATCH(,INDIRECT(ADDRESS(ROW(NOTA[TANGGAL]),COLUMN(NOTA[TANGGAL]))&amp;":"&amp;ADDRESS(ROW(),COLUMN(NOTA[TANGGAL]))),-1)))</f>
        <v/>
      </c>
      <c r="AH846" s="36" t="str">
        <f ca="1">IF(NOTA[[#This Row],[ID_H]]="","",INDEX(NOTA[TGL.NOTA],MATCH(,INDIRECT(ADDRESS(ROW(NOTA[TGL.NOTA]),COLUMN(NOTA[TGL.NOTA]))&amp;":"&amp;ADDRESS(ROW(),COLUMN(NOTA[TGL.NOTA]))),-1)))</f>
        <v/>
      </c>
      <c r="AI846" s="36" t="str">
        <f ca="1">IF(NOTA[[#This Row],[ID_H]]="","",INDEX(NOTA[NO.NOTA],MATCH(NOTA[[#This Row],[ID_H]],NOTA[ID_H],0)))</f>
        <v/>
      </c>
      <c r="AJ846" s="38" t="str">
        <f ca="1">IF(NOTA[[#This Row],[NAMA BARANG]]="","",INDEX(NOTA[SUPPLIER],MATCH(,INDIRECT(ADDRESS(ROW(NOTA[ID]),COLUMN(NOTA[ID]))&amp;":"&amp;ADDRESS(ROW(),COLUMN(NOTA[ID]))),-1)))</f>
        <v/>
      </c>
      <c r="AK846" s="38" t="str">
        <f ca="1">IF(NOTA[[#This Row],[ID_H]]="","",IF(NOTA[[#This Row],[FAKTUR]]="",INDIRECT(ADDRESS(ROW()-1,COLUMN())),NOTA[[#This Row],[FAKTUR]]))</f>
        <v/>
      </c>
      <c r="AL846" s="35" t="str">
        <f ca="1">IF(NOTA[[#This Row],[ID]]="","",COUNTIF(NOTA[ID_H],NOTA[[#This Row],[ID_H]]))</f>
        <v/>
      </c>
      <c r="AM846" s="35" t="str">
        <f ca="1">IF(NOTA[[#This Row],[TGL.NOTA]]="",IF(NOTA[[#This Row],[SUPPLIER_H]]="","",AM845),MONTH(NOTA[[#This Row],[TGL.NOTA]]))</f>
        <v/>
      </c>
      <c r="AN8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6" s="35" t="str">
        <f>IF(NOTA[[#This Row],[CONCAT1]]="","",MATCH(NOTA[[#This Row],[CONCAT1]],[3]!db[NB NOTA_C],0))</f>
        <v/>
      </c>
      <c r="AS846" s="35" t="str">
        <f>IF(NOTA[[#This Row],[Column5]]="","",TRUE)</f>
        <v/>
      </c>
      <c r="AT846" s="35" t="str">
        <f ca="1">IF(NOTA[[#This Row],[ID_H]]="","",IF(NOTA[[#This Row],[Column3]]=TRUE,NOTA[[#This Row],[Column5]],INDEX([3]!db[QTY/ CTN],NOTA[[#This Row],[//DB]])))</f>
        <v/>
      </c>
      <c r="AU8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6" s="35" t="str">
        <f ca="1">IF(NOTA[[#This Row],[ID_H]]="","",MATCH(NOTA[[#This Row],[NB NOTA_C_QTY]],[3]!db[NB NOTA_C_QTY+F],0))</f>
        <v/>
      </c>
      <c r="AW846" s="43" t="str">
        <f ca="1">IF(NOTA[[#This Row],[NB NOTA_C_QTY]]="","",ROW()-2)</f>
        <v/>
      </c>
    </row>
    <row r="847" spans="1:49" ht="20.100000000000001" customHeight="1">
      <c r="A8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5" t="str">
        <f ca="1">IF(NOTA[[#This Row],[NAMA BARANG]]="","",INDEX(NOTA[ID],MATCH(,INDIRECT(ADDRESS(ROW(NOTA[ID]),COLUMN(NOTA[ID]))&amp;":"&amp;ADDRESS(ROW(),COLUMN(NOTA[ID]))),-1)))</f>
        <v/>
      </c>
      <c r="C847" s="45"/>
      <c r="F847" s="46"/>
      <c r="G847" s="35"/>
      <c r="H847" s="36"/>
      <c r="I847" s="35"/>
      <c r="K847" s="37"/>
      <c r="L847" s="35"/>
      <c r="N847" s="38"/>
      <c r="O847" s="39"/>
      <c r="P847" s="47"/>
      <c r="Q847" s="48"/>
      <c r="R847" s="41"/>
      <c r="T847" s="42"/>
      <c r="U847" s="44"/>
      <c r="V847" s="42" t="str">
        <f>IF(NOTA[[#This Row],[HARGA/ CTN]]="",NOTA[[#This Row],[JUMLAH_H]],NOTA[[#This Row],[HARGA/ CTN]]*IF(NOTA[[#This Row],[C]]="",0,NOTA[[#This Row],[C]]))</f>
        <v/>
      </c>
      <c r="W847" s="42" t="str">
        <f>IF(NOTA[[#This Row],[JUMLAH]]="","",NOTA[[#This Row],[JUMLAH]]*NOTA[[#This Row],[Column6]])</f>
        <v/>
      </c>
      <c r="X847" s="42" t="str">
        <f>IF(NOTA[[#This Row],[JUMLAH]]="","",(NOTA[[#This Row],[JUMLAH]]-NOTA[[#This Row],[DISC 1-]])*NOTA[[#This Row],[Column7]])</f>
        <v/>
      </c>
      <c r="Y847" s="42" t="str">
        <f>IF(NOTA[[#This Row],[JUMLAH]]="","",(NOTA[[#This Row],[JUMLAH]]-NOTA[[#This Row],[DISC 1-]]-NOTA[[#This Row],[DISC 2-]])*NOTA[[#This Row],[Column8]])</f>
        <v/>
      </c>
      <c r="Z847" s="42" t="str">
        <f>IF(NOTA[[#This Row],[JUMLAH]]="","",NOTA[[#This Row],[DISC 1-]]+NOTA[[#This Row],[DISC 2-]]+NOTA[[#This Row],[DISC 3-]])</f>
        <v/>
      </c>
      <c r="AA847" s="42" t="str">
        <f>IF(NOTA[[#This Row],[JUMLAH]]="","",NOTA[[#This Row],[JUMLAH]]-NOTA[[#This Row],[DISC]])</f>
        <v/>
      </c>
      <c r="AB847" s="42"/>
      <c r="AC8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42" t="str">
        <f>IF(OR(NOTA[[#This Row],[QTY]]="",NOTA[[#This Row],[HARGA SATUAN]]="",),"",NOTA[[#This Row],[QTY]]*NOTA[[#This Row],[HARGA SATUAN]])</f>
        <v/>
      </c>
      <c r="AG847" s="36" t="str">
        <f ca="1">IF(NOTA[[#This Row],[ID_H]]="","",INDEX(NOTA[TANGGAL],MATCH(,INDIRECT(ADDRESS(ROW(NOTA[TANGGAL]),COLUMN(NOTA[TANGGAL]))&amp;":"&amp;ADDRESS(ROW(),COLUMN(NOTA[TANGGAL]))),-1)))</f>
        <v/>
      </c>
      <c r="AH847" s="36" t="str">
        <f ca="1">IF(NOTA[[#This Row],[ID_H]]="","",INDEX(NOTA[TGL.NOTA],MATCH(,INDIRECT(ADDRESS(ROW(NOTA[TGL.NOTA]),COLUMN(NOTA[TGL.NOTA]))&amp;":"&amp;ADDRESS(ROW(),COLUMN(NOTA[TGL.NOTA]))),-1)))</f>
        <v/>
      </c>
      <c r="AI847" s="36" t="str">
        <f ca="1">IF(NOTA[[#This Row],[ID_H]]="","",INDEX(NOTA[NO.NOTA],MATCH(NOTA[[#This Row],[ID_H]],NOTA[ID_H],0)))</f>
        <v/>
      </c>
      <c r="AJ847" s="38" t="str">
        <f ca="1">IF(NOTA[[#This Row],[NAMA BARANG]]="","",INDEX(NOTA[SUPPLIER],MATCH(,INDIRECT(ADDRESS(ROW(NOTA[ID]),COLUMN(NOTA[ID]))&amp;":"&amp;ADDRESS(ROW(),COLUMN(NOTA[ID]))),-1)))</f>
        <v/>
      </c>
      <c r="AK847" s="38" t="str">
        <f ca="1">IF(NOTA[[#This Row],[ID_H]]="","",IF(NOTA[[#This Row],[FAKTUR]]="",INDIRECT(ADDRESS(ROW()-1,COLUMN())),NOTA[[#This Row],[FAKTUR]]))</f>
        <v/>
      </c>
      <c r="AL847" s="35" t="str">
        <f ca="1">IF(NOTA[[#This Row],[ID]]="","",COUNTIF(NOTA[ID_H],NOTA[[#This Row],[ID_H]]))</f>
        <v/>
      </c>
      <c r="AM847" s="35" t="str">
        <f ca="1">IF(NOTA[[#This Row],[TGL.NOTA]]="",IF(NOTA[[#This Row],[SUPPLIER_H]]="","",AM846),MONTH(NOTA[[#This Row],[TGL.NOTA]]))</f>
        <v/>
      </c>
      <c r="AN8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7" s="35" t="str">
        <f>IF(NOTA[[#This Row],[CONCAT1]]="","",MATCH(NOTA[[#This Row],[CONCAT1]],[3]!db[NB NOTA_C],0))</f>
        <v/>
      </c>
      <c r="AS847" s="35" t="str">
        <f>IF(NOTA[[#This Row],[Column5]]="","",TRUE)</f>
        <v/>
      </c>
      <c r="AT847" s="35" t="str">
        <f ca="1">IF(NOTA[[#This Row],[ID_H]]="","",IF(NOTA[[#This Row],[Column3]]=TRUE,NOTA[[#This Row],[Column5]],INDEX([3]!db[QTY/ CTN],NOTA[[#This Row],[//DB]])))</f>
        <v/>
      </c>
      <c r="AU8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7" s="35" t="str">
        <f ca="1">IF(NOTA[[#This Row],[ID_H]]="","",MATCH(NOTA[[#This Row],[NB NOTA_C_QTY]],[3]!db[NB NOTA_C_QTY+F],0))</f>
        <v/>
      </c>
      <c r="AW847" s="43" t="str">
        <f ca="1">IF(NOTA[[#This Row],[NB NOTA_C_QTY]]="","",ROW()-2)</f>
        <v/>
      </c>
    </row>
    <row r="848" spans="1:49" ht="20.100000000000001" customHeight="1">
      <c r="A8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5" t="str">
        <f ca="1">IF(NOTA[[#This Row],[NAMA BARANG]]="","",INDEX(NOTA[ID],MATCH(,INDIRECT(ADDRESS(ROW(NOTA[ID]),COLUMN(NOTA[ID]))&amp;":"&amp;ADDRESS(ROW(),COLUMN(NOTA[ID]))),-1)))</f>
        <v/>
      </c>
      <c r="C848" s="45"/>
      <c r="F848" s="46"/>
      <c r="G848" s="35"/>
      <c r="H848" s="36"/>
      <c r="I848" s="35"/>
      <c r="K848" s="37"/>
      <c r="L848" s="35"/>
      <c r="N848" s="38"/>
      <c r="O848" s="39"/>
      <c r="P848" s="47"/>
      <c r="Q848" s="48"/>
      <c r="R848" s="41"/>
      <c r="T848" s="42"/>
      <c r="U848" s="44"/>
      <c r="V848" s="42" t="str">
        <f>IF(NOTA[[#This Row],[HARGA/ CTN]]="",NOTA[[#This Row],[JUMLAH_H]],NOTA[[#This Row],[HARGA/ CTN]]*IF(NOTA[[#This Row],[C]]="",0,NOTA[[#This Row],[C]]))</f>
        <v/>
      </c>
      <c r="W848" s="42" t="str">
        <f>IF(NOTA[[#This Row],[JUMLAH]]="","",NOTA[[#This Row],[JUMLAH]]*NOTA[[#This Row],[Column6]])</f>
        <v/>
      </c>
      <c r="X848" s="42" t="str">
        <f>IF(NOTA[[#This Row],[JUMLAH]]="","",(NOTA[[#This Row],[JUMLAH]]-NOTA[[#This Row],[DISC 1-]])*NOTA[[#This Row],[Column7]])</f>
        <v/>
      </c>
      <c r="Y848" s="42" t="str">
        <f>IF(NOTA[[#This Row],[JUMLAH]]="","",(NOTA[[#This Row],[JUMLAH]]-NOTA[[#This Row],[DISC 1-]]-NOTA[[#This Row],[DISC 2-]])*NOTA[[#This Row],[Column8]])</f>
        <v/>
      </c>
      <c r="Z848" s="42" t="str">
        <f>IF(NOTA[[#This Row],[JUMLAH]]="","",NOTA[[#This Row],[DISC 1-]]+NOTA[[#This Row],[DISC 2-]]+NOTA[[#This Row],[DISC 3-]])</f>
        <v/>
      </c>
      <c r="AA848" s="42" t="str">
        <f>IF(NOTA[[#This Row],[JUMLAH]]="","",NOTA[[#This Row],[JUMLAH]]-NOTA[[#This Row],[DISC]])</f>
        <v/>
      </c>
      <c r="AB848" s="42"/>
      <c r="AC8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42" t="str">
        <f>IF(OR(NOTA[[#This Row],[QTY]]="",NOTA[[#This Row],[HARGA SATUAN]]="",),"",NOTA[[#This Row],[QTY]]*NOTA[[#This Row],[HARGA SATUAN]])</f>
        <v/>
      </c>
      <c r="AG848" s="36" t="str">
        <f ca="1">IF(NOTA[[#This Row],[ID_H]]="","",INDEX(NOTA[TANGGAL],MATCH(,INDIRECT(ADDRESS(ROW(NOTA[TANGGAL]),COLUMN(NOTA[TANGGAL]))&amp;":"&amp;ADDRESS(ROW(),COLUMN(NOTA[TANGGAL]))),-1)))</f>
        <v/>
      </c>
      <c r="AH848" s="36" t="str">
        <f ca="1">IF(NOTA[[#This Row],[ID_H]]="","",INDEX(NOTA[TGL.NOTA],MATCH(,INDIRECT(ADDRESS(ROW(NOTA[TGL.NOTA]),COLUMN(NOTA[TGL.NOTA]))&amp;":"&amp;ADDRESS(ROW(),COLUMN(NOTA[TGL.NOTA]))),-1)))</f>
        <v/>
      </c>
      <c r="AI848" s="36" t="str">
        <f ca="1">IF(NOTA[[#This Row],[ID_H]]="","",INDEX(NOTA[NO.NOTA],MATCH(NOTA[[#This Row],[ID_H]],NOTA[ID_H],0)))</f>
        <v/>
      </c>
      <c r="AJ848" s="38" t="str">
        <f ca="1">IF(NOTA[[#This Row],[NAMA BARANG]]="","",INDEX(NOTA[SUPPLIER],MATCH(,INDIRECT(ADDRESS(ROW(NOTA[ID]),COLUMN(NOTA[ID]))&amp;":"&amp;ADDRESS(ROW(),COLUMN(NOTA[ID]))),-1)))</f>
        <v/>
      </c>
      <c r="AK848" s="38" t="str">
        <f ca="1">IF(NOTA[[#This Row],[ID_H]]="","",IF(NOTA[[#This Row],[FAKTUR]]="",INDIRECT(ADDRESS(ROW()-1,COLUMN())),NOTA[[#This Row],[FAKTUR]]))</f>
        <v/>
      </c>
      <c r="AL848" s="35" t="str">
        <f ca="1">IF(NOTA[[#This Row],[ID]]="","",COUNTIF(NOTA[ID_H],NOTA[[#This Row],[ID_H]]))</f>
        <v/>
      </c>
      <c r="AM848" s="35" t="str">
        <f ca="1">IF(NOTA[[#This Row],[TGL.NOTA]]="",IF(NOTA[[#This Row],[SUPPLIER_H]]="","",AM847),MONTH(NOTA[[#This Row],[TGL.NOTA]]))</f>
        <v/>
      </c>
      <c r="AN8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8" s="35" t="str">
        <f>IF(NOTA[[#This Row],[CONCAT1]]="","",MATCH(NOTA[[#This Row],[CONCAT1]],[3]!db[NB NOTA_C],0))</f>
        <v/>
      </c>
      <c r="AS848" s="35" t="str">
        <f>IF(NOTA[[#This Row],[Column5]]="","",TRUE)</f>
        <v/>
      </c>
      <c r="AT848" s="35" t="str">
        <f ca="1">IF(NOTA[[#This Row],[ID_H]]="","",IF(NOTA[[#This Row],[Column3]]=TRUE,NOTA[[#This Row],[Column5]],INDEX([3]!db[QTY/ CTN],NOTA[[#This Row],[//DB]])))</f>
        <v/>
      </c>
      <c r="AU8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8" s="35" t="str">
        <f ca="1">IF(NOTA[[#This Row],[ID_H]]="","",MATCH(NOTA[[#This Row],[NB NOTA_C_QTY]],[3]!db[NB NOTA_C_QTY+F],0))</f>
        <v/>
      </c>
      <c r="AW848" s="43" t="str">
        <f ca="1">IF(NOTA[[#This Row],[NB NOTA_C_QTY]]="","",ROW()-2)</f>
        <v/>
      </c>
    </row>
    <row r="849" spans="1:49" ht="20.100000000000001" customHeight="1">
      <c r="A8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5" t="str">
        <f ca="1">IF(NOTA[[#This Row],[NAMA BARANG]]="","",INDEX(NOTA[ID],MATCH(,INDIRECT(ADDRESS(ROW(NOTA[ID]),COLUMN(NOTA[ID]))&amp;":"&amp;ADDRESS(ROW(),COLUMN(NOTA[ID]))),-1)))</f>
        <v/>
      </c>
      <c r="C849" s="45"/>
      <c r="F849" s="46"/>
      <c r="G849" s="35"/>
      <c r="H849" s="36"/>
      <c r="I849" s="35"/>
      <c r="K849" s="37"/>
      <c r="L849" s="35"/>
      <c r="N849" s="38"/>
      <c r="O849" s="39"/>
      <c r="P849" s="47"/>
      <c r="Q849" s="48"/>
      <c r="R849" s="41"/>
      <c r="T849" s="42"/>
      <c r="U849" s="44"/>
      <c r="V849" s="42" t="str">
        <f>IF(NOTA[[#This Row],[HARGA/ CTN]]="",NOTA[[#This Row],[JUMLAH_H]],NOTA[[#This Row],[HARGA/ CTN]]*IF(NOTA[[#This Row],[C]]="",0,NOTA[[#This Row],[C]]))</f>
        <v/>
      </c>
      <c r="W849" s="42" t="str">
        <f>IF(NOTA[[#This Row],[JUMLAH]]="","",NOTA[[#This Row],[JUMLAH]]*NOTA[[#This Row],[Column6]])</f>
        <v/>
      </c>
      <c r="X849" s="42" t="str">
        <f>IF(NOTA[[#This Row],[JUMLAH]]="","",(NOTA[[#This Row],[JUMLAH]]-NOTA[[#This Row],[DISC 1-]])*NOTA[[#This Row],[Column7]])</f>
        <v/>
      </c>
      <c r="Y849" s="42" t="str">
        <f>IF(NOTA[[#This Row],[JUMLAH]]="","",(NOTA[[#This Row],[JUMLAH]]-NOTA[[#This Row],[DISC 1-]]-NOTA[[#This Row],[DISC 2-]])*NOTA[[#This Row],[Column8]])</f>
        <v/>
      </c>
      <c r="Z849" s="42" t="str">
        <f>IF(NOTA[[#This Row],[JUMLAH]]="","",NOTA[[#This Row],[DISC 1-]]+NOTA[[#This Row],[DISC 2-]]+NOTA[[#This Row],[DISC 3-]])</f>
        <v/>
      </c>
      <c r="AA849" s="42" t="str">
        <f>IF(NOTA[[#This Row],[JUMLAH]]="","",NOTA[[#This Row],[JUMLAH]]-NOTA[[#This Row],[DISC]])</f>
        <v/>
      </c>
      <c r="AB849" s="42"/>
      <c r="AC8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42" t="str">
        <f>IF(OR(NOTA[[#This Row],[QTY]]="",NOTA[[#This Row],[HARGA SATUAN]]="",),"",NOTA[[#This Row],[QTY]]*NOTA[[#This Row],[HARGA SATUAN]])</f>
        <v/>
      </c>
      <c r="AG849" s="36" t="str">
        <f ca="1">IF(NOTA[[#This Row],[ID_H]]="","",INDEX(NOTA[TANGGAL],MATCH(,INDIRECT(ADDRESS(ROW(NOTA[TANGGAL]),COLUMN(NOTA[TANGGAL]))&amp;":"&amp;ADDRESS(ROW(),COLUMN(NOTA[TANGGAL]))),-1)))</f>
        <v/>
      </c>
      <c r="AH849" s="36" t="str">
        <f ca="1">IF(NOTA[[#This Row],[ID_H]]="","",INDEX(NOTA[TGL.NOTA],MATCH(,INDIRECT(ADDRESS(ROW(NOTA[TGL.NOTA]),COLUMN(NOTA[TGL.NOTA]))&amp;":"&amp;ADDRESS(ROW(),COLUMN(NOTA[TGL.NOTA]))),-1)))</f>
        <v/>
      </c>
      <c r="AI849" s="36" t="str">
        <f ca="1">IF(NOTA[[#This Row],[ID_H]]="","",INDEX(NOTA[NO.NOTA],MATCH(NOTA[[#This Row],[ID_H]],NOTA[ID_H],0)))</f>
        <v/>
      </c>
      <c r="AJ849" s="38" t="str">
        <f ca="1">IF(NOTA[[#This Row],[NAMA BARANG]]="","",INDEX(NOTA[SUPPLIER],MATCH(,INDIRECT(ADDRESS(ROW(NOTA[ID]),COLUMN(NOTA[ID]))&amp;":"&amp;ADDRESS(ROW(),COLUMN(NOTA[ID]))),-1)))</f>
        <v/>
      </c>
      <c r="AK849" s="38" t="str">
        <f ca="1">IF(NOTA[[#This Row],[ID_H]]="","",IF(NOTA[[#This Row],[FAKTUR]]="",INDIRECT(ADDRESS(ROW()-1,COLUMN())),NOTA[[#This Row],[FAKTUR]]))</f>
        <v/>
      </c>
      <c r="AL849" s="35" t="str">
        <f ca="1">IF(NOTA[[#This Row],[ID]]="","",COUNTIF(NOTA[ID_H],NOTA[[#This Row],[ID_H]]))</f>
        <v/>
      </c>
      <c r="AM849" s="35" t="str">
        <f ca="1">IF(NOTA[[#This Row],[TGL.NOTA]]="",IF(NOTA[[#This Row],[SUPPLIER_H]]="","",AM848),MONTH(NOTA[[#This Row],[TGL.NOTA]]))</f>
        <v/>
      </c>
      <c r="AN8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9" s="35" t="str">
        <f>IF(NOTA[[#This Row],[CONCAT1]]="","",MATCH(NOTA[[#This Row],[CONCAT1]],[3]!db[NB NOTA_C],0))</f>
        <v/>
      </c>
      <c r="AS849" s="35" t="str">
        <f>IF(NOTA[[#This Row],[Column5]]="","",TRUE)</f>
        <v/>
      </c>
      <c r="AT849" s="35" t="str">
        <f ca="1">IF(NOTA[[#This Row],[ID_H]]="","",IF(NOTA[[#This Row],[Column3]]=TRUE,NOTA[[#This Row],[Column5]],INDEX([3]!db[QTY/ CTN],NOTA[[#This Row],[//DB]])))</f>
        <v/>
      </c>
      <c r="AU8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49" s="35" t="str">
        <f ca="1">IF(NOTA[[#This Row],[ID_H]]="","",MATCH(NOTA[[#This Row],[NB NOTA_C_QTY]],[3]!db[NB NOTA_C_QTY+F],0))</f>
        <v/>
      </c>
      <c r="AW849" s="43" t="str">
        <f ca="1">IF(NOTA[[#This Row],[NB NOTA_C_QTY]]="","",ROW()-2)</f>
        <v/>
      </c>
    </row>
    <row r="850" spans="1:49" ht="20.100000000000001" customHeight="1">
      <c r="A8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5" t="str">
        <f ca="1">IF(NOTA[[#This Row],[NAMA BARANG]]="","",INDEX(NOTA[ID],MATCH(,INDIRECT(ADDRESS(ROW(NOTA[ID]),COLUMN(NOTA[ID]))&amp;":"&amp;ADDRESS(ROW(),COLUMN(NOTA[ID]))),-1)))</f>
        <v/>
      </c>
      <c r="C850" s="45"/>
      <c r="F850" s="46"/>
      <c r="G850" s="35"/>
      <c r="H850" s="36"/>
      <c r="I850" s="35"/>
      <c r="K850" s="37"/>
      <c r="L850" s="35"/>
      <c r="N850" s="38"/>
      <c r="O850" s="39"/>
      <c r="P850" s="47"/>
      <c r="Q850" s="48"/>
      <c r="R850" s="41"/>
      <c r="T850" s="42"/>
      <c r="U850" s="44"/>
      <c r="V850" s="42" t="str">
        <f>IF(NOTA[[#This Row],[HARGA/ CTN]]="",NOTA[[#This Row],[JUMLAH_H]],NOTA[[#This Row],[HARGA/ CTN]]*IF(NOTA[[#This Row],[C]]="",0,NOTA[[#This Row],[C]]))</f>
        <v/>
      </c>
      <c r="W850" s="42" t="str">
        <f>IF(NOTA[[#This Row],[JUMLAH]]="","",NOTA[[#This Row],[JUMLAH]]*NOTA[[#This Row],[Column6]])</f>
        <v/>
      </c>
      <c r="X850" s="42" t="str">
        <f>IF(NOTA[[#This Row],[JUMLAH]]="","",(NOTA[[#This Row],[JUMLAH]]-NOTA[[#This Row],[DISC 1-]])*NOTA[[#This Row],[Column7]])</f>
        <v/>
      </c>
      <c r="Y850" s="42" t="str">
        <f>IF(NOTA[[#This Row],[JUMLAH]]="","",(NOTA[[#This Row],[JUMLAH]]-NOTA[[#This Row],[DISC 1-]]-NOTA[[#This Row],[DISC 2-]])*NOTA[[#This Row],[Column8]])</f>
        <v/>
      </c>
      <c r="Z850" s="42" t="str">
        <f>IF(NOTA[[#This Row],[JUMLAH]]="","",NOTA[[#This Row],[DISC 1-]]+NOTA[[#This Row],[DISC 2-]]+NOTA[[#This Row],[DISC 3-]])</f>
        <v/>
      </c>
      <c r="AA850" s="42" t="str">
        <f>IF(NOTA[[#This Row],[JUMLAH]]="","",NOTA[[#This Row],[JUMLAH]]-NOTA[[#This Row],[DISC]])</f>
        <v/>
      </c>
      <c r="AB850" s="42"/>
      <c r="AC8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42" t="str">
        <f>IF(OR(NOTA[[#This Row],[QTY]]="",NOTA[[#This Row],[HARGA SATUAN]]="",),"",NOTA[[#This Row],[QTY]]*NOTA[[#This Row],[HARGA SATUAN]])</f>
        <v/>
      </c>
      <c r="AG850" s="36" t="str">
        <f ca="1">IF(NOTA[[#This Row],[ID_H]]="","",INDEX(NOTA[TANGGAL],MATCH(,INDIRECT(ADDRESS(ROW(NOTA[TANGGAL]),COLUMN(NOTA[TANGGAL]))&amp;":"&amp;ADDRESS(ROW(),COLUMN(NOTA[TANGGAL]))),-1)))</f>
        <v/>
      </c>
      <c r="AH850" s="36" t="str">
        <f ca="1">IF(NOTA[[#This Row],[ID_H]]="","",INDEX(NOTA[TGL.NOTA],MATCH(,INDIRECT(ADDRESS(ROW(NOTA[TGL.NOTA]),COLUMN(NOTA[TGL.NOTA]))&amp;":"&amp;ADDRESS(ROW(),COLUMN(NOTA[TGL.NOTA]))),-1)))</f>
        <v/>
      </c>
      <c r="AI850" s="36" t="str">
        <f ca="1">IF(NOTA[[#This Row],[ID_H]]="","",INDEX(NOTA[NO.NOTA],MATCH(NOTA[[#This Row],[ID_H]],NOTA[ID_H],0)))</f>
        <v/>
      </c>
      <c r="AJ850" s="38" t="str">
        <f ca="1">IF(NOTA[[#This Row],[NAMA BARANG]]="","",INDEX(NOTA[SUPPLIER],MATCH(,INDIRECT(ADDRESS(ROW(NOTA[ID]),COLUMN(NOTA[ID]))&amp;":"&amp;ADDRESS(ROW(),COLUMN(NOTA[ID]))),-1)))</f>
        <v/>
      </c>
      <c r="AK850" s="38" t="str">
        <f ca="1">IF(NOTA[[#This Row],[ID_H]]="","",IF(NOTA[[#This Row],[FAKTUR]]="",INDIRECT(ADDRESS(ROW()-1,COLUMN())),NOTA[[#This Row],[FAKTUR]]))</f>
        <v/>
      </c>
      <c r="AL850" s="35" t="str">
        <f ca="1">IF(NOTA[[#This Row],[ID]]="","",COUNTIF(NOTA[ID_H],NOTA[[#This Row],[ID_H]]))</f>
        <v/>
      </c>
      <c r="AM850" s="35" t="str">
        <f ca="1">IF(NOTA[[#This Row],[TGL.NOTA]]="",IF(NOTA[[#This Row],[SUPPLIER_H]]="","",AM849),MONTH(NOTA[[#This Row],[TGL.NOTA]]))</f>
        <v/>
      </c>
      <c r="AN8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0" s="35" t="str">
        <f>IF(NOTA[[#This Row],[CONCAT1]]="","",MATCH(NOTA[[#This Row],[CONCAT1]],[3]!db[NB NOTA_C],0))</f>
        <v/>
      </c>
      <c r="AS850" s="35" t="str">
        <f>IF(NOTA[[#This Row],[Column5]]="","",TRUE)</f>
        <v/>
      </c>
      <c r="AT850" s="35" t="str">
        <f ca="1">IF(NOTA[[#This Row],[ID_H]]="","",IF(NOTA[[#This Row],[Column3]]=TRUE,NOTA[[#This Row],[Column5]],INDEX([3]!db[QTY/ CTN],NOTA[[#This Row],[//DB]])))</f>
        <v/>
      </c>
      <c r="AU8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0" s="35" t="str">
        <f ca="1">IF(NOTA[[#This Row],[ID_H]]="","",MATCH(NOTA[[#This Row],[NB NOTA_C_QTY]],[3]!db[NB NOTA_C_QTY+F],0))</f>
        <v/>
      </c>
      <c r="AW850" s="43" t="str">
        <f ca="1">IF(NOTA[[#This Row],[NB NOTA_C_QTY]]="","",ROW()-2)</f>
        <v/>
      </c>
    </row>
    <row r="851" spans="1:49" ht="20.100000000000001" customHeight="1">
      <c r="A8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5" t="str">
        <f ca="1">IF(NOTA[[#This Row],[NAMA BARANG]]="","",INDEX(NOTA[ID],MATCH(,INDIRECT(ADDRESS(ROW(NOTA[ID]),COLUMN(NOTA[ID]))&amp;":"&amp;ADDRESS(ROW(),COLUMN(NOTA[ID]))),-1)))</f>
        <v/>
      </c>
      <c r="C851" s="45"/>
      <c r="F851" s="46"/>
      <c r="G851" s="35"/>
      <c r="H851" s="36"/>
      <c r="I851" s="35"/>
      <c r="K851" s="37"/>
      <c r="L851" s="35"/>
      <c r="N851" s="38"/>
      <c r="O851" s="39"/>
      <c r="P851" s="47"/>
      <c r="Q851" s="48"/>
      <c r="R851" s="41"/>
      <c r="T851" s="42"/>
      <c r="U851" s="44"/>
      <c r="V851" s="42" t="str">
        <f>IF(NOTA[[#This Row],[HARGA/ CTN]]="",NOTA[[#This Row],[JUMLAH_H]],NOTA[[#This Row],[HARGA/ CTN]]*IF(NOTA[[#This Row],[C]]="",0,NOTA[[#This Row],[C]]))</f>
        <v/>
      </c>
      <c r="W851" s="42" t="str">
        <f>IF(NOTA[[#This Row],[JUMLAH]]="","",NOTA[[#This Row],[JUMLAH]]*NOTA[[#This Row],[Column6]])</f>
        <v/>
      </c>
      <c r="X851" s="42" t="str">
        <f>IF(NOTA[[#This Row],[JUMLAH]]="","",(NOTA[[#This Row],[JUMLAH]]-NOTA[[#This Row],[DISC 1-]])*NOTA[[#This Row],[Column7]])</f>
        <v/>
      </c>
      <c r="Y851" s="42" t="str">
        <f>IF(NOTA[[#This Row],[JUMLAH]]="","",(NOTA[[#This Row],[JUMLAH]]-NOTA[[#This Row],[DISC 1-]]-NOTA[[#This Row],[DISC 2-]])*NOTA[[#This Row],[Column8]])</f>
        <v/>
      </c>
      <c r="Z851" s="42" t="str">
        <f>IF(NOTA[[#This Row],[JUMLAH]]="","",NOTA[[#This Row],[DISC 1-]]+NOTA[[#This Row],[DISC 2-]]+NOTA[[#This Row],[DISC 3-]])</f>
        <v/>
      </c>
      <c r="AA851" s="42" t="str">
        <f>IF(NOTA[[#This Row],[JUMLAH]]="","",NOTA[[#This Row],[JUMLAH]]-NOTA[[#This Row],[DISC]])</f>
        <v/>
      </c>
      <c r="AB851" s="42"/>
      <c r="AC8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42" t="str">
        <f>IF(OR(NOTA[[#This Row],[QTY]]="",NOTA[[#This Row],[HARGA SATUAN]]="",),"",NOTA[[#This Row],[QTY]]*NOTA[[#This Row],[HARGA SATUAN]])</f>
        <v/>
      </c>
      <c r="AG851" s="36" t="str">
        <f ca="1">IF(NOTA[[#This Row],[ID_H]]="","",INDEX(NOTA[TANGGAL],MATCH(,INDIRECT(ADDRESS(ROW(NOTA[TANGGAL]),COLUMN(NOTA[TANGGAL]))&amp;":"&amp;ADDRESS(ROW(),COLUMN(NOTA[TANGGAL]))),-1)))</f>
        <v/>
      </c>
      <c r="AH851" s="36" t="str">
        <f ca="1">IF(NOTA[[#This Row],[ID_H]]="","",INDEX(NOTA[TGL.NOTA],MATCH(,INDIRECT(ADDRESS(ROW(NOTA[TGL.NOTA]),COLUMN(NOTA[TGL.NOTA]))&amp;":"&amp;ADDRESS(ROW(),COLUMN(NOTA[TGL.NOTA]))),-1)))</f>
        <v/>
      </c>
      <c r="AI851" s="36" t="str">
        <f ca="1">IF(NOTA[[#This Row],[ID_H]]="","",INDEX(NOTA[NO.NOTA],MATCH(NOTA[[#This Row],[ID_H]],NOTA[ID_H],0)))</f>
        <v/>
      </c>
      <c r="AJ851" s="38" t="str">
        <f ca="1">IF(NOTA[[#This Row],[NAMA BARANG]]="","",INDEX(NOTA[SUPPLIER],MATCH(,INDIRECT(ADDRESS(ROW(NOTA[ID]),COLUMN(NOTA[ID]))&amp;":"&amp;ADDRESS(ROW(),COLUMN(NOTA[ID]))),-1)))</f>
        <v/>
      </c>
      <c r="AK851" s="38" t="str">
        <f ca="1">IF(NOTA[[#This Row],[ID_H]]="","",IF(NOTA[[#This Row],[FAKTUR]]="",INDIRECT(ADDRESS(ROW()-1,COLUMN())),NOTA[[#This Row],[FAKTUR]]))</f>
        <v/>
      </c>
      <c r="AL851" s="35" t="str">
        <f ca="1">IF(NOTA[[#This Row],[ID]]="","",COUNTIF(NOTA[ID_H],NOTA[[#This Row],[ID_H]]))</f>
        <v/>
      </c>
      <c r="AM851" s="35" t="str">
        <f ca="1">IF(NOTA[[#This Row],[TGL.NOTA]]="",IF(NOTA[[#This Row],[SUPPLIER_H]]="","",AM850),MONTH(NOTA[[#This Row],[TGL.NOTA]]))</f>
        <v/>
      </c>
      <c r="AN8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1" s="35" t="str">
        <f>IF(NOTA[[#This Row],[CONCAT1]]="","",MATCH(NOTA[[#This Row],[CONCAT1]],[3]!db[NB NOTA_C],0))</f>
        <v/>
      </c>
      <c r="AS851" s="35" t="str">
        <f>IF(NOTA[[#This Row],[Column5]]="","",TRUE)</f>
        <v/>
      </c>
      <c r="AT851" s="35" t="str">
        <f ca="1">IF(NOTA[[#This Row],[ID_H]]="","",IF(NOTA[[#This Row],[Column3]]=TRUE,NOTA[[#This Row],[Column5]],INDEX([3]!db[QTY/ CTN],NOTA[[#This Row],[//DB]])))</f>
        <v/>
      </c>
      <c r="AU8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1" s="35" t="str">
        <f ca="1">IF(NOTA[[#This Row],[ID_H]]="","",MATCH(NOTA[[#This Row],[NB NOTA_C_QTY]],[3]!db[NB NOTA_C_QTY+F],0))</f>
        <v/>
      </c>
      <c r="AW851" s="43" t="str">
        <f ca="1">IF(NOTA[[#This Row],[NB NOTA_C_QTY]]="","",ROW()-2)</f>
        <v/>
      </c>
    </row>
    <row r="852" spans="1:49" ht="20.100000000000001" customHeight="1">
      <c r="A8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5" t="str">
        <f ca="1">IF(NOTA[[#This Row],[NAMA BARANG]]="","",INDEX(NOTA[ID],MATCH(,INDIRECT(ADDRESS(ROW(NOTA[ID]),COLUMN(NOTA[ID]))&amp;":"&amp;ADDRESS(ROW(),COLUMN(NOTA[ID]))),-1)))</f>
        <v/>
      </c>
      <c r="C852" s="45"/>
      <c r="F852" s="46"/>
      <c r="G852" s="35"/>
      <c r="H852" s="36"/>
      <c r="I852" s="35"/>
      <c r="K852" s="37"/>
      <c r="L852" s="35"/>
      <c r="N852" s="38"/>
      <c r="O852" s="39"/>
      <c r="P852" s="47"/>
      <c r="Q852" s="48"/>
      <c r="R852" s="41"/>
      <c r="T852" s="42"/>
      <c r="U852" s="44"/>
      <c r="V852" s="42" t="str">
        <f>IF(NOTA[[#This Row],[HARGA/ CTN]]="",NOTA[[#This Row],[JUMLAH_H]],NOTA[[#This Row],[HARGA/ CTN]]*IF(NOTA[[#This Row],[C]]="",0,NOTA[[#This Row],[C]]))</f>
        <v/>
      </c>
      <c r="W852" s="42" t="str">
        <f>IF(NOTA[[#This Row],[JUMLAH]]="","",NOTA[[#This Row],[JUMLAH]]*NOTA[[#This Row],[Column6]])</f>
        <v/>
      </c>
      <c r="X852" s="42" t="str">
        <f>IF(NOTA[[#This Row],[JUMLAH]]="","",(NOTA[[#This Row],[JUMLAH]]-NOTA[[#This Row],[DISC 1-]])*NOTA[[#This Row],[Column7]])</f>
        <v/>
      </c>
      <c r="Y852" s="42" t="str">
        <f>IF(NOTA[[#This Row],[JUMLAH]]="","",(NOTA[[#This Row],[JUMLAH]]-NOTA[[#This Row],[DISC 1-]]-NOTA[[#This Row],[DISC 2-]])*NOTA[[#This Row],[Column8]])</f>
        <v/>
      </c>
      <c r="Z852" s="42" t="str">
        <f>IF(NOTA[[#This Row],[JUMLAH]]="","",NOTA[[#This Row],[DISC 1-]]+NOTA[[#This Row],[DISC 2-]]+NOTA[[#This Row],[DISC 3-]])</f>
        <v/>
      </c>
      <c r="AA852" s="42" t="str">
        <f>IF(NOTA[[#This Row],[JUMLAH]]="","",NOTA[[#This Row],[JUMLAH]]-NOTA[[#This Row],[DISC]])</f>
        <v/>
      </c>
      <c r="AB852" s="42"/>
      <c r="AC8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42" t="str">
        <f>IF(OR(NOTA[[#This Row],[QTY]]="",NOTA[[#This Row],[HARGA SATUAN]]="",),"",NOTA[[#This Row],[QTY]]*NOTA[[#This Row],[HARGA SATUAN]])</f>
        <v/>
      </c>
      <c r="AG852" s="36" t="str">
        <f ca="1">IF(NOTA[[#This Row],[ID_H]]="","",INDEX(NOTA[TANGGAL],MATCH(,INDIRECT(ADDRESS(ROW(NOTA[TANGGAL]),COLUMN(NOTA[TANGGAL]))&amp;":"&amp;ADDRESS(ROW(),COLUMN(NOTA[TANGGAL]))),-1)))</f>
        <v/>
      </c>
      <c r="AH852" s="36" t="str">
        <f ca="1">IF(NOTA[[#This Row],[ID_H]]="","",INDEX(NOTA[TGL.NOTA],MATCH(,INDIRECT(ADDRESS(ROW(NOTA[TGL.NOTA]),COLUMN(NOTA[TGL.NOTA]))&amp;":"&amp;ADDRESS(ROW(),COLUMN(NOTA[TGL.NOTA]))),-1)))</f>
        <v/>
      </c>
      <c r="AI852" s="36" t="str">
        <f ca="1">IF(NOTA[[#This Row],[ID_H]]="","",INDEX(NOTA[NO.NOTA],MATCH(NOTA[[#This Row],[ID_H]],NOTA[ID_H],0)))</f>
        <v/>
      </c>
      <c r="AJ852" s="38" t="str">
        <f ca="1">IF(NOTA[[#This Row],[NAMA BARANG]]="","",INDEX(NOTA[SUPPLIER],MATCH(,INDIRECT(ADDRESS(ROW(NOTA[ID]),COLUMN(NOTA[ID]))&amp;":"&amp;ADDRESS(ROW(),COLUMN(NOTA[ID]))),-1)))</f>
        <v/>
      </c>
      <c r="AK852" s="38" t="str">
        <f ca="1">IF(NOTA[[#This Row],[ID_H]]="","",IF(NOTA[[#This Row],[FAKTUR]]="",INDIRECT(ADDRESS(ROW()-1,COLUMN())),NOTA[[#This Row],[FAKTUR]]))</f>
        <v/>
      </c>
      <c r="AL852" s="35" t="str">
        <f ca="1">IF(NOTA[[#This Row],[ID]]="","",COUNTIF(NOTA[ID_H],NOTA[[#This Row],[ID_H]]))</f>
        <v/>
      </c>
      <c r="AM852" s="35" t="str">
        <f ca="1">IF(NOTA[[#This Row],[TGL.NOTA]]="",IF(NOTA[[#This Row],[SUPPLIER_H]]="","",AM851),MONTH(NOTA[[#This Row],[TGL.NOTA]]))</f>
        <v/>
      </c>
      <c r="AN8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2" s="35" t="str">
        <f>IF(NOTA[[#This Row],[CONCAT1]]="","",MATCH(NOTA[[#This Row],[CONCAT1]],[3]!db[NB NOTA_C],0))</f>
        <v/>
      </c>
      <c r="AS852" s="35" t="str">
        <f>IF(NOTA[[#This Row],[Column5]]="","",TRUE)</f>
        <v/>
      </c>
      <c r="AT852" s="35" t="str">
        <f ca="1">IF(NOTA[[#This Row],[ID_H]]="","",IF(NOTA[[#This Row],[Column3]]=TRUE,NOTA[[#This Row],[Column5]],INDEX([3]!db[QTY/ CTN],NOTA[[#This Row],[//DB]])))</f>
        <v/>
      </c>
      <c r="AU8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2" s="35" t="str">
        <f ca="1">IF(NOTA[[#This Row],[ID_H]]="","",MATCH(NOTA[[#This Row],[NB NOTA_C_QTY]],[3]!db[NB NOTA_C_QTY+F],0))</f>
        <v/>
      </c>
      <c r="AW852" s="43" t="str">
        <f ca="1">IF(NOTA[[#This Row],[NB NOTA_C_QTY]]="","",ROW()-2)</f>
        <v/>
      </c>
    </row>
    <row r="853" spans="1:49" ht="20.100000000000001" customHeight="1">
      <c r="A8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5" t="str">
        <f ca="1">IF(NOTA[[#This Row],[NAMA BARANG]]="","",INDEX(NOTA[ID],MATCH(,INDIRECT(ADDRESS(ROW(NOTA[ID]),COLUMN(NOTA[ID]))&amp;":"&amp;ADDRESS(ROW(),COLUMN(NOTA[ID]))),-1)))</f>
        <v/>
      </c>
      <c r="C853" s="45"/>
      <c r="F853" s="46"/>
      <c r="G853" s="35"/>
      <c r="H853" s="36"/>
      <c r="I853" s="35"/>
      <c r="K853" s="37"/>
      <c r="L853" s="35"/>
      <c r="N853" s="38"/>
      <c r="O853" s="39"/>
      <c r="P853" s="47"/>
      <c r="Q853" s="48"/>
      <c r="R853" s="41"/>
      <c r="T853" s="42"/>
      <c r="U853" s="44"/>
      <c r="V853" s="42" t="str">
        <f>IF(NOTA[[#This Row],[HARGA/ CTN]]="",NOTA[[#This Row],[JUMLAH_H]],NOTA[[#This Row],[HARGA/ CTN]]*IF(NOTA[[#This Row],[C]]="",0,NOTA[[#This Row],[C]]))</f>
        <v/>
      </c>
      <c r="W853" s="42" t="str">
        <f>IF(NOTA[[#This Row],[JUMLAH]]="","",NOTA[[#This Row],[JUMLAH]]*NOTA[[#This Row],[Column6]])</f>
        <v/>
      </c>
      <c r="X853" s="42" t="str">
        <f>IF(NOTA[[#This Row],[JUMLAH]]="","",(NOTA[[#This Row],[JUMLAH]]-NOTA[[#This Row],[DISC 1-]])*NOTA[[#This Row],[Column7]])</f>
        <v/>
      </c>
      <c r="Y853" s="42" t="str">
        <f>IF(NOTA[[#This Row],[JUMLAH]]="","",(NOTA[[#This Row],[JUMLAH]]-NOTA[[#This Row],[DISC 1-]]-NOTA[[#This Row],[DISC 2-]])*NOTA[[#This Row],[Column8]])</f>
        <v/>
      </c>
      <c r="Z853" s="42" t="str">
        <f>IF(NOTA[[#This Row],[JUMLAH]]="","",NOTA[[#This Row],[DISC 1-]]+NOTA[[#This Row],[DISC 2-]]+NOTA[[#This Row],[DISC 3-]])</f>
        <v/>
      </c>
      <c r="AA853" s="42" t="str">
        <f>IF(NOTA[[#This Row],[JUMLAH]]="","",NOTA[[#This Row],[JUMLAH]]-NOTA[[#This Row],[DISC]])</f>
        <v/>
      </c>
      <c r="AB853" s="42"/>
      <c r="AC8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42" t="str">
        <f>IF(OR(NOTA[[#This Row],[QTY]]="",NOTA[[#This Row],[HARGA SATUAN]]="",),"",NOTA[[#This Row],[QTY]]*NOTA[[#This Row],[HARGA SATUAN]])</f>
        <v/>
      </c>
      <c r="AG853" s="36" t="str">
        <f ca="1">IF(NOTA[[#This Row],[ID_H]]="","",INDEX(NOTA[TANGGAL],MATCH(,INDIRECT(ADDRESS(ROW(NOTA[TANGGAL]),COLUMN(NOTA[TANGGAL]))&amp;":"&amp;ADDRESS(ROW(),COLUMN(NOTA[TANGGAL]))),-1)))</f>
        <v/>
      </c>
      <c r="AH853" s="36" t="str">
        <f ca="1">IF(NOTA[[#This Row],[ID_H]]="","",INDEX(NOTA[TGL.NOTA],MATCH(,INDIRECT(ADDRESS(ROW(NOTA[TGL.NOTA]),COLUMN(NOTA[TGL.NOTA]))&amp;":"&amp;ADDRESS(ROW(),COLUMN(NOTA[TGL.NOTA]))),-1)))</f>
        <v/>
      </c>
      <c r="AI853" s="36" t="str">
        <f ca="1">IF(NOTA[[#This Row],[ID_H]]="","",INDEX(NOTA[NO.NOTA],MATCH(NOTA[[#This Row],[ID_H]],NOTA[ID_H],0)))</f>
        <v/>
      </c>
      <c r="AJ853" s="38" t="str">
        <f ca="1">IF(NOTA[[#This Row],[NAMA BARANG]]="","",INDEX(NOTA[SUPPLIER],MATCH(,INDIRECT(ADDRESS(ROW(NOTA[ID]),COLUMN(NOTA[ID]))&amp;":"&amp;ADDRESS(ROW(),COLUMN(NOTA[ID]))),-1)))</f>
        <v/>
      </c>
      <c r="AK853" s="38" t="str">
        <f ca="1">IF(NOTA[[#This Row],[ID_H]]="","",IF(NOTA[[#This Row],[FAKTUR]]="",INDIRECT(ADDRESS(ROW()-1,COLUMN())),NOTA[[#This Row],[FAKTUR]]))</f>
        <v/>
      </c>
      <c r="AL853" s="35" t="str">
        <f ca="1">IF(NOTA[[#This Row],[ID]]="","",COUNTIF(NOTA[ID_H],NOTA[[#This Row],[ID_H]]))</f>
        <v/>
      </c>
      <c r="AM853" s="35" t="str">
        <f ca="1">IF(NOTA[[#This Row],[TGL.NOTA]]="",IF(NOTA[[#This Row],[SUPPLIER_H]]="","",AM852),MONTH(NOTA[[#This Row],[TGL.NOTA]]))</f>
        <v/>
      </c>
      <c r="AN8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3" s="35" t="str">
        <f>IF(NOTA[[#This Row],[CONCAT1]]="","",MATCH(NOTA[[#This Row],[CONCAT1]],[3]!db[NB NOTA_C],0))</f>
        <v/>
      </c>
      <c r="AS853" s="35" t="str">
        <f>IF(NOTA[[#This Row],[Column5]]="","",TRUE)</f>
        <v/>
      </c>
      <c r="AT853" s="35" t="str">
        <f ca="1">IF(NOTA[[#This Row],[ID_H]]="","",IF(NOTA[[#This Row],[Column3]]=TRUE,NOTA[[#This Row],[Column5]],INDEX([3]!db[QTY/ CTN],NOTA[[#This Row],[//DB]])))</f>
        <v/>
      </c>
      <c r="AU8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3" s="35" t="str">
        <f ca="1">IF(NOTA[[#This Row],[ID_H]]="","",MATCH(NOTA[[#This Row],[NB NOTA_C_QTY]],[3]!db[NB NOTA_C_QTY+F],0))</f>
        <v/>
      </c>
      <c r="AW853" s="43" t="str">
        <f ca="1">IF(NOTA[[#This Row],[NB NOTA_C_QTY]]="","",ROW()-2)</f>
        <v/>
      </c>
    </row>
    <row r="854" spans="1:49" ht="20.100000000000001" customHeight="1">
      <c r="A8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5" t="str">
        <f ca="1">IF(NOTA[[#This Row],[NAMA BARANG]]="","",INDEX(NOTA[ID],MATCH(,INDIRECT(ADDRESS(ROW(NOTA[ID]),COLUMN(NOTA[ID]))&amp;":"&amp;ADDRESS(ROW(),COLUMN(NOTA[ID]))),-1)))</f>
        <v/>
      </c>
      <c r="C854" s="45"/>
      <c r="F854" s="46"/>
      <c r="G854" s="35"/>
      <c r="H854" s="36"/>
      <c r="I854" s="35"/>
      <c r="K854" s="37"/>
      <c r="L854" s="35"/>
      <c r="N854" s="38"/>
      <c r="O854" s="39"/>
      <c r="P854" s="47"/>
      <c r="Q854" s="48"/>
      <c r="R854" s="41"/>
      <c r="T854" s="42"/>
      <c r="U854" s="44"/>
      <c r="V854" s="42" t="str">
        <f>IF(NOTA[[#This Row],[HARGA/ CTN]]="",NOTA[[#This Row],[JUMLAH_H]],NOTA[[#This Row],[HARGA/ CTN]]*IF(NOTA[[#This Row],[C]]="",0,NOTA[[#This Row],[C]]))</f>
        <v/>
      </c>
      <c r="W854" s="42" t="str">
        <f>IF(NOTA[[#This Row],[JUMLAH]]="","",NOTA[[#This Row],[JUMLAH]]*NOTA[[#This Row],[Column6]])</f>
        <v/>
      </c>
      <c r="X854" s="42" t="str">
        <f>IF(NOTA[[#This Row],[JUMLAH]]="","",(NOTA[[#This Row],[JUMLAH]]-NOTA[[#This Row],[DISC 1-]])*NOTA[[#This Row],[Column7]])</f>
        <v/>
      </c>
      <c r="Y854" s="42" t="str">
        <f>IF(NOTA[[#This Row],[JUMLAH]]="","",(NOTA[[#This Row],[JUMLAH]]-NOTA[[#This Row],[DISC 1-]]-NOTA[[#This Row],[DISC 2-]])*NOTA[[#This Row],[Column8]])</f>
        <v/>
      </c>
      <c r="Z854" s="42" t="str">
        <f>IF(NOTA[[#This Row],[JUMLAH]]="","",NOTA[[#This Row],[DISC 1-]]+NOTA[[#This Row],[DISC 2-]]+NOTA[[#This Row],[DISC 3-]])</f>
        <v/>
      </c>
      <c r="AA854" s="42" t="str">
        <f>IF(NOTA[[#This Row],[JUMLAH]]="","",NOTA[[#This Row],[JUMLAH]]-NOTA[[#This Row],[DISC]])</f>
        <v/>
      </c>
      <c r="AB854" s="42"/>
      <c r="AC8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42" t="str">
        <f>IF(OR(NOTA[[#This Row],[QTY]]="",NOTA[[#This Row],[HARGA SATUAN]]="",),"",NOTA[[#This Row],[QTY]]*NOTA[[#This Row],[HARGA SATUAN]])</f>
        <v/>
      </c>
      <c r="AG854" s="36" t="str">
        <f ca="1">IF(NOTA[[#This Row],[ID_H]]="","",INDEX(NOTA[TANGGAL],MATCH(,INDIRECT(ADDRESS(ROW(NOTA[TANGGAL]),COLUMN(NOTA[TANGGAL]))&amp;":"&amp;ADDRESS(ROW(),COLUMN(NOTA[TANGGAL]))),-1)))</f>
        <v/>
      </c>
      <c r="AH854" s="36" t="str">
        <f ca="1">IF(NOTA[[#This Row],[ID_H]]="","",INDEX(NOTA[TGL.NOTA],MATCH(,INDIRECT(ADDRESS(ROW(NOTA[TGL.NOTA]),COLUMN(NOTA[TGL.NOTA]))&amp;":"&amp;ADDRESS(ROW(),COLUMN(NOTA[TGL.NOTA]))),-1)))</f>
        <v/>
      </c>
      <c r="AI854" s="36" t="str">
        <f ca="1">IF(NOTA[[#This Row],[ID_H]]="","",INDEX(NOTA[NO.NOTA],MATCH(NOTA[[#This Row],[ID_H]],NOTA[ID_H],0)))</f>
        <v/>
      </c>
      <c r="AJ854" s="38" t="str">
        <f ca="1">IF(NOTA[[#This Row],[NAMA BARANG]]="","",INDEX(NOTA[SUPPLIER],MATCH(,INDIRECT(ADDRESS(ROW(NOTA[ID]),COLUMN(NOTA[ID]))&amp;":"&amp;ADDRESS(ROW(),COLUMN(NOTA[ID]))),-1)))</f>
        <v/>
      </c>
      <c r="AK854" s="38" t="str">
        <f ca="1">IF(NOTA[[#This Row],[ID_H]]="","",IF(NOTA[[#This Row],[FAKTUR]]="",INDIRECT(ADDRESS(ROW()-1,COLUMN())),NOTA[[#This Row],[FAKTUR]]))</f>
        <v/>
      </c>
      <c r="AL854" s="35" t="str">
        <f ca="1">IF(NOTA[[#This Row],[ID]]="","",COUNTIF(NOTA[ID_H],NOTA[[#This Row],[ID_H]]))</f>
        <v/>
      </c>
      <c r="AM854" s="35" t="str">
        <f ca="1">IF(NOTA[[#This Row],[TGL.NOTA]]="",IF(NOTA[[#This Row],[SUPPLIER_H]]="","",AM853),MONTH(NOTA[[#This Row],[TGL.NOTA]]))</f>
        <v/>
      </c>
      <c r="AN8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4" s="35" t="str">
        <f>IF(NOTA[[#This Row],[CONCAT1]]="","",MATCH(NOTA[[#This Row],[CONCAT1]],[3]!db[NB NOTA_C],0))</f>
        <v/>
      </c>
      <c r="AS854" s="35" t="str">
        <f>IF(NOTA[[#This Row],[Column5]]="","",TRUE)</f>
        <v/>
      </c>
      <c r="AT854" s="35" t="str">
        <f ca="1">IF(NOTA[[#This Row],[ID_H]]="","",IF(NOTA[[#This Row],[Column3]]=TRUE,NOTA[[#This Row],[Column5]],INDEX([3]!db[QTY/ CTN],NOTA[[#This Row],[//DB]])))</f>
        <v/>
      </c>
      <c r="AU8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4" s="35" t="str">
        <f ca="1">IF(NOTA[[#This Row],[ID_H]]="","",MATCH(NOTA[[#This Row],[NB NOTA_C_QTY]],[3]!db[NB NOTA_C_QTY+F],0))</f>
        <v/>
      </c>
      <c r="AW854" s="43" t="str">
        <f ca="1">IF(NOTA[[#This Row],[NB NOTA_C_QTY]]="","",ROW()-2)</f>
        <v/>
      </c>
    </row>
    <row r="855" spans="1:49" ht="20.100000000000001" customHeight="1">
      <c r="A8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5" t="str">
        <f ca="1">IF(NOTA[[#This Row],[NAMA BARANG]]="","",INDEX(NOTA[ID],MATCH(,INDIRECT(ADDRESS(ROW(NOTA[ID]),COLUMN(NOTA[ID]))&amp;":"&amp;ADDRESS(ROW(),COLUMN(NOTA[ID]))),-1)))</f>
        <v/>
      </c>
      <c r="C855" s="45"/>
      <c r="F855" s="46"/>
      <c r="G855" s="35"/>
      <c r="H855" s="36"/>
      <c r="I855" s="35"/>
      <c r="K855" s="37"/>
      <c r="L855" s="35"/>
      <c r="N855" s="38"/>
      <c r="O855" s="39"/>
      <c r="P855" s="47"/>
      <c r="Q855" s="48"/>
      <c r="R855" s="41"/>
      <c r="T855" s="42"/>
      <c r="U855" s="44"/>
      <c r="V855" s="42" t="str">
        <f>IF(NOTA[[#This Row],[HARGA/ CTN]]="",NOTA[[#This Row],[JUMLAH_H]],NOTA[[#This Row],[HARGA/ CTN]]*IF(NOTA[[#This Row],[C]]="",0,NOTA[[#This Row],[C]]))</f>
        <v/>
      </c>
      <c r="W855" s="42" t="str">
        <f>IF(NOTA[[#This Row],[JUMLAH]]="","",NOTA[[#This Row],[JUMLAH]]*NOTA[[#This Row],[Column6]])</f>
        <v/>
      </c>
      <c r="X855" s="42" t="str">
        <f>IF(NOTA[[#This Row],[JUMLAH]]="","",(NOTA[[#This Row],[JUMLAH]]-NOTA[[#This Row],[DISC 1-]])*NOTA[[#This Row],[Column7]])</f>
        <v/>
      </c>
      <c r="Y855" s="42" t="str">
        <f>IF(NOTA[[#This Row],[JUMLAH]]="","",(NOTA[[#This Row],[JUMLAH]]-NOTA[[#This Row],[DISC 1-]]-NOTA[[#This Row],[DISC 2-]])*NOTA[[#This Row],[Column8]])</f>
        <v/>
      </c>
      <c r="Z855" s="42" t="str">
        <f>IF(NOTA[[#This Row],[JUMLAH]]="","",NOTA[[#This Row],[DISC 1-]]+NOTA[[#This Row],[DISC 2-]]+NOTA[[#This Row],[DISC 3-]])</f>
        <v/>
      </c>
      <c r="AA855" s="42" t="str">
        <f>IF(NOTA[[#This Row],[JUMLAH]]="","",NOTA[[#This Row],[JUMLAH]]-NOTA[[#This Row],[DISC]])</f>
        <v/>
      </c>
      <c r="AB855" s="42"/>
      <c r="AC8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42" t="str">
        <f>IF(OR(NOTA[[#This Row],[QTY]]="",NOTA[[#This Row],[HARGA SATUAN]]="",),"",NOTA[[#This Row],[QTY]]*NOTA[[#This Row],[HARGA SATUAN]])</f>
        <v/>
      </c>
      <c r="AG855" s="36" t="str">
        <f ca="1">IF(NOTA[[#This Row],[ID_H]]="","",INDEX(NOTA[TANGGAL],MATCH(,INDIRECT(ADDRESS(ROW(NOTA[TANGGAL]),COLUMN(NOTA[TANGGAL]))&amp;":"&amp;ADDRESS(ROW(),COLUMN(NOTA[TANGGAL]))),-1)))</f>
        <v/>
      </c>
      <c r="AH855" s="36" t="str">
        <f ca="1">IF(NOTA[[#This Row],[ID_H]]="","",INDEX(NOTA[TGL.NOTA],MATCH(,INDIRECT(ADDRESS(ROW(NOTA[TGL.NOTA]),COLUMN(NOTA[TGL.NOTA]))&amp;":"&amp;ADDRESS(ROW(),COLUMN(NOTA[TGL.NOTA]))),-1)))</f>
        <v/>
      </c>
      <c r="AI855" s="36" t="str">
        <f ca="1">IF(NOTA[[#This Row],[ID_H]]="","",INDEX(NOTA[NO.NOTA],MATCH(NOTA[[#This Row],[ID_H]],NOTA[ID_H],0)))</f>
        <v/>
      </c>
      <c r="AJ855" s="38" t="str">
        <f ca="1">IF(NOTA[[#This Row],[NAMA BARANG]]="","",INDEX(NOTA[SUPPLIER],MATCH(,INDIRECT(ADDRESS(ROW(NOTA[ID]),COLUMN(NOTA[ID]))&amp;":"&amp;ADDRESS(ROW(),COLUMN(NOTA[ID]))),-1)))</f>
        <v/>
      </c>
      <c r="AK855" s="38" t="str">
        <f ca="1">IF(NOTA[[#This Row],[ID_H]]="","",IF(NOTA[[#This Row],[FAKTUR]]="",INDIRECT(ADDRESS(ROW()-1,COLUMN())),NOTA[[#This Row],[FAKTUR]]))</f>
        <v/>
      </c>
      <c r="AL855" s="35" t="str">
        <f ca="1">IF(NOTA[[#This Row],[ID]]="","",COUNTIF(NOTA[ID_H],NOTA[[#This Row],[ID_H]]))</f>
        <v/>
      </c>
      <c r="AM855" s="35" t="str">
        <f ca="1">IF(NOTA[[#This Row],[TGL.NOTA]]="",IF(NOTA[[#This Row],[SUPPLIER_H]]="","",AM854),MONTH(NOTA[[#This Row],[TGL.NOTA]]))</f>
        <v/>
      </c>
      <c r="AN8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5" s="35" t="str">
        <f>IF(NOTA[[#This Row],[CONCAT1]]="","",MATCH(NOTA[[#This Row],[CONCAT1]],[3]!db[NB NOTA_C],0))</f>
        <v/>
      </c>
      <c r="AS855" s="35" t="str">
        <f>IF(NOTA[[#This Row],[Column5]]="","",TRUE)</f>
        <v/>
      </c>
      <c r="AT855" s="35" t="str">
        <f ca="1">IF(NOTA[[#This Row],[ID_H]]="","",IF(NOTA[[#This Row],[Column3]]=TRUE,NOTA[[#This Row],[Column5]],INDEX([3]!db[QTY/ CTN],NOTA[[#This Row],[//DB]])))</f>
        <v/>
      </c>
      <c r="AU8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5" s="35" t="str">
        <f ca="1">IF(NOTA[[#This Row],[ID_H]]="","",MATCH(NOTA[[#This Row],[NB NOTA_C_QTY]],[3]!db[NB NOTA_C_QTY+F],0))</f>
        <v/>
      </c>
      <c r="AW855" s="43" t="str">
        <f ca="1">IF(NOTA[[#This Row],[NB NOTA_C_QTY]]="","",ROW()-2)</f>
        <v/>
      </c>
    </row>
    <row r="856" spans="1:49" ht="20.100000000000001" customHeight="1">
      <c r="A8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5" t="str">
        <f ca="1">IF(NOTA[[#This Row],[NAMA BARANG]]="","",INDEX(NOTA[ID],MATCH(,INDIRECT(ADDRESS(ROW(NOTA[ID]),COLUMN(NOTA[ID]))&amp;":"&amp;ADDRESS(ROW(),COLUMN(NOTA[ID]))),-1)))</f>
        <v/>
      </c>
      <c r="C856" s="45"/>
      <c r="F856" s="46"/>
      <c r="G856" s="35"/>
      <c r="H856" s="36"/>
      <c r="I856" s="35"/>
      <c r="K856" s="37"/>
      <c r="L856" s="35"/>
      <c r="N856" s="38"/>
      <c r="O856" s="39"/>
      <c r="P856" s="47"/>
      <c r="Q856" s="48"/>
      <c r="R856" s="41"/>
      <c r="T856" s="42"/>
      <c r="U856" s="44"/>
      <c r="V856" s="42" t="str">
        <f>IF(NOTA[[#This Row],[HARGA/ CTN]]="",NOTA[[#This Row],[JUMLAH_H]],NOTA[[#This Row],[HARGA/ CTN]]*IF(NOTA[[#This Row],[C]]="",0,NOTA[[#This Row],[C]]))</f>
        <v/>
      </c>
      <c r="W856" s="42" t="str">
        <f>IF(NOTA[[#This Row],[JUMLAH]]="","",NOTA[[#This Row],[JUMLAH]]*NOTA[[#This Row],[Column6]])</f>
        <v/>
      </c>
      <c r="X856" s="42" t="str">
        <f>IF(NOTA[[#This Row],[JUMLAH]]="","",(NOTA[[#This Row],[JUMLAH]]-NOTA[[#This Row],[DISC 1-]])*NOTA[[#This Row],[Column7]])</f>
        <v/>
      </c>
      <c r="Y856" s="42" t="str">
        <f>IF(NOTA[[#This Row],[JUMLAH]]="","",(NOTA[[#This Row],[JUMLAH]]-NOTA[[#This Row],[DISC 1-]]-NOTA[[#This Row],[DISC 2-]])*NOTA[[#This Row],[Column8]])</f>
        <v/>
      </c>
      <c r="Z856" s="42" t="str">
        <f>IF(NOTA[[#This Row],[JUMLAH]]="","",NOTA[[#This Row],[DISC 1-]]+NOTA[[#This Row],[DISC 2-]]+NOTA[[#This Row],[DISC 3-]])</f>
        <v/>
      </c>
      <c r="AA856" s="42" t="str">
        <f>IF(NOTA[[#This Row],[JUMLAH]]="","",NOTA[[#This Row],[JUMLAH]]-NOTA[[#This Row],[DISC]])</f>
        <v/>
      </c>
      <c r="AB856" s="42"/>
      <c r="AC8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42" t="str">
        <f>IF(OR(NOTA[[#This Row],[QTY]]="",NOTA[[#This Row],[HARGA SATUAN]]="",),"",NOTA[[#This Row],[QTY]]*NOTA[[#This Row],[HARGA SATUAN]])</f>
        <v/>
      </c>
      <c r="AG856" s="36" t="str">
        <f ca="1">IF(NOTA[[#This Row],[ID_H]]="","",INDEX(NOTA[TANGGAL],MATCH(,INDIRECT(ADDRESS(ROW(NOTA[TANGGAL]),COLUMN(NOTA[TANGGAL]))&amp;":"&amp;ADDRESS(ROW(),COLUMN(NOTA[TANGGAL]))),-1)))</f>
        <v/>
      </c>
      <c r="AH856" s="36" t="str">
        <f ca="1">IF(NOTA[[#This Row],[ID_H]]="","",INDEX(NOTA[TGL.NOTA],MATCH(,INDIRECT(ADDRESS(ROW(NOTA[TGL.NOTA]),COLUMN(NOTA[TGL.NOTA]))&amp;":"&amp;ADDRESS(ROW(),COLUMN(NOTA[TGL.NOTA]))),-1)))</f>
        <v/>
      </c>
      <c r="AI856" s="36" t="str">
        <f ca="1">IF(NOTA[[#This Row],[ID_H]]="","",INDEX(NOTA[NO.NOTA],MATCH(NOTA[[#This Row],[ID_H]],NOTA[ID_H],0)))</f>
        <v/>
      </c>
      <c r="AJ856" s="38" t="str">
        <f ca="1">IF(NOTA[[#This Row],[NAMA BARANG]]="","",INDEX(NOTA[SUPPLIER],MATCH(,INDIRECT(ADDRESS(ROW(NOTA[ID]),COLUMN(NOTA[ID]))&amp;":"&amp;ADDRESS(ROW(),COLUMN(NOTA[ID]))),-1)))</f>
        <v/>
      </c>
      <c r="AK856" s="38" t="str">
        <f ca="1">IF(NOTA[[#This Row],[ID_H]]="","",IF(NOTA[[#This Row],[FAKTUR]]="",INDIRECT(ADDRESS(ROW()-1,COLUMN())),NOTA[[#This Row],[FAKTUR]]))</f>
        <v/>
      </c>
      <c r="AL856" s="35" t="str">
        <f ca="1">IF(NOTA[[#This Row],[ID]]="","",COUNTIF(NOTA[ID_H],NOTA[[#This Row],[ID_H]]))</f>
        <v/>
      </c>
      <c r="AM856" s="35" t="str">
        <f ca="1">IF(NOTA[[#This Row],[TGL.NOTA]]="",IF(NOTA[[#This Row],[SUPPLIER_H]]="","",AM855),MONTH(NOTA[[#This Row],[TGL.NOTA]]))</f>
        <v/>
      </c>
      <c r="AN8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6" s="35" t="str">
        <f>IF(NOTA[[#This Row],[CONCAT1]]="","",MATCH(NOTA[[#This Row],[CONCAT1]],[3]!db[NB NOTA_C],0))</f>
        <v/>
      </c>
      <c r="AS856" s="35" t="str">
        <f>IF(NOTA[[#This Row],[Column5]]="","",TRUE)</f>
        <v/>
      </c>
      <c r="AT856" s="35" t="str">
        <f ca="1">IF(NOTA[[#This Row],[ID_H]]="","",IF(NOTA[[#This Row],[Column3]]=TRUE,NOTA[[#This Row],[Column5]],INDEX([3]!db[QTY/ CTN],NOTA[[#This Row],[//DB]])))</f>
        <v/>
      </c>
      <c r="AU8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6" s="35" t="str">
        <f ca="1">IF(NOTA[[#This Row],[ID_H]]="","",MATCH(NOTA[[#This Row],[NB NOTA_C_QTY]],[3]!db[NB NOTA_C_QTY+F],0))</f>
        <v/>
      </c>
      <c r="AW856" s="43" t="str">
        <f ca="1">IF(NOTA[[#This Row],[NB NOTA_C_QTY]]="","",ROW()-2)</f>
        <v/>
      </c>
    </row>
    <row r="857" spans="1:49" ht="20.100000000000001" customHeight="1">
      <c r="A8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5" t="str">
        <f ca="1">IF(NOTA[[#This Row],[NAMA BARANG]]="","",INDEX(NOTA[ID],MATCH(,INDIRECT(ADDRESS(ROW(NOTA[ID]),COLUMN(NOTA[ID]))&amp;":"&amp;ADDRESS(ROW(),COLUMN(NOTA[ID]))),-1)))</f>
        <v/>
      </c>
      <c r="C857" s="45"/>
      <c r="F857" s="46"/>
      <c r="G857" s="35"/>
      <c r="H857" s="36"/>
      <c r="I857" s="35"/>
      <c r="K857" s="37"/>
      <c r="L857" s="35"/>
      <c r="N857" s="38"/>
      <c r="O857" s="39"/>
      <c r="P857" s="47"/>
      <c r="Q857" s="48"/>
      <c r="R857" s="41"/>
      <c r="T857" s="42"/>
      <c r="U857" s="44"/>
      <c r="V857" s="42" t="str">
        <f>IF(NOTA[[#This Row],[HARGA/ CTN]]="",NOTA[[#This Row],[JUMLAH_H]],NOTA[[#This Row],[HARGA/ CTN]]*IF(NOTA[[#This Row],[C]]="",0,NOTA[[#This Row],[C]]))</f>
        <v/>
      </c>
      <c r="W857" s="42" t="str">
        <f>IF(NOTA[[#This Row],[JUMLAH]]="","",NOTA[[#This Row],[JUMLAH]]*NOTA[[#This Row],[Column6]])</f>
        <v/>
      </c>
      <c r="X857" s="42" t="str">
        <f>IF(NOTA[[#This Row],[JUMLAH]]="","",(NOTA[[#This Row],[JUMLAH]]-NOTA[[#This Row],[DISC 1-]])*NOTA[[#This Row],[Column7]])</f>
        <v/>
      </c>
      <c r="Y857" s="42" t="str">
        <f>IF(NOTA[[#This Row],[JUMLAH]]="","",(NOTA[[#This Row],[JUMLAH]]-NOTA[[#This Row],[DISC 1-]]-NOTA[[#This Row],[DISC 2-]])*NOTA[[#This Row],[Column8]])</f>
        <v/>
      </c>
      <c r="Z857" s="42" t="str">
        <f>IF(NOTA[[#This Row],[JUMLAH]]="","",NOTA[[#This Row],[DISC 1-]]+NOTA[[#This Row],[DISC 2-]]+NOTA[[#This Row],[DISC 3-]])</f>
        <v/>
      </c>
      <c r="AA857" s="42" t="str">
        <f>IF(NOTA[[#This Row],[JUMLAH]]="","",NOTA[[#This Row],[JUMLAH]]-NOTA[[#This Row],[DISC]])</f>
        <v/>
      </c>
      <c r="AB857" s="42"/>
      <c r="AC8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42" t="str">
        <f>IF(OR(NOTA[[#This Row],[QTY]]="",NOTA[[#This Row],[HARGA SATUAN]]="",),"",NOTA[[#This Row],[QTY]]*NOTA[[#This Row],[HARGA SATUAN]])</f>
        <v/>
      </c>
      <c r="AG857" s="36" t="str">
        <f ca="1">IF(NOTA[[#This Row],[ID_H]]="","",INDEX(NOTA[TANGGAL],MATCH(,INDIRECT(ADDRESS(ROW(NOTA[TANGGAL]),COLUMN(NOTA[TANGGAL]))&amp;":"&amp;ADDRESS(ROW(),COLUMN(NOTA[TANGGAL]))),-1)))</f>
        <v/>
      </c>
      <c r="AH857" s="36" t="str">
        <f ca="1">IF(NOTA[[#This Row],[ID_H]]="","",INDEX(NOTA[TGL.NOTA],MATCH(,INDIRECT(ADDRESS(ROW(NOTA[TGL.NOTA]),COLUMN(NOTA[TGL.NOTA]))&amp;":"&amp;ADDRESS(ROW(),COLUMN(NOTA[TGL.NOTA]))),-1)))</f>
        <v/>
      </c>
      <c r="AI857" s="36" t="str">
        <f ca="1">IF(NOTA[[#This Row],[ID_H]]="","",INDEX(NOTA[NO.NOTA],MATCH(NOTA[[#This Row],[ID_H]],NOTA[ID_H],0)))</f>
        <v/>
      </c>
      <c r="AJ857" s="38" t="str">
        <f ca="1">IF(NOTA[[#This Row],[NAMA BARANG]]="","",INDEX(NOTA[SUPPLIER],MATCH(,INDIRECT(ADDRESS(ROW(NOTA[ID]),COLUMN(NOTA[ID]))&amp;":"&amp;ADDRESS(ROW(),COLUMN(NOTA[ID]))),-1)))</f>
        <v/>
      </c>
      <c r="AK857" s="38" t="str">
        <f ca="1">IF(NOTA[[#This Row],[ID_H]]="","",IF(NOTA[[#This Row],[FAKTUR]]="",INDIRECT(ADDRESS(ROW()-1,COLUMN())),NOTA[[#This Row],[FAKTUR]]))</f>
        <v/>
      </c>
      <c r="AL857" s="35" t="str">
        <f ca="1">IF(NOTA[[#This Row],[ID]]="","",COUNTIF(NOTA[ID_H],NOTA[[#This Row],[ID_H]]))</f>
        <v/>
      </c>
      <c r="AM857" s="35" t="str">
        <f ca="1">IF(NOTA[[#This Row],[TGL.NOTA]]="",IF(NOTA[[#This Row],[SUPPLIER_H]]="","",AM856),MONTH(NOTA[[#This Row],[TGL.NOTA]]))</f>
        <v/>
      </c>
      <c r="AN8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7" s="35" t="str">
        <f>IF(NOTA[[#This Row],[CONCAT1]]="","",MATCH(NOTA[[#This Row],[CONCAT1]],[3]!db[NB NOTA_C],0))</f>
        <v/>
      </c>
      <c r="AS857" s="35" t="str">
        <f>IF(NOTA[[#This Row],[Column5]]="","",TRUE)</f>
        <v/>
      </c>
      <c r="AT857" s="35" t="str">
        <f ca="1">IF(NOTA[[#This Row],[ID_H]]="","",IF(NOTA[[#This Row],[Column3]]=TRUE,NOTA[[#This Row],[Column5]],INDEX([3]!db[QTY/ CTN],NOTA[[#This Row],[//DB]])))</f>
        <v/>
      </c>
      <c r="AU8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7" s="35" t="str">
        <f ca="1">IF(NOTA[[#This Row],[ID_H]]="","",MATCH(NOTA[[#This Row],[NB NOTA_C_QTY]],[3]!db[NB NOTA_C_QTY+F],0))</f>
        <v/>
      </c>
      <c r="AW857" s="43" t="str">
        <f ca="1">IF(NOTA[[#This Row],[NB NOTA_C_QTY]]="","",ROW()-2)</f>
        <v/>
      </c>
    </row>
    <row r="858" spans="1:49" ht="20.100000000000001" customHeight="1">
      <c r="A8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5" t="str">
        <f ca="1">IF(NOTA[[#This Row],[NAMA BARANG]]="","",INDEX(NOTA[ID],MATCH(,INDIRECT(ADDRESS(ROW(NOTA[ID]),COLUMN(NOTA[ID]))&amp;":"&amp;ADDRESS(ROW(),COLUMN(NOTA[ID]))),-1)))</f>
        <v/>
      </c>
      <c r="C858" s="45"/>
      <c r="F858" s="46"/>
      <c r="G858" s="35"/>
      <c r="H858" s="36"/>
      <c r="I858" s="35"/>
      <c r="K858" s="37"/>
      <c r="L858" s="35"/>
      <c r="N858" s="38"/>
      <c r="O858" s="39"/>
      <c r="P858" s="47"/>
      <c r="Q858" s="48"/>
      <c r="R858" s="41"/>
      <c r="T858" s="42"/>
      <c r="U858" s="44"/>
      <c r="V858" s="42" t="str">
        <f>IF(NOTA[[#This Row],[HARGA/ CTN]]="",NOTA[[#This Row],[JUMLAH_H]],NOTA[[#This Row],[HARGA/ CTN]]*IF(NOTA[[#This Row],[C]]="",0,NOTA[[#This Row],[C]]))</f>
        <v/>
      </c>
      <c r="W858" s="42" t="str">
        <f>IF(NOTA[[#This Row],[JUMLAH]]="","",NOTA[[#This Row],[JUMLAH]]*NOTA[[#This Row],[Column6]])</f>
        <v/>
      </c>
      <c r="X858" s="42" t="str">
        <f>IF(NOTA[[#This Row],[JUMLAH]]="","",(NOTA[[#This Row],[JUMLAH]]-NOTA[[#This Row],[DISC 1-]])*NOTA[[#This Row],[Column7]])</f>
        <v/>
      </c>
      <c r="Y858" s="42" t="str">
        <f>IF(NOTA[[#This Row],[JUMLAH]]="","",(NOTA[[#This Row],[JUMLAH]]-NOTA[[#This Row],[DISC 1-]]-NOTA[[#This Row],[DISC 2-]])*NOTA[[#This Row],[Column8]])</f>
        <v/>
      </c>
      <c r="Z858" s="42" t="str">
        <f>IF(NOTA[[#This Row],[JUMLAH]]="","",NOTA[[#This Row],[DISC 1-]]+NOTA[[#This Row],[DISC 2-]]+NOTA[[#This Row],[DISC 3-]])</f>
        <v/>
      </c>
      <c r="AA858" s="42" t="str">
        <f>IF(NOTA[[#This Row],[JUMLAH]]="","",NOTA[[#This Row],[JUMLAH]]-NOTA[[#This Row],[DISC]])</f>
        <v/>
      </c>
      <c r="AB858" s="42"/>
      <c r="AC8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42" t="str">
        <f>IF(OR(NOTA[[#This Row],[QTY]]="",NOTA[[#This Row],[HARGA SATUAN]]="",),"",NOTA[[#This Row],[QTY]]*NOTA[[#This Row],[HARGA SATUAN]])</f>
        <v/>
      </c>
      <c r="AG858" s="36" t="str">
        <f ca="1">IF(NOTA[[#This Row],[ID_H]]="","",INDEX(NOTA[TANGGAL],MATCH(,INDIRECT(ADDRESS(ROW(NOTA[TANGGAL]),COLUMN(NOTA[TANGGAL]))&amp;":"&amp;ADDRESS(ROW(),COLUMN(NOTA[TANGGAL]))),-1)))</f>
        <v/>
      </c>
      <c r="AH858" s="36" t="str">
        <f ca="1">IF(NOTA[[#This Row],[ID_H]]="","",INDEX(NOTA[TGL.NOTA],MATCH(,INDIRECT(ADDRESS(ROW(NOTA[TGL.NOTA]),COLUMN(NOTA[TGL.NOTA]))&amp;":"&amp;ADDRESS(ROW(),COLUMN(NOTA[TGL.NOTA]))),-1)))</f>
        <v/>
      </c>
      <c r="AI858" s="36" t="str">
        <f ca="1">IF(NOTA[[#This Row],[ID_H]]="","",INDEX(NOTA[NO.NOTA],MATCH(NOTA[[#This Row],[ID_H]],NOTA[ID_H],0)))</f>
        <v/>
      </c>
      <c r="AJ858" s="38" t="str">
        <f ca="1">IF(NOTA[[#This Row],[NAMA BARANG]]="","",INDEX(NOTA[SUPPLIER],MATCH(,INDIRECT(ADDRESS(ROW(NOTA[ID]),COLUMN(NOTA[ID]))&amp;":"&amp;ADDRESS(ROW(),COLUMN(NOTA[ID]))),-1)))</f>
        <v/>
      </c>
      <c r="AK858" s="38" t="str">
        <f ca="1">IF(NOTA[[#This Row],[ID_H]]="","",IF(NOTA[[#This Row],[FAKTUR]]="",INDIRECT(ADDRESS(ROW()-1,COLUMN())),NOTA[[#This Row],[FAKTUR]]))</f>
        <v/>
      </c>
      <c r="AL858" s="35" t="str">
        <f ca="1">IF(NOTA[[#This Row],[ID]]="","",COUNTIF(NOTA[ID_H],NOTA[[#This Row],[ID_H]]))</f>
        <v/>
      </c>
      <c r="AM858" s="35" t="str">
        <f ca="1">IF(NOTA[[#This Row],[TGL.NOTA]]="",IF(NOTA[[#This Row],[SUPPLIER_H]]="","",AM857),MONTH(NOTA[[#This Row],[TGL.NOTA]]))</f>
        <v/>
      </c>
      <c r="AN8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8" s="35" t="str">
        <f>IF(NOTA[[#This Row],[CONCAT1]]="","",MATCH(NOTA[[#This Row],[CONCAT1]],[3]!db[NB NOTA_C],0))</f>
        <v/>
      </c>
      <c r="AS858" s="35" t="str">
        <f>IF(NOTA[[#This Row],[Column5]]="","",TRUE)</f>
        <v/>
      </c>
      <c r="AT858" s="35" t="str">
        <f ca="1">IF(NOTA[[#This Row],[ID_H]]="","",IF(NOTA[[#This Row],[Column3]]=TRUE,NOTA[[#This Row],[Column5]],INDEX([3]!db[QTY/ CTN],NOTA[[#This Row],[//DB]])))</f>
        <v/>
      </c>
      <c r="AU8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8" s="35" t="str">
        <f ca="1">IF(NOTA[[#This Row],[ID_H]]="","",MATCH(NOTA[[#This Row],[NB NOTA_C_QTY]],[3]!db[NB NOTA_C_QTY+F],0))</f>
        <v/>
      </c>
      <c r="AW858" s="43" t="str">
        <f ca="1">IF(NOTA[[#This Row],[NB NOTA_C_QTY]]="","",ROW()-2)</f>
        <v/>
      </c>
    </row>
    <row r="859" spans="1:49" ht="20.100000000000001" customHeight="1">
      <c r="A8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5" t="str">
        <f ca="1">IF(NOTA[[#This Row],[NAMA BARANG]]="","",INDEX(NOTA[ID],MATCH(,INDIRECT(ADDRESS(ROW(NOTA[ID]),COLUMN(NOTA[ID]))&amp;":"&amp;ADDRESS(ROW(),COLUMN(NOTA[ID]))),-1)))</f>
        <v/>
      </c>
      <c r="C859" s="45"/>
      <c r="F859" s="46"/>
      <c r="G859" s="35"/>
      <c r="H859" s="36"/>
      <c r="I859" s="35"/>
      <c r="K859" s="37"/>
      <c r="L859" s="35"/>
      <c r="N859" s="38"/>
      <c r="O859" s="39"/>
      <c r="P859" s="47"/>
      <c r="Q859" s="48"/>
      <c r="R859" s="41"/>
      <c r="T859" s="42"/>
      <c r="U859" s="44"/>
      <c r="V859" s="42" t="str">
        <f>IF(NOTA[[#This Row],[HARGA/ CTN]]="",NOTA[[#This Row],[JUMLAH_H]],NOTA[[#This Row],[HARGA/ CTN]]*IF(NOTA[[#This Row],[C]]="",0,NOTA[[#This Row],[C]]))</f>
        <v/>
      </c>
      <c r="W859" s="42" t="str">
        <f>IF(NOTA[[#This Row],[JUMLAH]]="","",NOTA[[#This Row],[JUMLAH]]*NOTA[[#This Row],[Column6]])</f>
        <v/>
      </c>
      <c r="X859" s="42" t="str">
        <f>IF(NOTA[[#This Row],[JUMLAH]]="","",(NOTA[[#This Row],[JUMLAH]]-NOTA[[#This Row],[DISC 1-]])*NOTA[[#This Row],[Column7]])</f>
        <v/>
      </c>
      <c r="Y859" s="42" t="str">
        <f>IF(NOTA[[#This Row],[JUMLAH]]="","",(NOTA[[#This Row],[JUMLAH]]-NOTA[[#This Row],[DISC 1-]]-NOTA[[#This Row],[DISC 2-]])*NOTA[[#This Row],[Column8]])</f>
        <v/>
      </c>
      <c r="Z859" s="42" t="str">
        <f>IF(NOTA[[#This Row],[JUMLAH]]="","",NOTA[[#This Row],[DISC 1-]]+NOTA[[#This Row],[DISC 2-]]+NOTA[[#This Row],[DISC 3-]])</f>
        <v/>
      </c>
      <c r="AA859" s="42" t="str">
        <f>IF(NOTA[[#This Row],[JUMLAH]]="","",NOTA[[#This Row],[JUMLAH]]-NOTA[[#This Row],[DISC]])</f>
        <v/>
      </c>
      <c r="AB859" s="42"/>
      <c r="AC8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42" t="str">
        <f>IF(OR(NOTA[[#This Row],[QTY]]="",NOTA[[#This Row],[HARGA SATUAN]]="",),"",NOTA[[#This Row],[QTY]]*NOTA[[#This Row],[HARGA SATUAN]])</f>
        <v/>
      </c>
      <c r="AG859" s="36" t="str">
        <f ca="1">IF(NOTA[[#This Row],[ID_H]]="","",INDEX(NOTA[TANGGAL],MATCH(,INDIRECT(ADDRESS(ROW(NOTA[TANGGAL]),COLUMN(NOTA[TANGGAL]))&amp;":"&amp;ADDRESS(ROW(),COLUMN(NOTA[TANGGAL]))),-1)))</f>
        <v/>
      </c>
      <c r="AH859" s="36" t="str">
        <f ca="1">IF(NOTA[[#This Row],[ID_H]]="","",INDEX(NOTA[TGL.NOTA],MATCH(,INDIRECT(ADDRESS(ROW(NOTA[TGL.NOTA]),COLUMN(NOTA[TGL.NOTA]))&amp;":"&amp;ADDRESS(ROW(),COLUMN(NOTA[TGL.NOTA]))),-1)))</f>
        <v/>
      </c>
      <c r="AI859" s="36" t="str">
        <f ca="1">IF(NOTA[[#This Row],[ID_H]]="","",INDEX(NOTA[NO.NOTA],MATCH(NOTA[[#This Row],[ID_H]],NOTA[ID_H],0)))</f>
        <v/>
      </c>
      <c r="AJ859" s="38" t="str">
        <f ca="1">IF(NOTA[[#This Row],[NAMA BARANG]]="","",INDEX(NOTA[SUPPLIER],MATCH(,INDIRECT(ADDRESS(ROW(NOTA[ID]),COLUMN(NOTA[ID]))&amp;":"&amp;ADDRESS(ROW(),COLUMN(NOTA[ID]))),-1)))</f>
        <v/>
      </c>
      <c r="AK859" s="38" t="str">
        <f ca="1">IF(NOTA[[#This Row],[ID_H]]="","",IF(NOTA[[#This Row],[FAKTUR]]="",INDIRECT(ADDRESS(ROW()-1,COLUMN())),NOTA[[#This Row],[FAKTUR]]))</f>
        <v/>
      </c>
      <c r="AL859" s="35" t="str">
        <f ca="1">IF(NOTA[[#This Row],[ID]]="","",COUNTIF(NOTA[ID_H],NOTA[[#This Row],[ID_H]]))</f>
        <v/>
      </c>
      <c r="AM859" s="35" t="str">
        <f ca="1">IF(NOTA[[#This Row],[TGL.NOTA]]="",IF(NOTA[[#This Row],[SUPPLIER_H]]="","",AM858),MONTH(NOTA[[#This Row],[TGL.NOTA]]))</f>
        <v/>
      </c>
      <c r="AN8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9" s="35" t="str">
        <f>IF(NOTA[[#This Row],[CONCAT1]]="","",MATCH(NOTA[[#This Row],[CONCAT1]],[3]!db[NB NOTA_C],0))</f>
        <v/>
      </c>
      <c r="AS859" s="35" t="str">
        <f>IF(NOTA[[#This Row],[Column5]]="","",TRUE)</f>
        <v/>
      </c>
      <c r="AT859" s="35" t="str">
        <f ca="1">IF(NOTA[[#This Row],[ID_H]]="","",IF(NOTA[[#This Row],[Column3]]=TRUE,NOTA[[#This Row],[Column5]],INDEX([3]!db[QTY/ CTN],NOTA[[#This Row],[//DB]])))</f>
        <v/>
      </c>
      <c r="AU8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59" s="35" t="str">
        <f ca="1">IF(NOTA[[#This Row],[ID_H]]="","",MATCH(NOTA[[#This Row],[NB NOTA_C_QTY]],[3]!db[NB NOTA_C_QTY+F],0))</f>
        <v/>
      </c>
      <c r="AW859" s="43" t="str">
        <f ca="1">IF(NOTA[[#This Row],[NB NOTA_C_QTY]]="","",ROW()-2)</f>
        <v/>
      </c>
    </row>
    <row r="860" spans="1:49" ht="20.100000000000001" customHeight="1">
      <c r="A8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5" t="str">
        <f ca="1">IF(NOTA[[#This Row],[NAMA BARANG]]="","",INDEX(NOTA[ID],MATCH(,INDIRECT(ADDRESS(ROW(NOTA[ID]),COLUMN(NOTA[ID]))&amp;":"&amp;ADDRESS(ROW(),COLUMN(NOTA[ID]))),-1)))</f>
        <v/>
      </c>
      <c r="C860" s="45"/>
      <c r="F860" s="46"/>
      <c r="G860" s="35"/>
      <c r="H860" s="36"/>
      <c r="I860" s="35"/>
      <c r="K860" s="37"/>
      <c r="L860" s="35"/>
      <c r="N860" s="38"/>
      <c r="O860" s="39"/>
      <c r="P860" s="47"/>
      <c r="Q860" s="48"/>
      <c r="R860" s="41"/>
      <c r="T860" s="42"/>
      <c r="U860" s="44"/>
      <c r="V860" s="42" t="str">
        <f>IF(NOTA[[#This Row],[HARGA/ CTN]]="",NOTA[[#This Row],[JUMLAH_H]],NOTA[[#This Row],[HARGA/ CTN]]*IF(NOTA[[#This Row],[C]]="",0,NOTA[[#This Row],[C]]))</f>
        <v/>
      </c>
      <c r="W860" s="42" t="str">
        <f>IF(NOTA[[#This Row],[JUMLAH]]="","",NOTA[[#This Row],[JUMLAH]]*NOTA[[#This Row],[Column6]])</f>
        <v/>
      </c>
      <c r="X860" s="42" t="str">
        <f>IF(NOTA[[#This Row],[JUMLAH]]="","",(NOTA[[#This Row],[JUMLAH]]-NOTA[[#This Row],[DISC 1-]])*NOTA[[#This Row],[Column7]])</f>
        <v/>
      </c>
      <c r="Y860" s="42" t="str">
        <f>IF(NOTA[[#This Row],[JUMLAH]]="","",(NOTA[[#This Row],[JUMLAH]]-NOTA[[#This Row],[DISC 1-]]-NOTA[[#This Row],[DISC 2-]])*NOTA[[#This Row],[Column8]])</f>
        <v/>
      </c>
      <c r="Z860" s="42" t="str">
        <f>IF(NOTA[[#This Row],[JUMLAH]]="","",NOTA[[#This Row],[DISC 1-]]+NOTA[[#This Row],[DISC 2-]]+NOTA[[#This Row],[DISC 3-]])</f>
        <v/>
      </c>
      <c r="AA860" s="42" t="str">
        <f>IF(NOTA[[#This Row],[JUMLAH]]="","",NOTA[[#This Row],[JUMLAH]]-NOTA[[#This Row],[DISC]])</f>
        <v/>
      </c>
      <c r="AB860" s="42"/>
      <c r="AC8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42" t="str">
        <f>IF(OR(NOTA[[#This Row],[QTY]]="",NOTA[[#This Row],[HARGA SATUAN]]="",),"",NOTA[[#This Row],[QTY]]*NOTA[[#This Row],[HARGA SATUAN]])</f>
        <v/>
      </c>
      <c r="AG860" s="36" t="str">
        <f ca="1">IF(NOTA[[#This Row],[ID_H]]="","",INDEX(NOTA[TANGGAL],MATCH(,INDIRECT(ADDRESS(ROW(NOTA[TANGGAL]),COLUMN(NOTA[TANGGAL]))&amp;":"&amp;ADDRESS(ROW(),COLUMN(NOTA[TANGGAL]))),-1)))</f>
        <v/>
      </c>
      <c r="AH860" s="36" t="str">
        <f ca="1">IF(NOTA[[#This Row],[ID_H]]="","",INDEX(NOTA[TGL.NOTA],MATCH(,INDIRECT(ADDRESS(ROW(NOTA[TGL.NOTA]),COLUMN(NOTA[TGL.NOTA]))&amp;":"&amp;ADDRESS(ROW(),COLUMN(NOTA[TGL.NOTA]))),-1)))</f>
        <v/>
      </c>
      <c r="AI860" s="36" t="str">
        <f ca="1">IF(NOTA[[#This Row],[ID_H]]="","",INDEX(NOTA[NO.NOTA],MATCH(NOTA[[#This Row],[ID_H]],NOTA[ID_H],0)))</f>
        <v/>
      </c>
      <c r="AJ860" s="38" t="str">
        <f ca="1">IF(NOTA[[#This Row],[NAMA BARANG]]="","",INDEX(NOTA[SUPPLIER],MATCH(,INDIRECT(ADDRESS(ROW(NOTA[ID]),COLUMN(NOTA[ID]))&amp;":"&amp;ADDRESS(ROW(),COLUMN(NOTA[ID]))),-1)))</f>
        <v/>
      </c>
      <c r="AK860" s="38" t="str">
        <f ca="1">IF(NOTA[[#This Row],[ID_H]]="","",IF(NOTA[[#This Row],[FAKTUR]]="",INDIRECT(ADDRESS(ROW()-1,COLUMN())),NOTA[[#This Row],[FAKTUR]]))</f>
        <v/>
      </c>
      <c r="AL860" s="35" t="str">
        <f ca="1">IF(NOTA[[#This Row],[ID]]="","",COUNTIF(NOTA[ID_H],NOTA[[#This Row],[ID_H]]))</f>
        <v/>
      </c>
      <c r="AM860" s="35" t="str">
        <f ca="1">IF(NOTA[[#This Row],[TGL.NOTA]]="",IF(NOTA[[#This Row],[SUPPLIER_H]]="","",AM859),MONTH(NOTA[[#This Row],[TGL.NOTA]]))</f>
        <v/>
      </c>
      <c r="AN8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0" s="35" t="str">
        <f>IF(NOTA[[#This Row],[CONCAT1]]="","",MATCH(NOTA[[#This Row],[CONCAT1]],[3]!db[NB NOTA_C],0))</f>
        <v/>
      </c>
      <c r="AS860" s="35" t="str">
        <f>IF(NOTA[[#This Row],[Column5]]="","",TRUE)</f>
        <v/>
      </c>
      <c r="AT860" s="35" t="str">
        <f ca="1">IF(NOTA[[#This Row],[ID_H]]="","",IF(NOTA[[#This Row],[Column3]]=TRUE,NOTA[[#This Row],[Column5]],INDEX([3]!db[QTY/ CTN],NOTA[[#This Row],[//DB]])))</f>
        <v/>
      </c>
      <c r="AU8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0" s="35" t="str">
        <f ca="1">IF(NOTA[[#This Row],[ID_H]]="","",MATCH(NOTA[[#This Row],[NB NOTA_C_QTY]],[3]!db[NB NOTA_C_QTY+F],0))</f>
        <v/>
      </c>
      <c r="AW860" s="43" t="str">
        <f ca="1">IF(NOTA[[#This Row],[NB NOTA_C_QTY]]="","",ROW()-2)</f>
        <v/>
      </c>
    </row>
    <row r="861" spans="1:49" ht="20.100000000000001" customHeight="1">
      <c r="A8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5" t="str">
        <f ca="1">IF(NOTA[[#This Row],[NAMA BARANG]]="","",INDEX(NOTA[ID],MATCH(,INDIRECT(ADDRESS(ROW(NOTA[ID]),COLUMN(NOTA[ID]))&amp;":"&amp;ADDRESS(ROW(),COLUMN(NOTA[ID]))),-1)))</f>
        <v/>
      </c>
      <c r="C861" s="45"/>
      <c r="F861" s="46"/>
      <c r="G861" s="35"/>
      <c r="H861" s="36"/>
      <c r="I861" s="35"/>
      <c r="K861" s="37"/>
      <c r="L861" s="35"/>
      <c r="N861" s="38"/>
      <c r="O861" s="39"/>
      <c r="P861" s="47"/>
      <c r="Q861" s="48"/>
      <c r="R861" s="41"/>
      <c r="T861" s="42"/>
      <c r="U861" s="44"/>
      <c r="V861" s="42" t="str">
        <f>IF(NOTA[[#This Row],[HARGA/ CTN]]="",NOTA[[#This Row],[JUMLAH_H]],NOTA[[#This Row],[HARGA/ CTN]]*IF(NOTA[[#This Row],[C]]="",0,NOTA[[#This Row],[C]]))</f>
        <v/>
      </c>
      <c r="W861" s="42" t="str">
        <f>IF(NOTA[[#This Row],[JUMLAH]]="","",NOTA[[#This Row],[JUMLAH]]*NOTA[[#This Row],[Column6]])</f>
        <v/>
      </c>
      <c r="X861" s="42" t="str">
        <f>IF(NOTA[[#This Row],[JUMLAH]]="","",(NOTA[[#This Row],[JUMLAH]]-NOTA[[#This Row],[DISC 1-]])*NOTA[[#This Row],[Column7]])</f>
        <v/>
      </c>
      <c r="Y861" s="42" t="str">
        <f>IF(NOTA[[#This Row],[JUMLAH]]="","",(NOTA[[#This Row],[JUMLAH]]-NOTA[[#This Row],[DISC 1-]]-NOTA[[#This Row],[DISC 2-]])*NOTA[[#This Row],[Column8]])</f>
        <v/>
      </c>
      <c r="Z861" s="42" t="str">
        <f>IF(NOTA[[#This Row],[JUMLAH]]="","",NOTA[[#This Row],[DISC 1-]]+NOTA[[#This Row],[DISC 2-]]+NOTA[[#This Row],[DISC 3-]])</f>
        <v/>
      </c>
      <c r="AA861" s="42" t="str">
        <f>IF(NOTA[[#This Row],[JUMLAH]]="","",NOTA[[#This Row],[JUMLAH]]-NOTA[[#This Row],[DISC]])</f>
        <v/>
      </c>
      <c r="AB861" s="42"/>
      <c r="AC8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42" t="str">
        <f>IF(OR(NOTA[[#This Row],[QTY]]="",NOTA[[#This Row],[HARGA SATUAN]]="",),"",NOTA[[#This Row],[QTY]]*NOTA[[#This Row],[HARGA SATUAN]])</f>
        <v/>
      </c>
      <c r="AG861" s="36" t="str">
        <f ca="1">IF(NOTA[[#This Row],[ID_H]]="","",INDEX(NOTA[TANGGAL],MATCH(,INDIRECT(ADDRESS(ROW(NOTA[TANGGAL]),COLUMN(NOTA[TANGGAL]))&amp;":"&amp;ADDRESS(ROW(),COLUMN(NOTA[TANGGAL]))),-1)))</f>
        <v/>
      </c>
      <c r="AH861" s="36" t="str">
        <f ca="1">IF(NOTA[[#This Row],[ID_H]]="","",INDEX(NOTA[TGL.NOTA],MATCH(,INDIRECT(ADDRESS(ROW(NOTA[TGL.NOTA]),COLUMN(NOTA[TGL.NOTA]))&amp;":"&amp;ADDRESS(ROW(),COLUMN(NOTA[TGL.NOTA]))),-1)))</f>
        <v/>
      </c>
      <c r="AI861" s="36" t="str">
        <f ca="1">IF(NOTA[[#This Row],[ID_H]]="","",INDEX(NOTA[NO.NOTA],MATCH(NOTA[[#This Row],[ID_H]],NOTA[ID_H],0)))</f>
        <v/>
      </c>
      <c r="AJ861" s="38" t="str">
        <f ca="1">IF(NOTA[[#This Row],[NAMA BARANG]]="","",INDEX(NOTA[SUPPLIER],MATCH(,INDIRECT(ADDRESS(ROW(NOTA[ID]),COLUMN(NOTA[ID]))&amp;":"&amp;ADDRESS(ROW(),COLUMN(NOTA[ID]))),-1)))</f>
        <v/>
      </c>
      <c r="AK861" s="38" t="str">
        <f ca="1">IF(NOTA[[#This Row],[ID_H]]="","",IF(NOTA[[#This Row],[FAKTUR]]="",INDIRECT(ADDRESS(ROW()-1,COLUMN())),NOTA[[#This Row],[FAKTUR]]))</f>
        <v/>
      </c>
      <c r="AL861" s="35" t="str">
        <f ca="1">IF(NOTA[[#This Row],[ID]]="","",COUNTIF(NOTA[ID_H],NOTA[[#This Row],[ID_H]]))</f>
        <v/>
      </c>
      <c r="AM861" s="35" t="str">
        <f ca="1">IF(NOTA[[#This Row],[TGL.NOTA]]="",IF(NOTA[[#This Row],[SUPPLIER_H]]="","",AM860),MONTH(NOTA[[#This Row],[TGL.NOTA]]))</f>
        <v/>
      </c>
      <c r="AN8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1" s="35" t="str">
        <f>IF(NOTA[[#This Row],[CONCAT1]]="","",MATCH(NOTA[[#This Row],[CONCAT1]],[3]!db[NB NOTA_C],0))</f>
        <v/>
      </c>
      <c r="AS861" s="35" t="str">
        <f>IF(NOTA[[#This Row],[Column5]]="","",TRUE)</f>
        <v/>
      </c>
      <c r="AT861" s="35" t="str">
        <f ca="1">IF(NOTA[[#This Row],[ID_H]]="","",IF(NOTA[[#This Row],[Column3]]=TRUE,NOTA[[#This Row],[Column5]],INDEX([3]!db[QTY/ CTN],NOTA[[#This Row],[//DB]])))</f>
        <v/>
      </c>
      <c r="AU8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1" s="35" t="str">
        <f ca="1">IF(NOTA[[#This Row],[ID_H]]="","",MATCH(NOTA[[#This Row],[NB NOTA_C_QTY]],[3]!db[NB NOTA_C_QTY+F],0))</f>
        <v/>
      </c>
      <c r="AW861" s="43" t="str">
        <f ca="1">IF(NOTA[[#This Row],[NB NOTA_C_QTY]]="","",ROW()-2)</f>
        <v/>
      </c>
    </row>
    <row r="862" spans="1:49" ht="20.100000000000001" customHeight="1">
      <c r="A8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5" t="str">
        <f ca="1">IF(NOTA[[#This Row],[NAMA BARANG]]="","",INDEX(NOTA[ID],MATCH(,INDIRECT(ADDRESS(ROW(NOTA[ID]),COLUMN(NOTA[ID]))&amp;":"&amp;ADDRESS(ROW(),COLUMN(NOTA[ID]))),-1)))</f>
        <v/>
      </c>
      <c r="C862" s="45"/>
      <c r="F862" s="46"/>
      <c r="G862" s="35"/>
      <c r="H862" s="36"/>
      <c r="I862" s="35"/>
      <c r="K862" s="37"/>
      <c r="L862" s="35"/>
      <c r="N862" s="38"/>
      <c r="O862" s="39"/>
      <c r="P862" s="47"/>
      <c r="Q862" s="48"/>
      <c r="R862" s="41"/>
      <c r="T862" s="42"/>
      <c r="U862" s="44"/>
      <c r="V862" s="42" t="str">
        <f>IF(NOTA[[#This Row],[HARGA/ CTN]]="",NOTA[[#This Row],[JUMLAH_H]],NOTA[[#This Row],[HARGA/ CTN]]*IF(NOTA[[#This Row],[C]]="",0,NOTA[[#This Row],[C]]))</f>
        <v/>
      </c>
      <c r="W862" s="42" t="str">
        <f>IF(NOTA[[#This Row],[JUMLAH]]="","",NOTA[[#This Row],[JUMLAH]]*NOTA[[#This Row],[Column6]])</f>
        <v/>
      </c>
      <c r="X862" s="42" t="str">
        <f>IF(NOTA[[#This Row],[JUMLAH]]="","",(NOTA[[#This Row],[JUMLAH]]-NOTA[[#This Row],[DISC 1-]])*NOTA[[#This Row],[Column7]])</f>
        <v/>
      </c>
      <c r="Y862" s="42" t="str">
        <f>IF(NOTA[[#This Row],[JUMLAH]]="","",(NOTA[[#This Row],[JUMLAH]]-NOTA[[#This Row],[DISC 1-]]-NOTA[[#This Row],[DISC 2-]])*NOTA[[#This Row],[Column8]])</f>
        <v/>
      </c>
      <c r="Z862" s="42" t="str">
        <f>IF(NOTA[[#This Row],[JUMLAH]]="","",NOTA[[#This Row],[DISC 1-]]+NOTA[[#This Row],[DISC 2-]]+NOTA[[#This Row],[DISC 3-]])</f>
        <v/>
      </c>
      <c r="AA862" s="42" t="str">
        <f>IF(NOTA[[#This Row],[JUMLAH]]="","",NOTA[[#This Row],[JUMLAH]]-NOTA[[#This Row],[DISC]])</f>
        <v/>
      </c>
      <c r="AB862" s="42"/>
      <c r="AC8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42" t="str">
        <f>IF(OR(NOTA[[#This Row],[QTY]]="",NOTA[[#This Row],[HARGA SATUAN]]="",),"",NOTA[[#This Row],[QTY]]*NOTA[[#This Row],[HARGA SATUAN]])</f>
        <v/>
      </c>
      <c r="AG862" s="36" t="str">
        <f ca="1">IF(NOTA[[#This Row],[ID_H]]="","",INDEX(NOTA[TANGGAL],MATCH(,INDIRECT(ADDRESS(ROW(NOTA[TANGGAL]),COLUMN(NOTA[TANGGAL]))&amp;":"&amp;ADDRESS(ROW(),COLUMN(NOTA[TANGGAL]))),-1)))</f>
        <v/>
      </c>
      <c r="AH862" s="36" t="str">
        <f ca="1">IF(NOTA[[#This Row],[ID_H]]="","",INDEX(NOTA[TGL.NOTA],MATCH(,INDIRECT(ADDRESS(ROW(NOTA[TGL.NOTA]),COLUMN(NOTA[TGL.NOTA]))&amp;":"&amp;ADDRESS(ROW(),COLUMN(NOTA[TGL.NOTA]))),-1)))</f>
        <v/>
      </c>
      <c r="AI862" s="36" t="str">
        <f ca="1">IF(NOTA[[#This Row],[ID_H]]="","",INDEX(NOTA[NO.NOTA],MATCH(NOTA[[#This Row],[ID_H]],NOTA[ID_H],0)))</f>
        <v/>
      </c>
      <c r="AJ862" s="38" t="str">
        <f ca="1">IF(NOTA[[#This Row],[NAMA BARANG]]="","",INDEX(NOTA[SUPPLIER],MATCH(,INDIRECT(ADDRESS(ROW(NOTA[ID]),COLUMN(NOTA[ID]))&amp;":"&amp;ADDRESS(ROW(),COLUMN(NOTA[ID]))),-1)))</f>
        <v/>
      </c>
      <c r="AK862" s="38" t="str">
        <f ca="1">IF(NOTA[[#This Row],[ID_H]]="","",IF(NOTA[[#This Row],[FAKTUR]]="",INDIRECT(ADDRESS(ROW()-1,COLUMN())),NOTA[[#This Row],[FAKTUR]]))</f>
        <v/>
      </c>
      <c r="AL862" s="35" t="str">
        <f ca="1">IF(NOTA[[#This Row],[ID]]="","",COUNTIF(NOTA[ID_H],NOTA[[#This Row],[ID_H]]))</f>
        <v/>
      </c>
      <c r="AM862" s="35" t="str">
        <f ca="1">IF(NOTA[[#This Row],[TGL.NOTA]]="",IF(NOTA[[#This Row],[SUPPLIER_H]]="","",AM861),MONTH(NOTA[[#This Row],[TGL.NOTA]]))</f>
        <v/>
      </c>
      <c r="AN8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2" s="35" t="str">
        <f>IF(NOTA[[#This Row],[CONCAT1]]="","",MATCH(NOTA[[#This Row],[CONCAT1]],[3]!db[NB NOTA_C],0))</f>
        <v/>
      </c>
      <c r="AS862" s="35" t="str">
        <f>IF(NOTA[[#This Row],[Column5]]="","",TRUE)</f>
        <v/>
      </c>
      <c r="AT862" s="35" t="str">
        <f ca="1">IF(NOTA[[#This Row],[ID_H]]="","",IF(NOTA[[#This Row],[Column3]]=TRUE,NOTA[[#This Row],[Column5]],INDEX([3]!db[QTY/ CTN],NOTA[[#This Row],[//DB]])))</f>
        <v/>
      </c>
      <c r="AU8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2" s="35" t="str">
        <f ca="1">IF(NOTA[[#This Row],[ID_H]]="","",MATCH(NOTA[[#This Row],[NB NOTA_C_QTY]],[3]!db[NB NOTA_C_QTY+F],0))</f>
        <v/>
      </c>
      <c r="AW862" s="43" t="str">
        <f ca="1">IF(NOTA[[#This Row],[NB NOTA_C_QTY]]="","",ROW()-2)</f>
        <v/>
      </c>
    </row>
    <row r="863" spans="1:49" ht="20.100000000000001" customHeight="1">
      <c r="A8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5" t="str">
        <f ca="1">IF(NOTA[[#This Row],[NAMA BARANG]]="","",INDEX(NOTA[ID],MATCH(,INDIRECT(ADDRESS(ROW(NOTA[ID]),COLUMN(NOTA[ID]))&amp;":"&amp;ADDRESS(ROW(),COLUMN(NOTA[ID]))),-1)))</f>
        <v/>
      </c>
      <c r="C863" s="45"/>
      <c r="F863" s="46"/>
      <c r="G863" s="35"/>
      <c r="H863" s="36"/>
      <c r="I863" s="35"/>
      <c r="K863" s="37"/>
      <c r="L863" s="35"/>
      <c r="N863" s="38"/>
      <c r="O863" s="39"/>
      <c r="P863" s="47"/>
      <c r="Q863" s="48"/>
      <c r="R863" s="41"/>
      <c r="T863" s="42"/>
      <c r="U863" s="44"/>
      <c r="V863" s="42" t="str">
        <f>IF(NOTA[[#This Row],[HARGA/ CTN]]="",NOTA[[#This Row],[JUMLAH_H]],NOTA[[#This Row],[HARGA/ CTN]]*IF(NOTA[[#This Row],[C]]="",0,NOTA[[#This Row],[C]]))</f>
        <v/>
      </c>
      <c r="W863" s="42" t="str">
        <f>IF(NOTA[[#This Row],[JUMLAH]]="","",NOTA[[#This Row],[JUMLAH]]*NOTA[[#This Row],[Column6]])</f>
        <v/>
      </c>
      <c r="X863" s="42" t="str">
        <f>IF(NOTA[[#This Row],[JUMLAH]]="","",(NOTA[[#This Row],[JUMLAH]]-NOTA[[#This Row],[DISC 1-]])*NOTA[[#This Row],[Column7]])</f>
        <v/>
      </c>
      <c r="Y863" s="42" t="str">
        <f>IF(NOTA[[#This Row],[JUMLAH]]="","",(NOTA[[#This Row],[JUMLAH]]-NOTA[[#This Row],[DISC 1-]]-NOTA[[#This Row],[DISC 2-]])*NOTA[[#This Row],[Column8]])</f>
        <v/>
      </c>
      <c r="Z863" s="42" t="str">
        <f>IF(NOTA[[#This Row],[JUMLAH]]="","",NOTA[[#This Row],[DISC 1-]]+NOTA[[#This Row],[DISC 2-]]+NOTA[[#This Row],[DISC 3-]])</f>
        <v/>
      </c>
      <c r="AA863" s="42" t="str">
        <f>IF(NOTA[[#This Row],[JUMLAH]]="","",NOTA[[#This Row],[JUMLAH]]-NOTA[[#This Row],[DISC]])</f>
        <v/>
      </c>
      <c r="AB863" s="42"/>
      <c r="AC8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42" t="str">
        <f>IF(OR(NOTA[[#This Row],[QTY]]="",NOTA[[#This Row],[HARGA SATUAN]]="",),"",NOTA[[#This Row],[QTY]]*NOTA[[#This Row],[HARGA SATUAN]])</f>
        <v/>
      </c>
      <c r="AG863" s="36" t="str">
        <f ca="1">IF(NOTA[[#This Row],[ID_H]]="","",INDEX(NOTA[TANGGAL],MATCH(,INDIRECT(ADDRESS(ROW(NOTA[TANGGAL]),COLUMN(NOTA[TANGGAL]))&amp;":"&amp;ADDRESS(ROW(),COLUMN(NOTA[TANGGAL]))),-1)))</f>
        <v/>
      </c>
      <c r="AH863" s="36" t="str">
        <f ca="1">IF(NOTA[[#This Row],[ID_H]]="","",INDEX(NOTA[TGL.NOTA],MATCH(,INDIRECT(ADDRESS(ROW(NOTA[TGL.NOTA]),COLUMN(NOTA[TGL.NOTA]))&amp;":"&amp;ADDRESS(ROW(),COLUMN(NOTA[TGL.NOTA]))),-1)))</f>
        <v/>
      </c>
      <c r="AI863" s="36" t="str">
        <f ca="1">IF(NOTA[[#This Row],[ID_H]]="","",INDEX(NOTA[NO.NOTA],MATCH(NOTA[[#This Row],[ID_H]],NOTA[ID_H],0)))</f>
        <v/>
      </c>
      <c r="AJ863" s="38" t="str">
        <f ca="1">IF(NOTA[[#This Row],[NAMA BARANG]]="","",INDEX(NOTA[SUPPLIER],MATCH(,INDIRECT(ADDRESS(ROW(NOTA[ID]),COLUMN(NOTA[ID]))&amp;":"&amp;ADDRESS(ROW(),COLUMN(NOTA[ID]))),-1)))</f>
        <v/>
      </c>
      <c r="AK863" s="38" t="str">
        <f ca="1">IF(NOTA[[#This Row],[ID_H]]="","",IF(NOTA[[#This Row],[FAKTUR]]="",INDIRECT(ADDRESS(ROW()-1,COLUMN())),NOTA[[#This Row],[FAKTUR]]))</f>
        <v/>
      </c>
      <c r="AL863" s="35" t="str">
        <f ca="1">IF(NOTA[[#This Row],[ID]]="","",COUNTIF(NOTA[ID_H],NOTA[[#This Row],[ID_H]]))</f>
        <v/>
      </c>
      <c r="AM863" s="35" t="str">
        <f ca="1">IF(NOTA[[#This Row],[TGL.NOTA]]="",IF(NOTA[[#This Row],[SUPPLIER_H]]="","",AM862),MONTH(NOTA[[#This Row],[TGL.NOTA]]))</f>
        <v/>
      </c>
      <c r="AN8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3" s="35" t="str">
        <f>IF(NOTA[[#This Row],[CONCAT1]]="","",MATCH(NOTA[[#This Row],[CONCAT1]],[3]!db[NB NOTA_C],0))</f>
        <v/>
      </c>
      <c r="AS863" s="35" t="str">
        <f>IF(NOTA[[#This Row],[Column5]]="","",TRUE)</f>
        <v/>
      </c>
      <c r="AT863" s="35" t="str">
        <f ca="1">IF(NOTA[[#This Row],[ID_H]]="","",IF(NOTA[[#This Row],[Column3]]=TRUE,NOTA[[#This Row],[Column5]],INDEX([3]!db[QTY/ CTN],NOTA[[#This Row],[//DB]])))</f>
        <v/>
      </c>
      <c r="AU8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3" s="35" t="str">
        <f ca="1">IF(NOTA[[#This Row],[ID_H]]="","",MATCH(NOTA[[#This Row],[NB NOTA_C_QTY]],[3]!db[NB NOTA_C_QTY+F],0))</f>
        <v/>
      </c>
      <c r="AW863" s="43" t="str">
        <f ca="1">IF(NOTA[[#This Row],[NB NOTA_C_QTY]]="","",ROW()-2)</f>
        <v/>
      </c>
    </row>
    <row r="864" spans="1:49" ht="20.100000000000001" customHeight="1">
      <c r="A8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5" t="str">
        <f ca="1">IF(NOTA[[#This Row],[NAMA BARANG]]="","",INDEX(NOTA[ID],MATCH(,INDIRECT(ADDRESS(ROW(NOTA[ID]),COLUMN(NOTA[ID]))&amp;":"&amp;ADDRESS(ROW(),COLUMN(NOTA[ID]))),-1)))</f>
        <v/>
      </c>
      <c r="C864" s="45"/>
      <c r="F864" s="46"/>
      <c r="G864" s="35"/>
      <c r="H864" s="36"/>
      <c r="I864" s="35"/>
      <c r="K864" s="37"/>
      <c r="L864" s="35"/>
      <c r="N864" s="38"/>
      <c r="O864" s="39"/>
      <c r="P864" s="47"/>
      <c r="Q864" s="48"/>
      <c r="R864" s="41"/>
      <c r="T864" s="42"/>
      <c r="U864" s="44"/>
      <c r="V864" s="42" t="str">
        <f>IF(NOTA[[#This Row],[HARGA/ CTN]]="",NOTA[[#This Row],[JUMLAH_H]],NOTA[[#This Row],[HARGA/ CTN]]*IF(NOTA[[#This Row],[C]]="",0,NOTA[[#This Row],[C]]))</f>
        <v/>
      </c>
      <c r="W864" s="42" t="str">
        <f>IF(NOTA[[#This Row],[JUMLAH]]="","",NOTA[[#This Row],[JUMLAH]]*NOTA[[#This Row],[Column6]])</f>
        <v/>
      </c>
      <c r="X864" s="42" t="str">
        <f>IF(NOTA[[#This Row],[JUMLAH]]="","",(NOTA[[#This Row],[JUMLAH]]-NOTA[[#This Row],[DISC 1-]])*NOTA[[#This Row],[Column7]])</f>
        <v/>
      </c>
      <c r="Y864" s="42" t="str">
        <f>IF(NOTA[[#This Row],[JUMLAH]]="","",(NOTA[[#This Row],[JUMLAH]]-NOTA[[#This Row],[DISC 1-]]-NOTA[[#This Row],[DISC 2-]])*NOTA[[#This Row],[Column8]])</f>
        <v/>
      </c>
      <c r="Z864" s="42" t="str">
        <f>IF(NOTA[[#This Row],[JUMLAH]]="","",NOTA[[#This Row],[DISC 1-]]+NOTA[[#This Row],[DISC 2-]]+NOTA[[#This Row],[DISC 3-]])</f>
        <v/>
      </c>
      <c r="AA864" s="42" t="str">
        <f>IF(NOTA[[#This Row],[JUMLAH]]="","",NOTA[[#This Row],[JUMLAH]]-NOTA[[#This Row],[DISC]])</f>
        <v/>
      </c>
      <c r="AB864" s="42"/>
      <c r="AC8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42" t="str">
        <f>IF(OR(NOTA[[#This Row],[QTY]]="",NOTA[[#This Row],[HARGA SATUAN]]="",),"",NOTA[[#This Row],[QTY]]*NOTA[[#This Row],[HARGA SATUAN]])</f>
        <v/>
      </c>
      <c r="AG864" s="36" t="str">
        <f ca="1">IF(NOTA[[#This Row],[ID_H]]="","",INDEX(NOTA[TANGGAL],MATCH(,INDIRECT(ADDRESS(ROW(NOTA[TANGGAL]),COLUMN(NOTA[TANGGAL]))&amp;":"&amp;ADDRESS(ROW(),COLUMN(NOTA[TANGGAL]))),-1)))</f>
        <v/>
      </c>
      <c r="AH864" s="36" t="str">
        <f ca="1">IF(NOTA[[#This Row],[ID_H]]="","",INDEX(NOTA[TGL.NOTA],MATCH(,INDIRECT(ADDRESS(ROW(NOTA[TGL.NOTA]),COLUMN(NOTA[TGL.NOTA]))&amp;":"&amp;ADDRESS(ROW(),COLUMN(NOTA[TGL.NOTA]))),-1)))</f>
        <v/>
      </c>
      <c r="AI864" s="36" t="str">
        <f ca="1">IF(NOTA[[#This Row],[ID_H]]="","",INDEX(NOTA[NO.NOTA],MATCH(NOTA[[#This Row],[ID_H]],NOTA[ID_H],0)))</f>
        <v/>
      </c>
      <c r="AJ864" s="38" t="str">
        <f ca="1">IF(NOTA[[#This Row],[NAMA BARANG]]="","",INDEX(NOTA[SUPPLIER],MATCH(,INDIRECT(ADDRESS(ROW(NOTA[ID]),COLUMN(NOTA[ID]))&amp;":"&amp;ADDRESS(ROW(),COLUMN(NOTA[ID]))),-1)))</f>
        <v/>
      </c>
      <c r="AK864" s="38" t="str">
        <f ca="1">IF(NOTA[[#This Row],[ID_H]]="","",IF(NOTA[[#This Row],[FAKTUR]]="",INDIRECT(ADDRESS(ROW()-1,COLUMN())),NOTA[[#This Row],[FAKTUR]]))</f>
        <v/>
      </c>
      <c r="AL864" s="35" t="str">
        <f ca="1">IF(NOTA[[#This Row],[ID]]="","",COUNTIF(NOTA[ID_H],NOTA[[#This Row],[ID_H]]))</f>
        <v/>
      </c>
      <c r="AM864" s="35" t="str">
        <f ca="1">IF(NOTA[[#This Row],[TGL.NOTA]]="",IF(NOTA[[#This Row],[SUPPLIER_H]]="","",AM863),MONTH(NOTA[[#This Row],[TGL.NOTA]]))</f>
        <v/>
      </c>
      <c r="AN8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4" s="35" t="str">
        <f>IF(NOTA[[#This Row],[CONCAT1]]="","",MATCH(NOTA[[#This Row],[CONCAT1]],[3]!db[NB NOTA_C],0))</f>
        <v/>
      </c>
      <c r="AS864" s="35" t="str">
        <f>IF(NOTA[[#This Row],[Column5]]="","",TRUE)</f>
        <v/>
      </c>
      <c r="AT864" s="35" t="str">
        <f ca="1">IF(NOTA[[#This Row],[ID_H]]="","",IF(NOTA[[#This Row],[Column3]]=TRUE,NOTA[[#This Row],[Column5]],INDEX([3]!db[QTY/ CTN],NOTA[[#This Row],[//DB]])))</f>
        <v/>
      </c>
      <c r="AU8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4" s="35" t="str">
        <f ca="1">IF(NOTA[[#This Row],[ID_H]]="","",MATCH(NOTA[[#This Row],[NB NOTA_C_QTY]],[3]!db[NB NOTA_C_QTY+F],0))</f>
        <v/>
      </c>
      <c r="AW864" s="43" t="str">
        <f ca="1">IF(NOTA[[#This Row],[NB NOTA_C_QTY]]="","",ROW()-2)</f>
        <v/>
      </c>
    </row>
    <row r="865" spans="1:49" ht="20.100000000000001" customHeight="1">
      <c r="A8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5" t="str">
        <f ca="1">IF(NOTA[[#This Row],[NAMA BARANG]]="","",INDEX(NOTA[ID],MATCH(,INDIRECT(ADDRESS(ROW(NOTA[ID]),COLUMN(NOTA[ID]))&amp;":"&amp;ADDRESS(ROW(),COLUMN(NOTA[ID]))),-1)))</f>
        <v/>
      </c>
      <c r="C865" s="45"/>
      <c r="F865" s="46"/>
      <c r="G865" s="35"/>
      <c r="H865" s="36"/>
      <c r="I865" s="35"/>
      <c r="K865" s="37"/>
      <c r="L865" s="35"/>
      <c r="N865" s="38"/>
      <c r="O865" s="39"/>
      <c r="P865" s="47"/>
      <c r="Q865" s="48"/>
      <c r="R865" s="41"/>
      <c r="T865" s="42"/>
      <c r="U865" s="44"/>
      <c r="V865" s="42" t="str">
        <f>IF(NOTA[[#This Row],[HARGA/ CTN]]="",NOTA[[#This Row],[JUMLAH_H]],NOTA[[#This Row],[HARGA/ CTN]]*IF(NOTA[[#This Row],[C]]="",0,NOTA[[#This Row],[C]]))</f>
        <v/>
      </c>
      <c r="W865" s="42" t="str">
        <f>IF(NOTA[[#This Row],[JUMLAH]]="","",NOTA[[#This Row],[JUMLAH]]*NOTA[[#This Row],[Column6]])</f>
        <v/>
      </c>
      <c r="X865" s="42" t="str">
        <f>IF(NOTA[[#This Row],[JUMLAH]]="","",(NOTA[[#This Row],[JUMLAH]]-NOTA[[#This Row],[DISC 1-]])*NOTA[[#This Row],[Column7]])</f>
        <v/>
      </c>
      <c r="Y865" s="42" t="str">
        <f>IF(NOTA[[#This Row],[JUMLAH]]="","",(NOTA[[#This Row],[JUMLAH]]-NOTA[[#This Row],[DISC 1-]]-NOTA[[#This Row],[DISC 2-]])*NOTA[[#This Row],[Column8]])</f>
        <v/>
      </c>
      <c r="Z865" s="42" t="str">
        <f>IF(NOTA[[#This Row],[JUMLAH]]="","",NOTA[[#This Row],[DISC 1-]]+NOTA[[#This Row],[DISC 2-]]+NOTA[[#This Row],[DISC 3-]])</f>
        <v/>
      </c>
      <c r="AA865" s="42" t="str">
        <f>IF(NOTA[[#This Row],[JUMLAH]]="","",NOTA[[#This Row],[JUMLAH]]-NOTA[[#This Row],[DISC]])</f>
        <v/>
      </c>
      <c r="AB865" s="42"/>
      <c r="AC8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42" t="str">
        <f>IF(OR(NOTA[[#This Row],[QTY]]="",NOTA[[#This Row],[HARGA SATUAN]]="",),"",NOTA[[#This Row],[QTY]]*NOTA[[#This Row],[HARGA SATUAN]])</f>
        <v/>
      </c>
      <c r="AG865" s="36" t="str">
        <f ca="1">IF(NOTA[[#This Row],[ID_H]]="","",INDEX(NOTA[TANGGAL],MATCH(,INDIRECT(ADDRESS(ROW(NOTA[TANGGAL]),COLUMN(NOTA[TANGGAL]))&amp;":"&amp;ADDRESS(ROW(),COLUMN(NOTA[TANGGAL]))),-1)))</f>
        <v/>
      </c>
      <c r="AH865" s="36" t="str">
        <f ca="1">IF(NOTA[[#This Row],[ID_H]]="","",INDEX(NOTA[TGL.NOTA],MATCH(,INDIRECT(ADDRESS(ROW(NOTA[TGL.NOTA]),COLUMN(NOTA[TGL.NOTA]))&amp;":"&amp;ADDRESS(ROW(),COLUMN(NOTA[TGL.NOTA]))),-1)))</f>
        <v/>
      </c>
      <c r="AI865" s="36" t="str">
        <f ca="1">IF(NOTA[[#This Row],[ID_H]]="","",INDEX(NOTA[NO.NOTA],MATCH(NOTA[[#This Row],[ID_H]],NOTA[ID_H],0)))</f>
        <v/>
      </c>
      <c r="AJ865" s="38" t="str">
        <f ca="1">IF(NOTA[[#This Row],[NAMA BARANG]]="","",INDEX(NOTA[SUPPLIER],MATCH(,INDIRECT(ADDRESS(ROW(NOTA[ID]),COLUMN(NOTA[ID]))&amp;":"&amp;ADDRESS(ROW(),COLUMN(NOTA[ID]))),-1)))</f>
        <v/>
      </c>
      <c r="AK865" s="38" t="str">
        <f ca="1">IF(NOTA[[#This Row],[ID_H]]="","",IF(NOTA[[#This Row],[FAKTUR]]="",INDIRECT(ADDRESS(ROW()-1,COLUMN())),NOTA[[#This Row],[FAKTUR]]))</f>
        <v/>
      </c>
      <c r="AL865" s="35" t="str">
        <f ca="1">IF(NOTA[[#This Row],[ID]]="","",COUNTIF(NOTA[ID_H],NOTA[[#This Row],[ID_H]]))</f>
        <v/>
      </c>
      <c r="AM865" s="35" t="str">
        <f ca="1">IF(NOTA[[#This Row],[TGL.NOTA]]="",IF(NOTA[[#This Row],[SUPPLIER_H]]="","",AM864),MONTH(NOTA[[#This Row],[TGL.NOTA]]))</f>
        <v/>
      </c>
      <c r="AN8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5" s="35" t="str">
        <f>IF(NOTA[[#This Row],[CONCAT1]]="","",MATCH(NOTA[[#This Row],[CONCAT1]],[3]!db[NB NOTA_C],0))</f>
        <v/>
      </c>
      <c r="AS865" s="35" t="str">
        <f>IF(NOTA[[#This Row],[Column5]]="","",TRUE)</f>
        <v/>
      </c>
      <c r="AT865" s="35" t="str">
        <f ca="1">IF(NOTA[[#This Row],[ID_H]]="","",IF(NOTA[[#This Row],[Column3]]=TRUE,NOTA[[#This Row],[Column5]],INDEX([3]!db[QTY/ CTN],NOTA[[#This Row],[//DB]])))</f>
        <v/>
      </c>
      <c r="AU8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5" s="35" t="str">
        <f ca="1">IF(NOTA[[#This Row],[ID_H]]="","",MATCH(NOTA[[#This Row],[NB NOTA_C_QTY]],[3]!db[NB NOTA_C_QTY+F],0))</f>
        <v/>
      </c>
      <c r="AW865" s="43" t="str">
        <f ca="1">IF(NOTA[[#This Row],[NB NOTA_C_QTY]]="","",ROW()-2)</f>
        <v/>
      </c>
    </row>
    <row r="866" spans="1:49" ht="20.100000000000001" customHeight="1">
      <c r="A8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5" t="str">
        <f ca="1">IF(NOTA[[#This Row],[NAMA BARANG]]="","",INDEX(NOTA[ID],MATCH(,INDIRECT(ADDRESS(ROW(NOTA[ID]),COLUMN(NOTA[ID]))&amp;":"&amp;ADDRESS(ROW(),COLUMN(NOTA[ID]))),-1)))</f>
        <v/>
      </c>
      <c r="C866" s="45"/>
      <c r="F866" s="46"/>
      <c r="G866" s="35"/>
      <c r="H866" s="36"/>
      <c r="I866" s="35"/>
      <c r="K866" s="37"/>
      <c r="L866" s="35"/>
      <c r="N866" s="38"/>
      <c r="O866" s="39"/>
      <c r="P866" s="47"/>
      <c r="Q866" s="48"/>
      <c r="R866" s="41"/>
      <c r="T866" s="42"/>
      <c r="U866" s="44"/>
      <c r="V866" s="42" t="str">
        <f>IF(NOTA[[#This Row],[HARGA/ CTN]]="",NOTA[[#This Row],[JUMLAH_H]],NOTA[[#This Row],[HARGA/ CTN]]*IF(NOTA[[#This Row],[C]]="",0,NOTA[[#This Row],[C]]))</f>
        <v/>
      </c>
      <c r="W866" s="42" t="str">
        <f>IF(NOTA[[#This Row],[JUMLAH]]="","",NOTA[[#This Row],[JUMLAH]]*NOTA[[#This Row],[Column6]])</f>
        <v/>
      </c>
      <c r="X866" s="42" t="str">
        <f>IF(NOTA[[#This Row],[JUMLAH]]="","",(NOTA[[#This Row],[JUMLAH]]-NOTA[[#This Row],[DISC 1-]])*NOTA[[#This Row],[Column7]])</f>
        <v/>
      </c>
      <c r="Y866" s="42" t="str">
        <f>IF(NOTA[[#This Row],[JUMLAH]]="","",(NOTA[[#This Row],[JUMLAH]]-NOTA[[#This Row],[DISC 1-]]-NOTA[[#This Row],[DISC 2-]])*NOTA[[#This Row],[Column8]])</f>
        <v/>
      </c>
      <c r="Z866" s="42" t="str">
        <f>IF(NOTA[[#This Row],[JUMLAH]]="","",NOTA[[#This Row],[DISC 1-]]+NOTA[[#This Row],[DISC 2-]]+NOTA[[#This Row],[DISC 3-]])</f>
        <v/>
      </c>
      <c r="AA866" s="42" t="str">
        <f>IF(NOTA[[#This Row],[JUMLAH]]="","",NOTA[[#This Row],[JUMLAH]]-NOTA[[#This Row],[DISC]])</f>
        <v/>
      </c>
      <c r="AB866" s="42"/>
      <c r="AC8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42" t="str">
        <f>IF(OR(NOTA[[#This Row],[QTY]]="",NOTA[[#This Row],[HARGA SATUAN]]="",),"",NOTA[[#This Row],[QTY]]*NOTA[[#This Row],[HARGA SATUAN]])</f>
        <v/>
      </c>
      <c r="AG866" s="36" t="str">
        <f ca="1">IF(NOTA[[#This Row],[ID_H]]="","",INDEX(NOTA[TANGGAL],MATCH(,INDIRECT(ADDRESS(ROW(NOTA[TANGGAL]),COLUMN(NOTA[TANGGAL]))&amp;":"&amp;ADDRESS(ROW(),COLUMN(NOTA[TANGGAL]))),-1)))</f>
        <v/>
      </c>
      <c r="AH866" s="36" t="str">
        <f ca="1">IF(NOTA[[#This Row],[ID_H]]="","",INDEX(NOTA[TGL.NOTA],MATCH(,INDIRECT(ADDRESS(ROW(NOTA[TGL.NOTA]),COLUMN(NOTA[TGL.NOTA]))&amp;":"&amp;ADDRESS(ROW(),COLUMN(NOTA[TGL.NOTA]))),-1)))</f>
        <v/>
      </c>
      <c r="AI866" s="36" t="str">
        <f ca="1">IF(NOTA[[#This Row],[ID_H]]="","",INDEX(NOTA[NO.NOTA],MATCH(NOTA[[#This Row],[ID_H]],NOTA[ID_H],0)))</f>
        <v/>
      </c>
      <c r="AJ866" s="38" t="str">
        <f ca="1">IF(NOTA[[#This Row],[NAMA BARANG]]="","",INDEX(NOTA[SUPPLIER],MATCH(,INDIRECT(ADDRESS(ROW(NOTA[ID]),COLUMN(NOTA[ID]))&amp;":"&amp;ADDRESS(ROW(),COLUMN(NOTA[ID]))),-1)))</f>
        <v/>
      </c>
      <c r="AK866" s="38" t="str">
        <f ca="1">IF(NOTA[[#This Row],[ID_H]]="","",IF(NOTA[[#This Row],[FAKTUR]]="",INDIRECT(ADDRESS(ROW()-1,COLUMN())),NOTA[[#This Row],[FAKTUR]]))</f>
        <v/>
      </c>
      <c r="AL866" s="35" t="str">
        <f ca="1">IF(NOTA[[#This Row],[ID]]="","",COUNTIF(NOTA[ID_H],NOTA[[#This Row],[ID_H]]))</f>
        <v/>
      </c>
      <c r="AM866" s="35" t="str">
        <f ca="1">IF(NOTA[[#This Row],[TGL.NOTA]]="",IF(NOTA[[#This Row],[SUPPLIER_H]]="","",AM865),MONTH(NOTA[[#This Row],[TGL.NOTA]]))</f>
        <v/>
      </c>
      <c r="AN8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6" s="35" t="str">
        <f>IF(NOTA[[#This Row],[CONCAT1]]="","",MATCH(NOTA[[#This Row],[CONCAT1]],[3]!db[NB NOTA_C],0))</f>
        <v/>
      </c>
      <c r="AS866" s="35" t="str">
        <f>IF(NOTA[[#This Row],[Column5]]="","",TRUE)</f>
        <v/>
      </c>
      <c r="AT866" s="35" t="str">
        <f ca="1">IF(NOTA[[#This Row],[ID_H]]="","",IF(NOTA[[#This Row],[Column3]]=TRUE,NOTA[[#This Row],[Column5]],INDEX([3]!db[QTY/ CTN],NOTA[[#This Row],[//DB]])))</f>
        <v/>
      </c>
      <c r="AU8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6" s="35" t="str">
        <f ca="1">IF(NOTA[[#This Row],[ID_H]]="","",MATCH(NOTA[[#This Row],[NB NOTA_C_QTY]],[3]!db[NB NOTA_C_QTY+F],0))</f>
        <v/>
      </c>
      <c r="AW866" s="43" t="str">
        <f ca="1">IF(NOTA[[#This Row],[NB NOTA_C_QTY]]="","",ROW()-2)</f>
        <v/>
      </c>
    </row>
    <row r="867" spans="1:49" ht="20.100000000000001" customHeight="1">
      <c r="A8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5" t="str">
        <f ca="1">IF(NOTA[[#This Row],[NAMA BARANG]]="","",INDEX(NOTA[ID],MATCH(,INDIRECT(ADDRESS(ROW(NOTA[ID]),COLUMN(NOTA[ID]))&amp;":"&amp;ADDRESS(ROW(),COLUMN(NOTA[ID]))),-1)))</f>
        <v/>
      </c>
      <c r="C867" s="45"/>
      <c r="F867" s="46"/>
      <c r="G867" s="35"/>
      <c r="H867" s="36"/>
      <c r="I867" s="35"/>
      <c r="K867" s="37"/>
      <c r="L867" s="35"/>
      <c r="N867" s="38"/>
      <c r="O867" s="39"/>
      <c r="P867" s="47"/>
      <c r="Q867" s="48"/>
      <c r="R867" s="41"/>
      <c r="T867" s="42"/>
      <c r="U867" s="44"/>
      <c r="V867" s="42" t="str">
        <f>IF(NOTA[[#This Row],[HARGA/ CTN]]="",NOTA[[#This Row],[JUMLAH_H]],NOTA[[#This Row],[HARGA/ CTN]]*IF(NOTA[[#This Row],[C]]="",0,NOTA[[#This Row],[C]]))</f>
        <v/>
      </c>
      <c r="W867" s="42" t="str">
        <f>IF(NOTA[[#This Row],[JUMLAH]]="","",NOTA[[#This Row],[JUMLAH]]*NOTA[[#This Row],[Column6]])</f>
        <v/>
      </c>
      <c r="X867" s="42" t="str">
        <f>IF(NOTA[[#This Row],[JUMLAH]]="","",(NOTA[[#This Row],[JUMLAH]]-NOTA[[#This Row],[DISC 1-]])*NOTA[[#This Row],[Column7]])</f>
        <v/>
      </c>
      <c r="Y867" s="42" t="str">
        <f>IF(NOTA[[#This Row],[JUMLAH]]="","",(NOTA[[#This Row],[JUMLAH]]-NOTA[[#This Row],[DISC 1-]]-NOTA[[#This Row],[DISC 2-]])*NOTA[[#This Row],[Column8]])</f>
        <v/>
      </c>
      <c r="Z867" s="42" t="str">
        <f>IF(NOTA[[#This Row],[JUMLAH]]="","",NOTA[[#This Row],[DISC 1-]]+NOTA[[#This Row],[DISC 2-]]+NOTA[[#This Row],[DISC 3-]])</f>
        <v/>
      </c>
      <c r="AA867" s="42" t="str">
        <f>IF(NOTA[[#This Row],[JUMLAH]]="","",NOTA[[#This Row],[JUMLAH]]-NOTA[[#This Row],[DISC]])</f>
        <v/>
      </c>
      <c r="AB867" s="42"/>
      <c r="AC8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42" t="str">
        <f>IF(OR(NOTA[[#This Row],[QTY]]="",NOTA[[#This Row],[HARGA SATUAN]]="",),"",NOTA[[#This Row],[QTY]]*NOTA[[#This Row],[HARGA SATUAN]])</f>
        <v/>
      </c>
      <c r="AG867" s="36" t="str">
        <f ca="1">IF(NOTA[[#This Row],[ID_H]]="","",INDEX(NOTA[TANGGAL],MATCH(,INDIRECT(ADDRESS(ROW(NOTA[TANGGAL]),COLUMN(NOTA[TANGGAL]))&amp;":"&amp;ADDRESS(ROW(),COLUMN(NOTA[TANGGAL]))),-1)))</f>
        <v/>
      </c>
      <c r="AH867" s="36" t="str">
        <f ca="1">IF(NOTA[[#This Row],[ID_H]]="","",INDEX(NOTA[TGL.NOTA],MATCH(,INDIRECT(ADDRESS(ROW(NOTA[TGL.NOTA]),COLUMN(NOTA[TGL.NOTA]))&amp;":"&amp;ADDRESS(ROW(),COLUMN(NOTA[TGL.NOTA]))),-1)))</f>
        <v/>
      </c>
      <c r="AI867" s="36" t="str">
        <f ca="1">IF(NOTA[[#This Row],[ID_H]]="","",INDEX(NOTA[NO.NOTA],MATCH(NOTA[[#This Row],[ID_H]],NOTA[ID_H],0)))</f>
        <v/>
      </c>
      <c r="AJ867" s="38" t="str">
        <f ca="1">IF(NOTA[[#This Row],[NAMA BARANG]]="","",INDEX(NOTA[SUPPLIER],MATCH(,INDIRECT(ADDRESS(ROW(NOTA[ID]),COLUMN(NOTA[ID]))&amp;":"&amp;ADDRESS(ROW(),COLUMN(NOTA[ID]))),-1)))</f>
        <v/>
      </c>
      <c r="AK867" s="38" t="str">
        <f ca="1">IF(NOTA[[#This Row],[ID_H]]="","",IF(NOTA[[#This Row],[FAKTUR]]="",INDIRECT(ADDRESS(ROW()-1,COLUMN())),NOTA[[#This Row],[FAKTUR]]))</f>
        <v/>
      </c>
      <c r="AL867" s="35" t="str">
        <f ca="1">IF(NOTA[[#This Row],[ID]]="","",COUNTIF(NOTA[ID_H],NOTA[[#This Row],[ID_H]]))</f>
        <v/>
      </c>
      <c r="AM867" s="35" t="str">
        <f ca="1">IF(NOTA[[#This Row],[TGL.NOTA]]="",IF(NOTA[[#This Row],[SUPPLIER_H]]="","",AM866),MONTH(NOTA[[#This Row],[TGL.NOTA]]))</f>
        <v/>
      </c>
      <c r="AN8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7" s="35" t="str">
        <f>IF(NOTA[[#This Row],[CONCAT1]]="","",MATCH(NOTA[[#This Row],[CONCAT1]],[3]!db[NB NOTA_C],0))</f>
        <v/>
      </c>
      <c r="AS867" s="35" t="str">
        <f>IF(NOTA[[#This Row],[Column5]]="","",TRUE)</f>
        <v/>
      </c>
      <c r="AT867" s="35" t="str">
        <f ca="1">IF(NOTA[[#This Row],[ID_H]]="","",IF(NOTA[[#This Row],[Column3]]=TRUE,NOTA[[#This Row],[Column5]],INDEX([3]!db[QTY/ CTN],NOTA[[#This Row],[//DB]])))</f>
        <v/>
      </c>
      <c r="AU8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7" s="35" t="str">
        <f ca="1">IF(NOTA[[#This Row],[ID_H]]="","",MATCH(NOTA[[#This Row],[NB NOTA_C_QTY]],[3]!db[NB NOTA_C_QTY+F],0))</f>
        <v/>
      </c>
      <c r="AW867" s="43" t="str">
        <f ca="1">IF(NOTA[[#This Row],[NB NOTA_C_QTY]]="","",ROW()-2)</f>
        <v/>
      </c>
    </row>
    <row r="868" spans="1:49" ht="20.100000000000001" customHeight="1">
      <c r="A8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5" t="str">
        <f ca="1">IF(NOTA[[#This Row],[NAMA BARANG]]="","",INDEX(NOTA[ID],MATCH(,INDIRECT(ADDRESS(ROW(NOTA[ID]),COLUMN(NOTA[ID]))&amp;":"&amp;ADDRESS(ROW(),COLUMN(NOTA[ID]))),-1)))</f>
        <v/>
      </c>
      <c r="C868" s="45"/>
      <c r="F868" s="46"/>
      <c r="G868" s="35"/>
      <c r="H868" s="36"/>
      <c r="I868" s="35"/>
      <c r="K868" s="37"/>
      <c r="L868" s="35"/>
      <c r="N868" s="38"/>
      <c r="O868" s="39"/>
      <c r="P868" s="47"/>
      <c r="Q868" s="48"/>
      <c r="R868" s="41"/>
      <c r="T868" s="42"/>
      <c r="U868" s="44"/>
      <c r="V868" s="42" t="str">
        <f>IF(NOTA[[#This Row],[HARGA/ CTN]]="",NOTA[[#This Row],[JUMLAH_H]],NOTA[[#This Row],[HARGA/ CTN]]*IF(NOTA[[#This Row],[C]]="",0,NOTA[[#This Row],[C]]))</f>
        <v/>
      </c>
      <c r="W868" s="42" t="str">
        <f>IF(NOTA[[#This Row],[JUMLAH]]="","",NOTA[[#This Row],[JUMLAH]]*NOTA[[#This Row],[Column6]])</f>
        <v/>
      </c>
      <c r="X868" s="42" t="str">
        <f>IF(NOTA[[#This Row],[JUMLAH]]="","",(NOTA[[#This Row],[JUMLAH]]-NOTA[[#This Row],[DISC 1-]])*NOTA[[#This Row],[Column7]])</f>
        <v/>
      </c>
      <c r="Y868" s="42" t="str">
        <f>IF(NOTA[[#This Row],[JUMLAH]]="","",(NOTA[[#This Row],[JUMLAH]]-NOTA[[#This Row],[DISC 1-]]-NOTA[[#This Row],[DISC 2-]])*NOTA[[#This Row],[Column8]])</f>
        <v/>
      </c>
      <c r="Z868" s="42" t="str">
        <f>IF(NOTA[[#This Row],[JUMLAH]]="","",NOTA[[#This Row],[DISC 1-]]+NOTA[[#This Row],[DISC 2-]]+NOTA[[#This Row],[DISC 3-]])</f>
        <v/>
      </c>
      <c r="AA868" s="42" t="str">
        <f>IF(NOTA[[#This Row],[JUMLAH]]="","",NOTA[[#This Row],[JUMLAH]]-NOTA[[#This Row],[DISC]])</f>
        <v/>
      </c>
      <c r="AB868" s="42"/>
      <c r="AC8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42" t="str">
        <f>IF(OR(NOTA[[#This Row],[QTY]]="",NOTA[[#This Row],[HARGA SATUAN]]="",),"",NOTA[[#This Row],[QTY]]*NOTA[[#This Row],[HARGA SATUAN]])</f>
        <v/>
      </c>
      <c r="AG868" s="36" t="str">
        <f ca="1">IF(NOTA[[#This Row],[ID_H]]="","",INDEX(NOTA[TANGGAL],MATCH(,INDIRECT(ADDRESS(ROW(NOTA[TANGGAL]),COLUMN(NOTA[TANGGAL]))&amp;":"&amp;ADDRESS(ROW(),COLUMN(NOTA[TANGGAL]))),-1)))</f>
        <v/>
      </c>
      <c r="AH868" s="36" t="str">
        <f ca="1">IF(NOTA[[#This Row],[ID_H]]="","",INDEX(NOTA[TGL.NOTA],MATCH(,INDIRECT(ADDRESS(ROW(NOTA[TGL.NOTA]),COLUMN(NOTA[TGL.NOTA]))&amp;":"&amp;ADDRESS(ROW(),COLUMN(NOTA[TGL.NOTA]))),-1)))</f>
        <v/>
      </c>
      <c r="AI868" s="36" t="str">
        <f ca="1">IF(NOTA[[#This Row],[ID_H]]="","",INDEX(NOTA[NO.NOTA],MATCH(NOTA[[#This Row],[ID_H]],NOTA[ID_H],0)))</f>
        <v/>
      </c>
      <c r="AJ868" s="38" t="str">
        <f ca="1">IF(NOTA[[#This Row],[NAMA BARANG]]="","",INDEX(NOTA[SUPPLIER],MATCH(,INDIRECT(ADDRESS(ROW(NOTA[ID]),COLUMN(NOTA[ID]))&amp;":"&amp;ADDRESS(ROW(),COLUMN(NOTA[ID]))),-1)))</f>
        <v/>
      </c>
      <c r="AK868" s="38" t="str">
        <f ca="1">IF(NOTA[[#This Row],[ID_H]]="","",IF(NOTA[[#This Row],[FAKTUR]]="",INDIRECT(ADDRESS(ROW()-1,COLUMN())),NOTA[[#This Row],[FAKTUR]]))</f>
        <v/>
      </c>
      <c r="AL868" s="35" t="str">
        <f ca="1">IF(NOTA[[#This Row],[ID]]="","",COUNTIF(NOTA[ID_H],NOTA[[#This Row],[ID_H]]))</f>
        <v/>
      </c>
      <c r="AM868" s="35" t="str">
        <f ca="1">IF(NOTA[[#This Row],[TGL.NOTA]]="",IF(NOTA[[#This Row],[SUPPLIER_H]]="","",AM867),MONTH(NOTA[[#This Row],[TGL.NOTA]]))</f>
        <v/>
      </c>
      <c r="AN8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8" s="35" t="str">
        <f>IF(NOTA[[#This Row],[CONCAT1]]="","",MATCH(NOTA[[#This Row],[CONCAT1]],[3]!db[NB NOTA_C],0))</f>
        <v/>
      </c>
      <c r="AS868" s="35" t="str">
        <f>IF(NOTA[[#This Row],[Column5]]="","",TRUE)</f>
        <v/>
      </c>
      <c r="AT868" s="35" t="str">
        <f ca="1">IF(NOTA[[#This Row],[ID_H]]="","",IF(NOTA[[#This Row],[Column3]]=TRUE,NOTA[[#This Row],[Column5]],INDEX([3]!db[QTY/ CTN],NOTA[[#This Row],[//DB]])))</f>
        <v/>
      </c>
      <c r="AU8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8" s="35" t="str">
        <f ca="1">IF(NOTA[[#This Row],[ID_H]]="","",MATCH(NOTA[[#This Row],[NB NOTA_C_QTY]],[3]!db[NB NOTA_C_QTY+F],0))</f>
        <v/>
      </c>
      <c r="AW868" s="43" t="str">
        <f ca="1">IF(NOTA[[#This Row],[NB NOTA_C_QTY]]="","",ROW()-2)</f>
        <v/>
      </c>
    </row>
    <row r="869" spans="1:49" ht="20.100000000000001" customHeight="1">
      <c r="A8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5" t="str">
        <f ca="1">IF(NOTA[[#This Row],[NAMA BARANG]]="","",INDEX(NOTA[ID],MATCH(,INDIRECT(ADDRESS(ROW(NOTA[ID]),COLUMN(NOTA[ID]))&amp;":"&amp;ADDRESS(ROW(),COLUMN(NOTA[ID]))),-1)))</f>
        <v/>
      </c>
      <c r="C869" s="45"/>
      <c r="F869" s="46"/>
      <c r="G869" s="35"/>
      <c r="H869" s="36"/>
      <c r="I869" s="35"/>
      <c r="K869" s="37"/>
      <c r="L869" s="35"/>
      <c r="N869" s="38"/>
      <c r="O869" s="39"/>
      <c r="P869" s="47"/>
      <c r="Q869" s="48"/>
      <c r="R869" s="41"/>
      <c r="T869" s="42"/>
      <c r="U869" s="44"/>
      <c r="V869" s="42" t="str">
        <f>IF(NOTA[[#This Row],[HARGA/ CTN]]="",NOTA[[#This Row],[JUMLAH_H]],NOTA[[#This Row],[HARGA/ CTN]]*IF(NOTA[[#This Row],[C]]="",0,NOTA[[#This Row],[C]]))</f>
        <v/>
      </c>
      <c r="W869" s="42" t="str">
        <f>IF(NOTA[[#This Row],[JUMLAH]]="","",NOTA[[#This Row],[JUMLAH]]*NOTA[[#This Row],[Column6]])</f>
        <v/>
      </c>
      <c r="X869" s="42" t="str">
        <f>IF(NOTA[[#This Row],[JUMLAH]]="","",(NOTA[[#This Row],[JUMLAH]]-NOTA[[#This Row],[DISC 1-]])*NOTA[[#This Row],[Column7]])</f>
        <v/>
      </c>
      <c r="Y869" s="42" t="str">
        <f>IF(NOTA[[#This Row],[JUMLAH]]="","",(NOTA[[#This Row],[JUMLAH]]-NOTA[[#This Row],[DISC 1-]]-NOTA[[#This Row],[DISC 2-]])*NOTA[[#This Row],[Column8]])</f>
        <v/>
      </c>
      <c r="Z869" s="42" t="str">
        <f>IF(NOTA[[#This Row],[JUMLAH]]="","",NOTA[[#This Row],[DISC 1-]]+NOTA[[#This Row],[DISC 2-]]+NOTA[[#This Row],[DISC 3-]])</f>
        <v/>
      </c>
      <c r="AA869" s="42" t="str">
        <f>IF(NOTA[[#This Row],[JUMLAH]]="","",NOTA[[#This Row],[JUMLAH]]-NOTA[[#This Row],[DISC]])</f>
        <v/>
      </c>
      <c r="AB869" s="42"/>
      <c r="AC8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42" t="str">
        <f>IF(OR(NOTA[[#This Row],[QTY]]="",NOTA[[#This Row],[HARGA SATUAN]]="",),"",NOTA[[#This Row],[QTY]]*NOTA[[#This Row],[HARGA SATUAN]])</f>
        <v/>
      </c>
      <c r="AG869" s="36" t="str">
        <f ca="1">IF(NOTA[[#This Row],[ID_H]]="","",INDEX(NOTA[TANGGAL],MATCH(,INDIRECT(ADDRESS(ROW(NOTA[TANGGAL]),COLUMN(NOTA[TANGGAL]))&amp;":"&amp;ADDRESS(ROW(),COLUMN(NOTA[TANGGAL]))),-1)))</f>
        <v/>
      </c>
      <c r="AH869" s="36" t="str">
        <f ca="1">IF(NOTA[[#This Row],[ID_H]]="","",INDEX(NOTA[TGL.NOTA],MATCH(,INDIRECT(ADDRESS(ROW(NOTA[TGL.NOTA]),COLUMN(NOTA[TGL.NOTA]))&amp;":"&amp;ADDRESS(ROW(),COLUMN(NOTA[TGL.NOTA]))),-1)))</f>
        <v/>
      </c>
      <c r="AI869" s="36" t="str">
        <f ca="1">IF(NOTA[[#This Row],[ID_H]]="","",INDEX(NOTA[NO.NOTA],MATCH(NOTA[[#This Row],[ID_H]],NOTA[ID_H],0)))</f>
        <v/>
      </c>
      <c r="AJ869" s="38" t="str">
        <f ca="1">IF(NOTA[[#This Row],[NAMA BARANG]]="","",INDEX(NOTA[SUPPLIER],MATCH(,INDIRECT(ADDRESS(ROW(NOTA[ID]),COLUMN(NOTA[ID]))&amp;":"&amp;ADDRESS(ROW(),COLUMN(NOTA[ID]))),-1)))</f>
        <v/>
      </c>
      <c r="AK869" s="38" t="str">
        <f ca="1">IF(NOTA[[#This Row],[ID_H]]="","",IF(NOTA[[#This Row],[FAKTUR]]="",INDIRECT(ADDRESS(ROW()-1,COLUMN())),NOTA[[#This Row],[FAKTUR]]))</f>
        <v/>
      </c>
      <c r="AL869" s="35" t="str">
        <f ca="1">IF(NOTA[[#This Row],[ID]]="","",COUNTIF(NOTA[ID_H],NOTA[[#This Row],[ID_H]]))</f>
        <v/>
      </c>
      <c r="AM869" s="35" t="str">
        <f ca="1">IF(NOTA[[#This Row],[TGL.NOTA]]="",IF(NOTA[[#This Row],[SUPPLIER_H]]="","",AM868),MONTH(NOTA[[#This Row],[TGL.NOTA]]))</f>
        <v/>
      </c>
      <c r="AN8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9" s="35" t="str">
        <f>IF(NOTA[[#This Row],[CONCAT1]]="","",MATCH(NOTA[[#This Row],[CONCAT1]],[3]!db[NB NOTA_C],0))</f>
        <v/>
      </c>
      <c r="AS869" s="35" t="str">
        <f>IF(NOTA[[#This Row],[Column5]]="","",TRUE)</f>
        <v/>
      </c>
      <c r="AT869" s="35" t="str">
        <f ca="1">IF(NOTA[[#This Row],[ID_H]]="","",IF(NOTA[[#This Row],[Column3]]=TRUE,NOTA[[#This Row],[Column5]],INDEX([3]!db[QTY/ CTN],NOTA[[#This Row],[//DB]])))</f>
        <v/>
      </c>
      <c r="AU8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69" s="35" t="str">
        <f ca="1">IF(NOTA[[#This Row],[ID_H]]="","",MATCH(NOTA[[#This Row],[NB NOTA_C_QTY]],[3]!db[NB NOTA_C_QTY+F],0))</f>
        <v/>
      </c>
      <c r="AW869" s="43" t="str">
        <f ca="1">IF(NOTA[[#This Row],[NB NOTA_C_QTY]]="","",ROW()-2)</f>
        <v/>
      </c>
    </row>
    <row r="870" spans="1:49" ht="20.100000000000001" customHeight="1">
      <c r="A8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5" t="str">
        <f ca="1">IF(NOTA[[#This Row],[NAMA BARANG]]="","",INDEX(NOTA[ID],MATCH(,INDIRECT(ADDRESS(ROW(NOTA[ID]),COLUMN(NOTA[ID]))&amp;":"&amp;ADDRESS(ROW(),COLUMN(NOTA[ID]))),-1)))</f>
        <v/>
      </c>
      <c r="C870" s="45"/>
      <c r="F870" s="46"/>
      <c r="G870" s="35"/>
      <c r="H870" s="36"/>
      <c r="I870" s="35"/>
      <c r="K870" s="37"/>
      <c r="L870" s="35"/>
      <c r="N870" s="38"/>
      <c r="O870" s="39"/>
      <c r="P870" s="47"/>
      <c r="Q870" s="48"/>
      <c r="R870" s="41"/>
      <c r="T870" s="42"/>
      <c r="U870" s="44"/>
      <c r="V870" s="42" t="str">
        <f>IF(NOTA[[#This Row],[HARGA/ CTN]]="",NOTA[[#This Row],[JUMLAH_H]],NOTA[[#This Row],[HARGA/ CTN]]*IF(NOTA[[#This Row],[C]]="",0,NOTA[[#This Row],[C]]))</f>
        <v/>
      </c>
      <c r="W870" s="42" t="str">
        <f>IF(NOTA[[#This Row],[JUMLAH]]="","",NOTA[[#This Row],[JUMLAH]]*NOTA[[#This Row],[Column6]])</f>
        <v/>
      </c>
      <c r="X870" s="42" t="str">
        <f>IF(NOTA[[#This Row],[JUMLAH]]="","",(NOTA[[#This Row],[JUMLAH]]-NOTA[[#This Row],[DISC 1-]])*NOTA[[#This Row],[Column7]])</f>
        <v/>
      </c>
      <c r="Y870" s="42" t="str">
        <f>IF(NOTA[[#This Row],[JUMLAH]]="","",(NOTA[[#This Row],[JUMLAH]]-NOTA[[#This Row],[DISC 1-]]-NOTA[[#This Row],[DISC 2-]])*NOTA[[#This Row],[Column8]])</f>
        <v/>
      </c>
      <c r="Z870" s="42" t="str">
        <f>IF(NOTA[[#This Row],[JUMLAH]]="","",NOTA[[#This Row],[DISC 1-]]+NOTA[[#This Row],[DISC 2-]]+NOTA[[#This Row],[DISC 3-]])</f>
        <v/>
      </c>
      <c r="AA870" s="42" t="str">
        <f>IF(NOTA[[#This Row],[JUMLAH]]="","",NOTA[[#This Row],[JUMLAH]]-NOTA[[#This Row],[DISC]])</f>
        <v/>
      </c>
      <c r="AB870" s="42"/>
      <c r="AC8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42" t="str">
        <f>IF(OR(NOTA[[#This Row],[QTY]]="",NOTA[[#This Row],[HARGA SATUAN]]="",),"",NOTA[[#This Row],[QTY]]*NOTA[[#This Row],[HARGA SATUAN]])</f>
        <v/>
      </c>
      <c r="AG870" s="36" t="str">
        <f ca="1">IF(NOTA[[#This Row],[ID_H]]="","",INDEX(NOTA[TANGGAL],MATCH(,INDIRECT(ADDRESS(ROW(NOTA[TANGGAL]),COLUMN(NOTA[TANGGAL]))&amp;":"&amp;ADDRESS(ROW(),COLUMN(NOTA[TANGGAL]))),-1)))</f>
        <v/>
      </c>
      <c r="AH870" s="36" t="str">
        <f ca="1">IF(NOTA[[#This Row],[ID_H]]="","",INDEX(NOTA[TGL.NOTA],MATCH(,INDIRECT(ADDRESS(ROW(NOTA[TGL.NOTA]),COLUMN(NOTA[TGL.NOTA]))&amp;":"&amp;ADDRESS(ROW(),COLUMN(NOTA[TGL.NOTA]))),-1)))</f>
        <v/>
      </c>
      <c r="AI870" s="36" t="str">
        <f ca="1">IF(NOTA[[#This Row],[ID_H]]="","",INDEX(NOTA[NO.NOTA],MATCH(NOTA[[#This Row],[ID_H]],NOTA[ID_H],0)))</f>
        <v/>
      </c>
      <c r="AJ870" s="38" t="str">
        <f ca="1">IF(NOTA[[#This Row],[NAMA BARANG]]="","",INDEX(NOTA[SUPPLIER],MATCH(,INDIRECT(ADDRESS(ROW(NOTA[ID]),COLUMN(NOTA[ID]))&amp;":"&amp;ADDRESS(ROW(),COLUMN(NOTA[ID]))),-1)))</f>
        <v/>
      </c>
      <c r="AK870" s="38" t="str">
        <f ca="1">IF(NOTA[[#This Row],[ID_H]]="","",IF(NOTA[[#This Row],[FAKTUR]]="",INDIRECT(ADDRESS(ROW()-1,COLUMN())),NOTA[[#This Row],[FAKTUR]]))</f>
        <v/>
      </c>
      <c r="AL870" s="35" t="str">
        <f ca="1">IF(NOTA[[#This Row],[ID]]="","",COUNTIF(NOTA[ID_H],NOTA[[#This Row],[ID_H]]))</f>
        <v/>
      </c>
      <c r="AM870" s="35" t="str">
        <f ca="1">IF(NOTA[[#This Row],[TGL.NOTA]]="",IF(NOTA[[#This Row],[SUPPLIER_H]]="","",AM869),MONTH(NOTA[[#This Row],[TGL.NOTA]]))</f>
        <v/>
      </c>
      <c r="AN8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0" s="35" t="str">
        <f>IF(NOTA[[#This Row],[CONCAT1]]="","",MATCH(NOTA[[#This Row],[CONCAT1]],[3]!db[NB NOTA_C],0))</f>
        <v/>
      </c>
      <c r="AS870" s="35" t="str">
        <f>IF(NOTA[[#This Row],[Column5]]="","",TRUE)</f>
        <v/>
      </c>
      <c r="AT870" s="35" t="str">
        <f ca="1">IF(NOTA[[#This Row],[ID_H]]="","",IF(NOTA[[#This Row],[Column3]]=TRUE,NOTA[[#This Row],[Column5]],INDEX([3]!db[QTY/ CTN],NOTA[[#This Row],[//DB]])))</f>
        <v/>
      </c>
      <c r="AU8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0" s="35" t="str">
        <f ca="1">IF(NOTA[[#This Row],[ID_H]]="","",MATCH(NOTA[[#This Row],[NB NOTA_C_QTY]],[3]!db[NB NOTA_C_QTY+F],0))</f>
        <v/>
      </c>
      <c r="AW870" s="43" t="str">
        <f ca="1">IF(NOTA[[#This Row],[NB NOTA_C_QTY]]="","",ROW()-2)</f>
        <v/>
      </c>
    </row>
    <row r="871" spans="1:49" ht="20.100000000000001" customHeight="1">
      <c r="A8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5" t="str">
        <f ca="1">IF(NOTA[[#This Row],[NAMA BARANG]]="","",INDEX(NOTA[ID],MATCH(,INDIRECT(ADDRESS(ROW(NOTA[ID]),COLUMN(NOTA[ID]))&amp;":"&amp;ADDRESS(ROW(),COLUMN(NOTA[ID]))),-1)))</f>
        <v/>
      </c>
      <c r="C871" s="45"/>
      <c r="F871" s="46"/>
      <c r="G871" s="35"/>
      <c r="H871" s="36"/>
      <c r="I871" s="35"/>
      <c r="K871" s="37"/>
      <c r="L871" s="35"/>
      <c r="N871" s="38"/>
      <c r="O871" s="39"/>
      <c r="P871" s="47"/>
      <c r="Q871" s="48"/>
      <c r="R871" s="41"/>
      <c r="T871" s="42"/>
      <c r="U871" s="44"/>
      <c r="V871" s="42" t="str">
        <f>IF(NOTA[[#This Row],[HARGA/ CTN]]="",NOTA[[#This Row],[JUMLAH_H]],NOTA[[#This Row],[HARGA/ CTN]]*IF(NOTA[[#This Row],[C]]="",0,NOTA[[#This Row],[C]]))</f>
        <v/>
      </c>
      <c r="W871" s="42" t="str">
        <f>IF(NOTA[[#This Row],[JUMLAH]]="","",NOTA[[#This Row],[JUMLAH]]*NOTA[[#This Row],[Column6]])</f>
        <v/>
      </c>
      <c r="X871" s="42" t="str">
        <f>IF(NOTA[[#This Row],[JUMLAH]]="","",(NOTA[[#This Row],[JUMLAH]]-NOTA[[#This Row],[DISC 1-]])*NOTA[[#This Row],[Column7]])</f>
        <v/>
      </c>
      <c r="Y871" s="42" t="str">
        <f>IF(NOTA[[#This Row],[JUMLAH]]="","",(NOTA[[#This Row],[JUMLAH]]-NOTA[[#This Row],[DISC 1-]]-NOTA[[#This Row],[DISC 2-]])*NOTA[[#This Row],[Column8]])</f>
        <v/>
      </c>
      <c r="Z871" s="42" t="str">
        <f>IF(NOTA[[#This Row],[JUMLAH]]="","",NOTA[[#This Row],[DISC 1-]]+NOTA[[#This Row],[DISC 2-]]+NOTA[[#This Row],[DISC 3-]])</f>
        <v/>
      </c>
      <c r="AA871" s="42" t="str">
        <f>IF(NOTA[[#This Row],[JUMLAH]]="","",NOTA[[#This Row],[JUMLAH]]-NOTA[[#This Row],[DISC]])</f>
        <v/>
      </c>
      <c r="AB871" s="42"/>
      <c r="AC8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42" t="str">
        <f>IF(OR(NOTA[[#This Row],[QTY]]="",NOTA[[#This Row],[HARGA SATUAN]]="",),"",NOTA[[#This Row],[QTY]]*NOTA[[#This Row],[HARGA SATUAN]])</f>
        <v/>
      </c>
      <c r="AG871" s="36" t="str">
        <f ca="1">IF(NOTA[[#This Row],[ID_H]]="","",INDEX(NOTA[TANGGAL],MATCH(,INDIRECT(ADDRESS(ROW(NOTA[TANGGAL]),COLUMN(NOTA[TANGGAL]))&amp;":"&amp;ADDRESS(ROW(),COLUMN(NOTA[TANGGAL]))),-1)))</f>
        <v/>
      </c>
      <c r="AH871" s="36" t="str">
        <f ca="1">IF(NOTA[[#This Row],[ID_H]]="","",INDEX(NOTA[TGL.NOTA],MATCH(,INDIRECT(ADDRESS(ROW(NOTA[TGL.NOTA]),COLUMN(NOTA[TGL.NOTA]))&amp;":"&amp;ADDRESS(ROW(),COLUMN(NOTA[TGL.NOTA]))),-1)))</f>
        <v/>
      </c>
      <c r="AI871" s="36" t="str">
        <f ca="1">IF(NOTA[[#This Row],[ID_H]]="","",INDEX(NOTA[NO.NOTA],MATCH(NOTA[[#This Row],[ID_H]],NOTA[ID_H],0)))</f>
        <v/>
      </c>
      <c r="AJ871" s="38" t="str">
        <f ca="1">IF(NOTA[[#This Row],[NAMA BARANG]]="","",INDEX(NOTA[SUPPLIER],MATCH(,INDIRECT(ADDRESS(ROW(NOTA[ID]),COLUMN(NOTA[ID]))&amp;":"&amp;ADDRESS(ROW(),COLUMN(NOTA[ID]))),-1)))</f>
        <v/>
      </c>
      <c r="AK871" s="38" t="str">
        <f ca="1">IF(NOTA[[#This Row],[ID_H]]="","",IF(NOTA[[#This Row],[FAKTUR]]="",INDIRECT(ADDRESS(ROW()-1,COLUMN())),NOTA[[#This Row],[FAKTUR]]))</f>
        <v/>
      </c>
      <c r="AL871" s="35" t="str">
        <f ca="1">IF(NOTA[[#This Row],[ID]]="","",COUNTIF(NOTA[ID_H],NOTA[[#This Row],[ID_H]]))</f>
        <v/>
      </c>
      <c r="AM871" s="35" t="str">
        <f ca="1">IF(NOTA[[#This Row],[TGL.NOTA]]="",IF(NOTA[[#This Row],[SUPPLIER_H]]="","",AM870),MONTH(NOTA[[#This Row],[TGL.NOTA]]))</f>
        <v/>
      </c>
      <c r="AN8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1" s="35" t="str">
        <f>IF(NOTA[[#This Row],[CONCAT1]]="","",MATCH(NOTA[[#This Row],[CONCAT1]],[3]!db[NB NOTA_C],0))</f>
        <v/>
      </c>
      <c r="AS871" s="35" t="str">
        <f>IF(NOTA[[#This Row],[Column5]]="","",TRUE)</f>
        <v/>
      </c>
      <c r="AT871" s="35" t="str">
        <f ca="1">IF(NOTA[[#This Row],[ID_H]]="","",IF(NOTA[[#This Row],[Column3]]=TRUE,NOTA[[#This Row],[Column5]],INDEX([3]!db[QTY/ CTN],NOTA[[#This Row],[//DB]])))</f>
        <v/>
      </c>
      <c r="AU8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1" s="35" t="str">
        <f ca="1">IF(NOTA[[#This Row],[ID_H]]="","",MATCH(NOTA[[#This Row],[NB NOTA_C_QTY]],[3]!db[NB NOTA_C_QTY+F],0))</f>
        <v/>
      </c>
      <c r="AW871" s="43" t="str">
        <f ca="1">IF(NOTA[[#This Row],[NB NOTA_C_QTY]]="","",ROW()-2)</f>
        <v/>
      </c>
    </row>
    <row r="872" spans="1:49" ht="20.100000000000001" customHeight="1">
      <c r="A8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5" t="str">
        <f ca="1">IF(NOTA[[#This Row],[NAMA BARANG]]="","",INDEX(NOTA[ID],MATCH(,INDIRECT(ADDRESS(ROW(NOTA[ID]),COLUMN(NOTA[ID]))&amp;":"&amp;ADDRESS(ROW(),COLUMN(NOTA[ID]))),-1)))</f>
        <v/>
      </c>
      <c r="C872" s="45"/>
      <c r="F872" s="46"/>
      <c r="G872" s="35"/>
      <c r="H872" s="36"/>
      <c r="I872" s="35"/>
      <c r="K872" s="37"/>
      <c r="L872" s="35"/>
      <c r="N872" s="38"/>
      <c r="O872" s="39"/>
      <c r="P872" s="47"/>
      <c r="Q872" s="48"/>
      <c r="R872" s="41"/>
      <c r="T872" s="42"/>
      <c r="U872" s="44"/>
      <c r="V872" s="42" t="str">
        <f>IF(NOTA[[#This Row],[HARGA/ CTN]]="",NOTA[[#This Row],[JUMLAH_H]],NOTA[[#This Row],[HARGA/ CTN]]*IF(NOTA[[#This Row],[C]]="",0,NOTA[[#This Row],[C]]))</f>
        <v/>
      </c>
      <c r="W872" s="42" t="str">
        <f>IF(NOTA[[#This Row],[JUMLAH]]="","",NOTA[[#This Row],[JUMLAH]]*NOTA[[#This Row],[Column6]])</f>
        <v/>
      </c>
      <c r="X872" s="42" t="str">
        <f>IF(NOTA[[#This Row],[JUMLAH]]="","",(NOTA[[#This Row],[JUMLAH]]-NOTA[[#This Row],[DISC 1-]])*NOTA[[#This Row],[Column7]])</f>
        <v/>
      </c>
      <c r="Y872" s="42" t="str">
        <f>IF(NOTA[[#This Row],[JUMLAH]]="","",(NOTA[[#This Row],[JUMLAH]]-NOTA[[#This Row],[DISC 1-]]-NOTA[[#This Row],[DISC 2-]])*NOTA[[#This Row],[Column8]])</f>
        <v/>
      </c>
      <c r="Z872" s="42" t="str">
        <f>IF(NOTA[[#This Row],[JUMLAH]]="","",NOTA[[#This Row],[DISC 1-]]+NOTA[[#This Row],[DISC 2-]]+NOTA[[#This Row],[DISC 3-]])</f>
        <v/>
      </c>
      <c r="AA872" s="42" t="str">
        <f>IF(NOTA[[#This Row],[JUMLAH]]="","",NOTA[[#This Row],[JUMLAH]]-NOTA[[#This Row],[DISC]])</f>
        <v/>
      </c>
      <c r="AB872" s="42"/>
      <c r="AC8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42" t="str">
        <f>IF(OR(NOTA[[#This Row],[QTY]]="",NOTA[[#This Row],[HARGA SATUAN]]="",),"",NOTA[[#This Row],[QTY]]*NOTA[[#This Row],[HARGA SATUAN]])</f>
        <v/>
      </c>
      <c r="AG872" s="36" t="str">
        <f ca="1">IF(NOTA[[#This Row],[ID_H]]="","",INDEX(NOTA[TANGGAL],MATCH(,INDIRECT(ADDRESS(ROW(NOTA[TANGGAL]),COLUMN(NOTA[TANGGAL]))&amp;":"&amp;ADDRESS(ROW(),COLUMN(NOTA[TANGGAL]))),-1)))</f>
        <v/>
      </c>
      <c r="AH872" s="36" t="str">
        <f ca="1">IF(NOTA[[#This Row],[ID_H]]="","",INDEX(NOTA[TGL.NOTA],MATCH(,INDIRECT(ADDRESS(ROW(NOTA[TGL.NOTA]),COLUMN(NOTA[TGL.NOTA]))&amp;":"&amp;ADDRESS(ROW(),COLUMN(NOTA[TGL.NOTA]))),-1)))</f>
        <v/>
      </c>
      <c r="AI872" s="36" t="str">
        <f ca="1">IF(NOTA[[#This Row],[ID_H]]="","",INDEX(NOTA[NO.NOTA],MATCH(NOTA[[#This Row],[ID_H]],NOTA[ID_H],0)))</f>
        <v/>
      </c>
      <c r="AJ872" s="38" t="str">
        <f ca="1">IF(NOTA[[#This Row],[NAMA BARANG]]="","",INDEX(NOTA[SUPPLIER],MATCH(,INDIRECT(ADDRESS(ROW(NOTA[ID]),COLUMN(NOTA[ID]))&amp;":"&amp;ADDRESS(ROW(),COLUMN(NOTA[ID]))),-1)))</f>
        <v/>
      </c>
      <c r="AK872" s="38" t="str">
        <f ca="1">IF(NOTA[[#This Row],[ID_H]]="","",IF(NOTA[[#This Row],[FAKTUR]]="",INDIRECT(ADDRESS(ROW()-1,COLUMN())),NOTA[[#This Row],[FAKTUR]]))</f>
        <v/>
      </c>
      <c r="AL872" s="35" t="str">
        <f ca="1">IF(NOTA[[#This Row],[ID]]="","",COUNTIF(NOTA[ID_H],NOTA[[#This Row],[ID_H]]))</f>
        <v/>
      </c>
      <c r="AM872" s="35" t="str">
        <f ca="1">IF(NOTA[[#This Row],[TGL.NOTA]]="",IF(NOTA[[#This Row],[SUPPLIER_H]]="","",AM871),MONTH(NOTA[[#This Row],[TGL.NOTA]]))</f>
        <v/>
      </c>
      <c r="AN8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2" s="35" t="str">
        <f>IF(NOTA[[#This Row],[CONCAT1]]="","",MATCH(NOTA[[#This Row],[CONCAT1]],[3]!db[NB NOTA_C],0))</f>
        <v/>
      </c>
      <c r="AS872" s="35" t="str">
        <f>IF(NOTA[[#This Row],[Column5]]="","",TRUE)</f>
        <v/>
      </c>
      <c r="AT872" s="35" t="str">
        <f ca="1">IF(NOTA[[#This Row],[ID_H]]="","",IF(NOTA[[#This Row],[Column3]]=TRUE,NOTA[[#This Row],[Column5]],INDEX([3]!db[QTY/ CTN],NOTA[[#This Row],[//DB]])))</f>
        <v/>
      </c>
      <c r="AU8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2" s="35" t="str">
        <f ca="1">IF(NOTA[[#This Row],[ID_H]]="","",MATCH(NOTA[[#This Row],[NB NOTA_C_QTY]],[3]!db[NB NOTA_C_QTY+F],0))</f>
        <v/>
      </c>
      <c r="AW872" s="43" t="str">
        <f ca="1">IF(NOTA[[#This Row],[NB NOTA_C_QTY]]="","",ROW()-2)</f>
        <v/>
      </c>
    </row>
    <row r="873" spans="1:49" ht="20.100000000000001" customHeight="1">
      <c r="A8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5" t="str">
        <f ca="1">IF(NOTA[[#This Row],[NAMA BARANG]]="","",INDEX(NOTA[ID],MATCH(,INDIRECT(ADDRESS(ROW(NOTA[ID]),COLUMN(NOTA[ID]))&amp;":"&amp;ADDRESS(ROW(),COLUMN(NOTA[ID]))),-1)))</f>
        <v/>
      </c>
      <c r="C873" s="45"/>
      <c r="F873" s="46"/>
      <c r="G873" s="35"/>
      <c r="H873" s="36"/>
      <c r="I873" s="35"/>
      <c r="K873" s="37"/>
      <c r="L873" s="35"/>
      <c r="N873" s="38"/>
      <c r="O873" s="39"/>
      <c r="P873" s="47"/>
      <c r="Q873" s="48"/>
      <c r="R873" s="41"/>
      <c r="T873" s="42"/>
      <c r="U873" s="44"/>
      <c r="V873" s="42" t="str">
        <f>IF(NOTA[[#This Row],[HARGA/ CTN]]="",NOTA[[#This Row],[JUMLAH_H]],NOTA[[#This Row],[HARGA/ CTN]]*IF(NOTA[[#This Row],[C]]="",0,NOTA[[#This Row],[C]]))</f>
        <v/>
      </c>
      <c r="W873" s="42" t="str">
        <f>IF(NOTA[[#This Row],[JUMLAH]]="","",NOTA[[#This Row],[JUMLAH]]*NOTA[[#This Row],[Column6]])</f>
        <v/>
      </c>
      <c r="X873" s="42" t="str">
        <f>IF(NOTA[[#This Row],[JUMLAH]]="","",(NOTA[[#This Row],[JUMLAH]]-NOTA[[#This Row],[DISC 1-]])*NOTA[[#This Row],[Column7]])</f>
        <v/>
      </c>
      <c r="Y873" s="42" t="str">
        <f>IF(NOTA[[#This Row],[JUMLAH]]="","",(NOTA[[#This Row],[JUMLAH]]-NOTA[[#This Row],[DISC 1-]]-NOTA[[#This Row],[DISC 2-]])*NOTA[[#This Row],[Column8]])</f>
        <v/>
      </c>
      <c r="Z873" s="42" t="str">
        <f>IF(NOTA[[#This Row],[JUMLAH]]="","",NOTA[[#This Row],[DISC 1-]]+NOTA[[#This Row],[DISC 2-]]+NOTA[[#This Row],[DISC 3-]])</f>
        <v/>
      </c>
      <c r="AA873" s="42" t="str">
        <f>IF(NOTA[[#This Row],[JUMLAH]]="","",NOTA[[#This Row],[JUMLAH]]-NOTA[[#This Row],[DISC]])</f>
        <v/>
      </c>
      <c r="AB873" s="42"/>
      <c r="AC8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42" t="str">
        <f>IF(OR(NOTA[[#This Row],[QTY]]="",NOTA[[#This Row],[HARGA SATUAN]]="",),"",NOTA[[#This Row],[QTY]]*NOTA[[#This Row],[HARGA SATUAN]])</f>
        <v/>
      </c>
      <c r="AG873" s="36" t="str">
        <f ca="1">IF(NOTA[[#This Row],[ID_H]]="","",INDEX(NOTA[TANGGAL],MATCH(,INDIRECT(ADDRESS(ROW(NOTA[TANGGAL]),COLUMN(NOTA[TANGGAL]))&amp;":"&amp;ADDRESS(ROW(),COLUMN(NOTA[TANGGAL]))),-1)))</f>
        <v/>
      </c>
      <c r="AH873" s="36" t="str">
        <f ca="1">IF(NOTA[[#This Row],[ID_H]]="","",INDEX(NOTA[TGL.NOTA],MATCH(,INDIRECT(ADDRESS(ROW(NOTA[TGL.NOTA]),COLUMN(NOTA[TGL.NOTA]))&amp;":"&amp;ADDRESS(ROW(),COLUMN(NOTA[TGL.NOTA]))),-1)))</f>
        <v/>
      </c>
      <c r="AI873" s="36" t="str">
        <f ca="1">IF(NOTA[[#This Row],[ID_H]]="","",INDEX(NOTA[NO.NOTA],MATCH(NOTA[[#This Row],[ID_H]],NOTA[ID_H],0)))</f>
        <v/>
      </c>
      <c r="AJ873" s="38" t="str">
        <f ca="1">IF(NOTA[[#This Row],[NAMA BARANG]]="","",INDEX(NOTA[SUPPLIER],MATCH(,INDIRECT(ADDRESS(ROW(NOTA[ID]),COLUMN(NOTA[ID]))&amp;":"&amp;ADDRESS(ROW(),COLUMN(NOTA[ID]))),-1)))</f>
        <v/>
      </c>
      <c r="AK873" s="38" t="str">
        <f ca="1">IF(NOTA[[#This Row],[ID_H]]="","",IF(NOTA[[#This Row],[FAKTUR]]="",INDIRECT(ADDRESS(ROW()-1,COLUMN())),NOTA[[#This Row],[FAKTUR]]))</f>
        <v/>
      </c>
      <c r="AL873" s="35" t="str">
        <f ca="1">IF(NOTA[[#This Row],[ID]]="","",COUNTIF(NOTA[ID_H],NOTA[[#This Row],[ID_H]]))</f>
        <v/>
      </c>
      <c r="AM873" s="35" t="str">
        <f ca="1">IF(NOTA[[#This Row],[TGL.NOTA]]="",IF(NOTA[[#This Row],[SUPPLIER_H]]="","",AM872),MONTH(NOTA[[#This Row],[TGL.NOTA]]))</f>
        <v/>
      </c>
      <c r="AN8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3" s="35" t="str">
        <f>IF(NOTA[[#This Row],[CONCAT1]]="","",MATCH(NOTA[[#This Row],[CONCAT1]],[3]!db[NB NOTA_C],0))</f>
        <v/>
      </c>
      <c r="AS873" s="35" t="str">
        <f>IF(NOTA[[#This Row],[Column5]]="","",TRUE)</f>
        <v/>
      </c>
      <c r="AT873" s="35" t="str">
        <f ca="1">IF(NOTA[[#This Row],[ID_H]]="","",IF(NOTA[[#This Row],[Column3]]=TRUE,NOTA[[#This Row],[Column5]],INDEX([3]!db[QTY/ CTN],NOTA[[#This Row],[//DB]])))</f>
        <v/>
      </c>
      <c r="AU8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3" s="35" t="str">
        <f ca="1">IF(NOTA[[#This Row],[ID_H]]="","",MATCH(NOTA[[#This Row],[NB NOTA_C_QTY]],[3]!db[NB NOTA_C_QTY+F],0))</f>
        <v/>
      </c>
      <c r="AW873" s="43" t="str">
        <f ca="1">IF(NOTA[[#This Row],[NB NOTA_C_QTY]]="","",ROW()-2)</f>
        <v/>
      </c>
    </row>
    <row r="874" spans="1:49" ht="20.100000000000001" customHeight="1">
      <c r="A8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5" t="str">
        <f ca="1">IF(NOTA[[#This Row],[NAMA BARANG]]="","",INDEX(NOTA[ID],MATCH(,INDIRECT(ADDRESS(ROW(NOTA[ID]),COLUMN(NOTA[ID]))&amp;":"&amp;ADDRESS(ROW(),COLUMN(NOTA[ID]))),-1)))</f>
        <v/>
      </c>
      <c r="C874" s="45"/>
      <c r="F874" s="46"/>
      <c r="G874" s="35"/>
      <c r="H874" s="36"/>
      <c r="I874" s="35"/>
      <c r="K874" s="37"/>
      <c r="L874" s="35"/>
      <c r="N874" s="38"/>
      <c r="O874" s="39"/>
      <c r="P874" s="47"/>
      <c r="Q874" s="48"/>
      <c r="R874" s="41"/>
      <c r="T874" s="42"/>
      <c r="U874" s="44"/>
      <c r="V874" s="42" t="str">
        <f>IF(NOTA[[#This Row],[HARGA/ CTN]]="",NOTA[[#This Row],[JUMLAH_H]],NOTA[[#This Row],[HARGA/ CTN]]*IF(NOTA[[#This Row],[C]]="",0,NOTA[[#This Row],[C]]))</f>
        <v/>
      </c>
      <c r="W874" s="42" t="str">
        <f>IF(NOTA[[#This Row],[JUMLAH]]="","",NOTA[[#This Row],[JUMLAH]]*NOTA[[#This Row],[Column6]])</f>
        <v/>
      </c>
      <c r="X874" s="42" t="str">
        <f>IF(NOTA[[#This Row],[JUMLAH]]="","",(NOTA[[#This Row],[JUMLAH]]-NOTA[[#This Row],[DISC 1-]])*NOTA[[#This Row],[Column7]])</f>
        <v/>
      </c>
      <c r="Y874" s="42" t="str">
        <f>IF(NOTA[[#This Row],[JUMLAH]]="","",(NOTA[[#This Row],[JUMLAH]]-NOTA[[#This Row],[DISC 1-]]-NOTA[[#This Row],[DISC 2-]])*NOTA[[#This Row],[Column8]])</f>
        <v/>
      </c>
      <c r="Z874" s="42" t="str">
        <f>IF(NOTA[[#This Row],[JUMLAH]]="","",NOTA[[#This Row],[DISC 1-]]+NOTA[[#This Row],[DISC 2-]]+NOTA[[#This Row],[DISC 3-]])</f>
        <v/>
      </c>
      <c r="AA874" s="42" t="str">
        <f>IF(NOTA[[#This Row],[JUMLAH]]="","",NOTA[[#This Row],[JUMLAH]]-NOTA[[#This Row],[DISC]])</f>
        <v/>
      </c>
      <c r="AB874" s="42"/>
      <c r="AC8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42" t="str">
        <f>IF(OR(NOTA[[#This Row],[QTY]]="",NOTA[[#This Row],[HARGA SATUAN]]="",),"",NOTA[[#This Row],[QTY]]*NOTA[[#This Row],[HARGA SATUAN]])</f>
        <v/>
      </c>
      <c r="AG874" s="36" t="str">
        <f ca="1">IF(NOTA[[#This Row],[ID_H]]="","",INDEX(NOTA[TANGGAL],MATCH(,INDIRECT(ADDRESS(ROW(NOTA[TANGGAL]),COLUMN(NOTA[TANGGAL]))&amp;":"&amp;ADDRESS(ROW(),COLUMN(NOTA[TANGGAL]))),-1)))</f>
        <v/>
      </c>
      <c r="AH874" s="36" t="str">
        <f ca="1">IF(NOTA[[#This Row],[ID_H]]="","",INDEX(NOTA[TGL.NOTA],MATCH(,INDIRECT(ADDRESS(ROW(NOTA[TGL.NOTA]),COLUMN(NOTA[TGL.NOTA]))&amp;":"&amp;ADDRESS(ROW(),COLUMN(NOTA[TGL.NOTA]))),-1)))</f>
        <v/>
      </c>
      <c r="AI874" s="36" t="str">
        <f ca="1">IF(NOTA[[#This Row],[ID_H]]="","",INDEX(NOTA[NO.NOTA],MATCH(NOTA[[#This Row],[ID_H]],NOTA[ID_H],0)))</f>
        <v/>
      </c>
      <c r="AJ874" s="38" t="str">
        <f ca="1">IF(NOTA[[#This Row],[NAMA BARANG]]="","",INDEX(NOTA[SUPPLIER],MATCH(,INDIRECT(ADDRESS(ROW(NOTA[ID]),COLUMN(NOTA[ID]))&amp;":"&amp;ADDRESS(ROW(),COLUMN(NOTA[ID]))),-1)))</f>
        <v/>
      </c>
      <c r="AK874" s="38" t="str">
        <f ca="1">IF(NOTA[[#This Row],[ID_H]]="","",IF(NOTA[[#This Row],[FAKTUR]]="",INDIRECT(ADDRESS(ROW()-1,COLUMN())),NOTA[[#This Row],[FAKTUR]]))</f>
        <v/>
      </c>
      <c r="AL874" s="35" t="str">
        <f ca="1">IF(NOTA[[#This Row],[ID]]="","",COUNTIF(NOTA[ID_H],NOTA[[#This Row],[ID_H]]))</f>
        <v/>
      </c>
      <c r="AM874" s="35" t="str">
        <f ca="1">IF(NOTA[[#This Row],[TGL.NOTA]]="",IF(NOTA[[#This Row],[SUPPLIER_H]]="","",AM873),MONTH(NOTA[[#This Row],[TGL.NOTA]]))</f>
        <v/>
      </c>
      <c r="AN8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4" s="35" t="str">
        <f>IF(NOTA[[#This Row],[CONCAT1]]="","",MATCH(NOTA[[#This Row],[CONCAT1]],[3]!db[NB NOTA_C],0))</f>
        <v/>
      </c>
      <c r="AS874" s="35" t="str">
        <f>IF(NOTA[[#This Row],[Column5]]="","",TRUE)</f>
        <v/>
      </c>
      <c r="AT874" s="35" t="str">
        <f ca="1">IF(NOTA[[#This Row],[ID_H]]="","",IF(NOTA[[#This Row],[Column3]]=TRUE,NOTA[[#This Row],[Column5]],INDEX([3]!db[QTY/ CTN],NOTA[[#This Row],[//DB]])))</f>
        <v/>
      </c>
      <c r="AU8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4" s="35" t="str">
        <f ca="1">IF(NOTA[[#This Row],[ID_H]]="","",MATCH(NOTA[[#This Row],[NB NOTA_C_QTY]],[3]!db[NB NOTA_C_QTY+F],0))</f>
        <v/>
      </c>
      <c r="AW874" s="43" t="str">
        <f ca="1">IF(NOTA[[#This Row],[NB NOTA_C_QTY]]="","",ROW()-2)</f>
        <v/>
      </c>
    </row>
    <row r="875" spans="1:49" ht="20.100000000000001" customHeight="1">
      <c r="A8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5" t="str">
        <f ca="1">IF(NOTA[[#This Row],[NAMA BARANG]]="","",INDEX(NOTA[ID],MATCH(,INDIRECT(ADDRESS(ROW(NOTA[ID]),COLUMN(NOTA[ID]))&amp;":"&amp;ADDRESS(ROW(),COLUMN(NOTA[ID]))),-1)))</f>
        <v/>
      </c>
      <c r="C875" s="45"/>
      <c r="F875" s="46"/>
      <c r="G875" s="35"/>
      <c r="H875" s="36"/>
      <c r="I875" s="35"/>
      <c r="K875" s="37"/>
      <c r="L875" s="35"/>
      <c r="N875" s="38"/>
      <c r="O875" s="39"/>
      <c r="P875" s="47"/>
      <c r="Q875" s="48"/>
      <c r="R875" s="41"/>
      <c r="T875" s="42"/>
      <c r="U875" s="44"/>
      <c r="V875" s="42" t="str">
        <f>IF(NOTA[[#This Row],[HARGA/ CTN]]="",NOTA[[#This Row],[JUMLAH_H]],NOTA[[#This Row],[HARGA/ CTN]]*IF(NOTA[[#This Row],[C]]="",0,NOTA[[#This Row],[C]]))</f>
        <v/>
      </c>
      <c r="W875" s="42" t="str">
        <f>IF(NOTA[[#This Row],[JUMLAH]]="","",NOTA[[#This Row],[JUMLAH]]*NOTA[[#This Row],[Column6]])</f>
        <v/>
      </c>
      <c r="X875" s="42" t="str">
        <f>IF(NOTA[[#This Row],[JUMLAH]]="","",(NOTA[[#This Row],[JUMLAH]]-NOTA[[#This Row],[DISC 1-]])*NOTA[[#This Row],[Column7]])</f>
        <v/>
      </c>
      <c r="Y875" s="42" t="str">
        <f>IF(NOTA[[#This Row],[JUMLAH]]="","",(NOTA[[#This Row],[JUMLAH]]-NOTA[[#This Row],[DISC 1-]]-NOTA[[#This Row],[DISC 2-]])*NOTA[[#This Row],[Column8]])</f>
        <v/>
      </c>
      <c r="Z875" s="42" t="str">
        <f>IF(NOTA[[#This Row],[JUMLAH]]="","",NOTA[[#This Row],[DISC 1-]]+NOTA[[#This Row],[DISC 2-]]+NOTA[[#This Row],[DISC 3-]])</f>
        <v/>
      </c>
      <c r="AA875" s="42" t="str">
        <f>IF(NOTA[[#This Row],[JUMLAH]]="","",NOTA[[#This Row],[JUMLAH]]-NOTA[[#This Row],[DISC]])</f>
        <v/>
      </c>
      <c r="AB875" s="42"/>
      <c r="AC8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42" t="str">
        <f>IF(OR(NOTA[[#This Row],[QTY]]="",NOTA[[#This Row],[HARGA SATUAN]]="",),"",NOTA[[#This Row],[QTY]]*NOTA[[#This Row],[HARGA SATUAN]])</f>
        <v/>
      </c>
      <c r="AG875" s="36" t="str">
        <f ca="1">IF(NOTA[[#This Row],[ID_H]]="","",INDEX(NOTA[TANGGAL],MATCH(,INDIRECT(ADDRESS(ROW(NOTA[TANGGAL]),COLUMN(NOTA[TANGGAL]))&amp;":"&amp;ADDRESS(ROW(),COLUMN(NOTA[TANGGAL]))),-1)))</f>
        <v/>
      </c>
      <c r="AH875" s="36" t="str">
        <f ca="1">IF(NOTA[[#This Row],[ID_H]]="","",INDEX(NOTA[TGL.NOTA],MATCH(,INDIRECT(ADDRESS(ROW(NOTA[TGL.NOTA]),COLUMN(NOTA[TGL.NOTA]))&amp;":"&amp;ADDRESS(ROW(),COLUMN(NOTA[TGL.NOTA]))),-1)))</f>
        <v/>
      </c>
      <c r="AI875" s="36" t="str">
        <f ca="1">IF(NOTA[[#This Row],[ID_H]]="","",INDEX(NOTA[NO.NOTA],MATCH(NOTA[[#This Row],[ID_H]],NOTA[ID_H],0)))</f>
        <v/>
      </c>
      <c r="AJ875" s="38" t="str">
        <f ca="1">IF(NOTA[[#This Row],[NAMA BARANG]]="","",INDEX(NOTA[SUPPLIER],MATCH(,INDIRECT(ADDRESS(ROW(NOTA[ID]),COLUMN(NOTA[ID]))&amp;":"&amp;ADDRESS(ROW(),COLUMN(NOTA[ID]))),-1)))</f>
        <v/>
      </c>
      <c r="AK875" s="38" t="str">
        <f ca="1">IF(NOTA[[#This Row],[ID_H]]="","",IF(NOTA[[#This Row],[FAKTUR]]="",INDIRECT(ADDRESS(ROW()-1,COLUMN())),NOTA[[#This Row],[FAKTUR]]))</f>
        <v/>
      </c>
      <c r="AL875" s="35" t="str">
        <f ca="1">IF(NOTA[[#This Row],[ID]]="","",COUNTIF(NOTA[ID_H],NOTA[[#This Row],[ID_H]]))</f>
        <v/>
      </c>
      <c r="AM875" s="35" t="str">
        <f ca="1">IF(NOTA[[#This Row],[TGL.NOTA]]="",IF(NOTA[[#This Row],[SUPPLIER_H]]="","",AM874),MONTH(NOTA[[#This Row],[TGL.NOTA]]))</f>
        <v/>
      </c>
      <c r="AN8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5" s="35" t="str">
        <f>IF(NOTA[[#This Row],[CONCAT1]]="","",MATCH(NOTA[[#This Row],[CONCAT1]],[3]!db[NB NOTA_C],0))</f>
        <v/>
      </c>
      <c r="AS875" s="35" t="str">
        <f>IF(NOTA[[#This Row],[Column5]]="","",TRUE)</f>
        <v/>
      </c>
      <c r="AT875" s="35" t="str">
        <f ca="1">IF(NOTA[[#This Row],[ID_H]]="","",IF(NOTA[[#This Row],[Column3]]=TRUE,NOTA[[#This Row],[Column5]],INDEX([3]!db[QTY/ CTN],NOTA[[#This Row],[//DB]])))</f>
        <v/>
      </c>
      <c r="AU8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5" s="35" t="str">
        <f ca="1">IF(NOTA[[#This Row],[ID_H]]="","",MATCH(NOTA[[#This Row],[NB NOTA_C_QTY]],[3]!db[NB NOTA_C_QTY+F],0))</f>
        <v/>
      </c>
      <c r="AW875" s="43" t="str">
        <f ca="1">IF(NOTA[[#This Row],[NB NOTA_C_QTY]]="","",ROW()-2)</f>
        <v/>
      </c>
    </row>
    <row r="876" spans="1:49" ht="20.100000000000001" customHeight="1">
      <c r="A8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5" t="str">
        <f ca="1">IF(NOTA[[#This Row],[NAMA BARANG]]="","",INDEX(NOTA[ID],MATCH(,INDIRECT(ADDRESS(ROW(NOTA[ID]),COLUMN(NOTA[ID]))&amp;":"&amp;ADDRESS(ROW(),COLUMN(NOTA[ID]))),-1)))</f>
        <v/>
      </c>
      <c r="C876" s="45"/>
      <c r="F876" s="46"/>
      <c r="G876" s="35"/>
      <c r="H876" s="36"/>
      <c r="I876" s="35"/>
      <c r="K876" s="37"/>
      <c r="L876" s="35"/>
      <c r="N876" s="38"/>
      <c r="O876" s="39"/>
      <c r="P876" s="47"/>
      <c r="Q876" s="48"/>
      <c r="R876" s="41"/>
      <c r="T876" s="42"/>
      <c r="U876" s="44"/>
      <c r="V876" s="42" t="str">
        <f>IF(NOTA[[#This Row],[HARGA/ CTN]]="",NOTA[[#This Row],[JUMLAH_H]],NOTA[[#This Row],[HARGA/ CTN]]*IF(NOTA[[#This Row],[C]]="",0,NOTA[[#This Row],[C]]))</f>
        <v/>
      </c>
      <c r="W876" s="42" t="str">
        <f>IF(NOTA[[#This Row],[JUMLAH]]="","",NOTA[[#This Row],[JUMLAH]]*NOTA[[#This Row],[Column6]])</f>
        <v/>
      </c>
      <c r="X876" s="42" t="str">
        <f>IF(NOTA[[#This Row],[JUMLAH]]="","",(NOTA[[#This Row],[JUMLAH]]-NOTA[[#This Row],[DISC 1-]])*NOTA[[#This Row],[Column7]])</f>
        <v/>
      </c>
      <c r="Y876" s="42" t="str">
        <f>IF(NOTA[[#This Row],[JUMLAH]]="","",(NOTA[[#This Row],[JUMLAH]]-NOTA[[#This Row],[DISC 1-]]-NOTA[[#This Row],[DISC 2-]])*NOTA[[#This Row],[Column8]])</f>
        <v/>
      </c>
      <c r="Z876" s="42" t="str">
        <f>IF(NOTA[[#This Row],[JUMLAH]]="","",NOTA[[#This Row],[DISC 1-]]+NOTA[[#This Row],[DISC 2-]]+NOTA[[#This Row],[DISC 3-]])</f>
        <v/>
      </c>
      <c r="AA876" s="42" t="str">
        <f>IF(NOTA[[#This Row],[JUMLAH]]="","",NOTA[[#This Row],[JUMLAH]]-NOTA[[#This Row],[DISC]])</f>
        <v/>
      </c>
      <c r="AB876" s="42"/>
      <c r="AC8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42" t="str">
        <f>IF(OR(NOTA[[#This Row],[QTY]]="",NOTA[[#This Row],[HARGA SATUAN]]="",),"",NOTA[[#This Row],[QTY]]*NOTA[[#This Row],[HARGA SATUAN]])</f>
        <v/>
      </c>
      <c r="AG876" s="36" t="str">
        <f ca="1">IF(NOTA[[#This Row],[ID_H]]="","",INDEX(NOTA[TANGGAL],MATCH(,INDIRECT(ADDRESS(ROW(NOTA[TANGGAL]),COLUMN(NOTA[TANGGAL]))&amp;":"&amp;ADDRESS(ROW(),COLUMN(NOTA[TANGGAL]))),-1)))</f>
        <v/>
      </c>
      <c r="AH876" s="36" t="str">
        <f ca="1">IF(NOTA[[#This Row],[ID_H]]="","",INDEX(NOTA[TGL.NOTA],MATCH(,INDIRECT(ADDRESS(ROW(NOTA[TGL.NOTA]),COLUMN(NOTA[TGL.NOTA]))&amp;":"&amp;ADDRESS(ROW(),COLUMN(NOTA[TGL.NOTA]))),-1)))</f>
        <v/>
      </c>
      <c r="AI876" s="36" t="str">
        <f ca="1">IF(NOTA[[#This Row],[ID_H]]="","",INDEX(NOTA[NO.NOTA],MATCH(NOTA[[#This Row],[ID_H]],NOTA[ID_H],0)))</f>
        <v/>
      </c>
      <c r="AJ876" s="38" t="str">
        <f ca="1">IF(NOTA[[#This Row],[NAMA BARANG]]="","",INDEX(NOTA[SUPPLIER],MATCH(,INDIRECT(ADDRESS(ROW(NOTA[ID]),COLUMN(NOTA[ID]))&amp;":"&amp;ADDRESS(ROW(),COLUMN(NOTA[ID]))),-1)))</f>
        <v/>
      </c>
      <c r="AK876" s="38" t="str">
        <f ca="1">IF(NOTA[[#This Row],[ID_H]]="","",IF(NOTA[[#This Row],[FAKTUR]]="",INDIRECT(ADDRESS(ROW()-1,COLUMN())),NOTA[[#This Row],[FAKTUR]]))</f>
        <v/>
      </c>
      <c r="AL876" s="35" t="str">
        <f ca="1">IF(NOTA[[#This Row],[ID]]="","",COUNTIF(NOTA[ID_H],NOTA[[#This Row],[ID_H]]))</f>
        <v/>
      </c>
      <c r="AM876" s="35" t="str">
        <f ca="1">IF(NOTA[[#This Row],[TGL.NOTA]]="",IF(NOTA[[#This Row],[SUPPLIER_H]]="","",AM875),MONTH(NOTA[[#This Row],[TGL.NOTA]]))</f>
        <v/>
      </c>
      <c r="AN8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6" s="35" t="str">
        <f>IF(NOTA[[#This Row],[CONCAT1]]="","",MATCH(NOTA[[#This Row],[CONCAT1]],[3]!db[NB NOTA_C],0))</f>
        <v/>
      </c>
      <c r="AS876" s="35" t="str">
        <f>IF(NOTA[[#This Row],[Column5]]="","",TRUE)</f>
        <v/>
      </c>
      <c r="AT876" s="35" t="str">
        <f ca="1">IF(NOTA[[#This Row],[ID_H]]="","",IF(NOTA[[#This Row],[Column3]]=TRUE,NOTA[[#This Row],[Column5]],INDEX([3]!db[QTY/ CTN],NOTA[[#This Row],[//DB]])))</f>
        <v/>
      </c>
      <c r="AU8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6" s="35" t="str">
        <f ca="1">IF(NOTA[[#This Row],[ID_H]]="","",MATCH(NOTA[[#This Row],[NB NOTA_C_QTY]],[3]!db[NB NOTA_C_QTY+F],0))</f>
        <v/>
      </c>
      <c r="AW876" s="43" t="str">
        <f ca="1">IF(NOTA[[#This Row],[NB NOTA_C_QTY]]="","",ROW()-2)</f>
        <v/>
      </c>
    </row>
    <row r="877" spans="1:49" ht="20.100000000000001" customHeight="1">
      <c r="A8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5" t="str">
        <f ca="1">IF(NOTA[[#This Row],[NAMA BARANG]]="","",INDEX(NOTA[ID],MATCH(,INDIRECT(ADDRESS(ROW(NOTA[ID]),COLUMN(NOTA[ID]))&amp;":"&amp;ADDRESS(ROW(),COLUMN(NOTA[ID]))),-1)))</f>
        <v/>
      </c>
      <c r="C877" s="45"/>
      <c r="F877" s="46"/>
      <c r="G877" s="35"/>
      <c r="H877" s="36"/>
      <c r="I877" s="35"/>
      <c r="K877" s="37"/>
      <c r="L877" s="35"/>
      <c r="N877" s="38"/>
      <c r="O877" s="39"/>
      <c r="P877" s="47"/>
      <c r="Q877" s="48"/>
      <c r="R877" s="41"/>
      <c r="T877" s="42"/>
      <c r="U877" s="44"/>
      <c r="V877" s="42" t="str">
        <f>IF(NOTA[[#This Row],[HARGA/ CTN]]="",NOTA[[#This Row],[JUMLAH_H]],NOTA[[#This Row],[HARGA/ CTN]]*IF(NOTA[[#This Row],[C]]="",0,NOTA[[#This Row],[C]]))</f>
        <v/>
      </c>
      <c r="W877" s="42" t="str">
        <f>IF(NOTA[[#This Row],[JUMLAH]]="","",NOTA[[#This Row],[JUMLAH]]*NOTA[[#This Row],[Column6]])</f>
        <v/>
      </c>
      <c r="X877" s="42" t="str">
        <f>IF(NOTA[[#This Row],[JUMLAH]]="","",(NOTA[[#This Row],[JUMLAH]]-NOTA[[#This Row],[DISC 1-]])*NOTA[[#This Row],[Column7]])</f>
        <v/>
      </c>
      <c r="Y877" s="42" t="str">
        <f>IF(NOTA[[#This Row],[JUMLAH]]="","",(NOTA[[#This Row],[JUMLAH]]-NOTA[[#This Row],[DISC 1-]]-NOTA[[#This Row],[DISC 2-]])*NOTA[[#This Row],[Column8]])</f>
        <v/>
      </c>
      <c r="Z877" s="42" t="str">
        <f>IF(NOTA[[#This Row],[JUMLAH]]="","",NOTA[[#This Row],[DISC 1-]]+NOTA[[#This Row],[DISC 2-]]+NOTA[[#This Row],[DISC 3-]])</f>
        <v/>
      </c>
      <c r="AA877" s="42" t="str">
        <f>IF(NOTA[[#This Row],[JUMLAH]]="","",NOTA[[#This Row],[JUMLAH]]-NOTA[[#This Row],[DISC]])</f>
        <v/>
      </c>
      <c r="AB877" s="42"/>
      <c r="AC8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42" t="str">
        <f>IF(OR(NOTA[[#This Row],[QTY]]="",NOTA[[#This Row],[HARGA SATUAN]]="",),"",NOTA[[#This Row],[QTY]]*NOTA[[#This Row],[HARGA SATUAN]])</f>
        <v/>
      </c>
      <c r="AG877" s="36" t="str">
        <f ca="1">IF(NOTA[[#This Row],[ID_H]]="","",INDEX(NOTA[TANGGAL],MATCH(,INDIRECT(ADDRESS(ROW(NOTA[TANGGAL]),COLUMN(NOTA[TANGGAL]))&amp;":"&amp;ADDRESS(ROW(),COLUMN(NOTA[TANGGAL]))),-1)))</f>
        <v/>
      </c>
      <c r="AH877" s="36" t="str">
        <f ca="1">IF(NOTA[[#This Row],[ID_H]]="","",INDEX(NOTA[TGL.NOTA],MATCH(,INDIRECT(ADDRESS(ROW(NOTA[TGL.NOTA]),COLUMN(NOTA[TGL.NOTA]))&amp;":"&amp;ADDRESS(ROW(),COLUMN(NOTA[TGL.NOTA]))),-1)))</f>
        <v/>
      </c>
      <c r="AI877" s="36" t="str">
        <f ca="1">IF(NOTA[[#This Row],[ID_H]]="","",INDEX(NOTA[NO.NOTA],MATCH(NOTA[[#This Row],[ID_H]],NOTA[ID_H],0)))</f>
        <v/>
      </c>
      <c r="AJ877" s="38" t="str">
        <f ca="1">IF(NOTA[[#This Row],[NAMA BARANG]]="","",INDEX(NOTA[SUPPLIER],MATCH(,INDIRECT(ADDRESS(ROW(NOTA[ID]),COLUMN(NOTA[ID]))&amp;":"&amp;ADDRESS(ROW(),COLUMN(NOTA[ID]))),-1)))</f>
        <v/>
      </c>
      <c r="AK877" s="38" t="str">
        <f ca="1">IF(NOTA[[#This Row],[ID_H]]="","",IF(NOTA[[#This Row],[FAKTUR]]="",INDIRECT(ADDRESS(ROW()-1,COLUMN())),NOTA[[#This Row],[FAKTUR]]))</f>
        <v/>
      </c>
      <c r="AL877" s="35" t="str">
        <f ca="1">IF(NOTA[[#This Row],[ID]]="","",COUNTIF(NOTA[ID_H],NOTA[[#This Row],[ID_H]]))</f>
        <v/>
      </c>
      <c r="AM877" s="35" t="str">
        <f ca="1">IF(NOTA[[#This Row],[TGL.NOTA]]="",IF(NOTA[[#This Row],[SUPPLIER_H]]="","",AM876),MONTH(NOTA[[#This Row],[TGL.NOTA]]))</f>
        <v/>
      </c>
      <c r="AN8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7" s="35" t="str">
        <f>IF(NOTA[[#This Row],[CONCAT1]]="","",MATCH(NOTA[[#This Row],[CONCAT1]],[3]!db[NB NOTA_C],0))</f>
        <v/>
      </c>
      <c r="AS877" s="35" t="str">
        <f>IF(NOTA[[#This Row],[Column5]]="","",TRUE)</f>
        <v/>
      </c>
      <c r="AT877" s="35" t="str">
        <f ca="1">IF(NOTA[[#This Row],[ID_H]]="","",IF(NOTA[[#This Row],[Column3]]=TRUE,NOTA[[#This Row],[Column5]],INDEX([3]!db[QTY/ CTN],NOTA[[#This Row],[//DB]])))</f>
        <v/>
      </c>
      <c r="AU8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7" s="35" t="str">
        <f ca="1">IF(NOTA[[#This Row],[ID_H]]="","",MATCH(NOTA[[#This Row],[NB NOTA_C_QTY]],[3]!db[NB NOTA_C_QTY+F],0))</f>
        <v/>
      </c>
      <c r="AW877" s="43" t="str">
        <f ca="1">IF(NOTA[[#This Row],[NB NOTA_C_QTY]]="","",ROW()-2)</f>
        <v/>
      </c>
    </row>
    <row r="878" spans="1:49" ht="20.100000000000001" customHeight="1">
      <c r="A8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5" t="str">
        <f ca="1">IF(NOTA[[#This Row],[NAMA BARANG]]="","",INDEX(NOTA[ID],MATCH(,INDIRECT(ADDRESS(ROW(NOTA[ID]),COLUMN(NOTA[ID]))&amp;":"&amp;ADDRESS(ROW(),COLUMN(NOTA[ID]))),-1)))</f>
        <v/>
      </c>
      <c r="C878" s="45"/>
      <c r="F878" s="46"/>
      <c r="G878" s="35"/>
      <c r="H878" s="36"/>
      <c r="I878" s="35"/>
      <c r="K878" s="37"/>
      <c r="L878" s="35"/>
      <c r="N878" s="38"/>
      <c r="O878" s="39"/>
      <c r="P878" s="47"/>
      <c r="Q878" s="48"/>
      <c r="R878" s="41"/>
      <c r="T878" s="42"/>
      <c r="U878" s="44"/>
      <c r="V878" s="42" t="str">
        <f>IF(NOTA[[#This Row],[HARGA/ CTN]]="",NOTA[[#This Row],[JUMLAH_H]],NOTA[[#This Row],[HARGA/ CTN]]*IF(NOTA[[#This Row],[C]]="",0,NOTA[[#This Row],[C]]))</f>
        <v/>
      </c>
      <c r="W878" s="42" t="str">
        <f>IF(NOTA[[#This Row],[JUMLAH]]="","",NOTA[[#This Row],[JUMLAH]]*NOTA[[#This Row],[Column6]])</f>
        <v/>
      </c>
      <c r="X878" s="42" t="str">
        <f>IF(NOTA[[#This Row],[JUMLAH]]="","",(NOTA[[#This Row],[JUMLAH]]-NOTA[[#This Row],[DISC 1-]])*NOTA[[#This Row],[Column7]])</f>
        <v/>
      </c>
      <c r="Y878" s="42" t="str">
        <f>IF(NOTA[[#This Row],[JUMLAH]]="","",(NOTA[[#This Row],[JUMLAH]]-NOTA[[#This Row],[DISC 1-]]-NOTA[[#This Row],[DISC 2-]])*NOTA[[#This Row],[Column8]])</f>
        <v/>
      </c>
      <c r="Z878" s="42" t="str">
        <f>IF(NOTA[[#This Row],[JUMLAH]]="","",NOTA[[#This Row],[DISC 1-]]+NOTA[[#This Row],[DISC 2-]]+NOTA[[#This Row],[DISC 3-]])</f>
        <v/>
      </c>
      <c r="AA878" s="42" t="str">
        <f>IF(NOTA[[#This Row],[JUMLAH]]="","",NOTA[[#This Row],[JUMLAH]]-NOTA[[#This Row],[DISC]])</f>
        <v/>
      </c>
      <c r="AB878" s="42"/>
      <c r="AC8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42" t="str">
        <f>IF(OR(NOTA[[#This Row],[QTY]]="",NOTA[[#This Row],[HARGA SATUAN]]="",),"",NOTA[[#This Row],[QTY]]*NOTA[[#This Row],[HARGA SATUAN]])</f>
        <v/>
      </c>
      <c r="AG878" s="36" t="str">
        <f ca="1">IF(NOTA[[#This Row],[ID_H]]="","",INDEX(NOTA[TANGGAL],MATCH(,INDIRECT(ADDRESS(ROW(NOTA[TANGGAL]),COLUMN(NOTA[TANGGAL]))&amp;":"&amp;ADDRESS(ROW(),COLUMN(NOTA[TANGGAL]))),-1)))</f>
        <v/>
      </c>
      <c r="AH878" s="36" t="str">
        <f ca="1">IF(NOTA[[#This Row],[ID_H]]="","",INDEX(NOTA[TGL.NOTA],MATCH(,INDIRECT(ADDRESS(ROW(NOTA[TGL.NOTA]),COLUMN(NOTA[TGL.NOTA]))&amp;":"&amp;ADDRESS(ROW(),COLUMN(NOTA[TGL.NOTA]))),-1)))</f>
        <v/>
      </c>
      <c r="AI878" s="36" t="str">
        <f ca="1">IF(NOTA[[#This Row],[ID_H]]="","",INDEX(NOTA[NO.NOTA],MATCH(NOTA[[#This Row],[ID_H]],NOTA[ID_H],0)))</f>
        <v/>
      </c>
      <c r="AJ878" s="38" t="str">
        <f ca="1">IF(NOTA[[#This Row],[NAMA BARANG]]="","",INDEX(NOTA[SUPPLIER],MATCH(,INDIRECT(ADDRESS(ROW(NOTA[ID]),COLUMN(NOTA[ID]))&amp;":"&amp;ADDRESS(ROW(),COLUMN(NOTA[ID]))),-1)))</f>
        <v/>
      </c>
      <c r="AK878" s="38" t="str">
        <f ca="1">IF(NOTA[[#This Row],[ID_H]]="","",IF(NOTA[[#This Row],[FAKTUR]]="",INDIRECT(ADDRESS(ROW()-1,COLUMN())),NOTA[[#This Row],[FAKTUR]]))</f>
        <v/>
      </c>
      <c r="AL878" s="35" t="str">
        <f ca="1">IF(NOTA[[#This Row],[ID]]="","",COUNTIF(NOTA[ID_H],NOTA[[#This Row],[ID_H]]))</f>
        <v/>
      </c>
      <c r="AM878" s="35" t="str">
        <f ca="1">IF(NOTA[[#This Row],[TGL.NOTA]]="",IF(NOTA[[#This Row],[SUPPLIER_H]]="","",AM877),MONTH(NOTA[[#This Row],[TGL.NOTA]]))</f>
        <v/>
      </c>
      <c r="AN8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8" s="35" t="str">
        <f>IF(NOTA[[#This Row],[CONCAT1]]="","",MATCH(NOTA[[#This Row],[CONCAT1]],[3]!db[NB NOTA_C],0))</f>
        <v/>
      </c>
      <c r="AS878" s="35" t="str">
        <f>IF(NOTA[[#This Row],[Column5]]="","",TRUE)</f>
        <v/>
      </c>
      <c r="AT878" s="35" t="str">
        <f ca="1">IF(NOTA[[#This Row],[ID_H]]="","",IF(NOTA[[#This Row],[Column3]]=TRUE,NOTA[[#This Row],[Column5]],INDEX([3]!db[QTY/ CTN],NOTA[[#This Row],[//DB]])))</f>
        <v/>
      </c>
      <c r="AU8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8" s="35" t="str">
        <f ca="1">IF(NOTA[[#This Row],[ID_H]]="","",MATCH(NOTA[[#This Row],[NB NOTA_C_QTY]],[3]!db[NB NOTA_C_QTY+F],0))</f>
        <v/>
      </c>
      <c r="AW878" s="43" t="str">
        <f ca="1">IF(NOTA[[#This Row],[NB NOTA_C_QTY]]="","",ROW()-2)</f>
        <v/>
      </c>
    </row>
    <row r="879" spans="1:49" ht="20.100000000000001" customHeight="1">
      <c r="A8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5" t="str">
        <f ca="1">IF(NOTA[[#This Row],[NAMA BARANG]]="","",INDEX(NOTA[ID],MATCH(,INDIRECT(ADDRESS(ROW(NOTA[ID]),COLUMN(NOTA[ID]))&amp;":"&amp;ADDRESS(ROW(),COLUMN(NOTA[ID]))),-1)))</f>
        <v/>
      </c>
      <c r="C879" s="45"/>
      <c r="F879" s="46"/>
      <c r="G879" s="35"/>
      <c r="H879" s="36"/>
      <c r="I879" s="35"/>
      <c r="K879" s="37"/>
      <c r="L879" s="35"/>
      <c r="N879" s="38"/>
      <c r="O879" s="39"/>
      <c r="P879" s="47"/>
      <c r="Q879" s="48"/>
      <c r="R879" s="41"/>
      <c r="T879" s="42"/>
      <c r="U879" s="44"/>
      <c r="V879" s="42" t="str">
        <f>IF(NOTA[[#This Row],[HARGA/ CTN]]="",NOTA[[#This Row],[JUMLAH_H]],NOTA[[#This Row],[HARGA/ CTN]]*IF(NOTA[[#This Row],[C]]="",0,NOTA[[#This Row],[C]]))</f>
        <v/>
      </c>
      <c r="W879" s="42" t="str">
        <f>IF(NOTA[[#This Row],[JUMLAH]]="","",NOTA[[#This Row],[JUMLAH]]*NOTA[[#This Row],[Column6]])</f>
        <v/>
      </c>
      <c r="X879" s="42" t="str">
        <f>IF(NOTA[[#This Row],[JUMLAH]]="","",(NOTA[[#This Row],[JUMLAH]]-NOTA[[#This Row],[DISC 1-]])*NOTA[[#This Row],[Column7]])</f>
        <v/>
      </c>
      <c r="Y879" s="42" t="str">
        <f>IF(NOTA[[#This Row],[JUMLAH]]="","",(NOTA[[#This Row],[JUMLAH]]-NOTA[[#This Row],[DISC 1-]]-NOTA[[#This Row],[DISC 2-]])*NOTA[[#This Row],[Column8]])</f>
        <v/>
      </c>
      <c r="Z879" s="42" t="str">
        <f>IF(NOTA[[#This Row],[JUMLAH]]="","",NOTA[[#This Row],[DISC 1-]]+NOTA[[#This Row],[DISC 2-]]+NOTA[[#This Row],[DISC 3-]])</f>
        <v/>
      </c>
      <c r="AA879" s="42" t="str">
        <f>IF(NOTA[[#This Row],[JUMLAH]]="","",NOTA[[#This Row],[JUMLAH]]-NOTA[[#This Row],[DISC]])</f>
        <v/>
      </c>
      <c r="AB879" s="42"/>
      <c r="AC8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42" t="str">
        <f>IF(OR(NOTA[[#This Row],[QTY]]="",NOTA[[#This Row],[HARGA SATUAN]]="",),"",NOTA[[#This Row],[QTY]]*NOTA[[#This Row],[HARGA SATUAN]])</f>
        <v/>
      </c>
      <c r="AG879" s="36" t="str">
        <f ca="1">IF(NOTA[[#This Row],[ID_H]]="","",INDEX(NOTA[TANGGAL],MATCH(,INDIRECT(ADDRESS(ROW(NOTA[TANGGAL]),COLUMN(NOTA[TANGGAL]))&amp;":"&amp;ADDRESS(ROW(),COLUMN(NOTA[TANGGAL]))),-1)))</f>
        <v/>
      </c>
      <c r="AH879" s="36" t="str">
        <f ca="1">IF(NOTA[[#This Row],[ID_H]]="","",INDEX(NOTA[TGL.NOTA],MATCH(,INDIRECT(ADDRESS(ROW(NOTA[TGL.NOTA]),COLUMN(NOTA[TGL.NOTA]))&amp;":"&amp;ADDRESS(ROW(),COLUMN(NOTA[TGL.NOTA]))),-1)))</f>
        <v/>
      </c>
      <c r="AI879" s="36" t="str">
        <f ca="1">IF(NOTA[[#This Row],[ID_H]]="","",INDEX(NOTA[NO.NOTA],MATCH(NOTA[[#This Row],[ID_H]],NOTA[ID_H],0)))</f>
        <v/>
      </c>
      <c r="AJ879" s="38" t="str">
        <f ca="1">IF(NOTA[[#This Row],[NAMA BARANG]]="","",INDEX(NOTA[SUPPLIER],MATCH(,INDIRECT(ADDRESS(ROW(NOTA[ID]),COLUMN(NOTA[ID]))&amp;":"&amp;ADDRESS(ROW(),COLUMN(NOTA[ID]))),-1)))</f>
        <v/>
      </c>
      <c r="AK879" s="38" t="str">
        <f ca="1">IF(NOTA[[#This Row],[ID_H]]="","",IF(NOTA[[#This Row],[FAKTUR]]="",INDIRECT(ADDRESS(ROW()-1,COLUMN())),NOTA[[#This Row],[FAKTUR]]))</f>
        <v/>
      </c>
      <c r="AL879" s="35" t="str">
        <f ca="1">IF(NOTA[[#This Row],[ID]]="","",COUNTIF(NOTA[ID_H],NOTA[[#This Row],[ID_H]]))</f>
        <v/>
      </c>
      <c r="AM879" s="35" t="str">
        <f ca="1">IF(NOTA[[#This Row],[TGL.NOTA]]="",IF(NOTA[[#This Row],[SUPPLIER_H]]="","",AM878),MONTH(NOTA[[#This Row],[TGL.NOTA]]))</f>
        <v/>
      </c>
      <c r="AN8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9" s="35" t="str">
        <f>IF(NOTA[[#This Row],[CONCAT1]]="","",MATCH(NOTA[[#This Row],[CONCAT1]],[3]!db[NB NOTA_C],0))</f>
        <v/>
      </c>
      <c r="AS879" s="35" t="str">
        <f>IF(NOTA[[#This Row],[Column5]]="","",TRUE)</f>
        <v/>
      </c>
      <c r="AT879" s="35" t="str">
        <f ca="1">IF(NOTA[[#This Row],[ID_H]]="","",IF(NOTA[[#This Row],[Column3]]=TRUE,NOTA[[#This Row],[Column5]],INDEX([3]!db[QTY/ CTN],NOTA[[#This Row],[//DB]])))</f>
        <v/>
      </c>
      <c r="AU8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79" s="35" t="str">
        <f ca="1">IF(NOTA[[#This Row],[ID_H]]="","",MATCH(NOTA[[#This Row],[NB NOTA_C_QTY]],[3]!db[NB NOTA_C_QTY+F],0))</f>
        <v/>
      </c>
      <c r="AW879" s="43" t="str">
        <f ca="1">IF(NOTA[[#This Row],[NB NOTA_C_QTY]]="","",ROW()-2)</f>
        <v/>
      </c>
    </row>
    <row r="880" spans="1:49" ht="20.100000000000001" customHeight="1">
      <c r="A8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5" t="str">
        <f ca="1">IF(NOTA[[#This Row],[NAMA BARANG]]="","",INDEX(NOTA[ID],MATCH(,INDIRECT(ADDRESS(ROW(NOTA[ID]),COLUMN(NOTA[ID]))&amp;":"&amp;ADDRESS(ROW(),COLUMN(NOTA[ID]))),-1)))</f>
        <v/>
      </c>
      <c r="C880" s="45"/>
      <c r="F880" s="46"/>
      <c r="G880" s="35"/>
      <c r="H880" s="36"/>
      <c r="I880" s="35"/>
      <c r="K880" s="37"/>
      <c r="L880" s="35"/>
      <c r="N880" s="38"/>
      <c r="O880" s="39"/>
      <c r="P880" s="47"/>
      <c r="Q880" s="48"/>
      <c r="R880" s="41"/>
      <c r="T880" s="42"/>
      <c r="U880" s="44"/>
      <c r="V880" s="42" t="str">
        <f>IF(NOTA[[#This Row],[HARGA/ CTN]]="",NOTA[[#This Row],[JUMLAH_H]],NOTA[[#This Row],[HARGA/ CTN]]*IF(NOTA[[#This Row],[C]]="",0,NOTA[[#This Row],[C]]))</f>
        <v/>
      </c>
      <c r="W880" s="42" t="str">
        <f>IF(NOTA[[#This Row],[JUMLAH]]="","",NOTA[[#This Row],[JUMLAH]]*NOTA[[#This Row],[Column6]])</f>
        <v/>
      </c>
      <c r="X880" s="42" t="str">
        <f>IF(NOTA[[#This Row],[JUMLAH]]="","",(NOTA[[#This Row],[JUMLAH]]-NOTA[[#This Row],[DISC 1-]])*NOTA[[#This Row],[Column7]])</f>
        <v/>
      </c>
      <c r="Y880" s="42" t="str">
        <f>IF(NOTA[[#This Row],[JUMLAH]]="","",(NOTA[[#This Row],[JUMLAH]]-NOTA[[#This Row],[DISC 1-]]-NOTA[[#This Row],[DISC 2-]])*NOTA[[#This Row],[Column8]])</f>
        <v/>
      </c>
      <c r="Z880" s="42" t="str">
        <f>IF(NOTA[[#This Row],[JUMLAH]]="","",NOTA[[#This Row],[DISC 1-]]+NOTA[[#This Row],[DISC 2-]]+NOTA[[#This Row],[DISC 3-]])</f>
        <v/>
      </c>
      <c r="AA880" s="42" t="str">
        <f>IF(NOTA[[#This Row],[JUMLAH]]="","",NOTA[[#This Row],[JUMLAH]]-NOTA[[#This Row],[DISC]])</f>
        <v/>
      </c>
      <c r="AB880" s="42"/>
      <c r="AC8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42" t="str">
        <f>IF(OR(NOTA[[#This Row],[QTY]]="",NOTA[[#This Row],[HARGA SATUAN]]="",),"",NOTA[[#This Row],[QTY]]*NOTA[[#This Row],[HARGA SATUAN]])</f>
        <v/>
      </c>
      <c r="AG880" s="36" t="str">
        <f ca="1">IF(NOTA[[#This Row],[ID_H]]="","",INDEX(NOTA[TANGGAL],MATCH(,INDIRECT(ADDRESS(ROW(NOTA[TANGGAL]),COLUMN(NOTA[TANGGAL]))&amp;":"&amp;ADDRESS(ROW(),COLUMN(NOTA[TANGGAL]))),-1)))</f>
        <v/>
      </c>
      <c r="AH880" s="36" t="str">
        <f ca="1">IF(NOTA[[#This Row],[ID_H]]="","",INDEX(NOTA[TGL.NOTA],MATCH(,INDIRECT(ADDRESS(ROW(NOTA[TGL.NOTA]),COLUMN(NOTA[TGL.NOTA]))&amp;":"&amp;ADDRESS(ROW(),COLUMN(NOTA[TGL.NOTA]))),-1)))</f>
        <v/>
      </c>
      <c r="AI880" s="36" t="str">
        <f ca="1">IF(NOTA[[#This Row],[ID_H]]="","",INDEX(NOTA[NO.NOTA],MATCH(NOTA[[#This Row],[ID_H]],NOTA[ID_H],0)))</f>
        <v/>
      </c>
      <c r="AJ880" s="38" t="str">
        <f ca="1">IF(NOTA[[#This Row],[NAMA BARANG]]="","",INDEX(NOTA[SUPPLIER],MATCH(,INDIRECT(ADDRESS(ROW(NOTA[ID]),COLUMN(NOTA[ID]))&amp;":"&amp;ADDRESS(ROW(),COLUMN(NOTA[ID]))),-1)))</f>
        <v/>
      </c>
      <c r="AK880" s="38" t="str">
        <f ca="1">IF(NOTA[[#This Row],[ID_H]]="","",IF(NOTA[[#This Row],[FAKTUR]]="",INDIRECT(ADDRESS(ROW()-1,COLUMN())),NOTA[[#This Row],[FAKTUR]]))</f>
        <v/>
      </c>
      <c r="AL880" s="35" t="str">
        <f ca="1">IF(NOTA[[#This Row],[ID]]="","",COUNTIF(NOTA[ID_H],NOTA[[#This Row],[ID_H]]))</f>
        <v/>
      </c>
      <c r="AM880" s="35" t="str">
        <f ca="1">IF(NOTA[[#This Row],[TGL.NOTA]]="",IF(NOTA[[#This Row],[SUPPLIER_H]]="","",AM879),MONTH(NOTA[[#This Row],[TGL.NOTA]]))</f>
        <v/>
      </c>
      <c r="AN8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0" s="35" t="str">
        <f>IF(NOTA[[#This Row],[CONCAT1]]="","",MATCH(NOTA[[#This Row],[CONCAT1]],[3]!db[NB NOTA_C],0))</f>
        <v/>
      </c>
      <c r="AS880" s="35" t="str">
        <f>IF(NOTA[[#This Row],[Column5]]="","",TRUE)</f>
        <v/>
      </c>
      <c r="AT880" s="35" t="str">
        <f ca="1">IF(NOTA[[#This Row],[ID_H]]="","",IF(NOTA[[#This Row],[Column3]]=TRUE,NOTA[[#This Row],[Column5]],INDEX([3]!db[QTY/ CTN],NOTA[[#This Row],[//DB]])))</f>
        <v/>
      </c>
      <c r="AU8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0" s="35" t="str">
        <f ca="1">IF(NOTA[[#This Row],[ID_H]]="","",MATCH(NOTA[[#This Row],[NB NOTA_C_QTY]],[3]!db[NB NOTA_C_QTY+F],0))</f>
        <v/>
      </c>
      <c r="AW880" s="43" t="str">
        <f ca="1">IF(NOTA[[#This Row],[NB NOTA_C_QTY]]="","",ROW()-2)</f>
        <v/>
      </c>
    </row>
    <row r="881" spans="1:49" ht="20.100000000000001" customHeight="1">
      <c r="A8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5" t="str">
        <f ca="1">IF(NOTA[[#This Row],[NAMA BARANG]]="","",INDEX(NOTA[ID],MATCH(,INDIRECT(ADDRESS(ROW(NOTA[ID]),COLUMN(NOTA[ID]))&amp;":"&amp;ADDRESS(ROW(),COLUMN(NOTA[ID]))),-1)))</f>
        <v/>
      </c>
      <c r="C881" s="45"/>
      <c r="F881" s="46"/>
      <c r="G881" s="35"/>
      <c r="H881" s="36"/>
      <c r="I881" s="35"/>
      <c r="K881" s="37"/>
      <c r="L881" s="35"/>
      <c r="N881" s="38"/>
      <c r="O881" s="39"/>
      <c r="P881" s="47"/>
      <c r="Q881" s="48"/>
      <c r="R881" s="41"/>
      <c r="T881" s="42"/>
      <c r="U881" s="44"/>
      <c r="V881" s="42" t="str">
        <f>IF(NOTA[[#This Row],[HARGA/ CTN]]="",NOTA[[#This Row],[JUMLAH_H]],NOTA[[#This Row],[HARGA/ CTN]]*IF(NOTA[[#This Row],[C]]="",0,NOTA[[#This Row],[C]]))</f>
        <v/>
      </c>
      <c r="W881" s="42" t="str">
        <f>IF(NOTA[[#This Row],[JUMLAH]]="","",NOTA[[#This Row],[JUMLAH]]*NOTA[[#This Row],[Column6]])</f>
        <v/>
      </c>
      <c r="X881" s="42" t="str">
        <f>IF(NOTA[[#This Row],[JUMLAH]]="","",(NOTA[[#This Row],[JUMLAH]]-NOTA[[#This Row],[DISC 1-]])*NOTA[[#This Row],[Column7]])</f>
        <v/>
      </c>
      <c r="Y881" s="42" t="str">
        <f>IF(NOTA[[#This Row],[JUMLAH]]="","",(NOTA[[#This Row],[JUMLAH]]-NOTA[[#This Row],[DISC 1-]]-NOTA[[#This Row],[DISC 2-]])*NOTA[[#This Row],[Column8]])</f>
        <v/>
      </c>
      <c r="Z881" s="42" t="str">
        <f>IF(NOTA[[#This Row],[JUMLAH]]="","",NOTA[[#This Row],[DISC 1-]]+NOTA[[#This Row],[DISC 2-]]+NOTA[[#This Row],[DISC 3-]])</f>
        <v/>
      </c>
      <c r="AA881" s="42" t="str">
        <f>IF(NOTA[[#This Row],[JUMLAH]]="","",NOTA[[#This Row],[JUMLAH]]-NOTA[[#This Row],[DISC]])</f>
        <v/>
      </c>
      <c r="AB881" s="42"/>
      <c r="AC8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42" t="str">
        <f>IF(OR(NOTA[[#This Row],[QTY]]="",NOTA[[#This Row],[HARGA SATUAN]]="",),"",NOTA[[#This Row],[QTY]]*NOTA[[#This Row],[HARGA SATUAN]])</f>
        <v/>
      </c>
      <c r="AG881" s="36" t="str">
        <f ca="1">IF(NOTA[[#This Row],[ID_H]]="","",INDEX(NOTA[TANGGAL],MATCH(,INDIRECT(ADDRESS(ROW(NOTA[TANGGAL]),COLUMN(NOTA[TANGGAL]))&amp;":"&amp;ADDRESS(ROW(),COLUMN(NOTA[TANGGAL]))),-1)))</f>
        <v/>
      </c>
      <c r="AH881" s="36" t="str">
        <f ca="1">IF(NOTA[[#This Row],[ID_H]]="","",INDEX(NOTA[TGL.NOTA],MATCH(,INDIRECT(ADDRESS(ROW(NOTA[TGL.NOTA]),COLUMN(NOTA[TGL.NOTA]))&amp;":"&amp;ADDRESS(ROW(),COLUMN(NOTA[TGL.NOTA]))),-1)))</f>
        <v/>
      </c>
      <c r="AI881" s="36" t="str">
        <f ca="1">IF(NOTA[[#This Row],[ID_H]]="","",INDEX(NOTA[NO.NOTA],MATCH(NOTA[[#This Row],[ID_H]],NOTA[ID_H],0)))</f>
        <v/>
      </c>
      <c r="AJ881" s="38" t="str">
        <f ca="1">IF(NOTA[[#This Row],[NAMA BARANG]]="","",INDEX(NOTA[SUPPLIER],MATCH(,INDIRECT(ADDRESS(ROW(NOTA[ID]),COLUMN(NOTA[ID]))&amp;":"&amp;ADDRESS(ROW(),COLUMN(NOTA[ID]))),-1)))</f>
        <v/>
      </c>
      <c r="AK881" s="38" t="str">
        <f ca="1">IF(NOTA[[#This Row],[ID_H]]="","",IF(NOTA[[#This Row],[FAKTUR]]="",INDIRECT(ADDRESS(ROW()-1,COLUMN())),NOTA[[#This Row],[FAKTUR]]))</f>
        <v/>
      </c>
      <c r="AL881" s="35" t="str">
        <f ca="1">IF(NOTA[[#This Row],[ID]]="","",COUNTIF(NOTA[ID_H],NOTA[[#This Row],[ID_H]]))</f>
        <v/>
      </c>
      <c r="AM881" s="35" t="str">
        <f ca="1">IF(NOTA[[#This Row],[TGL.NOTA]]="",IF(NOTA[[#This Row],[SUPPLIER_H]]="","",AM880),MONTH(NOTA[[#This Row],[TGL.NOTA]]))</f>
        <v/>
      </c>
      <c r="AN8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1" s="35" t="str">
        <f>IF(NOTA[[#This Row],[CONCAT1]]="","",MATCH(NOTA[[#This Row],[CONCAT1]],[3]!db[NB NOTA_C],0))</f>
        <v/>
      </c>
      <c r="AS881" s="35" t="str">
        <f>IF(NOTA[[#This Row],[Column5]]="","",TRUE)</f>
        <v/>
      </c>
      <c r="AT881" s="35" t="str">
        <f ca="1">IF(NOTA[[#This Row],[ID_H]]="","",IF(NOTA[[#This Row],[Column3]]=TRUE,NOTA[[#This Row],[Column5]],INDEX([3]!db[QTY/ CTN],NOTA[[#This Row],[//DB]])))</f>
        <v/>
      </c>
      <c r="AU8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1" s="35" t="str">
        <f ca="1">IF(NOTA[[#This Row],[ID_H]]="","",MATCH(NOTA[[#This Row],[NB NOTA_C_QTY]],[3]!db[NB NOTA_C_QTY+F],0))</f>
        <v/>
      </c>
      <c r="AW881" s="43" t="str">
        <f ca="1">IF(NOTA[[#This Row],[NB NOTA_C_QTY]]="","",ROW()-2)</f>
        <v/>
      </c>
    </row>
    <row r="882" spans="1:49" ht="20.100000000000001" customHeight="1">
      <c r="A8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5" t="str">
        <f ca="1">IF(NOTA[[#This Row],[NAMA BARANG]]="","",INDEX(NOTA[ID],MATCH(,INDIRECT(ADDRESS(ROW(NOTA[ID]),COLUMN(NOTA[ID]))&amp;":"&amp;ADDRESS(ROW(),COLUMN(NOTA[ID]))),-1)))</f>
        <v/>
      </c>
      <c r="C882" s="45"/>
      <c r="F882" s="46"/>
      <c r="G882" s="35"/>
      <c r="H882" s="36"/>
      <c r="I882" s="35"/>
      <c r="K882" s="37"/>
      <c r="L882" s="35"/>
      <c r="N882" s="38"/>
      <c r="O882" s="39"/>
      <c r="P882" s="47"/>
      <c r="Q882" s="48"/>
      <c r="R882" s="41"/>
      <c r="T882" s="42"/>
      <c r="U882" s="44"/>
      <c r="V882" s="42" t="str">
        <f>IF(NOTA[[#This Row],[HARGA/ CTN]]="",NOTA[[#This Row],[JUMLAH_H]],NOTA[[#This Row],[HARGA/ CTN]]*IF(NOTA[[#This Row],[C]]="",0,NOTA[[#This Row],[C]]))</f>
        <v/>
      </c>
      <c r="W882" s="42" t="str">
        <f>IF(NOTA[[#This Row],[JUMLAH]]="","",NOTA[[#This Row],[JUMLAH]]*NOTA[[#This Row],[Column6]])</f>
        <v/>
      </c>
      <c r="X882" s="42" t="str">
        <f>IF(NOTA[[#This Row],[JUMLAH]]="","",(NOTA[[#This Row],[JUMLAH]]-NOTA[[#This Row],[DISC 1-]])*NOTA[[#This Row],[Column7]])</f>
        <v/>
      </c>
      <c r="Y882" s="42" t="str">
        <f>IF(NOTA[[#This Row],[JUMLAH]]="","",(NOTA[[#This Row],[JUMLAH]]-NOTA[[#This Row],[DISC 1-]]-NOTA[[#This Row],[DISC 2-]])*NOTA[[#This Row],[Column8]])</f>
        <v/>
      </c>
      <c r="Z882" s="42" t="str">
        <f>IF(NOTA[[#This Row],[JUMLAH]]="","",NOTA[[#This Row],[DISC 1-]]+NOTA[[#This Row],[DISC 2-]]+NOTA[[#This Row],[DISC 3-]])</f>
        <v/>
      </c>
      <c r="AA882" s="42" t="str">
        <f>IF(NOTA[[#This Row],[JUMLAH]]="","",NOTA[[#This Row],[JUMLAH]]-NOTA[[#This Row],[DISC]])</f>
        <v/>
      </c>
      <c r="AB882" s="42"/>
      <c r="AC8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42" t="str">
        <f>IF(OR(NOTA[[#This Row],[QTY]]="",NOTA[[#This Row],[HARGA SATUAN]]="",),"",NOTA[[#This Row],[QTY]]*NOTA[[#This Row],[HARGA SATUAN]])</f>
        <v/>
      </c>
      <c r="AG882" s="36" t="str">
        <f ca="1">IF(NOTA[[#This Row],[ID_H]]="","",INDEX(NOTA[TANGGAL],MATCH(,INDIRECT(ADDRESS(ROW(NOTA[TANGGAL]),COLUMN(NOTA[TANGGAL]))&amp;":"&amp;ADDRESS(ROW(),COLUMN(NOTA[TANGGAL]))),-1)))</f>
        <v/>
      </c>
      <c r="AH882" s="36" t="str">
        <f ca="1">IF(NOTA[[#This Row],[ID_H]]="","",INDEX(NOTA[TGL.NOTA],MATCH(,INDIRECT(ADDRESS(ROW(NOTA[TGL.NOTA]),COLUMN(NOTA[TGL.NOTA]))&amp;":"&amp;ADDRESS(ROW(),COLUMN(NOTA[TGL.NOTA]))),-1)))</f>
        <v/>
      </c>
      <c r="AI882" s="36" t="str">
        <f ca="1">IF(NOTA[[#This Row],[ID_H]]="","",INDEX(NOTA[NO.NOTA],MATCH(NOTA[[#This Row],[ID_H]],NOTA[ID_H],0)))</f>
        <v/>
      </c>
      <c r="AJ882" s="38" t="str">
        <f ca="1">IF(NOTA[[#This Row],[NAMA BARANG]]="","",INDEX(NOTA[SUPPLIER],MATCH(,INDIRECT(ADDRESS(ROW(NOTA[ID]),COLUMN(NOTA[ID]))&amp;":"&amp;ADDRESS(ROW(),COLUMN(NOTA[ID]))),-1)))</f>
        <v/>
      </c>
      <c r="AK882" s="38" t="str">
        <f ca="1">IF(NOTA[[#This Row],[ID_H]]="","",IF(NOTA[[#This Row],[FAKTUR]]="",INDIRECT(ADDRESS(ROW()-1,COLUMN())),NOTA[[#This Row],[FAKTUR]]))</f>
        <v/>
      </c>
      <c r="AL882" s="35" t="str">
        <f ca="1">IF(NOTA[[#This Row],[ID]]="","",COUNTIF(NOTA[ID_H],NOTA[[#This Row],[ID_H]]))</f>
        <v/>
      </c>
      <c r="AM882" s="35" t="str">
        <f ca="1">IF(NOTA[[#This Row],[TGL.NOTA]]="",IF(NOTA[[#This Row],[SUPPLIER_H]]="","",AM881),MONTH(NOTA[[#This Row],[TGL.NOTA]]))</f>
        <v/>
      </c>
      <c r="AN8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2" s="35" t="str">
        <f>IF(NOTA[[#This Row],[CONCAT1]]="","",MATCH(NOTA[[#This Row],[CONCAT1]],[3]!db[NB NOTA_C],0))</f>
        <v/>
      </c>
      <c r="AS882" s="35" t="str">
        <f>IF(NOTA[[#This Row],[Column5]]="","",TRUE)</f>
        <v/>
      </c>
      <c r="AT882" s="35" t="str">
        <f ca="1">IF(NOTA[[#This Row],[ID_H]]="","",IF(NOTA[[#This Row],[Column3]]=TRUE,NOTA[[#This Row],[Column5]],INDEX([3]!db[QTY/ CTN],NOTA[[#This Row],[//DB]])))</f>
        <v/>
      </c>
      <c r="AU8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2" s="35" t="str">
        <f ca="1">IF(NOTA[[#This Row],[ID_H]]="","",MATCH(NOTA[[#This Row],[NB NOTA_C_QTY]],[3]!db[NB NOTA_C_QTY+F],0))</f>
        <v/>
      </c>
      <c r="AW882" s="43" t="str">
        <f ca="1">IF(NOTA[[#This Row],[NB NOTA_C_QTY]]="","",ROW()-2)</f>
        <v/>
      </c>
    </row>
    <row r="883" spans="1:49" ht="20.100000000000001" customHeight="1">
      <c r="A8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5" t="str">
        <f ca="1">IF(NOTA[[#This Row],[NAMA BARANG]]="","",INDEX(NOTA[ID],MATCH(,INDIRECT(ADDRESS(ROW(NOTA[ID]),COLUMN(NOTA[ID]))&amp;":"&amp;ADDRESS(ROW(),COLUMN(NOTA[ID]))),-1)))</f>
        <v/>
      </c>
      <c r="C883" s="45"/>
      <c r="F883" s="46"/>
      <c r="G883" s="35"/>
      <c r="H883" s="36"/>
      <c r="I883" s="35"/>
      <c r="K883" s="37"/>
      <c r="L883" s="35"/>
      <c r="N883" s="38"/>
      <c r="O883" s="39"/>
      <c r="P883" s="47"/>
      <c r="Q883" s="48"/>
      <c r="R883" s="41"/>
      <c r="T883" s="42"/>
      <c r="U883" s="44"/>
      <c r="V883" s="42" t="str">
        <f>IF(NOTA[[#This Row],[HARGA/ CTN]]="",NOTA[[#This Row],[JUMLAH_H]],NOTA[[#This Row],[HARGA/ CTN]]*IF(NOTA[[#This Row],[C]]="",0,NOTA[[#This Row],[C]]))</f>
        <v/>
      </c>
      <c r="W883" s="42" t="str">
        <f>IF(NOTA[[#This Row],[JUMLAH]]="","",NOTA[[#This Row],[JUMLAH]]*NOTA[[#This Row],[Column6]])</f>
        <v/>
      </c>
      <c r="X883" s="42" t="str">
        <f>IF(NOTA[[#This Row],[JUMLAH]]="","",(NOTA[[#This Row],[JUMLAH]]-NOTA[[#This Row],[DISC 1-]])*NOTA[[#This Row],[Column7]])</f>
        <v/>
      </c>
      <c r="Y883" s="42" t="str">
        <f>IF(NOTA[[#This Row],[JUMLAH]]="","",(NOTA[[#This Row],[JUMLAH]]-NOTA[[#This Row],[DISC 1-]]-NOTA[[#This Row],[DISC 2-]])*NOTA[[#This Row],[Column8]])</f>
        <v/>
      </c>
      <c r="Z883" s="42" t="str">
        <f>IF(NOTA[[#This Row],[JUMLAH]]="","",NOTA[[#This Row],[DISC 1-]]+NOTA[[#This Row],[DISC 2-]]+NOTA[[#This Row],[DISC 3-]])</f>
        <v/>
      </c>
      <c r="AA883" s="42" t="str">
        <f>IF(NOTA[[#This Row],[JUMLAH]]="","",NOTA[[#This Row],[JUMLAH]]-NOTA[[#This Row],[DISC]])</f>
        <v/>
      </c>
      <c r="AB883" s="42"/>
      <c r="AC8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42" t="str">
        <f>IF(OR(NOTA[[#This Row],[QTY]]="",NOTA[[#This Row],[HARGA SATUAN]]="",),"",NOTA[[#This Row],[QTY]]*NOTA[[#This Row],[HARGA SATUAN]])</f>
        <v/>
      </c>
      <c r="AG883" s="36" t="str">
        <f ca="1">IF(NOTA[[#This Row],[ID_H]]="","",INDEX(NOTA[TANGGAL],MATCH(,INDIRECT(ADDRESS(ROW(NOTA[TANGGAL]),COLUMN(NOTA[TANGGAL]))&amp;":"&amp;ADDRESS(ROW(),COLUMN(NOTA[TANGGAL]))),-1)))</f>
        <v/>
      </c>
      <c r="AH883" s="36" t="str">
        <f ca="1">IF(NOTA[[#This Row],[ID_H]]="","",INDEX(NOTA[TGL.NOTA],MATCH(,INDIRECT(ADDRESS(ROW(NOTA[TGL.NOTA]),COLUMN(NOTA[TGL.NOTA]))&amp;":"&amp;ADDRESS(ROW(),COLUMN(NOTA[TGL.NOTA]))),-1)))</f>
        <v/>
      </c>
      <c r="AI883" s="36" t="str">
        <f ca="1">IF(NOTA[[#This Row],[ID_H]]="","",INDEX(NOTA[NO.NOTA],MATCH(NOTA[[#This Row],[ID_H]],NOTA[ID_H],0)))</f>
        <v/>
      </c>
      <c r="AJ883" s="38" t="str">
        <f ca="1">IF(NOTA[[#This Row],[NAMA BARANG]]="","",INDEX(NOTA[SUPPLIER],MATCH(,INDIRECT(ADDRESS(ROW(NOTA[ID]),COLUMN(NOTA[ID]))&amp;":"&amp;ADDRESS(ROW(),COLUMN(NOTA[ID]))),-1)))</f>
        <v/>
      </c>
      <c r="AK883" s="38" t="str">
        <f ca="1">IF(NOTA[[#This Row],[ID_H]]="","",IF(NOTA[[#This Row],[FAKTUR]]="",INDIRECT(ADDRESS(ROW()-1,COLUMN())),NOTA[[#This Row],[FAKTUR]]))</f>
        <v/>
      </c>
      <c r="AL883" s="35" t="str">
        <f ca="1">IF(NOTA[[#This Row],[ID]]="","",COUNTIF(NOTA[ID_H],NOTA[[#This Row],[ID_H]]))</f>
        <v/>
      </c>
      <c r="AM883" s="35" t="str">
        <f ca="1">IF(NOTA[[#This Row],[TGL.NOTA]]="",IF(NOTA[[#This Row],[SUPPLIER_H]]="","",AM882),MONTH(NOTA[[#This Row],[TGL.NOTA]]))</f>
        <v/>
      </c>
      <c r="AN8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3" s="35" t="str">
        <f>IF(NOTA[[#This Row],[CONCAT1]]="","",MATCH(NOTA[[#This Row],[CONCAT1]],[3]!db[NB NOTA_C],0))</f>
        <v/>
      </c>
      <c r="AS883" s="35" t="str">
        <f>IF(NOTA[[#This Row],[Column5]]="","",TRUE)</f>
        <v/>
      </c>
      <c r="AT883" s="35" t="str">
        <f ca="1">IF(NOTA[[#This Row],[ID_H]]="","",IF(NOTA[[#This Row],[Column3]]=TRUE,NOTA[[#This Row],[Column5]],INDEX([3]!db[QTY/ CTN],NOTA[[#This Row],[//DB]])))</f>
        <v/>
      </c>
      <c r="AU8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3" s="35" t="str">
        <f ca="1">IF(NOTA[[#This Row],[ID_H]]="","",MATCH(NOTA[[#This Row],[NB NOTA_C_QTY]],[3]!db[NB NOTA_C_QTY+F],0))</f>
        <v/>
      </c>
      <c r="AW883" s="43" t="str">
        <f ca="1">IF(NOTA[[#This Row],[NB NOTA_C_QTY]]="","",ROW()-2)</f>
        <v/>
      </c>
    </row>
    <row r="884" spans="1:49" ht="20.100000000000001" customHeight="1">
      <c r="A8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5" t="str">
        <f ca="1">IF(NOTA[[#This Row],[NAMA BARANG]]="","",INDEX(NOTA[ID],MATCH(,INDIRECT(ADDRESS(ROW(NOTA[ID]),COLUMN(NOTA[ID]))&amp;":"&amp;ADDRESS(ROW(),COLUMN(NOTA[ID]))),-1)))</f>
        <v/>
      </c>
      <c r="C884" s="45"/>
      <c r="F884" s="46"/>
      <c r="G884" s="35"/>
      <c r="H884" s="36"/>
      <c r="I884" s="35"/>
      <c r="K884" s="37"/>
      <c r="L884" s="35"/>
      <c r="N884" s="38"/>
      <c r="O884" s="39"/>
      <c r="P884" s="47"/>
      <c r="Q884" s="48"/>
      <c r="R884" s="41"/>
      <c r="T884" s="42"/>
      <c r="U884" s="44"/>
      <c r="V884" s="42" t="str">
        <f>IF(NOTA[[#This Row],[HARGA/ CTN]]="",NOTA[[#This Row],[JUMLAH_H]],NOTA[[#This Row],[HARGA/ CTN]]*IF(NOTA[[#This Row],[C]]="",0,NOTA[[#This Row],[C]]))</f>
        <v/>
      </c>
      <c r="W884" s="42" t="str">
        <f>IF(NOTA[[#This Row],[JUMLAH]]="","",NOTA[[#This Row],[JUMLAH]]*NOTA[[#This Row],[Column6]])</f>
        <v/>
      </c>
      <c r="X884" s="42" t="str">
        <f>IF(NOTA[[#This Row],[JUMLAH]]="","",(NOTA[[#This Row],[JUMLAH]]-NOTA[[#This Row],[DISC 1-]])*NOTA[[#This Row],[Column7]])</f>
        <v/>
      </c>
      <c r="Y884" s="42" t="str">
        <f>IF(NOTA[[#This Row],[JUMLAH]]="","",(NOTA[[#This Row],[JUMLAH]]-NOTA[[#This Row],[DISC 1-]]-NOTA[[#This Row],[DISC 2-]])*NOTA[[#This Row],[Column8]])</f>
        <v/>
      </c>
      <c r="Z884" s="42" t="str">
        <f>IF(NOTA[[#This Row],[JUMLAH]]="","",NOTA[[#This Row],[DISC 1-]]+NOTA[[#This Row],[DISC 2-]]+NOTA[[#This Row],[DISC 3-]])</f>
        <v/>
      </c>
      <c r="AA884" s="42" t="str">
        <f>IF(NOTA[[#This Row],[JUMLAH]]="","",NOTA[[#This Row],[JUMLAH]]-NOTA[[#This Row],[DISC]])</f>
        <v/>
      </c>
      <c r="AB884" s="42"/>
      <c r="AC8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42" t="str">
        <f>IF(OR(NOTA[[#This Row],[QTY]]="",NOTA[[#This Row],[HARGA SATUAN]]="",),"",NOTA[[#This Row],[QTY]]*NOTA[[#This Row],[HARGA SATUAN]])</f>
        <v/>
      </c>
      <c r="AG884" s="36" t="str">
        <f ca="1">IF(NOTA[[#This Row],[ID_H]]="","",INDEX(NOTA[TANGGAL],MATCH(,INDIRECT(ADDRESS(ROW(NOTA[TANGGAL]),COLUMN(NOTA[TANGGAL]))&amp;":"&amp;ADDRESS(ROW(),COLUMN(NOTA[TANGGAL]))),-1)))</f>
        <v/>
      </c>
      <c r="AH884" s="36" t="str">
        <f ca="1">IF(NOTA[[#This Row],[ID_H]]="","",INDEX(NOTA[TGL.NOTA],MATCH(,INDIRECT(ADDRESS(ROW(NOTA[TGL.NOTA]),COLUMN(NOTA[TGL.NOTA]))&amp;":"&amp;ADDRESS(ROW(),COLUMN(NOTA[TGL.NOTA]))),-1)))</f>
        <v/>
      </c>
      <c r="AI884" s="36" t="str">
        <f ca="1">IF(NOTA[[#This Row],[ID_H]]="","",INDEX(NOTA[NO.NOTA],MATCH(NOTA[[#This Row],[ID_H]],NOTA[ID_H],0)))</f>
        <v/>
      </c>
      <c r="AJ884" s="38" t="str">
        <f ca="1">IF(NOTA[[#This Row],[NAMA BARANG]]="","",INDEX(NOTA[SUPPLIER],MATCH(,INDIRECT(ADDRESS(ROW(NOTA[ID]),COLUMN(NOTA[ID]))&amp;":"&amp;ADDRESS(ROW(),COLUMN(NOTA[ID]))),-1)))</f>
        <v/>
      </c>
      <c r="AK884" s="38" t="str">
        <f ca="1">IF(NOTA[[#This Row],[ID_H]]="","",IF(NOTA[[#This Row],[FAKTUR]]="",INDIRECT(ADDRESS(ROW()-1,COLUMN())),NOTA[[#This Row],[FAKTUR]]))</f>
        <v/>
      </c>
      <c r="AL884" s="35" t="str">
        <f ca="1">IF(NOTA[[#This Row],[ID]]="","",COUNTIF(NOTA[ID_H],NOTA[[#This Row],[ID_H]]))</f>
        <v/>
      </c>
      <c r="AM884" s="35" t="str">
        <f ca="1">IF(NOTA[[#This Row],[TGL.NOTA]]="",IF(NOTA[[#This Row],[SUPPLIER_H]]="","",AM883),MONTH(NOTA[[#This Row],[TGL.NOTA]]))</f>
        <v/>
      </c>
      <c r="AN8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4" s="35" t="str">
        <f>IF(NOTA[[#This Row],[CONCAT1]]="","",MATCH(NOTA[[#This Row],[CONCAT1]],[3]!db[NB NOTA_C],0))</f>
        <v/>
      </c>
      <c r="AS884" s="35" t="str">
        <f>IF(NOTA[[#This Row],[Column5]]="","",TRUE)</f>
        <v/>
      </c>
      <c r="AT884" s="35" t="str">
        <f ca="1">IF(NOTA[[#This Row],[ID_H]]="","",IF(NOTA[[#This Row],[Column3]]=TRUE,NOTA[[#This Row],[Column5]],INDEX([3]!db[QTY/ CTN],NOTA[[#This Row],[//DB]])))</f>
        <v/>
      </c>
      <c r="AU8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4" s="35" t="str">
        <f ca="1">IF(NOTA[[#This Row],[ID_H]]="","",MATCH(NOTA[[#This Row],[NB NOTA_C_QTY]],[3]!db[NB NOTA_C_QTY+F],0))</f>
        <v/>
      </c>
      <c r="AW884" s="43" t="str">
        <f ca="1">IF(NOTA[[#This Row],[NB NOTA_C_QTY]]="","",ROW()-2)</f>
        <v/>
      </c>
    </row>
    <row r="885" spans="1:49" ht="20.100000000000001" customHeight="1">
      <c r="A8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5" t="str">
        <f ca="1">IF(NOTA[[#This Row],[NAMA BARANG]]="","",INDEX(NOTA[ID],MATCH(,INDIRECT(ADDRESS(ROW(NOTA[ID]),COLUMN(NOTA[ID]))&amp;":"&amp;ADDRESS(ROW(),COLUMN(NOTA[ID]))),-1)))</f>
        <v/>
      </c>
      <c r="C885" s="45"/>
      <c r="F885" s="46"/>
      <c r="G885" s="35"/>
      <c r="H885" s="36"/>
      <c r="I885" s="35"/>
      <c r="K885" s="37"/>
      <c r="L885" s="35"/>
      <c r="N885" s="38"/>
      <c r="O885" s="39"/>
      <c r="P885" s="47"/>
      <c r="Q885" s="48"/>
      <c r="R885" s="41"/>
      <c r="T885" s="42"/>
      <c r="U885" s="44"/>
      <c r="V885" s="42" t="str">
        <f>IF(NOTA[[#This Row],[HARGA/ CTN]]="",NOTA[[#This Row],[JUMLAH_H]],NOTA[[#This Row],[HARGA/ CTN]]*IF(NOTA[[#This Row],[C]]="",0,NOTA[[#This Row],[C]]))</f>
        <v/>
      </c>
      <c r="W885" s="42" t="str">
        <f>IF(NOTA[[#This Row],[JUMLAH]]="","",NOTA[[#This Row],[JUMLAH]]*NOTA[[#This Row],[Column6]])</f>
        <v/>
      </c>
      <c r="X885" s="42" t="str">
        <f>IF(NOTA[[#This Row],[JUMLAH]]="","",(NOTA[[#This Row],[JUMLAH]]-NOTA[[#This Row],[DISC 1-]])*NOTA[[#This Row],[Column7]])</f>
        <v/>
      </c>
      <c r="Y885" s="42" t="str">
        <f>IF(NOTA[[#This Row],[JUMLAH]]="","",(NOTA[[#This Row],[JUMLAH]]-NOTA[[#This Row],[DISC 1-]]-NOTA[[#This Row],[DISC 2-]])*NOTA[[#This Row],[Column8]])</f>
        <v/>
      </c>
      <c r="Z885" s="42" t="str">
        <f>IF(NOTA[[#This Row],[JUMLAH]]="","",NOTA[[#This Row],[DISC 1-]]+NOTA[[#This Row],[DISC 2-]]+NOTA[[#This Row],[DISC 3-]])</f>
        <v/>
      </c>
      <c r="AA885" s="42" t="str">
        <f>IF(NOTA[[#This Row],[JUMLAH]]="","",NOTA[[#This Row],[JUMLAH]]-NOTA[[#This Row],[DISC]])</f>
        <v/>
      </c>
      <c r="AB885" s="42"/>
      <c r="AC8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42" t="str">
        <f>IF(OR(NOTA[[#This Row],[QTY]]="",NOTA[[#This Row],[HARGA SATUAN]]="",),"",NOTA[[#This Row],[QTY]]*NOTA[[#This Row],[HARGA SATUAN]])</f>
        <v/>
      </c>
      <c r="AG885" s="36" t="str">
        <f ca="1">IF(NOTA[[#This Row],[ID_H]]="","",INDEX(NOTA[TANGGAL],MATCH(,INDIRECT(ADDRESS(ROW(NOTA[TANGGAL]),COLUMN(NOTA[TANGGAL]))&amp;":"&amp;ADDRESS(ROW(),COLUMN(NOTA[TANGGAL]))),-1)))</f>
        <v/>
      </c>
      <c r="AH885" s="36" t="str">
        <f ca="1">IF(NOTA[[#This Row],[ID_H]]="","",INDEX(NOTA[TGL.NOTA],MATCH(,INDIRECT(ADDRESS(ROW(NOTA[TGL.NOTA]),COLUMN(NOTA[TGL.NOTA]))&amp;":"&amp;ADDRESS(ROW(),COLUMN(NOTA[TGL.NOTA]))),-1)))</f>
        <v/>
      </c>
      <c r="AI885" s="36" t="str">
        <f ca="1">IF(NOTA[[#This Row],[ID_H]]="","",INDEX(NOTA[NO.NOTA],MATCH(NOTA[[#This Row],[ID_H]],NOTA[ID_H],0)))</f>
        <v/>
      </c>
      <c r="AJ885" s="38" t="str">
        <f ca="1">IF(NOTA[[#This Row],[NAMA BARANG]]="","",INDEX(NOTA[SUPPLIER],MATCH(,INDIRECT(ADDRESS(ROW(NOTA[ID]),COLUMN(NOTA[ID]))&amp;":"&amp;ADDRESS(ROW(),COLUMN(NOTA[ID]))),-1)))</f>
        <v/>
      </c>
      <c r="AK885" s="38" t="str">
        <f ca="1">IF(NOTA[[#This Row],[ID_H]]="","",IF(NOTA[[#This Row],[FAKTUR]]="",INDIRECT(ADDRESS(ROW()-1,COLUMN())),NOTA[[#This Row],[FAKTUR]]))</f>
        <v/>
      </c>
      <c r="AL885" s="35" t="str">
        <f ca="1">IF(NOTA[[#This Row],[ID]]="","",COUNTIF(NOTA[ID_H],NOTA[[#This Row],[ID_H]]))</f>
        <v/>
      </c>
      <c r="AM885" s="35" t="str">
        <f ca="1">IF(NOTA[[#This Row],[TGL.NOTA]]="",IF(NOTA[[#This Row],[SUPPLIER_H]]="","",AM884),MONTH(NOTA[[#This Row],[TGL.NOTA]]))</f>
        <v/>
      </c>
      <c r="AN8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5" s="35" t="str">
        <f>IF(NOTA[[#This Row],[CONCAT1]]="","",MATCH(NOTA[[#This Row],[CONCAT1]],[3]!db[NB NOTA_C],0))</f>
        <v/>
      </c>
      <c r="AS885" s="35" t="str">
        <f>IF(NOTA[[#This Row],[Column5]]="","",TRUE)</f>
        <v/>
      </c>
      <c r="AT885" s="35" t="str">
        <f ca="1">IF(NOTA[[#This Row],[ID_H]]="","",IF(NOTA[[#This Row],[Column3]]=TRUE,NOTA[[#This Row],[Column5]],INDEX([3]!db[QTY/ CTN],NOTA[[#This Row],[//DB]])))</f>
        <v/>
      </c>
      <c r="AU8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5" s="35" t="str">
        <f ca="1">IF(NOTA[[#This Row],[ID_H]]="","",MATCH(NOTA[[#This Row],[NB NOTA_C_QTY]],[3]!db[NB NOTA_C_QTY+F],0))</f>
        <v/>
      </c>
      <c r="AW885" s="43" t="str">
        <f ca="1">IF(NOTA[[#This Row],[NB NOTA_C_QTY]]="","",ROW()-2)</f>
        <v/>
      </c>
    </row>
    <row r="886" spans="1:49" ht="20.100000000000001" customHeight="1">
      <c r="A8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5" t="str">
        <f ca="1">IF(NOTA[[#This Row],[NAMA BARANG]]="","",INDEX(NOTA[ID],MATCH(,INDIRECT(ADDRESS(ROW(NOTA[ID]),COLUMN(NOTA[ID]))&amp;":"&amp;ADDRESS(ROW(),COLUMN(NOTA[ID]))),-1)))</f>
        <v/>
      </c>
      <c r="C886" s="45"/>
      <c r="F886" s="46"/>
      <c r="G886" s="35"/>
      <c r="H886" s="36"/>
      <c r="I886" s="35"/>
      <c r="K886" s="37"/>
      <c r="L886" s="35"/>
      <c r="N886" s="38"/>
      <c r="O886" s="39"/>
      <c r="P886" s="47"/>
      <c r="Q886" s="48"/>
      <c r="R886" s="41"/>
      <c r="T886" s="42"/>
      <c r="U886" s="44"/>
      <c r="V886" s="42" t="str">
        <f>IF(NOTA[[#This Row],[HARGA/ CTN]]="",NOTA[[#This Row],[JUMLAH_H]],NOTA[[#This Row],[HARGA/ CTN]]*IF(NOTA[[#This Row],[C]]="",0,NOTA[[#This Row],[C]]))</f>
        <v/>
      </c>
      <c r="W886" s="42" t="str">
        <f>IF(NOTA[[#This Row],[JUMLAH]]="","",NOTA[[#This Row],[JUMLAH]]*NOTA[[#This Row],[Column6]])</f>
        <v/>
      </c>
      <c r="X886" s="42" t="str">
        <f>IF(NOTA[[#This Row],[JUMLAH]]="","",(NOTA[[#This Row],[JUMLAH]]-NOTA[[#This Row],[DISC 1-]])*NOTA[[#This Row],[Column7]])</f>
        <v/>
      </c>
      <c r="Y886" s="42" t="str">
        <f>IF(NOTA[[#This Row],[JUMLAH]]="","",(NOTA[[#This Row],[JUMLAH]]-NOTA[[#This Row],[DISC 1-]]-NOTA[[#This Row],[DISC 2-]])*NOTA[[#This Row],[Column8]])</f>
        <v/>
      </c>
      <c r="Z886" s="42" t="str">
        <f>IF(NOTA[[#This Row],[JUMLAH]]="","",NOTA[[#This Row],[DISC 1-]]+NOTA[[#This Row],[DISC 2-]]+NOTA[[#This Row],[DISC 3-]])</f>
        <v/>
      </c>
      <c r="AA886" s="42" t="str">
        <f>IF(NOTA[[#This Row],[JUMLAH]]="","",NOTA[[#This Row],[JUMLAH]]-NOTA[[#This Row],[DISC]])</f>
        <v/>
      </c>
      <c r="AB886" s="42"/>
      <c r="AC8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42" t="str">
        <f>IF(OR(NOTA[[#This Row],[QTY]]="",NOTA[[#This Row],[HARGA SATUAN]]="",),"",NOTA[[#This Row],[QTY]]*NOTA[[#This Row],[HARGA SATUAN]])</f>
        <v/>
      </c>
      <c r="AG886" s="36" t="str">
        <f ca="1">IF(NOTA[[#This Row],[ID_H]]="","",INDEX(NOTA[TANGGAL],MATCH(,INDIRECT(ADDRESS(ROW(NOTA[TANGGAL]),COLUMN(NOTA[TANGGAL]))&amp;":"&amp;ADDRESS(ROW(),COLUMN(NOTA[TANGGAL]))),-1)))</f>
        <v/>
      </c>
      <c r="AH886" s="36" t="str">
        <f ca="1">IF(NOTA[[#This Row],[ID_H]]="","",INDEX(NOTA[TGL.NOTA],MATCH(,INDIRECT(ADDRESS(ROW(NOTA[TGL.NOTA]),COLUMN(NOTA[TGL.NOTA]))&amp;":"&amp;ADDRESS(ROW(),COLUMN(NOTA[TGL.NOTA]))),-1)))</f>
        <v/>
      </c>
      <c r="AI886" s="36" t="str">
        <f ca="1">IF(NOTA[[#This Row],[ID_H]]="","",INDEX(NOTA[NO.NOTA],MATCH(NOTA[[#This Row],[ID_H]],NOTA[ID_H],0)))</f>
        <v/>
      </c>
      <c r="AJ886" s="38" t="str">
        <f ca="1">IF(NOTA[[#This Row],[NAMA BARANG]]="","",INDEX(NOTA[SUPPLIER],MATCH(,INDIRECT(ADDRESS(ROW(NOTA[ID]),COLUMN(NOTA[ID]))&amp;":"&amp;ADDRESS(ROW(),COLUMN(NOTA[ID]))),-1)))</f>
        <v/>
      </c>
      <c r="AK886" s="38" t="str">
        <f ca="1">IF(NOTA[[#This Row],[ID_H]]="","",IF(NOTA[[#This Row],[FAKTUR]]="",INDIRECT(ADDRESS(ROW()-1,COLUMN())),NOTA[[#This Row],[FAKTUR]]))</f>
        <v/>
      </c>
      <c r="AL886" s="35" t="str">
        <f ca="1">IF(NOTA[[#This Row],[ID]]="","",COUNTIF(NOTA[ID_H],NOTA[[#This Row],[ID_H]]))</f>
        <v/>
      </c>
      <c r="AM886" s="35" t="str">
        <f ca="1">IF(NOTA[[#This Row],[TGL.NOTA]]="",IF(NOTA[[#This Row],[SUPPLIER_H]]="","",AM885),MONTH(NOTA[[#This Row],[TGL.NOTA]]))</f>
        <v/>
      </c>
      <c r="AN8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6" s="35" t="str">
        <f>IF(NOTA[[#This Row],[CONCAT1]]="","",MATCH(NOTA[[#This Row],[CONCAT1]],[3]!db[NB NOTA_C],0))</f>
        <v/>
      </c>
      <c r="AS886" s="35" t="str">
        <f>IF(NOTA[[#This Row],[Column5]]="","",TRUE)</f>
        <v/>
      </c>
      <c r="AT886" s="35" t="str">
        <f ca="1">IF(NOTA[[#This Row],[ID_H]]="","",IF(NOTA[[#This Row],[Column3]]=TRUE,NOTA[[#This Row],[Column5]],INDEX([3]!db[QTY/ CTN],NOTA[[#This Row],[//DB]])))</f>
        <v/>
      </c>
      <c r="AU8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6" s="35" t="str">
        <f ca="1">IF(NOTA[[#This Row],[ID_H]]="","",MATCH(NOTA[[#This Row],[NB NOTA_C_QTY]],[3]!db[NB NOTA_C_QTY+F],0))</f>
        <v/>
      </c>
      <c r="AW886" s="43" t="str">
        <f ca="1">IF(NOTA[[#This Row],[NB NOTA_C_QTY]]="","",ROW()-2)</f>
        <v/>
      </c>
    </row>
    <row r="887" spans="1:49" ht="20.100000000000001" customHeight="1">
      <c r="A8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5" t="str">
        <f ca="1">IF(NOTA[[#This Row],[NAMA BARANG]]="","",INDEX(NOTA[ID],MATCH(,INDIRECT(ADDRESS(ROW(NOTA[ID]),COLUMN(NOTA[ID]))&amp;":"&amp;ADDRESS(ROW(),COLUMN(NOTA[ID]))),-1)))</f>
        <v/>
      </c>
      <c r="C887" s="45"/>
      <c r="F887" s="46"/>
      <c r="G887" s="35"/>
      <c r="H887" s="36"/>
      <c r="I887" s="35"/>
      <c r="K887" s="37"/>
      <c r="L887" s="35"/>
      <c r="N887" s="38"/>
      <c r="O887" s="39"/>
      <c r="P887" s="47"/>
      <c r="Q887" s="48"/>
      <c r="R887" s="41"/>
      <c r="T887" s="42"/>
      <c r="U887" s="44"/>
      <c r="V887" s="42" t="str">
        <f>IF(NOTA[[#This Row],[HARGA/ CTN]]="",NOTA[[#This Row],[JUMLAH_H]],NOTA[[#This Row],[HARGA/ CTN]]*IF(NOTA[[#This Row],[C]]="",0,NOTA[[#This Row],[C]]))</f>
        <v/>
      </c>
      <c r="W887" s="42" t="str">
        <f>IF(NOTA[[#This Row],[JUMLAH]]="","",NOTA[[#This Row],[JUMLAH]]*NOTA[[#This Row],[Column6]])</f>
        <v/>
      </c>
      <c r="X887" s="42" t="str">
        <f>IF(NOTA[[#This Row],[JUMLAH]]="","",(NOTA[[#This Row],[JUMLAH]]-NOTA[[#This Row],[DISC 1-]])*NOTA[[#This Row],[Column7]])</f>
        <v/>
      </c>
      <c r="Y887" s="42" t="str">
        <f>IF(NOTA[[#This Row],[JUMLAH]]="","",(NOTA[[#This Row],[JUMLAH]]-NOTA[[#This Row],[DISC 1-]]-NOTA[[#This Row],[DISC 2-]])*NOTA[[#This Row],[Column8]])</f>
        <v/>
      </c>
      <c r="Z887" s="42" t="str">
        <f>IF(NOTA[[#This Row],[JUMLAH]]="","",NOTA[[#This Row],[DISC 1-]]+NOTA[[#This Row],[DISC 2-]]+NOTA[[#This Row],[DISC 3-]])</f>
        <v/>
      </c>
      <c r="AA887" s="42" t="str">
        <f>IF(NOTA[[#This Row],[JUMLAH]]="","",NOTA[[#This Row],[JUMLAH]]-NOTA[[#This Row],[DISC]])</f>
        <v/>
      </c>
      <c r="AB887" s="42"/>
      <c r="AC8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42" t="str">
        <f>IF(OR(NOTA[[#This Row],[QTY]]="",NOTA[[#This Row],[HARGA SATUAN]]="",),"",NOTA[[#This Row],[QTY]]*NOTA[[#This Row],[HARGA SATUAN]])</f>
        <v/>
      </c>
      <c r="AG887" s="36" t="str">
        <f ca="1">IF(NOTA[[#This Row],[ID_H]]="","",INDEX(NOTA[TANGGAL],MATCH(,INDIRECT(ADDRESS(ROW(NOTA[TANGGAL]),COLUMN(NOTA[TANGGAL]))&amp;":"&amp;ADDRESS(ROW(),COLUMN(NOTA[TANGGAL]))),-1)))</f>
        <v/>
      </c>
      <c r="AH887" s="36" t="str">
        <f ca="1">IF(NOTA[[#This Row],[ID_H]]="","",INDEX(NOTA[TGL.NOTA],MATCH(,INDIRECT(ADDRESS(ROW(NOTA[TGL.NOTA]),COLUMN(NOTA[TGL.NOTA]))&amp;":"&amp;ADDRESS(ROW(),COLUMN(NOTA[TGL.NOTA]))),-1)))</f>
        <v/>
      </c>
      <c r="AI887" s="36" t="str">
        <f ca="1">IF(NOTA[[#This Row],[ID_H]]="","",INDEX(NOTA[NO.NOTA],MATCH(NOTA[[#This Row],[ID_H]],NOTA[ID_H],0)))</f>
        <v/>
      </c>
      <c r="AJ887" s="38" t="str">
        <f ca="1">IF(NOTA[[#This Row],[NAMA BARANG]]="","",INDEX(NOTA[SUPPLIER],MATCH(,INDIRECT(ADDRESS(ROW(NOTA[ID]),COLUMN(NOTA[ID]))&amp;":"&amp;ADDRESS(ROW(),COLUMN(NOTA[ID]))),-1)))</f>
        <v/>
      </c>
      <c r="AK887" s="38" t="str">
        <f ca="1">IF(NOTA[[#This Row],[ID_H]]="","",IF(NOTA[[#This Row],[FAKTUR]]="",INDIRECT(ADDRESS(ROW()-1,COLUMN())),NOTA[[#This Row],[FAKTUR]]))</f>
        <v/>
      </c>
      <c r="AL887" s="35" t="str">
        <f ca="1">IF(NOTA[[#This Row],[ID]]="","",COUNTIF(NOTA[ID_H],NOTA[[#This Row],[ID_H]]))</f>
        <v/>
      </c>
      <c r="AM887" s="35" t="str">
        <f ca="1">IF(NOTA[[#This Row],[TGL.NOTA]]="",IF(NOTA[[#This Row],[SUPPLIER_H]]="","",AM886),MONTH(NOTA[[#This Row],[TGL.NOTA]]))</f>
        <v/>
      </c>
      <c r="AN8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7" s="35" t="str">
        <f>IF(NOTA[[#This Row],[CONCAT1]]="","",MATCH(NOTA[[#This Row],[CONCAT1]],[3]!db[NB NOTA_C],0))</f>
        <v/>
      </c>
      <c r="AS887" s="35" t="str">
        <f>IF(NOTA[[#This Row],[Column5]]="","",TRUE)</f>
        <v/>
      </c>
      <c r="AT887" s="35" t="str">
        <f ca="1">IF(NOTA[[#This Row],[ID_H]]="","",IF(NOTA[[#This Row],[Column3]]=TRUE,NOTA[[#This Row],[Column5]],INDEX([3]!db[QTY/ CTN],NOTA[[#This Row],[//DB]])))</f>
        <v/>
      </c>
      <c r="AU8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7" s="35" t="str">
        <f ca="1">IF(NOTA[[#This Row],[ID_H]]="","",MATCH(NOTA[[#This Row],[NB NOTA_C_QTY]],[3]!db[NB NOTA_C_QTY+F],0))</f>
        <v/>
      </c>
      <c r="AW887" s="43" t="str">
        <f ca="1">IF(NOTA[[#This Row],[NB NOTA_C_QTY]]="","",ROW()-2)</f>
        <v/>
      </c>
    </row>
    <row r="888" spans="1:49" ht="20.100000000000001" customHeight="1">
      <c r="A8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5" t="str">
        <f ca="1">IF(NOTA[[#This Row],[NAMA BARANG]]="","",INDEX(NOTA[ID],MATCH(,INDIRECT(ADDRESS(ROW(NOTA[ID]),COLUMN(NOTA[ID]))&amp;":"&amp;ADDRESS(ROW(),COLUMN(NOTA[ID]))),-1)))</f>
        <v/>
      </c>
      <c r="C888" s="45"/>
      <c r="F888" s="46"/>
      <c r="G888" s="35"/>
      <c r="H888" s="36"/>
      <c r="I888" s="35"/>
      <c r="K888" s="37"/>
      <c r="L888" s="35"/>
      <c r="N888" s="38"/>
      <c r="O888" s="39"/>
      <c r="P888" s="47"/>
      <c r="Q888" s="48"/>
      <c r="R888" s="41"/>
      <c r="T888" s="42"/>
      <c r="U888" s="44"/>
      <c r="V888" s="42" t="str">
        <f>IF(NOTA[[#This Row],[HARGA/ CTN]]="",NOTA[[#This Row],[JUMLAH_H]],NOTA[[#This Row],[HARGA/ CTN]]*IF(NOTA[[#This Row],[C]]="",0,NOTA[[#This Row],[C]]))</f>
        <v/>
      </c>
      <c r="W888" s="42" t="str">
        <f>IF(NOTA[[#This Row],[JUMLAH]]="","",NOTA[[#This Row],[JUMLAH]]*NOTA[[#This Row],[Column6]])</f>
        <v/>
      </c>
      <c r="X888" s="42" t="str">
        <f>IF(NOTA[[#This Row],[JUMLAH]]="","",(NOTA[[#This Row],[JUMLAH]]-NOTA[[#This Row],[DISC 1-]])*NOTA[[#This Row],[Column7]])</f>
        <v/>
      </c>
      <c r="Y888" s="42" t="str">
        <f>IF(NOTA[[#This Row],[JUMLAH]]="","",(NOTA[[#This Row],[JUMLAH]]-NOTA[[#This Row],[DISC 1-]]-NOTA[[#This Row],[DISC 2-]])*NOTA[[#This Row],[Column8]])</f>
        <v/>
      </c>
      <c r="Z888" s="42" t="str">
        <f>IF(NOTA[[#This Row],[JUMLAH]]="","",NOTA[[#This Row],[DISC 1-]]+NOTA[[#This Row],[DISC 2-]]+NOTA[[#This Row],[DISC 3-]])</f>
        <v/>
      </c>
      <c r="AA888" s="42" t="str">
        <f>IF(NOTA[[#This Row],[JUMLAH]]="","",NOTA[[#This Row],[JUMLAH]]-NOTA[[#This Row],[DISC]])</f>
        <v/>
      </c>
      <c r="AB888" s="42"/>
      <c r="AC8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42" t="str">
        <f>IF(OR(NOTA[[#This Row],[QTY]]="",NOTA[[#This Row],[HARGA SATUAN]]="",),"",NOTA[[#This Row],[QTY]]*NOTA[[#This Row],[HARGA SATUAN]])</f>
        <v/>
      </c>
      <c r="AG888" s="36" t="str">
        <f ca="1">IF(NOTA[[#This Row],[ID_H]]="","",INDEX(NOTA[TANGGAL],MATCH(,INDIRECT(ADDRESS(ROW(NOTA[TANGGAL]),COLUMN(NOTA[TANGGAL]))&amp;":"&amp;ADDRESS(ROW(),COLUMN(NOTA[TANGGAL]))),-1)))</f>
        <v/>
      </c>
      <c r="AH888" s="36" t="str">
        <f ca="1">IF(NOTA[[#This Row],[ID_H]]="","",INDEX(NOTA[TGL.NOTA],MATCH(,INDIRECT(ADDRESS(ROW(NOTA[TGL.NOTA]),COLUMN(NOTA[TGL.NOTA]))&amp;":"&amp;ADDRESS(ROW(),COLUMN(NOTA[TGL.NOTA]))),-1)))</f>
        <v/>
      </c>
      <c r="AI888" s="36" t="str">
        <f ca="1">IF(NOTA[[#This Row],[ID_H]]="","",INDEX(NOTA[NO.NOTA],MATCH(NOTA[[#This Row],[ID_H]],NOTA[ID_H],0)))</f>
        <v/>
      </c>
      <c r="AJ888" s="38" t="str">
        <f ca="1">IF(NOTA[[#This Row],[NAMA BARANG]]="","",INDEX(NOTA[SUPPLIER],MATCH(,INDIRECT(ADDRESS(ROW(NOTA[ID]),COLUMN(NOTA[ID]))&amp;":"&amp;ADDRESS(ROW(),COLUMN(NOTA[ID]))),-1)))</f>
        <v/>
      </c>
      <c r="AK888" s="38" t="str">
        <f ca="1">IF(NOTA[[#This Row],[ID_H]]="","",IF(NOTA[[#This Row],[FAKTUR]]="",INDIRECT(ADDRESS(ROW()-1,COLUMN())),NOTA[[#This Row],[FAKTUR]]))</f>
        <v/>
      </c>
      <c r="AL888" s="35" t="str">
        <f ca="1">IF(NOTA[[#This Row],[ID]]="","",COUNTIF(NOTA[ID_H],NOTA[[#This Row],[ID_H]]))</f>
        <v/>
      </c>
      <c r="AM888" s="35" t="str">
        <f ca="1">IF(NOTA[[#This Row],[TGL.NOTA]]="",IF(NOTA[[#This Row],[SUPPLIER_H]]="","",AM887),MONTH(NOTA[[#This Row],[TGL.NOTA]]))</f>
        <v/>
      </c>
      <c r="AN8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8" s="35" t="str">
        <f>IF(NOTA[[#This Row],[CONCAT1]]="","",MATCH(NOTA[[#This Row],[CONCAT1]],[3]!db[NB NOTA_C],0))</f>
        <v/>
      </c>
      <c r="AS888" s="35" t="str">
        <f>IF(NOTA[[#This Row],[Column5]]="","",TRUE)</f>
        <v/>
      </c>
      <c r="AT888" s="35" t="str">
        <f ca="1">IF(NOTA[[#This Row],[ID_H]]="","",IF(NOTA[[#This Row],[Column3]]=TRUE,NOTA[[#This Row],[Column5]],INDEX([3]!db[QTY/ CTN],NOTA[[#This Row],[//DB]])))</f>
        <v/>
      </c>
      <c r="AU8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8" s="35" t="str">
        <f ca="1">IF(NOTA[[#This Row],[ID_H]]="","",MATCH(NOTA[[#This Row],[NB NOTA_C_QTY]],[3]!db[NB NOTA_C_QTY+F],0))</f>
        <v/>
      </c>
      <c r="AW888" s="43" t="str">
        <f ca="1">IF(NOTA[[#This Row],[NB NOTA_C_QTY]]="","",ROW()-2)</f>
        <v/>
      </c>
    </row>
    <row r="889" spans="1:49" ht="20.100000000000001" customHeight="1">
      <c r="A8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5" t="str">
        <f ca="1">IF(NOTA[[#This Row],[NAMA BARANG]]="","",INDEX(NOTA[ID],MATCH(,INDIRECT(ADDRESS(ROW(NOTA[ID]),COLUMN(NOTA[ID]))&amp;":"&amp;ADDRESS(ROW(),COLUMN(NOTA[ID]))),-1)))</f>
        <v/>
      </c>
      <c r="C889" s="45"/>
      <c r="F889" s="46"/>
      <c r="G889" s="35"/>
      <c r="H889" s="36"/>
      <c r="I889" s="35"/>
      <c r="K889" s="37"/>
      <c r="L889" s="35"/>
      <c r="N889" s="38"/>
      <c r="O889" s="39"/>
      <c r="P889" s="47"/>
      <c r="Q889" s="48"/>
      <c r="R889" s="41"/>
      <c r="T889" s="42"/>
      <c r="U889" s="44"/>
      <c r="V889" s="42" t="str">
        <f>IF(NOTA[[#This Row],[HARGA/ CTN]]="",NOTA[[#This Row],[JUMLAH_H]],NOTA[[#This Row],[HARGA/ CTN]]*IF(NOTA[[#This Row],[C]]="",0,NOTA[[#This Row],[C]]))</f>
        <v/>
      </c>
      <c r="W889" s="42" t="str">
        <f>IF(NOTA[[#This Row],[JUMLAH]]="","",NOTA[[#This Row],[JUMLAH]]*NOTA[[#This Row],[Column6]])</f>
        <v/>
      </c>
      <c r="X889" s="42" t="str">
        <f>IF(NOTA[[#This Row],[JUMLAH]]="","",(NOTA[[#This Row],[JUMLAH]]-NOTA[[#This Row],[DISC 1-]])*NOTA[[#This Row],[Column7]])</f>
        <v/>
      </c>
      <c r="Y889" s="42" t="str">
        <f>IF(NOTA[[#This Row],[JUMLAH]]="","",(NOTA[[#This Row],[JUMLAH]]-NOTA[[#This Row],[DISC 1-]]-NOTA[[#This Row],[DISC 2-]])*NOTA[[#This Row],[Column8]])</f>
        <v/>
      </c>
      <c r="Z889" s="42" t="str">
        <f>IF(NOTA[[#This Row],[JUMLAH]]="","",NOTA[[#This Row],[DISC 1-]]+NOTA[[#This Row],[DISC 2-]]+NOTA[[#This Row],[DISC 3-]])</f>
        <v/>
      </c>
      <c r="AA889" s="42" t="str">
        <f>IF(NOTA[[#This Row],[JUMLAH]]="","",NOTA[[#This Row],[JUMLAH]]-NOTA[[#This Row],[DISC]])</f>
        <v/>
      </c>
      <c r="AB889" s="42"/>
      <c r="AC8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42" t="str">
        <f>IF(OR(NOTA[[#This Row],[QTY]]="",NOTA[[#This Row],[HARGA SATUAN]]="",),"",NOTA[[#This Row],[QTY]]*NOTA[[#This Row],[HARGA SATUAN]])</f>
        <v/>
      </c>
      <c r="AG889" s="36" t="str">
        <f ca="1">IF(NOTA[[#This Row],[ID_H]]="","",INDEX(NOTA[TANGGAL],MATCH(,INDIRECT(ADDRESS(ROW(NOTA[TANGGAL]),COLUMN(NOTA[TANGGAL]))&amp;":"&amp;ADDRESS(ROW(),COLUMN(NOTA[TANGGAL]))),-1)))</f>
        <v/>
      </c>
      <c r="AH889" s="36" t="str">
        <f ca="1">IF(NOTA[[#This Row],[ID_H]]="","",INDEX(NOTA[TGL.NOTA],MATCH(,INDIRECT(ADDRESS(ROW(NOTA[TGL.NOTA]),COLUMN(NOTA[TGL.NOTA]))&amp;":"&amp;ADDRESS(ROW(),COLUMN(NOTA[TGL.NOTA]))),-1)))</f>
        <v/>
      </c>
      <c r="AI889" s="36" t="str">
        <f ca="1">IF(NOTA[[#This Row],[ID_H]]="","",INDEX(NOTA[NO.NOTA],MATCH(NOTA[[#This Row],[ID_H]],NOTA[ID_H],0)))</f>
        <v/>
      </c>
      <c r="AJ889" s="38" t="str">
        <f ca="1">IF(NOTA[[#This Row],[NAMA BARANG]]="","",INDEX(NOTA[SUPPLIER],MATCH(,INDIRECT(ADDRESS(ROW(NOTA[ID]),COLUMN(NOTA[ID]))&amp;":"&amp;ADDRESS(ROW(),COLUMN(NOTA[ID]))),-1)))</f>
        <v/>
      </c>
      <c r="AK889" s="38" t="str">
        <f ca="1">IF(NOTA[[#This Row],[ID_H]]="","",IF(NOTA[[#This Row],[FAKTUR]]="",INDIRECT(ADDRESS(ROW()-1,COLUMN())),NOTA[[#This Row],[FAKTUR]]))</f>
        <v/>
      </c>
      <c r="AL889" s="35" t="str">
        <f ca="1">IF(NOTA[[#This Row],[ID]]="","",COUNTIF(NOTA[ID_H],NOTA[[#This Row],[ID_H]]))</f>
        <v/>
      </c>
      <c r="AM889" s="35" t="str">
        <f ca="1">IF(NOTA[[#This Row],[TGL.NOTA]]="",IF(NOTA[[#This Row],[SUPPLIER_H]]="","",AM888),MONTH(NOTA[[#This Row],[TGL.NOTA]]))</f>
        <v/>
      </c>
      <c r="AN8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9" s="35" t="str">
        <f>IF(NOTA[[#This Row],[CONCAT1]]="","",MATCH(NOTA[[#This Row],[CONCAT1]],[3]!db[NB NOTA_C],0))</f>
        <v/>
      </c>
      <c r="AS889" s="35" t="str">
        <f>IF(NOTA[[#This Row],[Column5]]="","",TRUE)</f>
        <v/>
      </c>
      <c r="AT889" s="35" t="str">
        <f ca="1">IF(NOTA[[#This Row],[ID_H]]="","",IF(NOTA[[#This Row],[Column3]]=TRUE,NOTA[[#This Row],[Column5]],INDEX([3]!db[QTY/ CTN],NOTA[[#This Row],[//DB]])))</f>
        <v/>
      </c>
      <c r="AU8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89" s="35" t="str">
        <f ca="1">IF(NOTA[[#This Row],[ID_H]]="","",MATCH(NOTA[[#This Row],[NB NOTA_C_QTY]],[3]!db[NB NOTA_C_QTY+F],0))</f>
        <v/>
      </c>
      <c r="AW889" s="43" t="str">
        <f ca="1">IF(NOTA[[#This Row],[NB NOTA_C_QTY]]="","",ROW()-2)</f>
        <v/>
      </c>
    </row>
    <row r="890" spans="1:49" ht="20.100000000000001" customHeight="1">
      <c r="A8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5" t="str">
        <f ca="1">IF(NOTA[[#This Row],[NAMA BARANG]]="","",INDEX(NOTA[ID],MATCH(,INDIRECT(ADDRESS(ROW(NOTA[ID]),COLUMN(NOTA[ID]))&amp;":"&amp;ADDRESS(ROW(),COLUMN(NOTA[ID]))),-1)))</f>
        <v/>
      </c>
      <c r="C890" s="45"/>
      <c r="F890" s="46"/>
      <c r="G890" s="35"/>
      <c r="H890" s="36"/>
      <c r="I890" s="35"/>
      <c r="K890" s="37"/>
      <c r="L890" s="35"/>
      <c r="N890" s="38"/>
      <c r="O890" s="39"/>
      <c r="P890" s="47"/>
      <c r="Q890" s="48"/>
      <c r="R890" s="41"/>
      <c r="T890" s="42"/>
      <c r="U890" s="44"/>
      <c r="V890" s="42" t="str">
        <f>IF(NOTA[[#This Row],[HARGA/ CTN]]="",NOTA[[#This Row],[JUMLAH_H]],NOTA[[#This Row],[HARGA/ CTN]]*IF(NOTA[[#This Row],[C]]="",0,NOTA[[#This Row],[C]]))</f>
        <v/>
      </c>
      <c r="W890" s="42" t="str">
        <f>IF(NOTA[[#This Row],[JUMLAH]]="","",NOTA[[#This Row],[JUMLAH]]*NOTA[[#This Row],[Column6]])</f>
        <v/>
      </c>
      <c r="X890" s="42" t="str">
        <f>IF(NOTA[[#This Row],[JUMLAH]]="","",(NOTA[[#This Row],[JUMLAH]]-NOTA[[#This Row],[DISC 1-]])*NOTA[[#This Row],[Column7]])</f>
        <v/>
      </c>
      <c r="Y890" s="42" t="str">
        <f>IF(NOTA[[#This Row],[JUMLAH]]="","",(NOTA[[#This Row],[JUMLAH]]-NOTA[[#This Row],[DISC 1-]]-NOTA[[#This Row],[DISC 2-]])*NOTA[[#This Row],[Column8]])</f>
        <v/>
      </c>
      <c r="Z890" s="42" t="str">
        <f>IF(NOTA[[#This Row],[JUMLAH]]="","",NOTA[[#This Row],[DISC 1-]]+NOTA[[#This Row],[DISC 2-]]+NOTA[[#This Row],[DISC 3-]])</f>
        <v/>
      </c>
      <c r="AA890" s="42" t="str">
        <f>IF(NOTA[[#This Row],[JUMLAH]]="","",NOTA[[#This Row],[JUMLAH]]-NOTA[[#This Row],[DISC]])</f>
        <v/>
      </c>
      <c r="AB890" s="42"/>
      <c r="AC8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42" t="str">
        <f>IF(OR(NOTA[[#This Row],[QTY]]="",NOTA[[#This Row],[HARGA SATUAN]]="",),"",NOTA[[#This Row],[QTY]]*NOTA[[#This Row],[HARGA SATUAN]])</f>
        <v/>
      </c>
      <c r="AG890" s="36" t="str">
        <f ca="1">IF(NOTA[[#This Row],[ID_H]]="","",INDEX(NOTA[TANGGAL],MATCH(,INDIRECT(ADDRESS(ROW(NOTA[TANGGAL]),COLUMN(NOTA[TANGGAL]))&amp;":"&amp;ADDRESS(ROW(),COLUMN(NOTA[TANGGAL]))),-1)))</f>
        <v/>
      </c>
      <c r="AH890" s="36" t="str">
        <f ca="1">IF(NOTA[[#This Row],[ID_H]]="","",INDEX(NOTA[TGL.NOTA],MATCH(,INDIRECT(ADDRESS(ROW(NOTA[TGL.NOTA]),COLUMN(NOTA[TGL.NOTA]))&amp;":"&amp;ADDRESS(ROW(),COLUMN(NOTA[TGL.NOTA]))),-1)))</f>
        <v/>
      </c>
      <c r="AI890" s="36" t="str">
        <f ca="1">IF(NOTA[[#This Row],[ID_H]]="","",INDEX(NOTA[NO.NOTA],MATCH(NOTA[[#This Row],[ID_H]],NOTA[ID_H],0)))</f>
        <v/>
      </c>
      <c r="AJ890" s="38" t="str">
        <f ca="1">IF(NOTA[[#This Row],[NAMA BARANG]]="","",INDEX(NOTA[SUPPLIER],MATCH(,INDIRECT(ADDRESS(ROW(NOTA[ID]),COLUMN(NOTA[ID]))&amp;":"&amp;ADDRESS(ROW(),COLUMN(NOTA[ID]))),-1)))</f>
        <v/>
      </c>
      <c r="AK890" s="38" t="str">
        <f ca="1">IF(NOTA[[#This Row],[ID_H]]="","",IF(NOTA[[#This Row],[FAKTUR]]="",INDIRECT(ADDRESS(ROW()-1,COLUMN())),NOTA[[#This Row],[FAKTUR]]))</f>
        <v/>
      </c>
      <c r="AL890" s="35" t="str">
        <f ca="1">IF(NOTA[[#This Row],[ID]]="","",COUNTIF(NOTA[ID_H],NOTA[[#This Row],[ID_H]]))</f>
        <v/>
      </c>
      <c r="AM890" s="35" t="str">
        <f ca="1">IF(NOTA[[#This Row],[TGL.NOTA]]="",IF(NOTA[[#This Row],[SUPPLIER_H]]="","",AM889),MONTH(NOTA[[#This Row],[TGL.NOTA]]))</f>
        <v/>
      </c>
      <c r="AN8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0" s="35" t="str">
        <f>IF(NOTA[[#This Row],[CONCAT1]]="","",MATCH(NOTA[[#This Row],[CONCAT1]],[3]!db[NB NOTA_C],0))</f>
        <v/>
      </c>
      <c r="AS890" s="35" t="str">
        <f>IF(NOTA[[#This Row],[Column5]]="","",TRUE)</f>
        <v/>
      </c>
      <c r="AT890" s="35" t="str">
        <f ca="1">IF(NOTA[[#This Row],[ID_H]]="","",IF(NOTA[[#This Row],[Column3]]=TRUE,NOTA[[#This Row],[Column5]],INDEX([3]!db[QTY/ CTN],NOTA[[#This Row],[//DB]])))</f>
        <v/>
      </c>
      <c r="AU8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0" s="35" t="str">
        <f ca="1">IF(NOTA[[#This Row],[ID_H]]="","",MATCH(NOTA[[#This Row],[NB NOTA_C_QTY]],[3]!db[NB NOTA_C_QTY+F],0))</f>
        <v/>
      </c>
      <c r="AW890" s="43" t="str">
        <f ca="1">IF(NOTA[[#This Row],[NB NOTA_C_QTY]]="","",ROW()-2)</f>
        <v/>
      </c>
    </row>
    <row r="891" spans="1:49" ht="20.100000000000001" customHeight="1">
      <c r="A8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5" t="str">
        <f ca="1">IF(NOTA[[#This Row],[NAMA BARANG]]="","",INDEX(NOTA[ID],MATCH(,INDIRECT(ADDRESS(ROW(NOTA[ID]),COLUMN(NOTA[ID]))&amp;":"&amp;ADDRESS(ROW(),COLUMN(NOTA[ID]))),-1)))</f>
        <v/>
      </c>
      <c r="C891" s="45"/>
      <c r="F891" s="46"/>
      <c r="G891" s="35"/>
      <c r="H891" s="36"/>
      <c r="I891" s="35"/>
      <c r="K891" s="37"/>
      <c r="L891" s="35"/>
      <c r="N891" s="38"/>
      <c r="O891" s="39"/>
      <c r="P891" s="47"/>
      <c r="Q891" s="48"/>
      <c r="R891" s="41"/>
      <c r="T891" s="42"/>
      <c r="U891" s="44"/>
      <c r="V891" s="42" t="str">
        <f>IF(NOTA[[#This Row],[HARGA/ CTN]]="",NOTA[[#This Row],[JUMLAH_H]],NOTA[[#This Row],[HARGA/ CTN]]*IF(NOTA[[#This Row],[C]]="",0,NOTA[[#This Row],[C]]))</f>
        <v/>
      </c>
      <c r="W891" s="42" t="str">
        <f>IF(NOTA[[#This Row],[JUMLAH]]="","",NOTA[[#This Row],[JUMLAH]]*NOTA[[#This Row],[Column6]])</f>
        <v/>
      </c>
      <c r="X891" s="42" t="str">
        <f>IF(NOTA[[#This Row],[JUMLAH]]="","",(NOTA[[#This Row],[JUMLAH]]-NOTA[[#This Row],[DISC 1-]])*NOTA[[#This Row],[Column7]])</f>
        <v/>
      </c>
      <c r="Y891" s="42" t="str">
        <f>IF(NOTA[[#This Row],[JUMLAH]]="","",(NOTA[[#This Row],[JUMLAH]]-NOTA[[#This Row],[DISC 1-]]-NOTA[[#This Row],[DISC 2-]])*NOTA[[#This Row],[Column8]])</f>
        <v/>
      </c>
      <c r="Z891" s="42" t="str">
        <f>IF(NOTA[[#This Row],[JUMLAH]]="","",NOTA[[#This Row],[DISC 1-]]+NOTA[[#This Row],[DISC 2-]]+NOTA[[#This Row],[DISC 3-]])</f>
        <v/>
      </c>
      <c r="AA891" s="42" t="str">
        <f>IF(NOTA[[#This Row],[JUMLAH]]="","",NOTA[[#This Row],[JUMLAH]]-NOTA[[#This Row],[DISC]])</f>
        <v/>
      </c>
      <c r="AB891" s="42"/>
      <c r="AC8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42" t="str">
        <f>IF(OR(NOTA[[#This Row],[QTY]]="",NOTA[[#This Row],[HARGA SATUAN]]="",),"",NOTA[[#This Row],[QTY]]*NOTA[[#This Row],[HARGA SATUAN]])</f>
        <v/>
      </c>
      <c r="AG891" s="36" t="str">
        <f ca="1">IF(NOTA[[#This Row],[ID_H]]="","",INDEX(NOTA[TANGGAL],MATCH(,INDIRECT(ADDRESS(ROW(NOTA[TANGGAL]),COLUMN(NOTA[TANGGAL]))&amp;":"&amp;ADDRESS(ROW(),COLUMN(NOTA[TANGGAL]))),-1)))</f>
        <v/>
      </c>
      <c r="AH891" s="36" t="str">
        <f ca="1">IF(NOTA[[#This Row],[ID_H]]="","",INDEX(NOTA[TGL.NOTA],MATCH(,INDIRECT(ADDRESS(ROW(NOTA[TGL.NOTA]),COLUMN(NOTA[TGL.NOTA]))&amp;":"&amp;ADDRESS(ROW(),COLUMN(NOTA[TGL.NOTA]))),-1)))</f>
        <v/>
      </c>
      <c r="AI891" s="36" t="str">
        <f ca="1">IF(NOTA[[#This Row],[ID_H]]="","",INDEX(NOTA[NO.NOTA],MATCH(NOTA[[#This Row],[ID_H]],NOTA[ID_H],0)))</f>
        <v/>
      </c>
      <c r="AJ891" s="38" t="str">
        <f ca="1">IF(NOTA[[#This Row],[NAMA BARANG]]="","",INDEX(NOTA[SUPPLIER],MATCH(,INDIRECT(ADDRESS(ROW(NOTA[ID]),COLUMN(NOTA[ID]))&amp;":"&amp;ADDRESS(ROW(),COLUMN(NOTA[ID]))),-1)))</f>
        <v/>
      </c>
      <c r="AK891" s="38" t="str">
        <f ca="1">IF(NOTA[[#This Row],[ID_H]]="","",IF(NOTA[[#This Row],[FAKTUR]]="",INDIRECT(ADDRESS(ROW()-1,COLUMN())),NOTA[[#This Row],[FAKTUR]]))</f>
        <v/>
      </c>
      <c r="AL891" s="35" t="str">
        <f ca="1">IF(NOTA[[#This Row],[ID]]="","",COUNTIF(NOTA[ID_H],NOTA[[#This Row],[ID_H]]))</f>
        <v/>
      </c>
      <c r="AM891" s="35" t="str">
        <f ca="1">IF(NOTA[[#This Row],[TGL.NOTA]]="",IF(NOTA[[#This Row],[SUPPLIER_H]]="","",AM890),MONTH(NOTA[[#This Row],[TGL.NOTA]]))</f>
        <v/>
      </c>
      <c r="AN8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1" s="35" t="str">
        <f>IF(NOTA[[#This Row],[CONCAT1]]="","",MATCH(NOTA[[#This Row],[CONCAT1]],[3]!db[NB NOTA_C],0))</f>
        <v/>
      </c>
      <c r="AS891" s="35" t="str">
        <f>IF(NOTA[[#This Row],[Column5]]="","",TRUE)</f>
        <v/>
      </c>
      <c r="AT891" s="35" t="str">
        <f ca="1">IF(NOTA[[#This Row],[ID_H]]="","",IF(NOTA[[#This Row],[Column3]]=TRUE,NOTA[[#This Row],[Column5]],INDEX([3]!db[QTY/ CTN],NOTA[[#This Row],[//DB]])))</f>
        <v/>
      </c>
      <c r="AU8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1" s="35" t="str">
        <f ca="1">IF(NOTA[[#This Row],[ID_H]]="","",MATCH(NOTA[[#This Row],[NB NOTA_C_QTY]],[3]!db[NB NOTA_C_QTY+F],0))</f>
        <v/>
      </c>
      <c r="AW891" s="43" t="str">
        <f ca="1">IF(NOTA[[#This Row],[NB NOTA_C_QTY]]="","",ROW()-2)</f>
        <v/>
      </c>
    </row>
    <row r="892" spans="1:49" ht="20.100000000000001" customHeight="1">
      <c r="A8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5" t="str">
        <f ca="1">IF(NOTA[[#This Row],[NAMA BARANG]]="","",INDEX(NOTA[ID],MATCH(,INDIRECT(ADDRESS(ROW(NOTA[ID]),COLUMN(NOTA[ID]))&amp;":"&amp;ADDRESS(ROW(),COLUMN(NOTA[ID]))),-1)))</f>
        <v/>
      </c>
      <c r="C892" s="45"/>
      <c r="F892" s="46"/>
      <c r="G892" s="35"/>
      <c r="H892" s="36"/>
      <c r="I892" s="35"/>
      <c r="K892" s="37"/>
      <c r="L892" s="35"/>
      <c r="N892" s="38"/>
      <c r="O892" s="39"/>
      <c r="P892" s="47"/>
      <c r="Q892" s="48"/>
      <c r="R892" s="41"/>
      <c r="T892" s="42"/>
      <c r="U892" s="44"/>
      <c r="V892" s="42" t="str">
        <f>IF(NOTA[[#This Row],[HARGA/ CTN]]="",NOTA[[#This Row],[JUMLAH_H]],NOTA[[#This Row],[HARGA/ CTN]]*IF(NOTA[[#This Row],[C]]="",0,NOTA[[#This Row],[C]]))</f>
        <v/>
      </c>
      <c r="W892" s="42" t="str">
        <f>IF(NOTA[[#This Row],[JUMLAH]]="","",NOTA[[#This Row],[JUMLAH]]*NOTA[[#This Row],[Column6]])</f>
        <v/>
      </c>
      <c r="X892" s="42" t="str">
        <f>IF(NOTA[[#This Row],[JUMLAH]]="","",(NOTA[[#This Row],[JUMLAH]]-NOTA[[#This Row],[DISC 1-]])*NOTA[[#This Row],[Column7]])</f>
        <v/>
      </c>
      <c r="Y892" s="42" t="str">
        <f>IF(NOTA[[#This Row],[JUMLAH]]="","",(NOTA[[#This Row],[JUMLAH]]-NOTA[[#This Row],[DISC 1-]]-NOTA[[#This Row],[DISC 2-]])*NOTA[[#This Row],[Column8]])</f>
        <v/>
      </c>
      <c r="Z892" s="42" t="str">
        <f>IF(NOTA[[#This Row],[JUMLAH]]="","",NOTA[[#This Row],[DISC 1-]]+NOTA[[#This Row],[DISC 2-]]+NOTA[[#This Row],[DISC 3-]])</f>
        <v/>
      </c>
      <c r="AA892" s="42" t="str">
        <f>IF(NOTA[[#This Row],[JUMLAH]]="","",NOTA[[#This Row],[JUMLAH]]-NOTA[[#This Row],[DISC]])</f>
        <v/>
      </c>
      <c r="AB892" s="42"/>
      <c r="AC8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42" t="str">
        <f>IF(OR(NOTA[[#This Row],[QTY]]="",NOTA[[#This Row],[HARGA SATUAN]]="",),"",NOTA[[#This Row],[QTY]]*NOTA[[#This Row],[HARGA SATUAN]])</f>
        <v/>
      </c>
      <c r="AG892" s="36" t="str">
        <f ca="1">IF(NOTA[[#This Row],[ID_H]]="","",INDEX(NOTA[TANGGAL],MATCH(,INDIRECT(ADDRESS(ROW(NOTA[TANGGAL]),COLUMN(NOTA[TANGGAL]))&amp;":"&amp;ADDRESS(ROW(),COLUMN(NOTA[TANGGAL]))),-1)))</f>
        <v/>
      </c>
      <c r="AH892" s="36" t="str">
        <f ca="1">IF(NOTA[[#This Row],[ID_H]]="","",INDEX(NOTA[TGL.NOTA],MATCH(,INDIRECT(ADDRESS(ROW(NOTA[TGL.NOTA]),COLUMN(NOTA[TGL.NOTA]))&amp;":"&amp;ADDRESS(ROW(),COLUMN(NOTA[TGL.NOTA]))),-1)))</f>
        <v/>
      </c>
      <c r="AI892" s="36" t="str">
        <f ca="1">IF(NOTA[[#This Row],[ID_H]]="","",INDEX(NOTA[NO.NOTA],MATCH(NOTA[[#This Row],[ID_H]],NOTA[ID_H],0)))</f>
        <v/>
      </c>
      <c r="AJ892" s="38" t="str">
        <f ca="1">IF(NOTA[[#This Row],[NAMA BARANG]]="","",INDEX(NOTA[SUPPLIER],MATCH(,INDIRECT(ADDRESS(ROW(NOTA[ID]),COLUMN(NOTA[ID]))&amp;":"&amp;ADDRESS(ROW(),COLUMN(NOTA[ID]))),-1)))</f>
        <v/>
      </c>
      <c r="AK892" s="38" t="str">
        <f ca="1">IF(NOTA[[#This Row],[ID_H]]="","",IF(NOTA[[#This Row],[FAKTUR]]="",INDIRECT(ADDRESS(ROW()-1,COLUMN())),NOTA[[#This Row],[FAKTUR]]))</f>
        <v/>
      </c>
      <c r="AL892" s="35" t="str">
        <f ca="1">IF(NOTA[[#This Row],[ID]]="","",COUNTIF(NOTA[ID_H],NOTA[[#This Row],[ID_H]]))</f>
        <v/>
      </c>
      <c r="AM892" s="35" t="str">
        <f ca="1">IF(NOTA[[#This Row],[TGL.NOTA]]="",IF(NOTA[[#This Row],[SUPPLIER_H]]="","",AM891),MONTH(NOTA[[#This Row],[TGL.NOTA]]))</f>
        <v/>
      </c>
      <c r="AN8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2" s="35" t="str">
        <f>IF(NOTA[[#This Row],[CONCAT1]]="","",MATCH(NOTA[[#This Row],[CONCAT1]],[3]!db[NB NOTA_C],0))</f>
        <v/>
      </c>
      <c r="AS892" s="35" t="str">
        <f>IF(NOTA[[#This Row],[Column5]]="","",TRUE)</f>
        <v/>
      </c>
      <c r="AT892" s="35" t="str">
        <f ca="1">IF(NOTA[[#This Row],[ID_H]]="","",IF(NOTA[[#This Row],[Column3]]=TRUE,NOTA[[#This Row],[Column5]],INDEX([3]!db[QTY/ CTN],NOTA[[#This Row],[//DB]])))</f>
        <v/>
      </c>
      <c r="AU8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2" s="35" t="str">
        <f ca="1">IF(NOTA[[#This Row],[ID_H]]="","",MATCH(NOTA[[#This Row],[NB NOTA_C_QTY]],[3]!db[NB NOTA_C_QTY+F],0))</f>
        <v/>
      </c>
      <c r="AW892" s="43" t="str">
        <f ca="1">IF(NOTA[[#This Row],[NB NOTA_C_QTY]]="","",ROW()-2)</f>
        <v/>
      </c>
    </row>
    <row r="893" spans="1:49" ht="20.100000000000001" customHeight="1">
      <c r="A8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5" t="str">
        <f ca="1">IF(NOTA[[#This Row],[NAMA BARANG]]="","",INDEX(NOTA[ID],MATCH(,INDIRECT(ADDRESS(ROW(NOTA[ID]),COLUMN(NOTA[ID]))&amp;":"&amp;ADDRESS(ROW(),COLUMN(NOTA[ID]))),-1)))</f>
        <v/>
      </c>
      <c r="C893" s="45"/>
      <c r="F893" s="46"/>
      <c r="G893" s="35"/>
      <c r="H893" s="36"/>
      <c r="I893" s="35"/>
      <c r="K893" s="37"/>
      <c r="L893" s="35"/>
      <c r="N893" s="38"/>
      <c r="O893" s="39"/>
      <c r="P893" s="47"/>
      <c r="Q893" s="48"/>
      <c r="R893" s="41"/>
      <c r="T893" s="42"/>
      <c r="U893" s="44"/>
      <c r="V893" s="42" t="str">
        <f>IF(NOTA[[#This Row],[HARGA/ CTN]]="",NOTA[[#This Row],[JUMLAH_H]],NOTA[[#This Row],[HARGA/ CTN]]*IF(NOTA[[#This Row],[C]]="",0,NOTA[[#This Row],[C]]))</f>
        <v/>
      </c>
      <c r="W893" s="42" t="str">
        <f>IF(NOTA[[#This Row],[JUMLAH]]="","",NOTA[[#This Row],[JUMLAH]]*NOTA[[#This Row],[Column6]])</f>
        <v/>
      </c>
      <c r="X893" s="42" t="str">
        <f>IF(NOTA[[#This Row],[JUMLAH]]="","",(NOTA[[#This Row],[JUMLAH]]-NOTA[[#This Row],[DISC 1-]])*NOTA[[#This Row],[Column7]])</f>
        <v/>
      </c>
      <c r="Y893" s="42" t="str">
        <f>IF(NOTA[[#This Row],[JUMLAH]]="","",(NOTA[[#This Row],[JUMLAH]]-NOTA[[#This Row],[DISC 1-]]-NOTA[[#This Row],[DISC 2-]])*NOTA[[#This Row],[Column8]])</f>
        <v/>
      </c>
      <c r="Z893" s="42" t="str">
        <f>IF(NOTA[[#This Row],[JUMLAH]]="","",NOTA[[#This Row],[DISC 1-]]+NOTA[[#This Row],[DISC 2-]]+NOTA[[#This Row],[DISC 3-]])</f>
        <v/>
      </c>
      <c r="AA893" s="42" t="str">
        <f>IF(NOTA[[#This Row],[JUMLAH]]="","",NOTA[[#This Row],[JUMLAH]]-NOTA[[#This Row],[DISC]])</f>
        <v/>
      </c>
      <c r="AB893" s="42"/>
      <c r="AC8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42" t="str">
        <f>IF(OR(NOTA[[#This Row],[QTY]]="",NOTA[[#This Row],[HARGA SATUAN]]="",),"",NOTA[[#This Row],[QTY]]*NOTA[[#This Row],[HARGA SATUAN]])</f>
        <v/>
      </c>
      <c r="AG893" s="36" t="str">
        <f ca="1">IF(NOTA[[#This Row],[ID_H]]="","",INDEX(NOTA[TANGGAL],MATCH(,INDIRECT(ADDRESS(ROW(NOTA[TANGGAL]),COLUMN(NOTA[TANGGAL]))&amp;":"&amp;ADDRESS(ROW(),COLUMN(NOTA[TANGGAL]))),-1)))</f>
        <v/>
      </c>
      <c r="AH893" s="36" t="str">
        <f ca="1">IF(NOTA[[#This Row],[ID_H]]="","",INDEX(NOTA[TGL.NOTA],MATCH(,INDIRECT(ADDRESS(ROW(NOTA[TGL.NOTA]),COLUMN(NOTA[TGL.NOTA]))&amp;":"&amp;ADDRESS(ROW(),COLUMN(NOTA[TGL.NOTA]))),-1)))</f>
        <v/>
      </c>
      <c r="AI893" s="36" t="str">
        <f ca="1">IF(NOTA[[#This Row],[ID_H]]="","",INDEX(NOTA[NO.NOTA],MATCH(NOTA[[#This Row],[ID_H]],NOTA[ID_H],0)))</f>
        <v/>
      </c>
      <c r="AJ893" s="38" t="str">
        <f ca="1">IF(NOTA[[#This Row],[NAMA BARANG]]="","",INDEX(NOTA[SUPPLIER],MATCH(,INDIRECT(ADDRESS(ROW(NOTA[ID]),COLUMN(NOTA[ID]))&amp;":"&amp;ADDRESS(ROW(),COLUMN(NOTA[ID]))),-1)))</f>
        <v/>
      </c>
      <c r="AK893" s="38" t="str">
        <f ca="1">IF(NOTA[[#This Row],[ID_H]]="","",IF(NOTA[[#This Row],[FAKTUR]]="",INDIRECT(ADDRESS(ROW()-1,COLUMN())),NOTA[[#This Row],[FAKTUR]]))</f>
        <v/>
      </c>
      <c r="AL893" s="35" t="str">
        <f ca="1">IF(NOTA[[#This Row],[ID]]="","",COUNTIF(NOTA[ID_H],NOTA[[#This Row],[ID_H]]))</f>
        <v/>
      </c>
      <c r="AM893" s="35" t="str">
        <f ca="1">IF(NOTA[[#This Row],[TGL.NOTA]]="",IF(NOTA[[#This Row],[SUPPLIER_H]]="","",AM892),MONTH(NOTA[[#This Row],[TGL.NOTA]]))</f>
        <v/>
      </c>
      <c r="AN8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3" s="35" t="str">
        <f>IF(NOTA[[#This Row],[CONCAT1]]="","",MATCH(NOTA[[#This Row],[CONCAT1]],[3]!db[NB NOTA_C],0))</f>
        <v/>
      </c>
      <c r="AS893" s="35" t="str">
        <f>IF(NOTA[[#This Row],[Column5]]="","",TRUE)</f>
        <v/>
      </c>
      <c r="AT893" s="35" t="str">
        <f ca="1">IF(NOTA[[#This Row],[ID_H]]="","",IF(NOTA[[#This Row],[Column3]]=TRUE,NOTA[[#This Row],[Column5]],INDEX([3]!db[QTY/ CTN],NOTA[[#This Row],[//DB]])))</f>
        <v/>
      </c>
      <c r="AU8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3" s="35" t="str">
        <f ca="1">IF(NOTA[[#This Row],[ID_H]]="","",MATCH(NOTA[[#This Row],[NB NOTA_C_QTY]],[3]!db[NB NOTA_C_QTY+F],0))</f>
        <v/>
      </c>
      <c r="AW893" s="43" t="str">
        <f ca="1">IF(NOTA[[#This Row],[NB NOTA_C_QTY]]="","",ROW()-2)</f>
        <v/>
      </c>
    </row>
    <row r="894" spans="1:49" ht="20.100000000000001" customHeight="1">
      <c r="A8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5" t="str">
        <f ca="1">IF(NOTA[[#This Row],[NAMA BARANG]]="","",INDEX(NOTA[ID],MATCH(,INDIRECT(ADDRESS(ROW(NOTA[ID]),COLUMN(NOTA[ID]))&amp;":"&amp;ADDRESS(ROW(),COLUMN(NOTA[ID]))),-1)))</f>
        <v/>
      </c>
      <c r="C894" s="45"/>
      <c r="F894" s="46"/>
      <c r="G894" s="35"/>
      <c r="H894" s="36"/>
      <c r="I894" s="35"/>
      <c r="K894" s="37"/>
      <c r="L894" s="35"/>
      <c r="N894" s="38"/>
      <c r="O894" s="39"/>
      <c r="P894" s="47"/>
      <c r="Q894" s="48"/>
      <c r="R894" s="41"/>
      <c r="T894" s="42"/>
      <c r="U894" s="44"/>
      <c r="V894" s="42" t="str">
        <f>IF(NOTA[[#This Row],[HARGA/ CTN]]="",NOTA[[#This Row],[JUMLAH_H]],NOTA[[#This Row],[HARGA/ CTN]]*IF(NOTA[[#This Row],[C]]="",0,NOTA[[#This Row],[C]]))</f>
        <v/>
      </c>
      <c r="W894" s="42" t="str">
        <f>IF(NOTA[[#This Row],[JUMLAH]]="","",NOTA[[#This Row],[JUMLAH]]*NOTA[[#This Row],[Column6]])</f>
        <v/>
      </c>
      <c r="X894" s="42" t="str">
        <f>IF(NOTA[[#This Row],[JUMLAH]]="","",(NOTA[[#This Row],[JUMLAH]]-NOTA[[#This Row],[DISC 1-]])*NOTA[[#This Row],[Column7]])</f>
        <v/>
      </c>
      <c r="Y894" s="42" t="str">
        <f>IF(NOTA[[#This Row],[JUMLAH]]="","",(NOTA[[#This Row],[JUMLAH]]-NOTA[[#This Row],[DISC 1-]]-NOTA[[#This Row],[DISC 2-]])*NOTA[[#This Row],[Column8]])</f>
        <v/>
      </c>
      <c r="Z894" s="42" t="str">
        <f>IF(NOTA[[#This Row],[JUMLAH]]="","",NOTA[[#This Row],[DISC 1-]]+NOTA[[#This Row],[DISC 2-]]+NOTA[[#This Row],[DISC 3-]])</f>
        <v/>
      </c>
      <c r="AA894" s="42" t="str">
        <f>IF(NOTA[[#This Row],[JUMLAH]]="","",NOTA[[#This Row],[JUMLAH]]-NOTA[[#This Row],[DISC]])</f>
        <v/>
      </c>
      <c r="AB894" s="42"/>
      <c r="AC8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42" t="str">
        <f>IF(OR(NOTA[[#This Row],[QTY]]="",NOTA[[#This Row],[HARGA SATUAN]]="",),"",NOTA[[#This Row],[QTY]]*NOTA[[#This Row],[HARGA SATUAN]])</f>
        <v/>
      </c>
      <c r="AG894" s="36" t="str">
        <f ca="1">IF(NOTA[[#This Row],[ID_H]]="","",INDEX(NOTA[TANGGAL],MATCH(,INDIRECT(ADDRESS(ROW(NOTA[TANGGAL]),COLUMN(NOTA[TANGGAL]))&amp;":"&amp;ADDRESS(ROW(),COLUMN(NOTA[TANGGAL]))),-1)))</f>
        <v/>
      </c>
      <c r="AH894" s="36" t="str">
        <f ca="1">IF(NOTA[[#This Row],[ID_H]]="","",INDEX(NOTA[TGL.NOTA],MATCH(,INDIRECT(ADDRESS(ROW(NOTA[TGL.NOTA]),COLUMN(NOTA[TGL.NOTA]))&amp;":"&amp;ADDRESS(ROW(),COLUMN(NOTA[TGL.NOTA]))),-1)))</f>
        <v/>
      </c>
      <c r="AI894" s="36" t="str">
        <f ca="1">IF(NOTA[[#This Row],[ID_H]]="","",INDEX(NOTA[NO.NOTA],MATCH(NOTA[[#This Row],[ID_H]],NOTA[ID_H],0)))</f>
        <v/>
      </c>
      <c r="AJ894" s="38" t="str">
        <f ca="1">IF(NOTA[[#This Row],[NAMA BARANG]]="","",INDEX(NOTA[SUPPLIER],MATCH(,INDIRECT(ADDRESS(ROW(NOTA[ID]),COLUMN(NOTA[ID]))&amp;":"&amp;ADDRESS(ROW(),COLUMN(NOTA[ID]))),-1)))</f>
        <v/>
      </c>
      <c r="AK894" s="38" t="str">
        <f ca="1">IF(NOTA[[#This Row],[ID_H]]="","",IF(NOTA[[#This Row],[FAKTUR]]="",INDIRECT(ADDRESS(ROW()-1,COLUMN())),NOTA[[#This Row],[FAKTUR]]))</f>
        <v/>
      </c>
      <c r="AL894" s="35" t="str">
        <f ca="1">IF(NOTA[[#This Row],[ID]]="","",COUNTIF(NOTA[ID_H],NOTA[[#This Row],[ID_H]]))</f>
        <v/>
      </c>
      <c r="AM894" s="35" t="str">
        <f ca="1">IF(NOTA[[#This Row],[TGL.NOTA]]="",IF(NOTA[[#This Row],[SUPPLIER_H]]="","",AM893),MONTH(NOTA[[#This Row],[TGL.NOTA]]))</f>
        <v/>
      </c>
      <c r="AN8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4" s="35" t="str">
        <f>IF(NOTA[[#This Row],[CONCAT1]]="","",MATCH(NOTA[[#This Row],[CONCAT1]],[3]!db[NB NOTA_C],0))</f>
        <v/>
      </c>
      <c r="AS894" s="35" t="str">
        <f>IF(NOTA[[#This Row],[Column5]]="","",TRUE)</f>
        <v/>
      </c>
      <c r="AT894" s="35" t="str">
        <f ca="1">IF(NOTA[[#This Row],[ID_H]]="","",IF(NOTA[[#This Row],[Column3]]=TRUE,NOTA[[#This Row],[Column5]],INDEX([3]!db[QTY/ CTN],NOTA[[#This Row],[//DB]])))</f>
        <v/>
      </c>
      <c r="AU8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4" s="35" t="str">
        <f ca="1">IF(NOTA[[#This Row],[ID_H]]="","",MATCH(NOTA[[#This Row],[NB NOTA_C_QTY]],[3]!db[NB NOTA_C_QTY+F],0))</f>
        <v/>
      </c>
      <c r="AW894" s="43" t="str">
        <f ca="1">IF(NOTA[[#This Row],[NB NOTA_C_QTY]]="","",ROW()-2)</f>
        <v/>
      </c>
    </row>
    <row r="895" spans="1:49" ht="20.100000000000001" customHeight="1">
      <c r="A8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5" t="str">
        <f ca="1">IF(NOTA[[#This Row],[NAMA BARANG]]="","",INDEX(NOTA[ID],MATCH(,INDIRECT(ADDRESS(ROW(NOTA[ID]),COLUMN(NOTA[ID]))&amp;":"&amp;ADDRESS(ROW(),COLUMN(NOTA[ID]))),-1)))</f>
        <v/>
      </c>
      <c r="C895" s="45"/>
      <c r="F895" s="46"/>
      <c r="G895" s="35"/>
      <c r="H895" s="36"/>
      <c r="I895" s="35"/>
      <c r="K895" s="37"/>
      <c r="L895" s="35"/>
      <c r="N895" s="38"/>
      <c r="O895" s="39"/>
      <c r="P895" s="47"/>
      <c r="Q895" s="48"/>
      <c r="R895" s="41"/>
      <c r="T895" s="42"/>
      <c r="U895" s="44"/>
      <c r="V895" s="42" t="str">
        <f>IF(NOTA[[#This Row],[HARGA/ CTN]]="",NOTA[[#This Row],[JUMLAH_H]],NOTA[[#This Row],[HARGA/ CTN]]*IF(NOTA[[#This Row],[C]]="",0,NOTA[[#This Row],[C]]))</f>
        <v/>
      </c>
      <c r="W895" s="42" t="str">
        <f>IF(NOTA[[#This Row],[JUMLAH]]="","",NOTA[[#This Row],[JUMLAH]]*NOTA[[#This Row],[Column6]])</f>
        <v/>
      </c>
      <c r="X895" s="42" t="str">
        <f>IF(NOTA[[#This Row],[JUMLAH]]="","",(NOTA[[#This Row],[JUMLAH]]-NOTA[[#This Row],[DISC 1-]])*NOTA[[#This Row],[Column7]])</f>
        <v/>
      </c>
      <c r="Y895" s="42" t="str">
        <f>IF(NOTA[[#This Row],[JUMLAH]]="","",(NOTA[[#This Row],[JUMLAH]]-NOTA[[#This Row],[DISC 1-]]-NOTA[[#This Row],[DISC 2-]])*NOTA[[#This Row],[Column8]])</f>
        <v/>
      </c>
      <c r="Z895" s="42" t="str">
        <f>IF(NOTA[[#This Row],[JUMLAH]]="","",NOTA[[#This Row],[DISC 1-]]+NOTA[[#This Row],[DISC 2-]]+NOTA[[#This Row],[DISC 3-]])</f>
        <v/>
      </c>
      <c r="AA895" s="42" t="str">
        <f>IF(NOTA[[#This Row],[JUMLAH]]="","",NOTA[[#This Row],[JUMLAH]]-NOTA[[#This Row],[DISC]])</f>
        <v/>
      </c>
      <c r="AB895" s="42"/>
      <c r="AC8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42" t="str">
        <f>IF(OR(NOTA[[#This Row],[QTY]]="",NOTA[[#This Row],[HARGA SATUAN]]="",),"",NOTA[[#This Row],[QTY]]*NOTA[[#This Row],[HARGA SATUAN]])</f>
        <v/>
      </c>
      <c r="AG895" s="36" t="str">
        <f ca="1">IF(NOTA[[#This Row],[ID_H]]="","",INDEX(NOTA[TANGGAL],MATCH(,INDIRECT(ADDRESS(ROW(NOTA[TANGGAL]),COLUMN(NOTA[TANGGAL]))&amp;":"&amp;ADDRESS(ROW(),COLUMN(NOTA[TANGGAL]))),-1)))</f>
        <v/>
      </c>
      <c r="AH895" s="36" t="str">
        <f ca="1">IF(NOTA[[#This Row],[ID_H]]="","",INDEX(NOTA[TGL.NOTA],MATCH(,INDIRECT(ADDRESS(ROW(NOTA[TGL.NOTA]),COLUMN(NOTA[TGL.NOTA]))&amp;":"&amp;ADDRESS(ROW(),COLUMN(NOTA[TGL.NOTA]))),-1)))</f>
        <v/>
      </c>
      <c r="AI895" s="36" t="str">
        <f ca="1">IF(NOTA[[#This Row],[ID_H]]="","",INDEX(NOTA[NO.NOTA],MATCH(NOTA[[#This Row],[ID_H]],NOTA[ID_H],0)))</f>
        <v/>
      </c>
      <c r="AJ895" s="38" t="str">
        <f ca="1">IF(NOTA[[#This Row],[NAMA BARANG]]="","",INDEX(NOTA[SUPPLIER],MATCH(,INDIRECT(ADDRESS(ROW(NOTA[ID]),COLUMN(NOTA[ID]))&amp;":"&amp;ADDRESS(ROW(),COLUMN(NOTA[ID]))),-1)))</f>
        <v/>
      </c>
      <c r="AK895" s="38" t="str">
        <f ca="1">IF(NOTA[[#This Row],[ID_H]]="","",IF(NOTA[[#This Row],[FAKTUR]]="",INDIRECT(ADDRESS(ROW()-1,COLUMN())),NOTA[[#This Row],[FAKTUR]]))</f>
        <v/>
      </c>
      <c r="AL895" s="35" t="str">
        <f ca="1">IF(NOTA[[#This Row],[ID]]="","",COUNTIF(NOTA[ID_H],NOTA[[#This Row],[ID_H]]))</f>
        <v/>
      </c>
      <c r="AM895" s="35" t="str">
        <f ca="1">IF(NOTA[[#This Row],[TGL.NOTA]]="",IF(NOTA[[#This Row],[SUPPLIER_H]]="","",AM894),MONTH(NOTA[[#This Row],[TGL.NOTA]]))</f>
        <v/>
      </c>
      <c r="AN8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5" s="35" t="str">
        <f>IF(NOTA[[#This Row],[CONCAT1]]="","",MATCH(NOTA[[#This Row],[CONCAT1]],[3]!db[NB NOTA_C],0))</f>
        <v/>
      </c>
      <c r="AS895" s="35" t="str">
        <f>IF(NOTA[[#This Row],[Column5]]="","",TRUE)</f>
        <v/>
      </c>
      <c r="AT895" s="35" t="str">
        <f ca="1">IF(NOTA[[#This Row],[ID_H]]="","",IF(NOTA[[#This Row],[Column3]]=TRUE,NOTA[[#This Row],[Column5]],INDEX([3]!db[QTY/ CTN],NOTA[[#This Row],[//DB]])))</f>
        <v/>
      </c>
      <c r="AU8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5" s="35" t="str">
        <f ca="1">IF(NOTA[[#This Row],[ID_H]]="","",MATCH(NOTA[[#This Row],[NB NOTA_C_QTY]],[3]!db[NB NOTA_C_QTY+F],0))</f>
        <v/>
      </c>
      <c r="AW895" s="43" t="str">
        <f ca="1">IF(NOTA[[#This Row],[NB NOTA_C_QTY]]="","",ROW()-2)</f>
        <v/>
      </c>
    </row>
    <row r="896" spans="1:49" ht="20.100000000000001" customHeight="1">
      <c r="A8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5" t="str">
        <f ca="1">IF(NOTA[[#This Row],[NAMA BARANG]]="","",INDEX(NOTA[ID],MATCH(,INDIRECT(ADDRESS(ROW(NOTA[ID]),COLUMN(NOTA[ID]))&amp;":"&amp;ADDRESS(ROW(),COLUMN(NOTA[ID]))),-1)))</f>
        <v/>
      </c>
      <c r="C896" s="45"/>
      <c r="F896" s="46"/>
      <c r="G896" s="35"/>
      <c r="H896" s="36"/>
      <c r="I896" s="35"/>
      <c r="K896" s="37"/>
      <c r="L896" s="35"/>
      <c r="N896" s="38"/>
      <c r="O896" s="39"/>
      <c r="P896" s="47"/>
      <c r="Q896" s="48"/>
      <c r="R896" s="41"/>
      <c r="T896" s="42"/>
      <c r="U896" s="44"/>
      <c r="V896" s="42" t="str">
        <f>IF(NOTA[[#This Row],[HARGA/ CTN]]="",NOTA[[#This Row],[JUMLAH_H]],NOTA[[#This Row],[HARGA/ CTN]]*IF(NOTA[[#This Row],[C]]="",0,NOTA[[#This Row],[C]]))</f>
        <v/>
      </c>
      <c r="W896" s="42" t="str">
        <f>IF(NOTA[[#This Row],[JUMLAH]]="","",NOTA[[#This Row],[JUMLAH]]*NOTA[[#This Row],[Column6]])</f>
        <v/>
      </c>
      <c r="X896" s="42" t="str">
        <f>IF(NOTA[[#This Row],[JUMLAH]]="","",(NOTA[[#This Row],[JUMLAH]]-NOTA[[#This Row],[DISC 1-]])*NOTA[[#This Row],[Column7]])</f>
        <v/>
      </c>
      <c r="Y896" s="42" t="str">
        <f>IF(NOTA[[#This Row],[JUMLAH]]="","",(NOTA[[#This Row],[JUMLAH]]-NOTA[[#This Row],[DISC 1-]]-NOTA[[#This Row],[DISC 2-]])*NOTA[[#This Row],[Column8]])</f>
        <v/>
      </c>
      <c r="Z896" s="42" t="str">
        <f>IF(NOTA[[#This Row],[JUMLAH]]="","",NOTA[[#This Row],[DISC 1-]]+NOTA[[#This Row],[DISC 2-]]+NOTA[[#This Row],[DISC 3-]])</f>
        <v/>
      </c>
      <c r="AA896" s="42" t="str">
        <f>IF(NOTA[[#This Row],[JUMLAH]]="","",NOTA[[#This Row],[JUMLAH]]-NOTA[[#This Row],[DISC]])</f>
        <v/>
      </c>
      <c r="AB896" s="42"/>
      <c r="AC8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42" t="str">
        <f>IF(OR(NOTA[[#This Row],[QTY]]="",NOTA[[#This Row],[HARGA SATUAN]]="",),"",NOTA[[#This Row],[QTY]]*NOTA[[#This Row],[HARGA SATUAN]])</f>
        <v/>
      </c>
      <c r="AG896" s="36" t="str">
        <f ca="1">IF(NOTA[[#This Row],[ID_H]]="","",INDEX(NOTA[TANGGAL],MATCH(,INDIRECT(ADDRESS(ROW(NOTA[TANGGAL]),COLUMN(NOTA[TANGGAL]))&amp;":"&amp;ADDRESS(ROW(),COLUMN(NOTA[TANGGAL]))),-1)))</f>
        <v/>
      </c>
      <c r="AH896" s="36" t="str">
        <f ca="1">IF(NOTA[[#This Row],[ID_H]]="","",INDEX(NOTA[TGL.NOTA],MATCH(,INDIRECT(ADDRESS(ROW(NOTA[TGL.NOTA]),COLUMN(NOTA[TGL.NOTA]))&amp;":"&amp;ADDRESS(ROW(),COLUMN(NOTA[TGL.NOTA]))),-1)))</f>
        <v/>
      </c>
      <c r="AI896" s="36" t="str">
        <f ca="1">IF(NOTA[[#This Row],[ID_H]]="","",INDEX(NOTA[NO.NOTA],MATCH(NOTA[[#This Row],[ID_H]],NOTA[ID_H],0)))</f>
        <v/>
      </c>
      <c r="AJ896" s="38" t="str">
        <f ca="1">IF(NOTA[[#This Row],[NAMA BARANG]]="","",INDEX(NOTA[SUPPLIER],MATCH(,INDIRECT(ADDRESS(ROW(NOTA[ID]),COLUMN(NOTA[ID]))&amp;":"&amp;ADDRESS(ROW(),COLUMN(NOTA[ID]))),-1)))</f>
        <v/>
      </c>
      <c r="AK896" s="38" t="str">
        <f ca="1">IF(NOTA[[#This Row],[ID_H]]="","",IF(NOTA[[#This Row],[FAKTUR]]="",INDIRECT(ADDRESS(ROW()-1,COLUMN())),NOTA[[#This Row],[FAKTUR]]))</f>
        <v/>
      </c>
      <c r="AL896" s="35" t="str">
        <f ca="1">IF(NOTA[[#This Row],[ID]]="","",COUNTIF(NOTA[ID_H],NOTA[[#This Row],[ID_H]]))</f>
        <v/>
      </c>
      <c r="AM896" s="35" t="str">
        <f ca="1">IF(NOTA[[#This Row],[TGL.NOTA]]="",IF(NOTA[[#This Row],[SUPPLIER_H]]="","",AM895),MONTH(NOTA[[#This Row],[TGL.NOTA]]))</f>
        <v/>
      </c>
      <c r="AN8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6" s="35" t="str">
        <f>IF(NOTA[[#This Row],[CONCAT1]]="","",MATCH(NOTA[[#This Row],[CONCAT1]],[3]!db[NB NOTA_C],0))</f>
        <v/>
      </c>
      <c r="AS896" s="35" t="str">
        <f>IF(NOTA[[#This Row],[Column5]]="","",TRUE)</f>
        <v/>
      </c>
      <c r="AT896" s="35" t="str">
        <f ca="1">IF(NOTA[[#This Row],[ID_H]]="","",IF(NOTA[[#This Row],[Column3]]=TRUE,NOTA[[#This Row],[Column5]],INDEX([3]!db[QTY/ CTN],NOTA[[#This Row],[//DB]])))</f>
        <v/>
      </c>
      <c r="AU8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6" s="35" t="str">
        <f ca="1">IF(NOTA[[#This Row],[ID_H]]="","",MATCH(NOTA[[#This Row],[NB NOTA_C_QTY]],[3]!db[NB NOTA_C_QTY+F],0))</f>
        <v/>
      </c>
      <c r="AW896" s="43" t="str">
        <f ca="1">IF(NOTA[[#This Row],[NB NOTA_C_QTY]]="","",ROW()-2)</f>
        <v/>
      </c>
    </row>
    <row r="897" spans="1:49" ht="20.100000000000001" customHeight="1">
      <c r="A8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5" t="str">
        <f ca="1">IF(NOTA[[#This Row],[NAMA BARANG]]="","",INDEX(NOTA[ID],MATCH(,INDIRECT(ADDRESS(ROW(NOTA[ID]),COLUMN(NOTA[ID]))&amp;":"&amp;ADDRESS(ROW(),COLUMN(NOTA[ID]))),-1)))</f>
        <v/>
      </c>
      <c r="C897" s="45"/>
      <c r="F897" s="46"/>
      <c r="G897" s="35"/>
      <c r="H897" s="36"/>
      <c r="I897" s="35"/>
      <c r="K897" s="37"/>
      <c r="L897" s="35"/>
      <c r="N897" s="38"/>
      <c r="O897" s="39"/>
      <c r="P897" s="47"/>
      <c r="Q897" s="48"/>
      <c r="R897" s="41"/>
      <c r="T897" s="42"/>
      <c r="U897" s="44"/>
      <c r="V897" s="42" t="str">
        <f>IF(NOTA[[#This Row],[HARGA/ CTN]]="",NOTA[[#This Row],[JUMLAH_H]],NOTA[[#This Row],[HARGA/ CTN]]*IF(NOTA[[#This Row],[C]]="",0,NOTA[[#This Row],[C]]))</f>
        <v/>
      </c>
      <c r="W897" s="42" t="str">
        <f>IF(NOTA[[#This Row],[JUMLAH]]="","",NOTA[[#This Row],[JUMLAH]]*NOTA[[#This Row],[Column6]])</f>
        <v/>
      </c>
      <c r="X897" s="42" t="str">
        <f>IF(NOTA[[#This Row],[JUMLAH]]="","",(NOTA[[#This Row],[JUMLAH]]-NOTA[[#This Row],[DISC 1-]])*NOTA[[#This Row],[Column7]])</f>
        <v/>
      </c>
      <c r="Y897" s="42" t="str">
        <f>IF(NOTA[[#This Row],[JUMLAH]]="","",(NOTA[[#This Row],[JUMLAH]]-NOTA[[#This Row],[DISC 1-]]-NOTA[[#This Row],[DISC 2-]])*NOTA[[#This Row],[Column8]])</f>
        <v/>
      </c>
      <c r="Z897" s="42" t="str">
        <f>IF(NOTA[[#This Row],[JUMLAH]]="","",NOTA[[#This Row],[DISC 1-]]+NOTA[[#This Row],[DISC 2-]]+NOTA[[#This Row],[DISC 3-]])</f>
        <v/>
      </c>
      <c r="AA897" s="42" t="str">
        <f>IF(NOTA[[#This Row],[JUMLAH]]="","",NOTA[[#This Row],[JUMLAH]]-NOTA[[#This Row],[DISC]])</f>
        <v/>
      </c>
      <c r="AB897" s="42"/>
      <c r="AC8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42" t="str">
        <f>IF(OR(NOTA[[#This Row],[QTY]]="",NOTA[[#This Row],[HARGA SATUAN]]="",),"",NOTA[[#This Row],[QTY]]*NOTA[[#This Row],[HARGA SATUAN]])</f>
        <v/>
      </c>
      <c r="AG897" s="36" t="str">
        <f ca="1">IF(NOTA[[#This Row],[ID_H]]="","",INDEX(NOTA[TANGGAL],MATCH(,INDIRECT(ADDRESS(ROW(NOTA[TANGGAL]),COLUMN(NOTA[TANGGAL]))&amp;":"&amp;ADDRESS(ROW(),COLUMN(NOTA[TANGGAL]))),-1)))</f>
        <v/>
      </c>
      <c r="AH897" s="36" t="str">
        <f ca="1">IF(NOTA[[#This Row],[ID_H]]="","",INDEX(NOTA[TGL.NOTA],MATCH(,INDIRECT(ADDRESS(ROW(NOTA[TGL.NOTA]),COLUMN(NOTA[TGL.NOTA]))&amp;":"&amp;ADDRESS(ROW(),COLUMN(NOTA[TGL.NOTA]))),-1)))</f>
        <v/>
      </c>
      <c r="AI897" s="36" t="str">
        <f ca="1">IF(NOTA[[#This Row],[ID_H]]="","",INDEX(NOTA[NO.NOTA],MATCH(NOTA[[#This Row],[ID_H]],NOTA[ID_H],0)))</f>
        <v/>
      </c>
      <c r="AJ897" s="38" t="str">
        <f ca="1">IF(NOTA[[#This Row],[NAMA BARANG]]="","",INDEX(NOTA[SUPPLIER],MATCH(,INDIRECT(ADDRESS(ROW(NOTA[ID]),COLUMN(NOTA[ID]))&amp;":"&amp;ADDRESS(ROW(),COLUMN(NOTA[ID]))),-1)))</f>
        <v/>
      </c>
      <c r="AK897" s="38" t="str">
        <f ca="1">IF(NOTA[[#This Row],[ID_H]]="","",IF(NOTA[[#This Row],[FAKTUR]]="",INDIRECT(ADDRESS(ROW()-1,COLUMN())),NOTA[[#This Row],[FAKTUR]]))</f>
        <v/>
      </c>
      <c r="AL897" s="35" t="str">
        <f ca="1">IF(NOTA[[#This Row],[ID]]="","",COUNTIF(NOTA[ID_H],NOTA[[#This Row],[ID_H]]))</f>
        <v/>
      </c>
      <c r="AM897" s="35" t="str">
        <f ca="1">IF(NOTA[[#This Row],[TGL.NOTA]]="",IF(NOTA[[#This Row],[SUPPLIER_H]]="","",AM896),MONTH(NOTA[[#This Row],[TGL.NOTA]]))</f>
        <v/>
      </c>
      <c r="AN8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7" s="35" t="str">
        <f>IF(NOTA[[#This Row],[CONCAT1]]="","",MATCH(NOTA[[#This Row],[CONCAT1]],[3]!db[NB NOTA_C],0))</f>
        <v/>
      </c>
      <c r="AS897" s="35" t="str">
        <f>IF(NOTA[[#This Row],[Column5]]="","",TRUE)</f>
        <v/>
      </c>
      <c r="AT897" s="35" t="str">
        <f ca="1">IF(NOTA[[#This Row],[ID_H]]="","",IF(NOTA[[#This Row],[Column3]]=TRUE,NOTA[[#This Row],[Column5]],INDEX([3]!db[QTY/ CTN],NOTA[[#This Row],[//DB]])))</f>
        <v/>
      </c>
      <c r="AU8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7" s="35" t="str">
        <f ca="1">IF(NOTA[[#This Row],[ID_H]]="","",MATCH(NOTA[[#This Row],[NB NOTA_C_QTY]],[3]!db[NB NOTA_C_QTY+F],0))</f>
        <v/>
      </c>
      <c r="AW897" s="43" t="str">
        <f ca="1">IF(NOTA[[#This Row],[NB NOTA_C_QTY]]="","",ROW()-2)</f>
        <v/>
      </c>
    </row>
    <row r="898" spans="1:49" ht="20.100000000000001" customHeight="1">
      <c r="A8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5" t="str">
        <f ca="1">IF(NOTA[[#This Row],[NAMA BARANG]]="","",INDEX(NOTA[ID],MATCH(,INDIRECT(ADDRESS(ROW(NOTA[ID]),COLUMN(NOTA[ID]))&amp;":"&amp;ADDRESS(ROW(),COLUMN(NOTA[ID]))),-1)))</f>
        <v/>
      </c>
      <c r="C898" s="45"/>
      <c r="F898" s="46"/>
      <c r="G898" s="35"/>
      <c r="H898" s="36"/>
      <c r="I898" s="35"/>
      <c r="K898" s="37"/>
      <c r="L898" s="35"/>
      <c r="N898" s="38"/>
      <c r="O898" s="39"/>
      <c r="P898" s="47"/>
      <c r="Q898" s="48"/>
      <c r="R898" s="41"/>
      <c r="T898" s="42"/>
      <c r="U898" s="44"/>
      <c r="V898" s="42" t="str">
        <f>IF(NOTA[[#This Row],[HARGA/ CTN]]="",NOTA[[#This Row],[JUMLAH_H]],NOTA[[#This Row],[HARGA/ CTN]]*IF(NOTA[[#This Row],[C]]="",0,NOTA[[#This Row],[C]]))</f>
        <v/>
      </c>
      <c r="W898" s="42" t="str">
        <f>IF(NOTA[[#This Row],[JUMLAH]]="","",NOTA[[#This Row],[JUMLAH]]*NOTA[[#This Row],[Column6]])</f>
        <v/>
      </c>
      <c r="X898" s="42" t="str">
        <f>IF(NOTA[[#This Row],[JUMLAH]]="","",(NOTA[[#This Row],[JUMLAH]]-NOTA[[#This Row],[DISC 1-]])*NOTA[[#This Row],[Column7]])</f>
        <v/>
      </c>
      <c r="Y898" s="42" t="str">
        <f>IF(NOTA[[#This Row],[JUMLAH]]="","",(NOTA[[#This Row],[JUMLAH]]-NOTA[[#This Row],[DISC 1-]]-NOTA[[#This Row],[DISC 2-]])*NOTA[[#This Row],[Column8]])</f>
        <v/>
      </c>
      <c r="Z898" s="42" t="str">
        <f>IF(NOTA[[#This Row],[JUMLAH]]="","",NOTA[[#This Row],[DISC 1-]]+NOTA[[#This Row],[DISC 2-]]+NOTA[[#This Row],[DISC 3-]])</f>
        <v/>
      </c>
      <c r="AA898" s="42" t="str">
        <f>IF(NOTA[[#This Row],[JUMLAH]]="","",NOTA[[#This Row],[JUMLAH]]-NOTA[[#This Row],[DISC]])</f>
        <v/>
      </c>
      <c r="AB898" s="42"/>
      <c r="AC8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42" t="str">
        <f>IF(OR(NOTA[[#This Row],[QTY]]="",NOTA[[#This Row],[HARGA SATUAN]]="",),"",NOTA[[#This Row],[QTY]]*NOTA[[#This Row],[HARGA SATUAN]])</f>
        <v/>
      </c>
      <c r="AG898" s="36" t="str">
        <f ca="1">IF(NOTA[[#This Row],[ID_H]]="","",INDEX(NOTA[TANGGAL],MATCH(,INDIRECT(ADDRESS(ROW(NOTA[TANGGAL]),COLUMN(NOTA[TANGGAL]))&amp;":"&amp;ADDRESS(ROW(),COLUMN(NOTA[TANGGAL]))),-1)))</f>
        <v/>
      </c>
      <c r="AH898" s="36" t="str">
        <f ca="1">IF(NOTA[[#This Row],[ID_H]]="","",INDEX(NOTA[TGL.NOTA],MATCH(,INDIRECT(ADDRESS(ROW(NOTA[TGL.NOTA]),COLUMN(NOTA[TGL.NOTA]))&amp;":"&amp;ADDRESS(ROW(),COLUMN(NOTA[TGL.NOTA]))),-1)))</f>
        <v/>
      </c>
      <c r="AI898" s="36" t="str">
        <f ca="1">IF(NOTA[[#This Row],[ID_H]]="","",INDEX(NOTA[NO.NOTA],MATCH(NOTA[[#This Row],[ID_H]],NOTA[ID_H],0)))</f>
        <v/>
      </c>
      <c r="AJ898" s="38" t="str">
        <f ca="1">IF(NOTA[[#This Row],[NAMA BARANG]]="","",INDEX(NOTA[SUPPLIER],MATCH(,INDIRECT(ADDRESS(ROW(NOTA[ID]),COLUMN(NOTA[ID]))&amp;":"&amp;ADDRESS(ROW(),COLUMN(NOTA[ID]))),-1)))</f>
        <v/>
      </c>
      <c r="AK898" s="38" t="str">
        <f ca="1">IF(NOTA[[#This Row],[ID_H]]="","",IF(NOTA[[#This Row],[FAKTUR]]="",INDIRECT(ADDRESS(ROW()-1,COLUMN())),NOTA[[#This Row],[FAKTUR]]))</f>
        <v/>
      </c>
      <c r="AL898" s="35" t="str">
        <f ca="1">IF(NOTA[[#This Row],[ID]]="","",COUNTIF(NOTA[ID_H],NOTA[[#This Row],[ID_H]]))</f>
        <v/>
      </c>
      <c r="AM898" s="35" t="str">
        <f ca="1">IF(NOTA[[#This Row],[TGL.NOTA]]="",IF(NOTA[[#This Row],[SUPPLIER_H]]="","",AM897),MONTH(NOTA[[#This Row],[TGL.NOTA]]))</f>
        <v/>
      </c>
      <c r="AN8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8" s="35" t="str">
        <f>IF(NOTA[[#This Row],[CONCAT1]]="","",MATCH(NOTA[[#This Row],[CONCAT1]],[3]!db[NB NOTA_C],0))</f>
        <v/>
      </c>
      <c r="AS898" s="35" t="str">
        <f>IF(NOTA[[#This Row],[Column5]]="","",TRUE)</f>
        <v/>
      </c>
      <c r="AT898" s="35" t="str">
        <f ca="1">IF(NOTA[[#This Row],[ID_H]]="","",IF(NOTA[[#This Row],[Column3]]=TRUE,NOTA[[#This Row],[Column5]],INDEX([3]!db[QTY/ CTN],NOTA[[#This Row],[//DB]])))</f>
        <v/>
      </c>
      <c r="AU8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8" s="35" t="str">
        <f ca="1">IF(NOTA[[#This Row],[ID_H]]="","",MATCH(NOTA[[#This Row],[NB NOTA_C_QTY]],[3]!db[NB NOTA_C_QTY+F],0))</f>
        <v/>
      </c>
      <c r="AW898" s="43" t="str">
        <f ca="1">IF(NOTA[[#This Row],[NB NOTA_C_QTY]]="","",ROW()-2)</f>
        <v/>
      </c>
    </row>
    <row r="899" spans="1:49" ht="20.100000000000001" customHeight="1">
      <c r="A8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5" t="str">
        <f ca="1">IF(NOTA[[#This Row],[NAMA BARANG]]="","",INDEX(NOTA[ID],MATCH(,INDIRECT(ADDRESS(ROW(NOTA[ID]),COLUMN(NOTA[ID]))&amp;":"&amp;ADDRESS(ROW(),COLUMN(NOTA[ID]))),-1)))</f>
        <v/>
      </c>
      <c r="C899" s="45"/>
      <c r="F899" s="46"/>
      <c r="G899" s="35"/>
      <c r="H899" s="36"/>
      <c r="I899" s="35"/>
      <c r="K899" s="37"/>
      <c r="L899" s="35"/>
      <c r="N899" s="38"/>
      <c r="O899" s="39"/>
      <c r="P899" s="47"/>
      <c r="Q899" s="48"/>
      <c r="R899" s="41"/>
      <c r="T899" s="42"/>
      <c r="U899" s="44"/>
      <c r="V899" s="42" t="str">
        <f>IF(NOTA[[#This Row],[HARGA/ CTN]]="",NOTA[[#This Row],[JUMLAH_H]],NOTA[[#This Row],[HARGA/ CTN]]*IF(NOTA[[#This Row],[C]]="",0,NOTA[[#This Row],[C]]))</f>
        <v/>
      </c>
      <c r="W899" s="42" t="str">
        <f>IF(NOTA[[#This Row],[JUMLAH]]="","",NOTA[[#This Row],[JUMLAH]]*NOTA[[#This Row],[Column6]])</f>
        <v/>
      </c>
      <c r="X899" s="42" t="str">
        <f>IF(NOTA[[#This Row],[JUMLAH]]="","",(NOTA[[#This Row],[JUMLAH]]-NOTA[[#This Row],[DISC 1-]])*NOTA[[#This Row],[Column7]])</f>
        <v/>
      </c>
      <c r="Y899" s="42" t="str">
        <f>IF(NOTA[[#This Row],[JUMLAH]]="","",(NOTA[[#This Row],[JUMLAH]]-NOTA[[#This Row],[DISC 1-]]-NOTA[[#This Row],[DISC 2-]])*NOTA[[#This Row],[Column8]])</f>
        <v/>
      </c>
      <c r="Z899" s="42" t="str">
        <f>IF(NOTA[[#This Row],[JUMLAH]]="","",NOTA[[#This Row],[DISC 1-]]+NOTA[[#This Row],[DISC 2-]]+NOTA[[#This Row],[DISC 3-]])</f>
        <v/>
      </c>
      <c r="AA899" s="42" t="str">
        <f>IF(NOTA[[#This Row],[JUMLAH]]="","",NOTA[[#This Row],[JUMLAH]]-NOTA[[#This Row],[DISC]])</f>
        <v/>
      </c>
      <c r="AB899" s="42"/>
      <c r="AC8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8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8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42" t="str">
        <f>IF(OR(NOTA[[#This Row],[QTY]]="",NOTA[[#This Row],[HARGA SATUAN]]="",),"",NOTA[[#This Row],[QTY]]*NOTA[[#This Row],[HARGA SATUAN]])</f>
        <v/>
      </c>
      <c r="AG899" s="36" t="str">
        <f ca="1">IF(NOTA[[#This Row],[ID_H]]="","",INDEX(NOTA[TANGGAL],MATCH(,INDIRECT(ADDRESS(ROW(NOTA[TANGGAL]),COLUMN(NOTA[TANGGAL]))&amp;":"&amp;ADDRESS(ROW(),COLUMN(NOTA[TANGGAL]))),-1)))</f>
        <v/>
      </c>
      <c r="AH899" s="36" t="str">
        <f ca="1">IF(NOTA[[#This Row],[ID_H]]="","",INDEX(NOTA[TGL.NOTA],MATCH(,INDIRECT(ADDRESS(ROW(NOTA[TGL.NOTA]),COLUMN(NOTA[TGL.NOTA]))&amp;":"&amp;ADDRESS(ROW(),COLUMN(NOTA[TGL.NOTA]))),-1)))</f>
        <v/>
      </c>
      <c r="AI899" s="36" t="str">
        <f ca="1">IF(NOTA[[#This Row],[ID_H]]="","",INDEX(NOTA[NO.NOTA],MATCH(NOTA[[#This Row],[ID_H]],NOTA[ID_H],0)))</f>
        <v/>
      </c>
      <c r="AJ899" s="38" t="str">
        <f ca="1">IF(NOTA[[#This Row],[NAMA BARANG]]="","",INDEX(NOTA[SUPPLIER],MATCH(,INDIRECT(ADDRESS(ROW(NOTA[ID]),COLUMN(NOTA[ID]))&amp;":"&amp;ADDRESS(ROW(),COLUMN(NOTA[ID]))),-1)))</f>
        <v/>
      </c>
      <c r="AK899" s="38" t="str">
        <f ca="1">IF(NOTA[[#This Row],[ID_H]]="","",IF(NOTA[[#This Row],[FAKTUR]]="",INDIRECT(ADDRESS(ROW()-1,COLUMN())),NOTA[[#This Row],[FAKTUR]]))</f>
        <v/>
      </c>
      <c r="AL899" s="35" t="str">
        <f ca="1">IF(NOTA[[#This Row],[ID]]="","",COUNTIF(NOTA[ID_H],NOTA[[#This Row],[ID_H]]))</f>
        <v/>
      </c>
      <c r="AM899" s="35" t="str">
        <f ca="1">IF(NOTA[[#This Row],[TGL.NOTA]]="",IF(NOTA[[#This Row],[SUPPLIER_H]]="","",AM898),MONTH(NOTA[[#This Row],[TGL.NOTA]]))</f>
        <v/>
      </c>
      <c r="AN8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8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8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8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9" s="35" t="str">
        <f>IF(NOTA[[#This Row],[CONCAT1]]="","",MATCH(NOTA[[#This Row],[CONCAT1]],[3]!db[NB NOTA_C],0))</f>
        <v/>
      </c>
      <c r="AS899" s="35" t="str">
        <f>IF(NOTA[[#This Row],[Column5]]="","",TRUE)</f>
        <v/>
      </c>
      <c r="AT899" s="35" t="str">
        <f ca="1">IF(NOTA[[#This Row],[ID_H]]="","",IF(NOTA[[#This Row],[Column3]]=TRUE,NOTA[[#This Row],[Column5]],INDEX([3]!db[QTY/ CTN],NOTA[[#This Row],[//DB]])))</f>
        <v/>
      </c>
      <c r="AU8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899" s="35" t="str">
        <f ca="1">IF(NOTA[[#This Row],[ID_H]]="","",MATCH(NOTA[[#This Row],[NB NOTA_C_QTY]],[3]!db[NB NOTA_C_QTY+F],0))</f>
        <v/>
      </c>
      <c r="AW899" s="43" t="str">
        <f ca="1">IF(NOTA[[#This Row],[NB NOTA_C_QTY]]="","",ROW()-2)</f>
        <v/>
      </c>
    </row>
    <row r="900" spans="1:49" ht="20.100000000000001" customHeight="1">
      <c r="A9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5" t="str">
        <f ca="1">IF(NOTA[[#This Row],[NAMA BARANG]]="","",INDEX(NOTA[ID],MATCH(,INDIRECT(ADDRESS(ROW(NOTA[ID]),COLUMN(NOTA[ID]))&amp;":"&amp;ADDRESS(ROW(),COLUMN(NOTA[ID]))),-1)))</f>
        <v/>
      </c>
      <c r="C900" s="45"/>
      <c r="F900" s="46"/>
      <c r="G900" s="35"/>
      <c r="H900" s="36"/>
      <c r="I900" s="35"/>
      <c r="K900" s="37"/>
      <c r="L900" s="35"/>
      <c r="N900" s="38"/>
      <c r="O900" s="39"/>
      <c r="P900" s="47"/>
      <c r="Q900" s="48"/>
      <c r="R900" s="41"/>
      <c r="T900" s="42"/>
      <c r="U900" s="44"/>
      <c r="V900" s="42" t="str">
        <f>IF(NOTA[[#This Row],[HARGA/ CTN]]="",NOTA[[#This Row],[JUMLAH_H]],NOTA[[#This Row],[HARGA/ CTN]]*IF(NOTA[[#This Row],[C]]="",0,NOTA[[#This Row],[C]]))</f>
        <v/>
      </c>
      <c r="W900" s="42" t="str">
        <f>IF(NOTA[[#This Row],[JUMLAH]]="","",NOTA[[#This Row],[JUMLAH]]*NOTA[[#This Row],[Column6]])</f>
        <v/>
      </c>
      <c r="X900" s="42" t="str">
        <f>IF(NOTA[[#This Row],[JUMLAH]]="","",(NOTA[[#This Row],[JUMLAH]]-NOTA[[#This Row],[DISC 1-]])*NOTA[[#This Row],[Column7]])</f>
        <v/>
      </c>
      <c r="Y900" s="42" t="str">
        <f>IF(NOTA[[#This Row],[JUMLAH]]="","",(NOTA[[#This Row],[JUMLAH]]-NOTA[[#This Row],[DISC 1-]]-NOTA[[#This Row],[DISC 2-]])*NOTA[[#This Row],[Column8]])</f>
        <v/>
      </c>
      <c r="Z900" s="42" t="str">
        <f>IF(NOTA[[#This Row],[JUMLAH]]="","",NOTA[[#This Row],[DISC 1-]]+NOTA[[#This Row],[DISC 2-]]+NOTA[[#This Row],[DISC 3-]])</f>
        <v/>
      </c>
      <c r="AA900" s="42" t="str">
        <f>IF(NOTA[[#This Row],[JUMLAH]]="","",NOTA[[#This Row],[JUMLAH]]-NOTA[[#This Row],[DISC]])</f>
        <v/>
      </c>
      <c r="AB900" s="42"/>
      <c r="AC9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42" t="str">
        <f>IF(OR(NOTA[[#This Row],[QTY]]="",NOTA[[#This Row],[HARGA SATUAN]]="",),"",NOTA[[#This Row],[QTY]]*NOTA[[#This Row],[HARGA SATUAN]])</f>
        <v/>
      </c>
      <c r="AG900" s="36" t="str">
        <f ca="1">IF(NOTA[[#This Row],[ID_H]]="","",INDEX(NOTA[TANGGAL],MATCH(,INDIRECT(ADDRESS(ROW(NOTA[TANGGAL]),COLUMN(NOTA[TANGGAL]))&amp;":"&amp;ADDRESS(ROW(),COLUMN(NOTA[TANGGAL]))),-1)))</f>
        <v/>
      </c>
      <c r="AH900" s="36" t="str">
        <f ca="1">IF(NOTA[[#This Row],[ID_H]]="","",INDEX(NOTA[TGL.NOTA],MATCH(,INDIRECT(ADDRESS(ROW(NOTA[TGL.NOTA]),COLUMN(NOTA[TGL.NOTA]))&amp;":"&amp;ADDRESS(ROW(),COLUMN(NOTA[TGL.NOTA]))),-1)))</f>
        <v/>
      </c>
      <c r="AI900" s="36" t="str">
        <f ca="1">IF(NOTA[[#This Row],[ID_H]]="","",INDEX(NOTA[NO.NOTA],MATCH(NOTA[[#This Row],[ID_H]],NOTA[ID_H],0)))</f>
        <v/>
      </c>
      <c r="AJ900" s="38" t="str">
        <f ca="1">IF(NOTA[[#This Row],[NAMA BARANG]]="","",INDEX(NOTA[SUPPLIER],MATCH(,INDIRECT(ADDRESS(ROW(NOTA[ID]),COLUMN(NOTA[ID]))&amp;":"&amp;ADDRESS(ROW(),COLUMN(NOTA[ID]))),-1)))</f>
        <v/>
      </c>
      <c r="AK900" s="38" t="str">
        <f ca="1">IF(NOTA[[#This Row],[ID_H]]="","",IF(NOTA[[#This Row],[FAKTUR]]="",INDIRECT(ADDRESS(ROW()-1,COLUMN())),NOTA[[#This Row],[FAKTUR]]))</f>
        <v/>
      </c>
      <c r="AL900" s="35" t="str">
        <f ca="1">IF(NOTA[[#This Row],[ID]]="","",COUNTIF(NOTA[ID_H],NOTA[[#This Row],[ID_H]]))</f>
        <v/>
      </c>
      <c r="AM900" s="35" t="str">
        <f ca="1">IF(NOTA[[#This Row],[TGL.NOTA]]="",IF(NOTA[[#This Row],[SUPPLIER_H]]="","",AM899),MONTH(NOTA[[#This Row],[TGL.NOTA]]))</f>
        <v/>
      </c>
      <c r="AN9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0" s="35" t="str">
        <f>IF(NOTA[[#This Row],[CONCAT1]]="","",MATCH(NOTA[[#This Row],[CONCAT1]],[3]!db[NB NOTA_C],0))</f>
        <v/>
      </c>
      <c r="AS900" s="35" t="str">
        <f>IF(NOTA[[#This Row],[Column5]]="","",TRUE)</f>
        <v/>
      </c>
      <c r="AT900" s="35" t="str">
        <f ca="1">IF(NOTA[[#This Row],[ID_H]]="","",IF(NOTA[[#This Row],[Column3]]=TRUE,NOTA[[#This Row],[Column5]],INDEX([3]!db[QTY/ CTN],NOTA[[#This Row],[//DB]])))</f>
        <v/>
      </c>
      <c r="AU9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0" s="35" t="str">
        <f ca="1">IF(NOTA[[#This Row],[ID_H]]="","",MATCH(NOTA[[#This Row],[NB NOTA_C_QTY]],[3]!db[NB NOTA_C_QTY+F],0))</f>
        <v/>
      </c>
      <c r="AW900" s="43" t="str">
        <f ca="1">IF(NOTA[[#This Row],[NB NOTA_C_QTY]]="","",ROW()-2)</f>
        <v/>
      </c>
    </row>
    <row r="901" spans="1:49" ht="20.100000000000001" customHeight="1">
      <c r="A9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5" t="str">
        <f ca="1">IF(NOTA[[#This Row],[NAMA BARANG]]="","",INDEX(NOTA[ID],MATCH(,INDIRECT(ADDRESS(ROW(NOTA[ID]),COLUMN(NOTA[ID]))&amp;":"&amp;ADDRESS(ROW(),COLUMN(NOTA[ID]))),-1)))</f>
        <v/>
      </c>
      <c r="C901" s="45"/>
      <c r="F901" s="46"/>
      <c r="G901" s="35"/>
      <c r="H901" s="36"/>
      <c r="I901" s="35"/>
      <c r="K901" s="37"/>
      <c r="L901" s="35"/>
      <c r="N901" s="38"/>
      <c r="O901" s="39"/>
      <c r="P901" s="47"/>
      <c r="Q901" s="48"/>
      <c r="R901" s="41"/>
      <c r="T901" s="42"/>
      <c r="U901" s="44"/>
      <c r="V901" s="42" t="str">
        <f>IF(NOTA[[#This Row],[HARGA/ CTN]]="",NOTA[[#This Row],[JUMLAH_H]],NOTA[[#This Row],[HARGA/ CTN]]*IF(NOTA[[#This Row],[C]]="",0,NOTA[[#This Row],[C]]))</f>
        <v/>
      </c>
      <c r="W901" s="42" t="str">
        <f>IF(NOTA[[#This Row],[JUMLAH]]="","",NOTA[[#This Row],[JUMLAH]]*NOTA[[#This Row],[Column6]])</f>
        <v/>
      </c>
      <c r="X901" s="42" t="str">
        <f>IF(NOTA[[#This Row],[JUMLAH]]="","",(NOTA[[#This Row],[JUMLAH]]-NOTA[[#This Row],[DISC 1-]])*NOTA[[#This Row],[Column7]])</f>
        <v/>
      </c>
      <c r="Y901" s="42" t="str">
        <f>IF(NOTA[[#This Row],[JUMLAH]]="","",(NOTA[[#This Row],[JUMLAH]]-NOTA[[#This Row],[DISC 1-]]-NOTA[[#This Row],[DISC 2-]])*NOTA[[#This Row],[Column8]])</f>
        <v/>
      </c>
      <c r="Z901" s="42" t="str">
        <f>IF(NOTA[[#This Row],[JUMLAH]]="","",NOTA[[#This Row],[DISC 1-]]+NOTA[[#This Row],[DISC 2-]]+NOTA[[#This Row],[DISC 3-]])</f>
        <v/>
      </c>
      <c r="AA901" s="42" t="str">
        <f>IF(NOTA[[#This Row],[JUMLAH]]="","",NOTA[[#This Row],[JUMLAH]]-NOTA[[#This Row],[DISC]])</f>
        <v/>
      </c>
      <c r="AB901" s="42"/>
      <c r="AC9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42" t="str">
        <f>IF(OR(NOTA[[#This Row],[QTY]]="",NOTA[[#This Row],[HARGA SATUAN]]="",),"",NOTA[[#This Row],[QTY]]*NOTA[[#This Row],[HARGA SATUAN]])</f>
        <v/>
      </c>
      <c r="AG901" s="36" t="str">
        <f ca="1">IF(NOTA[[#This Row],[ID_H]]="","",INDEX(NOTA[TANGGAL],MATCH(,INDIRECT(ADDRESS(ROW(NOTA[TANGGAL]),COLUMN(NOTA[TANGGAL]))&amp;":"&amp;ADDRESS(ROW(),COLUMN(NOTA[TANGGAL]))),-1)))</f>
        <v/>
      </c>
      <c r="AH901" s="36" t="str">
        <f ca="1">IF(NOTA[[#This Row],[ID_H]]="","",INDEX(NOTA[TGL.NOTA],MATCH(,INDIRECT(ADDRESS(ROW(NOTA[TGL.NOTA]),COLUMN(NOTA[TGL.NOTA]))&amp;":"&amp;ADDRESS(ROW(),COLUMN(NOTA[TGL.NOTA]))),-1)))</f>
        <v/>
      </c>
      <c r="AI901" s="36" t="str">
        <f ca="1">IF(NOTA[[#This Row],[ID_H]]="","",INDEX(NOTA[NO.NOTA],MATCH(NOTA[[#This Row],[ID_H]],NOTA[ID_H],0)))</f>
        <v/>
      </c>
      <c r="AJ901" s="38" t="str">
        <f ca="1">IF(NOTA[[#This Row],[NAMA BARANG]]="","",INDEX(NOTA[SUPPLIER],MATCH(,INDIRECT(ADDRESS(ROW(NOTA[ID]),COLUMN(NOTA[ID]))&amp;":"&amp;ADDRESS(ROW(),COLUMN(NOTA[ID]))),-1)))</f>
        <v/>
      </c>
      <c r="AK901" s="38" t="str">
        <f ca="1">IF(NOTA[[#This Row],[ID_H]]="","",IF(NOTA[[#This Row],[FAKTUR]]="",INDIRECT(ADDRESS(ROW()-1,COLUMN())),NOTA[[#This Row],[FAKTUR]]))</f>
        <v/>
      </c>
      <c r="AL901" s="35" t="str">
        <f ca="1">IF(NOTA[[#This Row],[ID]]="","",COUNTIF(NOTA[ID_H],NOTA[[#This Row],[ID_H]]))</f>
        <v/>
      </c>
      <c r="AM901" s="35" t="str">
        <f ca="1">IF(NOTA[[#This Row],[TGL.NOTA]]="",IF(NOTA[[#This Row],[SUPPLIER_H]]="","",AM900),MONTH(NOTA[[#This Row],[TGL.NOTA]]))</f>
        <v/>
      </c>
      <c r="AN9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1" s="35" t="str">
        <f>IF(NOTA[[#This Row],[CONCAT1]]="","",MATCH(NOTA[[#This Row],[CONCAT1]],[3]!db[NB NOTA_C],0))</f>
        <v/>
      </c>
      <c r="AS901" s="35" t="str">
        <f>IF(NOTA[[#This Row],[Column5]]="","",TRUE)</f>
        <v/>
      </c>
      <c r="AT901" s="35" t="str">
        <f ca="1">IF(NOTA[[#This Row],[ID_H]]="","",IF(NOTA[[#This Row],[Column3]]=TRUE,NOTA[[#This Row],[Column5]],INDEX([3]!db[QTY/ CTN],NOTA[[#This Row],[//DB]])))</f>
        <v/>
      </c>
      <c r="AU9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1" s="35" t="str">
        <f ca="1">IF(NOTA[[#This Row],[ID_H]]="","",MATCH(NOTA[[#This Row],[NB NOTA_C_QTY]],[3]!db[NB NOTA_C_QTY+F],0))</f>
        <v/>
      </c>
      <c r="AW901" s="43" t="str">
        <f ca="1">IF(NOTA[[#This Row],[NB NOTA_C_QTY]]="","",ROW()-2)</f>
        <v/>
      </c>
    </row>
    <row r="902" spans="1:49" ht="20.100000000000001" customHeight="1">
      <c r="A9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5" t="str">
        <f ca="1">IF(NOTA[[#This Row],[NAMA BARANG]]="","",INDEX(NOTA[ID],MATCH(,INDIRECT(ADDRESS(ROW(NOTA[ID]),COLUMN(NOTA[ID]))&amp;":"&amp;ADDRESS(ROW(),COLUMN(NOTA[ID]))),-1)))</f>
        <v/>
      </c>
      <c r="C902" s="45"/>
      <c r="F902" s="46"/>
      <c r="G902" s="35"/>
      <c r="H902" s="36"/>
      <c r="I902" s="35"/>
      <c r="K902" s="37"/>
      <c r="L902" s="35"/>
      <c r="N902" s="38"/>
      <c r="O902" s="39"/>
      <c r="P902" s="47"/>
      <c r="Q902" s="48"/>
      <c r="R902" s="41"/>
      <c r="T902" s="42"/>
      <c r="U902" s="44"/>
      <c r="V902" s="42" t="str">
        <f>IF(NOTA[[#This Row],[HARGA/ CTN]]="",NOTA[[#This Row],[JUMLAH_H]],NOTA[[#This Row],[HARGA/ CTN]]*IF(NOTA[[#This Row],[C]]="",0,NOTA[[#This Row],[C]]))</f>
        <v/>
      </c>
      <c r="W902" s="42" t="str">
        <f>IF(NOTA[[#This Row],[JUMLAH]]="","",NOTA[[#This Row],[JUMLAH]]*NOTA[[#This Row],[Column6]])</f>
        <v/>
      </c>
      <c r="X902" s="42" t="str">
        <f>IF(NOTA[[#This Row],[JUMLAH]]="","",(NOTA[[#This Row],[JUMLAH]]-NOTA[[#This Row],[DISC 1-]])*NOTA[[#This Row],[Column7]])</f>
        <v/>
      </c>
      <c r="Y902" s="42" t="str">
        <f>IF(NOTA[[#This Row],[JUMLAH]]="","",(NOTA[[#This Row],[JUMLAH]]-NOTA[[#This Row],[DISC 1-]]-NOTA[[#This Row],[DISC 2-]])*NOTA[[#This Row],[Column8]])</f>
        <v/>
      </c>
      <c r="Z902" s="42" t="str">
        <f>IF(NOTA[[#This Row],[JUMLAH]]="","",NOTA[[#This Row],[DISC 1-]]+NOTA[[#This Row],[DISC 2-]]+NOTA[[#This Row],[DISC 3-]])</f>
        <v/>
      </c>
      <c r="AA902" s="42" t="str">
        <f>IF(NOTA[[#This Row],[JUMLAH]]="","",NOTA[[#This Row],[JUMLAH]]-NOTA[[#This Row],[DISC]])</f>
        <v/>
      </c>
      <c r="AB902" s="42"/>
      <c r="AC9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42" t="str">
        <f>IF(OR(NOTA[[#This Row],[QTY]]="",NOTA[[#This Row],[HARGA SATUAN]]="",),"",NOTA[[#This Row],[QTY]]*NOTA[[#This Row],[HARGA SATUAN]])</f>
        <v/>
      </c>
      <c r="AG902" s="36" t="str">
        <f ca="1">IF(NOTA[[#This Row],[ID_H]]="","",INDEX(NOTA[TANGGAL],MATCH(,INDIRECT(ADDRESS(ROW(NOTA[TANGGAL]),COLUMN(NOTA[TANGGAL]))&amp;":"&amp;ADDRESS(ROW(),COLUMN(NOTA[TANGGAL]))),-1)))</f>
        <v/>
      </c>
      <c r="AH902" s="36" t="str">
        <f ca="1">IF(NOTA[[#This Row],[ID_H]]="","",INDEX(NOTA[TGL.NOTA],MATCH(,INDIRECT(ADDRESS(ROW(NOTA[TGL.NOTA]),COLUMN(NOTA[TGL.NOTA]))&amp;":"&amp;ADDRESS(ROW(),COLUMN(NOTA[TGL.NOTA]))),-1)))</f>
        <v/>
      </c>
      <c r="AI902" s="36" t="str">
        <f ca="1">IF(NOTA[[#This Row],[ID_H]]="","",INDEX(NOTA[NO.NOTA],MATCH(NOTA[[#This Row],[ID_H]],NOTA[ID_H],0)))</f>
        <v/>
      </c>
      <c r="AJ902" s="38" t="str">
        <f ca="1">IF(NOTA[[#This Row],[NAMA BARANG]]="","",INDEX(NOTA[SUPPLIER],MATCH(,INDIRECT(ADDRESS(ROW(NOTA[ID]),COLUMN(NOTA[ID]))&amp;":"&amp;ADDRESS(ROW(),COLUMN(NOTA[ID]))),-1)))</f>
        <v/>
      </c>
      <c r="AK902" s="38" t="str">
        <f ca="1">IF(NOTA[[#This Row],[ID_H]]="","",IF(NOTA[[#This Row],[FAKTUR]]="",INDIRECT(ADDRESS(ROW()-1,COLUMN())),NOTA[[#This Row],[FAKTUR]]))</f>
        <v/>
      </c>
      <c r="AL902" s="35" t="str">
        <f ca="1">IF(NOTA[[#This Row],[ID]]="","",COUNTIF(NOTA[ID_H],NOTA[[#This Row],[ID_H]]))</f>
        <v/>
      </c>
      <c r="AM902" s="35" t="str">
        <f ca="1">IF(NOTA[[#This Row],[TGL.NOTA]]="",IF(NOTA[[#This Row],[SUPPLIER_H]]="","",AM901),MONTH(NOTA[[#This Row],[TGL.NOTA]]))</f>
        <v/>
      </c>
      <c r="AN9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2" s="35" t="str">
        <f>IF(NOTA[[#This Row],[CONCAT1]]="","",MATCH(NOTA[[#This Row],[CONCAT1]],[3]!db[NB NOTA_C],0))</f>
        <v/>
      </c>
      <c r="AS902" s="35" t="str">
        <f>IF(NOTA[[#This Row],[Column5]]="","",TRUE)</f>
        <v/>
      </c>
      <c r="AT902" s="35" t="str">
        <f ca="1">IF(NOTA[[#This Row],[ID_H]]="","",IF(NOTA[[#This Row],[Column3]]=TRUE,NOTA[[#This Row],[Column5]],INDEX([3]!db[QTY/ CTN],NOTA[[#This Row],[//DB]])))</f>
        <v/>
      </c>
      <c r="AU9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2" s="35" t="str">
        <f ca="1">IF(NOTA[[#This Row],[ID_H]]="","",MATCH(NOTA[[#This Row],[NB NOTA_C_QTY]],[3]!db[NB NOTA_C_QTY+F],0))</f>
        <v/>
      </c>
      <c r="AW902" s="43" t="str">
        <f ca="1">IF(NOTA[[#This Row],[NB NOTA_C_QTY]]="","",ROW()-2)</f>
        <v/>
      </c>
    </row>
    <row r="903" spans="1:49" ht="20.100000000000001" customHeight="1">
      <c r="A9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5" t="str">
        <f ca="1">IF(NOTA[[#This Row],[NAMA BARANG]]="","",INDEX(NOTA[ID],MATCH(,INDIRECT(ADDRESS(ROW(NOTA[ID]),COLUMN(NOTA[ID]))&amp;":"&amp;ADDRESS(ROW(),COLUMN(NOTA[ID]))),-1)))</f>
        <v/>
      </c>
      <c r="C903" s="45"/>
      <c r="F903" s="46"/>
      <c r="G903" s="35"/>
      <c r="H903" s="36"/>
      <c r="I903" s="35"/>
      <c r="K903" s="37"/>
      <c r="L903" s="35"/>
      <c r="N903" s="38"/>
      <c r="O903" s="39"/>
      <c r="P903" s="47"/>
      <c r="Q903" s="48"/>
      <c r="R903" s="41"/>
      <c r="T903" s="42"/>
      <c r="U903" s="44"/>
      <c r="V903" s="42" t="str">
        <f>IF(NOTA[[#This Row],[HARGA/ CTN]]="",NOTA[[#This Row],[JUMLAH_H]],NOTA[[#This Row],[HARGA/ CTN]]*IF(NOTA[[#This Row],[C]]="",0,NOTA[[#This Row],[C]]))</f>
        <v/>
      </c>
      <c r="W903" s="42" t="str">
        <f>IF(NOTA[[#This Row],[JUMLAH]]="","",NOTA[[#This Row],[JUMLAH]]*NOTA[[#This Row],[Column6]])</f>
        <v/>
      </c>
      <c r="X903" s="42" t="str">
        <f>IF(NOTA[[#This Row],[JUMLAH]]="","",(NOTA[[#This Row],[JUMLAH]]-NOTA[[#This Row],[DISC 1-]])*NOTA[[#This Row],[Column7]])</f>
        <v/>
      </c>
      <c r="Y903" s="42" t="str">
        <f>IF(NOTA[[#This Row],[JUMLAH]]="","",(NOTA[[#This Row],[JUMLAH]]-NOTA[[#This Row],[DISC 1-]]-NOTA[[#This Row],[DISC 2-]])*NOTA[[#This Row],[Column8]])</f>
        <v/>
      </c>
      <c r="Z903" s="42" t="str">
        <f>IF(NOTA[[#This Row],[JUMLAH]]="","",NOTA[[#This Row],[DISC 1-]]+NOTA[[#This Row],[DISC 2-]]+NOTA[[#This Row],[DISC 3-]])</f>
        <v/>
      </c>
      <c r="AA903" s="42" t="str">
        <f>IF(NOTA[[#This Row],[JUMLAH]]="","",NOTA[[#This Row],[JUMLAH]]-NOTA[[#This Row],[DISC]])</f>
        <v/>
      </c>
      <c r="AB903" s="42"/>
      <c r="AC9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42" t="str">
        <f>IF(OR(NOTA[[#This Row],[QTY]]="",NOTA[[#This Row],[HARGA SATUAN]]="",),"",NOTA[[#This Row],[QTY]]*NOTA[[#This Row],[HARGA SATUAN]])</f>
        <v/>
      </c>
      <c r="AG903" s="36" t="str">
        <f ca="1">IF(NOTA[[#This Row],[ID_H]]="","",INDEX(NOTA[TANGGAL],MATCH(,INDIRECT(ADDRESS(ROW(NOTA[TANGGAL]),COLUMN(NOTA[TANGGAL]))&amp;":"&amp;ADDRESS(ROW(),COLUMN(NOTA[TANGGAL]))),-1)))</f>
        <v/>
      </c>
      <c r="AH903" s="36" t="str">
        <f ca="1">IF(NOTA[[#This Row],[ID_H]]="","",INDEX(NOTA[TGL.NOTA],MATCH(,INDIRECT(ADDRESS(ROW(NOTA[TGL.NOTA]),COLUMN(NOTA[TGL.NOTA]))&amp;":"&amp;ADDRESS(ROW(),COLUMN(NOTA[TGL.NOTA]))),-1)))</f>
        <v/>
      </c>
      <c r="AI903" s="36" t="str">
        <f ca="1">IF(NOTA[[#This Row],[ID_H]]="","",INDEX(NOTA[NO.NOTA],MATCH(NOTA[[#This Row],[ID_H]],NOTA[ID_H],0)))</f>
        <v/>
      </c>
      <c r="AJ903" s="38" t="str">
        <f ca="1">IF(NOTA[[#This Row],[NAMA BARANG]]="","",INDEX(NOTA[SUPPLIER],MATCH(,INDIRECT(ADDRESS(ROW(NOTA[ID]),COLUMN(NOTA[ID]))&amp;":"&amp;ADDRESS(ROW(),COLUMN(NOTA[ID]))),-1)))</f>
        <v/>
      </c>
      <c r="AK903" s="38" t="str">
        <f ca="1">IF(NOTA[[#This Row],[ID_H]]="","",IF(NOTA[[#This Row],[FAKTUR]]="",INDIRECT(ADDRESS(ROW()-1,COLUMN())),NOTA[[#This Row],[FAKTUR]]))</f>
        <v/>
      </c>
      <c r="AL903" s="35" t="str">
        <f ca="1">IF(NOTA[[#This Row],[ID]]="","",COUNTIF(NOTA[ID_H],NOTA[[#This Row],[ID_H]]))</f>
        <v/>
      </c>
      <c r="AM903" s="35" t="str">
        <f ca="1">IF(NOTA[[#This Row],[TGL.NOTA]]="",IF(NOTA[[#This Row],[SUPPLIER_H]]="","",AM902),MONTH(NOTA[[#This Row],[TGL.NOTA]]))</f>
        <v/>
      </c>
      <c r="AN9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3" s="35" t="str">
        <f>IF(NOTA[[#This Row],[CONCAT1]]="","",MATCH(NOTA[[#This Row],[CONCAT1]],[3]!db[NB NOTA_C],0))</f>
        <v/>
      </c>
      <c r="AS903" s="35" t="str">
        <f>IF(NOTA[[#This Row],[Column5]]="","",TRUE)</f>
        <v/>
      </c>
      <c r="AT903" s="35" t="str">
        <f ca="1">IF(NOTA[[#This Row],[ID_H]]="","",IF(NOTA[[#This Row],[Column3]]=TRUE,NOTA[[#This Row],[Column5]],INDEX([3]!db[QTY/ CTN],NOTA[[#This Row],[//DB]])))</f>
        <v/>
      </c>
      <c r="AU9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3" s="35" t="str">
        <f ca="1">IF(NOTA[[#This Row],[ID_H]]="","",MATCH(NOTA[[#This Row],[NB NOTA_C_QTY]],[3]!db[NB NOTA_C_QTY+F],0))</f>
        <v/>
      </c>
      <c r="AW903" s="43" t="str">
        <f ca="1">IF(NOTA[[#This Row],[NB NOTA_C_QTY]]="","",ROW()-2)</f>
        <v/>
      </c>
    </row>
    <row r="904" spans="1:49" ht="20.100000000000001" customHeight="1">
      <c r="A9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5" t="str">
        <f ca="1">IF(NOTA[[#This Row],[NAMA BARANG]]="","",INDEX(NOTA[ID],MATCH(,INDIRECT(ADDRESS(ROW(NOTA[ID]),COLUMN(NOTA[ID]))&amp;":"&amp;ADDRESS(ROW(),COLUMN(NOTA[ID]))),-1)))</f>
        <v/>
      </c>
      <c r="C904" s="45"/>
      <c r="F904" s="46"/>
      <c r="G904" s="35"/>
      <c r="H904" s="36"/>
      <c r="I904" s="35"/>
      <c r="K904" s="37"/>
      <c r="L904" s="35"/>
      <c r="N904" s="38"/>
      <c r="O904" s="39"/>
      <c r="P904" s="47"/>
      <c r="Q904" s="48"/>
      <c r="R904" s="41"/>
      <c r="T904" s="42"/>
      <c r="U904" s="44"/>
      <c r="V904" s="42" t="str">
        <f>IF(NOTA[[#This Row],[HARGA/ CTN]]="",NOTA[[#This Row],[JUMLAH_H]],NOTA[[#This Row],[HARGA/ CTN]]*IF(NOTA[[#This Row],[C]]="",0,NOTA[[#This Row],[C]]))</f>
        <v/>
      </c>
      <c r="W904" s="42" t="str">
        <f>IF(NOTA[[#This Row],[JUMLAH]]="","",NOTA[[#This Row],[JUMLAH]]*NOTA[[#This Row],[Column6]])</f>
        <v/>
      </c>
      <c r="X904" s="42" t="str">
        <f>IF(NOTA[[#This Row],[JUMLAH]]="","",(NOTA[[#This Row],[JUMLAH]]-NOTA[[#This Row],[DISC 1-]])*NOTA[[#This Row],[Column7]])</f>
        <v/>
      </c>
      <c r="Y904" s="42" t="str">
        <f>IF(NOTA[[#This Row],[JUMLAH]]="","",(NOTA[[#This Row],[JUMLAH]]-NOTA[[#This Row],[DISC 1-]]-NOTA[[#This Row],[DISC 2-]])*NOTA[[#This Row],[Column8]])</f>
        <v/>
      </c>
      <c r="Z904" s="42" t="str">
        <f>IF(NOTA[[#This Row],[JUMLAH]]="","",NOTA[[#This Row],[DISC 1-]]+NOTA[[#This Row],[DISC 2-]]+NOTA[[#This Row],[DISC 3-]])</f>
        <v/>
      </c>
      <c r="AA904" s="42" t="str">
        <f>IF(NOTA[[#This Row],[JUMLAH]]="","",NOTA[[#This Row],[JUMLAH]]-NOTA[[#This Row],[DISC]])</f>
        <v/>
      </c>
      <c r="AB904" s="42"/>
      <c r="AC9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42" t="str">
        <f>IF(OR(NOTA[[#This Row],[QTY]]="",NOTA[[#This Row],[HARGA SATUAN]]="",),"",NOTA[[#This Row],[QTY]]*NOTA[[#This Row],[HARGA SATUAN]])</f>
        <v/>
      </c>
      <c r="AG904" s="36" t="str">
        <f ca="1">IF(NOTA[[#This Row],[ID_H]]="","",INDEX(NOTA[TANGGAL],MATCH(,INDIRECT(ADDRESS(ROW(NOTA[TANGGAL]),COLUMN(NOTA[TANGGAL]))&amp;":"&amp;ADDRESS(ROW(),COLUMN(NOTA[TANGGAL]))),-1)))</f>
        <v/>
      </c>
      <c r="AH904" s="36" t="str">
        <f ca="1">IF(NOTA[[#This Row],[ID_H]]="","",INDEX(NOTA[TGL.NOTA],MATCH(,INDIRECT(ADDRESS(ROW(NOTA[TGL.NOTA]),COLUMN(NOTA[TGL.NOTA]))&amp;":"&amp;ADDRESS(ROW(),COLUMN(NOTA[TGL.NOTA]))),-1)))</f>
        <v/>
      </c>
      <c r="AI904" s="36" t="str">
        <f ca="1">IF(NOTA[[#This Row],[ID_H]]="","",INDEX(NOTA[NO.NOTA],MATCH(NOTA[[#This Row],[ID_H]],NOTA[ID_H],0)))</f>
        <v/>
      </c>
      <c r="AJ904" s="38" t="str">
        <f ca="1">IF(NOTA[[#This Row],[NAMA BARANG]]="","",INDEX(NOTA[SUPPLIER],MATCH(,INDIRECT(ADDRESS(ROW(NOTA[ID]),COLUMN(NOTA[ID]))&amp;":"&amp;ADDRESS(ROW(),COLUMN(NOTA[ID]))),-1)))</f>
        <v/>
      </c>
      <c r="AK904" s="38" t="str">
        <f ca="1">IF(NOTA[[#This Row],[ID_H]]="","",IF(NOTA[[#This Row],[FAKTUR]]="",INDIRECT(ADDRESS(ROW()-1,COLUMN())),NOTA[[#This Row],[FAKTUR]]))</f>
        <v/>
      </c>
      <c r="AL904" s="35" t="str">
        <f ca="1">IF(NOTA[[#This Row],[ID]]="","",COUNTIF(NOTA[ID_H],NOTA[[#This Row],[ID_H]]))</f>
        <v/>
      </c>
      <c r="AM904" s="35" t="str">
        <f ca="1">IF(NOTA[[#This Row],[TGL.NOTA]]="",IF(NOTA[[#This Row],[SUPPLIER_H]]="","",AM903),MONTH(NOTA[[#This Row],[TGL.NOTA]]))</f>
        <v/>
      </c>
      <c r="AN9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4" s="35" t="str">
        <f>IF(NOTA[[#This Row],[CONCAT1]]="","",MATCH(NOTA[[#This Row],[CONCAT1]],[3]!db[NB NOTA_C],0))</f>
        <v/>
      </c>
      <c r="AS904" s="35" t="str">
        <f>IF(NOTA[[#This Row],[Column5]]="","",TRUE)</f>
        <v/>
      </c>
      <c r="AT904" s="35" t="str">
        <f ca="1">IF(NOTA[[#This Row],[ID_H]]="","",IF(NOTA[[#This Row],[Column3]]=TRUE,NOTA[[#This Row],[Column5]],INDEX([3]!db[QTY/ CTN],NOTA[[#This Row],[//DB]])))</f>
        <v/>
      </c>
      <c r="AU9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4" s="35" t="str">
        <f ca="1">IF(NOTA[[#This Row],[ID_H]]="","",MATCH(NOTA[[#This Row],[NB NOTA_C_QTY]],[3]!db[NB NOTA_C_QTY+F],0))</f>
        <v/>
      </c>
      <c r="AW904" s="43" t="str">
        <f ca="1">IF(NOTA[[#This Row],[NB NOTA_C_QTY]]="","",ROW()-2)</f>
        <v/>
      </c>
    </row>
    <row r="905" spans="1:49" ht="20.100000000000001" customHeight="1">
      <c r="A9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5" t="str">
        <f ca="1">IF(NOTA[[#This Row],[NAMA BARANG]]="","",INDEX(NOTA[ID],MATCH(,INDIRECT(ADDRESS(ROW(NOTA[ID]),COLUMN(NOTA[ID]))&amp;":"&amp;ADDRESS(ROW(),COLUMN(NOTA[ID]))),-1)))</f>
        <v/>
      </c>
      <c r="C905" s="45"/>
      <c r="F905" s="46"/>
      <c r="G905" s="35"/>
      <c r="H905" s="36"/>
      <c r="I905" s="35"/>
      <c r="K905" s="37"/>
      <c r="L905" s="35"/>
      <c r="N905" s="38"/>
      <c r="O905" s="39"/>
      <c r="P905" s="47"/>
      <c r="Q905" s="48"/>
      <c r="R905" s="41"/>
      <c r="T905" s="42"/>
      <c r="U905" s="44"/>
      <c r="V905" s="42" t="str">
        <f>IF(NOTA[[#This Row],[HARGA/ CTN]]="",NOTA[[#This Row],[JUMLAH_H]],NOTA[[#This Row],[HARGA/ CTN]]*IF(NOTA[[#This Row],[C]]="",0,NOTA[[#This Row],[C]]))</f>
        <v/>
      </c>
      <c r="W905" s="42" t="str">
        <f>IF(NOTA[[#This Row],[JUMLAH]]="","",NOTA[[#This Row],[JUMLAH]]*NOTA[[#This Row],[Column6]])</f>
        <v/>
      </c>
      <c r="X905" s="42" t="str">
        <f>IF(NOTA[[#This Row],[JUMLAH]]="","",(NOTA[[#This Row],[JUMLAH]]-NOTA[[#This Row],[DISC 1-]])*NOTA[[#This Row],[Column7]])</f>
        <v/>
      </c>
      <c r="Y905" s="42" t="str">
        <f>IF(NOTA[[#This Row],[JUMLAH]]="","",(NOTA[[#This Row],[JUMLAH]]-NOTA[[#This Row],[DISC 1-]]-NOTA[[#This Row],[DISC 2-]])*NOTA[[#This Row],[Column8]])</f>
        <v/>
      </c>
      <c r="Z905" s="42" t="str">
        <f>IF(NOTA[[#This Row],[JUMLAH]]="","",NOTA[[#This Row],[DISC 1-]]+NOTA[[#This Row],[DISC 2-]]+NOTA[[#This Row],[DISC 3-]])</f>
        <v/>
      </c>
      <c r="AA905" s="42" t="str">
        <f>IF(NOTA[[#This Row],[JUMLAH]]="","",NOTA[[#This Row],[JUMLAH]]-NOTA[[#This Row],[DISC]])</f>
        <v/>
      </c>
      <c r="AB905" s="42"/>
      <c r="AC9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42" t="str">
        <f>IF(OR(NOTA[[#This Row],[QTY]]="",NOTA[[#This Row],[HARGA SATUAN]]="",),"",NOTA[[#This Row],[QTY]]*NOTA[[#This Row],[HARGA SATUAN]])</f>
        <v/>
      </c>
      <c r="AG905" s="36" t="str">
        <f ca="1">IF(NOTA[[#This Row],[ID_H]]="","",INDEX(NOTA[TANGGAL],MATCH(,INDIRECT(ADDRESS(ROW(NOTA[TANGGAL]),COLUMN(NOTA[TANGGAL]))&amp;":"&amp;ADDRESS(ROW(),COLUMN(NOTA[TANGGAL]))),-1)))</f>
        <v/>
      </c>
      <c r="AH905" s="36" t="str">
        <f ca="1">IF(NOTA[[#This Row],[ID_H]]="","",INDEX(NOTA[TGL.NOTA],MATCH(,INDIRECT(ADDRESS(ROW(NOTA[TGL.NOTA]),COLUMN(NOTA[TGL.NOTA]))&amp;":"&amp;ADDRESS(ROW(),COLUMN(NOTA[TGL.NOTA]))),-1)))</f>
        <v/>
      </c>
      <c r="AI905" s="36" t="str">
        <f ca="1">IF(NOTA[[#This Row],[ID_H]]="","",INDEX(NOTA[NO.NOTA],MATCH(NOTA[[#This Row],[ID_H]],NOTA[ID_H],0)))</f>
        <v/>
      </c>
      <c r="AJ905" s="38" t="str">
        <f ca="1">IF(NOTA[[#This Row],[NAMA BARANG]]="","",INDEX(NOTA[SUPPLIER],MATCH(,INDIRECT(ADDRESS(ROW(NOTA[ID]),COLUMN(NOTA[ID]))&amp;":"&amp;ADDRESS(ROW(),COLUMN(NOTA[ID]))),-1)))</f>
        <v/>
      </c>
      <c r="AK905" s="38" t="str">
        <f ca="1">IF(NOTA[[#This Row],[ID_H]]="","",IF(NOTA[[#This Row],[FAKTUR]]="",INDIRECT(ADDRESS(ROW()-1,COLUMN())),NOTA[[#This Row],[FAKTUR]]))</f>
        <v/>
      </c>
      <c r="AL905" s="35" t="str">
        <f ca="1">IF(NOTA[[#This Row],[ID]]="","",COUNTIF(NOTA[ID_H],NOTA[[#This Row],[ID_H]]))</f>
        <v/>
      </c>
      <c r="AM905" s="35" t="str">
        <f ca="1">IF(NOTA[[#This Row],[TGL.NOTA]]="",IF(NOTA[[#This Row],[SUPPLIER_H]]="","",AM904),MONTH(NOTA[[#This Row],[TGL.NOTA]]))</f>
        <v/>
      </c>
      <c r="AN9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5" s="35" t="str">
        <f>IF(NOTA[[#This Row],[CONCAT1]]="","",MATCH(NOTA[[#This Row],[CONCAT1]],[3]!db[NB NOTA_C],0))</f>
        <v/>
      </c>
      <c r="AS905" s="35" t="str">
        <f>IF(NOTA[[#This Row],[Column5]]="","",TRUE)</f>
        <v/>
      </c>
      <c r="AT905" s="35" t="str">
        <f ca="1">IF(NOTA[[#This Row],[ID_H]]="","",IF(NOTA[[#This Row],[Column3]]=TRUE,NOTA[[#This Row],[Column5]],INDEX([3]!db[QTY/ CTN],NOTA[[#This Row],[//DB]])))</f>
        <v/>
      </c>
      <c r="AU9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5" s="35" t="str">
        <f ca="1">IF(NOTA[[#This Row],[ID_H]]="","",MATCH(NOTA[[#This Row],[NB NOTA_C_QTY]],[3]!db[NB NOTA_C_QTY+F],0))</f>
        <v/>
      </c>
      <c r="AW905" s="43" t="str">
        <f ca="1">IF(NOTA[[#This Row],[NB NOTA_C_QTY]]="","",ROW()-2)</f>
        <v/>
      </c>
    </row>
    <row r="906" spans="1:49" ht="20.100000000000001" customHeight="1">
      <c r="A9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5" t="str">
        <f ca="1">IF(NOTA[[#This Row],[NAMA BARANG]]="","",INDEX(NOTA[ID],MATCH(,INDIRECT(ADDRESS(ROW(NOTA[ID]),COLUMN(NOTA[ID]))&amp;":"&amp;ADDRESS(ROW(),COLUMN(NOTA[ID]))),-1)))</f>
        <v/>
      </c>
      <c r="C906" s="45"/>
      <c r="F906" s="46"/>
      <c r="G906" s="35"/>
      <c r="H906" s="36"/>
      <c r="I906" s="35"/>
      <c r="K906" s="37"/>
      <c r="L906" s="35"/>
      <c r="N906" s="38"/>
      <c r="O906" s="39"/>
      <c r="P906" s="47"/>
      <c r="Q906" s="48"/>
      <c r="R906" s="41"/>
      <c r="T906" s="42"/>
      <c r="U906" s="44"/>
      <c r="V906" s="42" t="str">
        <f>IF(NOTA[[#This Row],[HARGA/ CTN]]="",NOTA[[#This Row],[JUMLAH_H]],NOTA[[#This Row],[HARGA/ CTN]]*IF(NOTA[[#This Row],[C]]="",0,NOTA[[#This Row],[C]]))</f>
        <v/>
      </c>
      <c r="W906" s="42" t="str">
        <f>IF(NOTA[[#This Row],[JUMLAH]]="","",NOTA[[#This Row],[JUMLAH]]*NOTA[[#This Row],[Column6]])</f>
        <v/>
      </c>
      <c r="X906" s="42" t="str">
        <f>IF(NOTA[[#This Row],[JUMLAH]]="","",(NOTA[[#This Row],[JUMLAH]]-NOTA[[#This Row],[DISC 1-]])*NOTA[[#This Row],[Column7]])</f>
        <v/>
      </c>
      <c r="Y906" s="42" t="str">
        <f>IF(NOTA[[#This Row],[JUMLAH]]="","",(NOTA[[#This Row],[JUMLAH]]-NOTA[[#This Row],[DISC 1-]]-NOTA[[#This Row],[DISC 2-]])*NOTA[[#This Row],[Column8]])</f>
        <v/>
      </c>
      <c r="Z906" s="42" t="str">
        <f>IF(NOTA[[#This Row],[JUMLAH]]="","",NOTA[[#This Row],[DISC 1-]]+NOTA[[#This Row],[DISC 2-]]+NOTA[[#This Row],[DISC 3-]])</f>
        <v/>
      </c>
      <c r="AA906" s="42" t="str">
        <f>IF(NOTA[[#This Row],[JUMLAH]]="","",NOTA[[#This Row],[JUMLAH]]-NOTA[[#This Row],[DISC]])</f>
        <v/>
      </c>
      <c r="AB906" s="42"/>
      <c r="AC9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42" t="str">
        <f>IF(OR(NOTA[[#This Row],[QTY]]="",NOTA[[#This Row],[HARGA SATUAN]]="",),"",NOTA[[#This Row],[QTY]]*NOTA[[#This Row],[HARGA SATUAN]])</f>
        <v/>
      </c>
      <c r="AG906" s="36" t="str">
        <f ca="1">IF(NOTA[[#This Row],[ID_H]]="","",INDEX(NOTA[TANGGAL],MATCH(,INDIRECT(ADDRESS(ROW(NOTA[TANGGAL]),COLUMN(NOTA[TANGGAL]))&amp;":"&amp;ADDRESS(ROW(),COLUMN(NOTA[TANGGAL]))),-1)))</f>
        <v/>
      </c>
      <c r="AH906" s="36" t="str">
        <f ca="1">IF(NOTA[[#This Row],[ID_H]]="","",INDEX(NOTA[TGL.NOTA],MATCH(,INDIRECT(ADDRESS(ROW(NOTA[TGL.NOTA]),COLUMN(NOTA[TGL.NOTA]))&amp;":"&amp;ADDRESS(ROW(),COLUMN(NOTA[TGL.NOTA]))),-1)))</f>
        <v/>
      </c>
      <c r="AI906" s="36" t="str">
        <f ca="1">IF(NOTA[[#This Row],[ID_H]]="","",INDEX(NOTA[NO.NOTA],MATCH(NOTA[[#This Row],[ID_H]],NOTA[ID_H],0)))</f>
        <v/>
      </c>
      <c r="AJ906" s="38" t="str">
        <f ca="1">IF(NOTA[[#This Row],[NAMA BARANG]]="","",INDEX(NOTA[SUPPLIER],MATCH(,INDIRECT(ADDRESS(ROW(NOTA[ID]),COLUMN(NOTA[ID]))&amp;":"&amp;ADDRESS(ROW(),COLUMN(NOTA[ID]))),-1)))</f>
        <v/>
      </c>
      <c r="AK906" s="38" t="str">
        <f ca="1">IF(NOTA[[#This Row],[ID_H]]="","",IF(NOTA[[#This Row],[FAKTUR]]="",INDIRECT(ADDRESS(ROW()-1,COLUMN())),NOTA[[#This Row],[FAKTUR]]))</f>
        <v/>
      </c>
      <c r="AL906" s="35" t="str">
        <f ca="1">IF(NOTA[[#This Row],[ID]]="","",COUNTIF(NOTA[ID_H],NOTA[[#This Row],[ID_H]]))</f>
        <v/>
      </c>
      <c r="AM906" s="35" t="str">
        <f ca="1">IF(NOTA[[#This Row],[TGL.NOTA]]="",IF(NOTA[[#This Row],[SUPPLIER_H]]="","",AM905),MONTH(NOTA[[#This Row],[TGL.NOTA]]))</f>
        <v/>
      </c>
      <c r="AN9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6" s="35" t="str">
        <f>IF(NOTA[[#This Row],[CONCAT1]]="","",MATCH(NOTA[[#This Row],[CONCAT1]],[3]!db[NB NOTA_C],0))</f>
        <v/>
      </c>
      <c r="AS906" s="35" t="str">
        <f>IF(NOTA[[#This Row],[Column5]]="","",TRUE)</f>
        <v/>
      </c>
      <c r="AT906" s="35" t="str">
        <f ca="1">IF(NOTA[[#This Row],[ID_H]]="","",IF(NOTA[[#This Row],[Column3]]=TRUE,NOTA[[#This Row],[Column5]],INDEX([3]!db[QTY/ CTN],NOTA[[#This Row],[//DB]])))</f>
        <v/>
      </c>
      <c r="AU9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6" s="35" t="str">
        <f ca="1">IF(NOTA[[#This Row],[ID_H]]="","",MATCH(NOTA[[#This Row],[NB NOTA_C_QTY]],[3]!db[NB NOTA_C_QTY+F],0))</f>
        <v/>
      </c>
      <c r="AW906" s="43" t="str">
        <f ca="1">IF(NOTA[[#This Row],[NB NOTA_C_QTY]]="","",ROW()-2)</f>
        <v/>
      </c>
    </row>
    <row r="907" spans="1:49" ht="20.100000000000001" customHeight="1">
      <c r="A9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5" t="str">
        <f ca="1">IF(NOTA[[#This Row],[NAMA BARANG]]="","",INDEX(NOTA[ID],MATCH(,INDIRECT(ADDRESS(ROW(NOTA[ID]),COLUMN(NOTA[ID]))&amp;":"&amp;ADDRESS(ROW(),COLUMN(NOTA[ID]))),-1)))</f>
        <v/>
      </c>
      <c r="C907" s="45"/>
      <c r="F907" s="46"/>
      <c r="G907" s="35"/>
      <c r="H907" s="36"/>
      <c r="I907" s="35"/>
      <c r="K907" s="37"/>
      <c r="L907" s="35"/>
      <c r="N907" s="38"/>
      <c r="O907" s="39"/>
      <c r="P907" s="47"/>
      <c r="Q907" s="48"/>
      <c r="R907" s="41"/>
      <c r="T907" s="42"/>
      <c r="U907" s="44"/>
      <c r="V907" s="42" t="str">
        <f>IF(NOTA[[#This Row],[HARGA/ CTN]]="",NOTA[[#This Row],[JUMLAH_H]],NOTA[[#This Row],[HARGA/ CTN]]*IF(NOTA[[#This Row],[C]]="",0,NOTA[[#This Row],[C]]))</f>
        <v/>
      </c>
      <c r="W907" s="42" t="str">
        <f>IF(NOTA[[#This Row],[JUMLAH]]="","",NOTA[[#This Row],[JUMLAH]]*NOTA[[#This Row],[Column6]])</f>
        <v/>
      </c>
      <c r="X907" s="42" t="str">
        <f>IF(NOTA[[#This Row],[JUMLAH]]="","",(NOTA[[#This Row],[JUMLAH]]-NOTA[[#This Row],[DISC 1-]])*NOTA[[#This Row],[Column7]])</f>
        <v/>
      </c>
      <c r="Y907" s="42" t="str">
        <f>IF(NOTA[[#This Row],[JUMLAH]]="","",(NOTA[[#This Row],[JUMLAH]]-NOTA[[#This Row],[DISC 1-]]-NOTA[[#This Row],[DISC 2-]])*NOTA[[#This Row],[Column8]])</f>
        <v/>
      </c>
      <c r="Z907" s="42" t="str">
        <f>IF(NOTA[[#This Row],[JUMLAH]]="","",NOTA[[#This Row],[DISC 1-]]+NOTA[[#This Row],[DISC 2-]]+NOTA[[#This Row],[DISC 3-]])</f>
        <v/>
      </c>
      <c r="AA907" s="42" t="str">
        <f>IF(NOTA[[#This Row],[JUMLAH]]="","",NOTA[[#This Row],[JUMLAH]]-NOTA[[#This Row],[DISC]])</f>
        <v/>
      </c>
      <c r="AB907" s="42"/>
      <c r="AC9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42" t="str">
        <f>IF(OR(NOTA[[#This Row],[QTY]]="",NOTA[[#This Row],[HARGA SATUAN]]="",),"",NOTA[[#This Row],[QTY]]*NOTA[[#This Row],[HARGA SATUAN]])</f>
        <v/>
      </c>
      <c r="AG907" s="36" t="str">
        <f ca="1">IF(NOTA[[#This Row],[ID_H]]="","",INDEX(NOTA[TANGGAL],MATCH(,INDIRECT(ADDRESS(ROW(NOTA[TANGGAL]),COLUMN(NOTA[TANGGAL]))&amp;":"&amp;ADDRESS(ROW(),COLUMN(NOTA[TANGGAL]))),-1)))</f>
        <v/>
      </c>
      <c r="AH907" s="36" t="str">
        <f ca="1">IF(NOTA[[#This Row],[ID_H]]="","",INDEX(NOTA[TGL.NOTA],MATCH(,INDIRECT(ADDRESS(ROW(NOTA[TGL.NOTA]),COLUMN(NOTA[TGL.NOTA]))&amp;":"&amp;ADDRESS(ROW(),COLUMN(NOTA[TGL.NOTA]))),-1)))</f>
        <v/>
      </c>
      <c r="AI907" s="36" t="str">
        <f ca="1">IF(NOTA[[#This Row],[ID_H]]="","",INDEX(NOTA[NO.NOTA],MATCH(NOTA[[#This Row],[ID_H]],NOTA[ID_H],0)))</f>
        <v/>
      </c>
      <c r="AJ907" s="38" t="str">
        <f ca="1">IF(NOTA[[#This Row],[NAMA BARANG]]="","",INDEX(NOTA[SUPPLIER],MATCH(,INDIRECT(ADDRESS(ROW(NOTA[ID]),COLUMN(NOTA[ID]))&amp;":"&amp;ADDRESS(ROW(),COLUMN(NOTA[ID]))),-1)))</f>
        <v/>
      </c>
      <c r="AK907" s="38" t="str">
        <f ca="1">IF(NOTA[[#This Row],[ID_H]]="","",IF(NOTA[[#This Row],[FAKTUR]]="",INDIRECT(ADDRESS(ROW()-1,COLUMN())),NOTA[[#This Row],[FAKTUR]]))</f>
        <v/>
      </c>
      <c r="AL907" s="35" t="str">
        <f ca="1">IF(NOTA[[#This Row],[ID]]="","",COUNTIF(NOTA[ID_H],NOTA[[#This Row],[ID_H]]))</f>
        <v/>
      </c>
      <c r="AM907" s="35" t="str">
        <f ca="1">IF(NOTA[[#This Row],[TGL.NOTA]]="",IF(NOTA[[#This Row],[SUPPLIER_H]]="","",AM906),MONTH(NOTA[[#This Row],[TGL.NOTA]]))</f>
        <v/>
      </c>
      <c r="AN9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7" s="35" t="str">
        <f>IF(NOTA[[#This Row],[CONCAT1]]="","",MATCH(NOTA[[#This Row],[CONCAT1]],[3]!db[NB NOTA_C],0))</f>
        <v/>
      </c>
      <c r="AS907" s="35" t="str">
        <f>IF(NOTA[[#This Row],[Column5]]="","",TRUE)</f>
        <v/>
      </c>
      <c r="AT907" s="35" t="str">
        <f ca="1">IF(NOTA[[#This Row],[ID_H]]="","",IF(NOTA[[#This Row],[Column3]]=TRUE,NOTA[[#This Row],[Column5]],INDEX([3]!db[QTY/ CTN],NOTA[[#This Row],[//DB]])))</f>
        <v/>
      </c>
      <c r="AU9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7" s="35" t="str">
        <f ca="1">IF(NOTA[[#This Row],[ID_H]]="","",MATCH(NOTA[[#This Row],[NB NOTA_C_QTY]],[3]!db[NB NOTA_C_QTY+F],0))</f>
        <v/>
      </c>
      <c r="AW907" s="43" t="str">
        <f ca="1">IF(NOTA[[#This Row],[NB NOTA_C_QTY]]="","",ROW()-2)</f>
        <v/>
      </c>
    </row>
    <row r="908" spans="1:49" ht="20.100000000000001" customHeight="1">
      <c r="A9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5" t="str">
        <f ca="1">IF(NOTA[[#This Row],[NAMA BARANG]]="","",INDEX(NOTA[ID],MATCH(,INDIRECT(ADDRESS(ROW(NOTA[ID]),COLUMN(NOTA[ID]))&amp;":"&amp;ADDRESS(ROW(),COLUMN(NOTA[ID]))),-1)))</f>
        <v/>
      </c>
      <c r="C908" s="45"/>
      <c r="F908" s="46"/>
      <c r="G908" s="35"/>
      <c r="H908" s="36"/>
      <c r="I908" s="35"/>
      <c r="K908" s="37"/>
      <c r="L908" s="35"/>
      <c r="N908" s="38"/>
      <c r="O908" s="39"/>
      <c r="P908" s="47"/>
      <c r="Q908" s="48"/>
      <c r="R908" s="41"/>
      <c r="T908" s="42"/>
      <c r="U908" s="44"/>
      <c r="V908" s="42" t="str">
        <f>IF(NOTA[[#This Row],[HARGA/ CTN]]="",NOTA[[#This Row],[JUMLAH_H]],NOTA[[#This Row],[HARGA/ CTN]]*IF(NOTA[[#This Row],[C]]="",0,NOTA[[#This Row],[C]]))</f>
        <v/>
      </c>
      <c r="W908" s="42" t="str">
        <f>IF(NOTA[[#This Row],[JUMLAH]]="","",NOTA[[#This Row],[JUMLAH]]*NOTA[[#This Row],[Column6]])</f>
        <v/>
      </c>
      <c r="X908" s="42" t="str">
        <f>IF(NOTA[[#This Row],[JUMLAH]]="","",(NOTA[[#This Row],[JUMLAH]]-NOTA[[#This Row],[DISC 1-]])*NOTA[[#This Row],[Column7]])</f>
        <v/>
      </c>
      <c r="Y908" s="42" t="str">
        <f>IF(NOTA[[#This Row],[JUMLAH]]="","",(NOTA[[#This Row],[JUMLAH]]-NOTA[[#This Row],[DISC 1-]]-NOTA[[#This Row],[DISC 2-]])*NOTA[[#This Row],[Column8]])</f>
        <v/>
      </c>
      <c r="Z908" s="42" t="str">
        <f>IF(NOTA[[#This Row],[JUMLAH]]="","",NOTA[[#This Row],[DISC 1-]]+NOTA[[#This Row],[DISC 2-]]+NOTA[[#This Row],[DISC 3-]])</f>
        <v/>
      </c>
      <c r="AA908" s="42" t="str">
        <f>IF(NOTA[[#This Row],[JUMLAH]]="","",NOTA[[#This Row],[JUMLAH]]-NOTA[[#This Row],[DISC]])</f>
        <v/>
      </c>
      <c r="AB908" s="42"/>
      <c r="AC9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42" t="str">
        <f>IF(OR(NOTA[[#This Row],[QTY]]="",NOTA[[#This Row],[HARGA SATUAN]]="",),"",NOTA[[#This Row],[QTY]]*NOTA[[#This Row],[HARGA SATUAN]])</f>
        <v/>
      </c>
      <c r="AG908" s="36" t="str">
        <f ca="1">IF(NOTA[[#This Row],[ID_H]]="","",INDEX(NOTA[TANGGAL],MATCH(,INDIRECT(ADDRESS(ROW(NOTA[TANGGAL]),COLUMN(NOTA[TANGGAL]))&amp;":"&amp;ADDRESS(ROW(),COLUMN(NOTA[TANGGAL]))),-1)))</f>
        <v/>
      </c>
      <c r="AH908" s="36" t="str">
        <f ca="1">IF(NOTA[[#This Row],[ID_H]]="","",INDEX(NOTA[TGL.NOTA],MATCH(,INDIRECT(ADDRESS(ROW(NOTA[TGL.NOTA]),COLUMN(NOTA[TGL.NOTA]))&amp;":"&amp;ADDRESS(ROW(),COLUMN(NOTA[TGL.NOTA]))),-1)))</f>
        <v/>
      </c>
      <c r="AI908" s="36" t="str">
        <f ca="1">IF(NOTA[[#This Row],[ID_H]]="","",INDEX(NOTA[NO.NOTA],MATCH(NOTA[[#This Row],[ID_H]],NOTA[ID_H],0)))</f>
        <v/>
      </c>
      <c r="AJ908" s="38" t="str">
        <f ca="1">IF(NOTA[[#This Row],[NAMA BARANG]]="","",INDEX(NOTA[SUPPLIER],MATCH(,INDIRECT(ADDRESS(ROW(NOTA[ID]),COLUMN(NOTA[ID]))&amp;":"&amp;ADDRESS(ROW(),COLUMN(NOTA[ID]))),-1)))</f>
        <v/>
      </c>
      <c r="AK908" s="38" t="str">
        <f ca="1">IF(NOTA[[#This Row],[ID_H]]="","",IF(NOTA[[#This Row],[FAKTUR]]="",INDIRECT(ADDRESS(ROW()-1,COLUMN())),NOTA[[#This Row],[FAKTUR]]))</f>
        <v/>
      </c>
      <c r="AL908" s="35" t="str">
        <f ca="1">IF(NOTA[[#This Row],[ID]]="","",COUNTIF(NOTA[ID_H],NOTA[[#This Row],[ID_H]]))</f>
        <v/>
      </c>
      <c r="AM908" s="35" t="str">
        <f ca="1">IF(NOTA[[#This Row],[TGL.NOTA]]="",IF(NOTA[[#This Row],[SUPPLIER_H]]="","",AM907),MONTH(NOTA[[#This Row],[TGL.NOTA]]))</f>
        <v/>
      </c>
      <c r="AN9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8" s="35" t="str">
        <f>IF(NOTA[[#This Row],[CONCAT1]]="","",MATCH(NOTA[[#This Row],[CONCAT1]],[3]!db[NB NOTA_C],0))</f>
        <v/>
      </c>
      <c r="AS908" s="35" t="str">
        <f>IF(NOTA[[#This Row],[Column5]]="","",TRUE)</f>
        <v/>
      </c>
      <c r="AT908" s="35" t="str">
        <f ca="1">IF(NOTA[[#This Row],[ID_H]]="","",IF(NOTA[[#This Row],[Column3]]=TRUE,NOTA[[#This Row],[Column5]],INDEX([3]!db[QTY/ CTN],NOTA[[#This Row],[//DB]])))</f>
        <v/>
      </c>
      <c r="AU9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8" s="35" t="str">
        <f ca="1">IF(NOTA[[#This Row],[ID_H]]="","",MATCH(NOTA[[#This Row],[NB NOTA_C_QTY]],[3]!db[NB NOTA_C_QTY+F],0))</f>
        <v/>
      </c>
      <c r="AW908" s="43" t="str">
        <f ca="1">IF(NOTA[[#This Row],[NB NOTA_C_QTY]]="","",ROW()-2)</f>
        <v/>
      </c>
    </row>
    <row r="909" spans="1:49" ht="20.100000000000001" customHeight="1">
      <c r="A9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5" t="str">
        <f ca="1">IF(NOTA[[#This Row],[NAMA BARANG]]="","",INDEX(NOTA[ID],MATCH(,INDIRECT(ADDRESS(ROW(NOTA[ID]),COLUMN(NOTA[ID]))&amp;":"&amp;ADDRESS(ROW(),COLUMN(NOTA[ID]))),-1)))</f>
        <v/>
      </c>
      <c r="C909" s="45"/>
      <c r="F909" s="46"/>
      <c r="G909" s="35"/>
      <c r="H909" s="36"/>
      <c r="I909" s="35"/>
      <c r="K909" s="37"/>
      <c r="L909" s="35"/>
      <c r="N909" s="38"/>
      <c r="O909" s="39"/>
      <c r="P909" s="47"/>
      <c r="Q909" s="48"/>
      <c r="R909" s="41"/>
      <c r="T909" s="42"/>
      <c r="U909" s="44"/>
      <c r="V909" s="42" t="str">
        <f>IF(NOTA[[#This Row],[HARGA/ CTN]]="",NOTA[[#This Row],[JUMLAH_H]],NOTA[[#This Row],[HARGA/ CTN]]*IF(NOTA[[#This Row],[C]]="",0,NOTA[[#This Row],[C]]))</f>
        <v/>
      </c>
      <c r="W909" s="42" t="str">
        <f>IF(NOTA[[#This Row],[JUMLAH]]="","",NOTA[[#This Row],[JUMLAH]]*NOTA[[#This Row],[Column6]])</f>
        <v/>
      </c>
      <c r="X909" s="42" t="str">
        <f>IF(NOTA[[#This Row],[JUMLAH]]="","",(NOTA[[#This Row],[JUMLAH]]-NOTA[[#This Row],[DISC 1-]])*NOTA[[#This Row],[Column7]])</f>
        <v/>
      </c>
      <c r="Y909" s="42" t="str">
        <f>IF(NOTA[[#This Row],[JUMLAH]]="","",(NOTA[[#This Row],[JUMLAH]]-NOTA[[#This Row],[DISC 1-]]-NOTA[[#This Row],[DISC 2-]])*NOTA[[#This Row],[Column8]])</f>
        <v/>
      </c>
      <c r="Z909" s="42" t="str">
        <f>IF(NOTA[[#This Row],[JUMLAH]]="","",NOTA[[#This Row],[DISC 1-]]+NOTA[[#This Row],[DISC 2-]]+NOTA[[#This Row],[DISC 3-]])</f>
        <v/>
      </c>
      <c r="AA909" s="42" t="str">
        <f>IF(NOTA[[#This Row],[JUMLAH]]="","",NOTA[[#This Row],[JUMLAH]]-NOTA[[#This Row],[DISC]])</f>
        <v/>
      </c>
      <c r="AB909" s="42"/>
      <c r="AC9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42" t="str">
        <f>IF(OR(NOTA[[#This Row],[QTY]]="",NOTA[[#This Row],[HARGA SATUAN]]="",),"",NOTA[[#This Row],[QTY]]*NOTA[[#This Row],[HARGA SATUAN]])</f>
        <v/>
      </c>
      <c r="AG909" s="36" t="str">
        <f ca="1">IF(NOTA[[#This Row],[ID_H]]="","",INDEX(NOTA[TANGGAL],MATCH(,INDIRECT(ADDRESS(ROW(NOTA[TANGGAL]),COLUMN(NOTA[TANGGAL]))&amp;":"&amp;ADDRESS(ROW(),COLUMN(NOTA[TANGGAL]))),-1)))</f>
        <v/>
      </c>
      <c r="AH909" s="36" t="str">
        <f ca="1">IF(NOTA[[#This Row],[ID_H]]="","",INDEX(NOTA[TGL.NOTA],MATCH(,INDIRECT(ADDRESS(ROW(NOTA[TGL.NOTA]),COLUMN(NOTA[TGL.NOTA]))&amp;":"&amp;ADDRESS(ROW(),COLUMN(NOTA[TGL.NOTA]))),-1)))</f>
        <v/>
      </c>
      <c r="AI909" s="36" t="str">
        <f ca="1">IF(NOTA[[#This Row],[ID_H]]="","",INDEX(NOTA[NO.NOTA],MATCH(NOTA[[#This Row],[ID_H]],NOTA[ID_H],0)))</f>
        <v/>
      </c>
      <c r="AJ909" s="38" t="str">
        <f ca="1">IF(NOTA[[#This Row],[NAMA BARANG]]="","",INDEX(NOTA[SUPPLIER],MATCH(,INDIRECT(ADDRESS(ROW(NOTA[ID]),COLUMN(NOTA[ID]))&amp;":"&amp;ADDRESS(ROW(),COLUMN(NOTA[ID]))),-1)))</f>
        <v/>
      </c>
      <c r="AK909" s="38" t="str">
        <f ca="1">IF(NOTA[[#This Row],[ID_H]]="","",IF(NOTA[[#This Row],[FAKTUR]]="",INDIRECT(ADDRESS(ROW()-1,COLUMN())),NOTA[[#This Row],[FAKTUR]]))</f>
        <v/>
      </c>
      <c r="AL909" s="35" t="str">
        <f ca="1">IF(NOTA[[#This Row],[ID]]="","",COUNTIF(NOTA[ID_H],NOTA[[#This Row],[ID_H]]))</f>
        <v/>
      </c>
      <c r="AM909" s="35" t="str">
        <f ca="1">IF(NOTA[[#This Row],[TGL.NOTA]]="",IF(NOTA[[#This Row],[SUPPLIER_H]]="","",AM908),MONTH(NOTA[[#This Row],[TGL.NOTA]]))</f>
        <v/>
      </c>
      <c r="AN9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9" s="35" t="str">
        <f>IF(NOTA[[#This Row],[CONCAT1]]="","",MATCH(NOTA[[#This Row],[CONCAT1]],[3]!db[NB NOTA_C],0))</f>
        <v/>
      </c>
      <c r="AS909" s="35" t="str">
        <f>IF(NOTA[[#This Row],[Column5]]="","",TRUE)</f>
        <v/>
      </c>
      <c r="AT909" s="35" t="str">
        <f ca="1">IF(NOTA[[#This Row],[ID_H]]="","",IF(NOTA[[#This Row],[Column3]]=TRUE,NOTA[[#This Row],[Column5]],INDEX([3]!db[QTY/ CTN],NOTA[[#This Row],[//DB]])))</f>
        <v/>
      </c>
      <c r="AU9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09" s="35" t="str">
        <f ca="1">IF(NOTA[[#This Row],[ID_H]]="","",MATCH(NOTA[[#This Row],[NB NOTA_C_QTY]],[3]!db[NB NOTA_C_QTY+F],0))</f>
        <v/>
      </c>
      <c r="AW909" s="43" t="str">
        <f ca="1">IF(NOTA[[#This Row],[NB NOTA_C_QTY]]="","",ROW()-2)</f>
        <v/>
      </c>
    </row>
    <row r="910" spans="1:49" ht="20.100000000000001" customHeight="1">
      <c r="A9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5" t="str">
        <f ca="1">IF(NOTA[[#This Row],[NAMA BARANG]]="","",INDEX(NOTA[ID],MATCH(,INDIRECT(ADDRESS(ROW(NOTA[ID]),COLUMN(NOTA[ID]))&amp;":"&amp;ADDRESS(ROW(),COLUMN(NOTA[ID]))),-1)))</f>
        <v/>
      </c>
      <c r="C910" s="45"/>
      <c r="F910" s="46"/>
      <c r="G910" s="35"/>
      <c r="H910" s="36"/>
      <c r="I910" s="35"/>
      <c r="K910" s="37"/>
      <c r="L910" s="35"/>
      <c r="N910" s="38"/>
      <c r="O910" s="39"/>
      <c r="P910" s="47"/>
      <c r="Q910" s="48"/>
      <c r="R910" s="41"/>
      <c r="T910" s="42"/>
      <c r="U910" s="44"/>
      <c r="V910" s="42" t="str">
        <f>IF(NOTA[[#This Row],[HARGA/ CTN]]="",NOTA[[#This Row],[JUMLAH_H]],NOTA[[#This Row],[HARGA/ CTN]]*IF(NOTA[[#This Row],[C]]="",0,NOTA[[#This Row],[C]]))</f>
        <v/>
      </c>
      <c r="W910" s="42" t="str">
        <f>IF(NOTA[[#This Row],[JUMLAH]]="","",NOTA[[#This Row],[JUMLAH]]*NOTA[[#This Row],[Column6]])</f>
        <v/>
      </c>
      <c r="X910" s="42" t="str">
        <f>IF(NOTA[[#This Row],[JUMLAH]]="","",(NOTA[[#This Row],[JUMLAH]]-NOTA[[#This Row],[DISC 1-]])*NOTA[[#This Row],[Column7]])</f>
        <v/>
      </c>
      <c r="Y910" s="42" t="str">
        <f>IF(NOTA[[#This Row],[JUMLAH]]="","",(NOTA[[#This Row],[JUMLAH]]-NOTA[[#This Row],[DISC 1-]]-NOTA[[#This Row],[DISC 2-]])*NOTA[[#This Row],[Column8]])</f>
        <v/>
      </c>
      <c r="Z910" s="42" t="str">
        <f>IF(NOTA[[#This Row],[JUMLAH]]="","",NOTA[[#This Row],[DISC 1-]]+NOTA[[#This Row],[DISC 2-]]+NOTA[[#This Row],[DISC 3-]])</f>
        <v/>
      </c>
      <c r="AA910" s="42" t="str">
        <f>IF(NOTA[[#This Row],[JUMLAH]]="","",NOTA[[#This Row],[JUMLAH]]-NOTA[[#This Row],[DISC]])</f>
        <v/>
      </c>
      <c r="AB910" s="42"/>
      <c r="AC9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42" t="str">
        <f>IF(OR(NOTA[[#This Row],[QTY]]="",NOTA[[#This Row],[HARGA SATUAN]]="",),"",NOTA[[#This Row],[QTY]]*NOTA[[#This Row],[HARGA SATUAN]])</f>
        <v/>
      </c>
      <c r="AG910" s="36" t="str">
        <f ca="1">IF(NOTA[[#This Row],[ID_H]]="","",INDEX(NOTA[TANGGAL],MATCH(,INDIRECT(ADDRESS(ROW(NOTA[TANGGAL]),COLUMN(NOTA[TANGGAL]))&amp;":"&amp;ADDRESS(ROW(),COLUMN(NOTA[TANGGAL]))),-1)))</f>
        <v/>
      </c>
      <c r="AH910" s="36" t="str">
        <f ca="1">IF(NOTA[[#This Row],[ID_H]]="","",INDEX(NOTA[TGL.NOTA],MATCH(,INDIRECT(ADDRESS(ROW(NOTA[TGL.NOTA]),COLUMN(NOTA[TGL.NOTA]))&amp;":"&amp;ADDRESS(ROW(),COLUMN(NOTA[TGL.NOTA]))),-1)))</f>
        <v/>
      </c>
      <c r="AI910" s="36" t="str">
        <f ca="1">IF(NOTA[[#This Row],[ID_H]]="","",INDEX(NOTA[NO.NOTA],MATCH(NOTA[[#This Row],[ID_H]],NOTA[ID_H],0)))</f>
        <v/>
      </c>
      <c r="AJ910" s="38" t="str">
        <f ca="1">IF(NOTA[[#This Row],[NAMA BARANG]]="","",INDEX(NOTA[SUPPLIER],MATCH(,INDIRECT(ADDRESS(ROW(NOTA[ID]),COLUMN(NOTA[ID]))&amp;":"&amp;ADDRESS(ROW(),COLUMN(NOTA[ID]))),-1)))</f>
        <v/>
      </c>
      <c r="AK910" s="38" t="str">
        <f ca="1">IF(NOTA[[#This Row],[ID_H]]="","",IF(NOTA[[#This Row],[FAKTUR]]="",INDIRECT(ADDRESS(ROW()-1,COLUMN())),NOTA[[#This Row],[FAKTUR]]))</f>
        <v/>
      </c>
      <c r="AL910" s="35" t="str">
        <f ca="1">IF(NOTA[[#This Row],[ID]]="","",COUNTIF(NOTA[ID_H],NOTA[[#This Row],[ID_H]]))</f>
        <v/>
      </c>
      <c r="AM910" s="35" t="str">
        <f ca="1">IF(NOTA[[#This Row],[TGL.NOTA]]="",IF(NOTA[[#This Row],[SUPPLIER_H]]="","",AM909),MONTH(NOTA[[#This Row],[TGL.NOTA]]))</f>
        <v/>
      </c>
      <c r="AN9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0" s="35" t="str">
        <f>IF(NOTA[[#This Row],[CONCAT1]]="","",MATCH(NOTA[[#This Row],[CONCAT1]],[3]!db[NB NOTA_C],0))</f>
        <v/>
      </c>
      <c r="AS910" s="35" t="str">
        <f>IF(NOTA[[#This Row],[Column5]]="","",TRUE)</f>
        <v/>
      </c>
      <c r="AT910" s="35" t="str">
        <f ca="1">IF(NOTA[[#This Row],[ID_H]]="","",IF(NOTA[[#This Row],[Column3]]=TRUE,NOTA[[#This Row],[Column5]],INDEX([3]!db[QTY/ CTN],NOTA[[#This Row],[//DB]])))</f>
        <v/>
      </c>
      <c r="AU9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0" s="35" t="str">
        <f ca="1">IF(NOTA[[#This Row],[ID_H]]="","",MATCH(NOTA[[#This Row],[NB NOTA_C_QTY]],[3]!db[NB NOTA_C_QTY+F],0))</f>
        <v/>
      </c>
      <c r="AW910" s="43" t="str">
        <f ca="1">IF(NOTA[[#This Row],[NB NOTA_C_QTY]]="","",ROW()-2)</f>
        <v/>
      </c>
    </row>
    <row r="911" spans="1:49" ht="20.100000000000001" customHeight="1">
      <c r="A9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5" t="str">
        <f ca="1">IF(NOTA[[#This Row],[NAMA BARANG]]="","",INDEX(NOTA[ID],MATCH(,INDIRECT(ADDRESS(ROW(NOTA[ID]),COLUMN(NOTA[ID]))&amp;":"&amp;ADDRESS(ROW(),COLUMN(NOTA[ID]))),-1)))</f>
        <v/>
      </c>
      <c r="C911" s="45"/>
      <c r="F911" s="46"/>
      <c r="G911" s="35"/>
      <c r="H911" s="36"/>
      <c r="I911" s="35"/>
      <c r="K911" s="37"/>
      <c r="L911" s="35"/>
      <c r="N911" s="38"/>
      <c r="O911" s="39"/>
      <c r="P911" s="47"/>
      <c r="Q911" s="48"/>
      <c r="R911" s="41"/>
      <c r="T911" s="42"/>
      <c r="U911" s="44"/>
      <c r="V911" s="42" t="str">
        <f>IF(NOTA[[#This Row],[HARGA/ CTN]]="",NOTA[[#This Row],[JUMLAH_H]],NOTA[[#This Row],[HARGA/ CTN]]*IF(NOTA[[#This Row],[C]]="",0,NOTA[[#This Row],[C]]))</f>
        <v/>
      </c>
      <c r="W911" s="42" t="str">
        <f>IF(NOTA[[#This Row],[JUMLAH]]="","",NOTA[[#This Row],[JUMLAH]]*NOTA[[#This Row],[Column6]])</f>
        <v/>
      </c>
      <c r="X911" s="42" t="str">
        <f>IF(NOTA[[#This Row],[JUMLAH]]="","",(NOTA[[#This Row],[JUMLAH]]-NOTA[[#This Row],[DISC 1-]])*NOTA[[#This Row],[Column7]])</f>
        <v/>
      </c>
      <c r="Y911" s="42" t="str">
        <f>IF(NOTA[[#This Row],[JUMLAH]]="","",(NOTA[[#This Row],[JUMLAH]]-NOTA[[#This Row],[DISC 1-]]-NOTA[[#This Row],[DISC 2-]])*NOTA[[#This Row],[Column8]])</f>
        <v/>
      </c>
      <c r="Z911" s="42" t="str">
        <f>IF(NOTA[[#This Row],[JUMLAH]]="","",NOTA[[#This Row],[DISC 1-]]+NOTA[[#This Row],[DISC 2-]]+NOTA[[#This Row],[DISC 3-]])</f>
        <v/>
      </c>
      <c r="AA911" s="42" t="str">
        <f>IF(NOTA[[#This Row],[JUMLAH]]="","",NOTA[[#This Row],[JUMLAH]]-NOTA[[#This Row],[DISC]])</f>
        <v/>
      </c>
      <c r="AB911" s="42"/>
      <c r="AC9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42" t="str">
        <f>IF(OR(NOTA[[#This Row],[QTY]]="",NOTA[[#This Row],[HARGA SATUAN]]="",),"",NOTA[[#This Row],[QTY]]*NOTA[[#This Row],[HARGA SATUAN]])</f>
        <v/>
      </c>
      <c r="AG911" s="36" t="str">
        <f ca="1">IF(NOTA[[#This Row],[ID_H]]="","",INDEX(NOTA[TANGGAL],MATCH(,INDIRECT(ADDRESS(ROW(NOTA[TANGGAL]),COLUMN(NOTA[TANGGAL]))&amp;":"&amp;ADDRESS(ROW(),COLUMN(NOTA[TANGGAL]))),-1)))</f>
        <v/>
      </c>
      <c r="AH911" s="36" t="str">
        <f ca="1">IF(NOTA[[#This Row],[ID_H]]="","",INDEX(NOTA[TGL.NOTA],MATCH(,INDIRECT(ADDRESS(ROW(NOTA[TGL.NOTA]),COLUMN(NOTA[TGL.NOTA]))&amp;":"&amp;ADDRESS(ROW(),COLUMN(NOTA[TGL.NOTA]))),-1)))</f>
        <v/>
      </c>
      <c r="AI911" s="36" t="str">
        <f ca="1">IF(NOTA[[#This Row],[ID_H]]="","",INDEX(NOTA[NO.NOTA],MATCH(NOTA[[#This Row],[ID_H]],NOTA[ID_H],0)))</f>
        <v/>
      </c>
      <c r="AJ911" s="38" t="str">
        <f ca="1">IF(NOTA[[#This Row],[NAMA BARANG]]="","",INDEX(NOTA[SUPPLIER],MATCH(,INDIRECT(ADDRESS(ROW(NOTA[ID]),COLUMN(NOTA[ID]))&amp;":"&amp;ADDRESS(ROW(),COLUMN(NOTA[ID]))),-1)))</f>
        <v/>
      </c>
      <c r="AK911" s="38" t="str">
        <f ca="1">IF(NOTA[[#This Row],[ID_H]]="","",IF(NOTA[[#This Row],[FAKTUR]]="",INDIRECT(ADDRESS(ROW()-1,COLUMN())),NOTA[[#This Row],[FAKTUR]]))</f>
        <v/>
      </c>
      <c r="AL911" s="35" t="str">
        <f ca="1">IF(NOTA[[#This Row],[ID]]="","",COUNTIF(NOTA[ID_H],NOTA[[#This Row],[ID_H]]))</f>
        <v/>
      </c>
      <c r="AM911" s="35" t="str">
        <f ca="1">IF(NOTA[[#This Row],[TGL.NOTA]]="",IF(NOTA[[#This Row],[SUPPLIER_H]]="","",AM910),MONTH(NOTA[[#This Row],[TGL.NOTA]]))</f>
        <v/>
      </c>
      <c r="AN9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1" s="35" t="str">
        <f>IF(NOTA[[#This Row],[CONCAT1]]="","",MATCH(NOTA[[#This Row],[CONCAT1]],[3]!db[NB NOTA_C],0))</f>
        <v/>
      </c>
      <c r="AS911" s="35" t="str">
        <f>IF(NOTA[[#This Row],[Column5]]="","",TRUE)</f>
        <v/>
      </c>
      <c r="AT911" s="35" t="str">
        <f ca="1">IF(NOTA[[#This Row],[ID_H]]="","",IF(NOTA[[#This Row],[Column3]]=TRUE,NOTA[[#This Row],[Column5]],INDEX([3]!db[QTY/ CTN],NOTA[[#This Row],[//DB]])))</f>
        <v/>
      </c>
      <c r="AU9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1" s="35" t="str">
        <f ca="1">IF(NOTA[[#This Row],[ID_H]]="","",MATCH(NOTA[[#This Row],[NB NOTA_C_QTY]],[3]!db[NB NOTA_C_QTY+F],0))</f>
        <v/>
      </c>
      <c r="AW911" s="43" t="str">
        <f ca="1">IF(NOTA[[#This Row],[NB NOTA_C_QTY]]="","",ROW()-2)</f>
        <v/>
      </c>
    </row>
    <row r="912" spans="1:49" ht="20.100000000000001" customHeight="1">
      <c r="A9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5" t="str">
        <f ca="1">IF(NOTA[[#This Row],[NAMA BARANG]]="","",INDEX(NOTA[ID],MATCH(,INDIRECT(ADDRESS(ROW(NOTA[ID]),COLUMN(NOTA[ID]))&amp;":"&amp;ADDRESS(ROW(),COLUMN(NOTA[ID]))),-1)))</f>
        <v/>
      </c>
      <c r="C912" s="45"/>
      <c r="F912" s="46"/>
      <c r="G912" s="35"/>
      <c r="H912" s="36"/>
      <c r="I912" s="35"/>
      <c r="K912" s="37"/>
      <c r="L912" s="35"/>
      <c r="N912" s="38"/>
      <c r="O912" s="39"/>
      <c r="P912" s="47"/>
      <c r="Q912" s="48"/>
      <c r="R912" s="41"/>
      <c r="T912" s="42"/>
      <c r="U912" s="44"/>
      <c r="V912" s="42" t="str">
        <f>IF(NOTA[[#This Row],[HARGA/ CTN]]="",NOTA[[#This Row],[JUMLAH_H]],NOTA[[#This Row],[HARGA/ CTN]]*IF(NOTA[[#This Row],[C]]="",0,NOTA[[#This Row],[C]]))</f>
        <v/>
      </c>
      <c r="W912" s="42" t="str">
        <f>IF(NOTA[[#This Row],[JUMLAH]]="","",NOTA[[#This Row],[JUMLAH]]*NOTA[[#This Row],[Column6]])</f>
        <v/>
      </c>
      <c r="X912" s="42" t="str">
        <f>IF(NOTA[[#This Row],[JUMLAH]]="","",(NOTA[[#This Row],[JUMLAH]]-NOTA[[#This Row],[DISC 1-]])*NOTA[[#This Row],[Column7]])</f>
        <v/>
      </c>
      <c r="Y912" s="42" t="str">
        <f>IF(NOTA[[#This Row],[JUMLAH]]="","",(NOTA[[#This Row],[JUMLAH]]-NOTA[[#This Row],[DISC 1-]]-NOTA[[#This Row],[DISC 2-]])*NOTA[[#This Row],[Column8]])</f>
        <v/>
      </c>
      <c r="Z912" s="42" t="str">
        <f>IF(NOTA[[#This Row],[JUMLAH]]="","",NOTA[[#This Row],[DISC 1-]]+NOTA[[#This Row],[DISC 2-]]+NOTA[[#This Row],[DISC 3-]])</f>
        <v/>
      </c>
      <c r="AA912" s="42" t="str">
        <f>IF(NOTA[[#This Row],[JUMLAH]]="","",NOTA[[#This Row],[JUMLAH]]-NOTA[[#This Row],[DISC]])</f>
        <v/>
      </c>
      <c r="AB912" s="42"/>
      <c r="AC9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42" t="str">
        <f>IF(OR(NOTA[[#This Row],[QTY]]="",NOTA[[#This Row],[HARGA SATUAN]]="",),"",NOTA[[#This Row],[QTY]]*NOTA[[#This Row],[HARGA SATUAN]])</f>
        <v/>
      </c>
      <c r="AG912" s="36" t="str">
        <f ca="1">IF(NOTA[[#This Row],[ID_H]]="","",INDEX(NOTA[TANGGAL],MATCH(,INDIRECT(ADDRESS(ROW(NOTA[TANGGAL]),COLUMN(NOTA[TANGGAL]))&amp;":"&amp;ADDRESS(ROW(),COLUMN(NOTA[TANGGAL]))),-1)))</f>
        <v/>
      </c>
      <c r="AH912" s="36" t="str">
        <f ca="1">IF(NOTA[[#This Row],[ID_H]]="","",INDEX(NOTA[TGL.NOTA],MATCH(,INDIRECT(ADDRESS(ROW(NOTA[TGL.NOTA]),COLUMN(NOTA[TGL.NOTA]))&amp;":"&amp;ADDRESS(ROW(),COLUMN(NOTA[TGL.NOTA]))),-1)))</f>
        <v/>
      </c>
      <c r="AI912" s="36" t="str">
        <f ca="1">IF(NOTA[[#This Row],[ID_H]]="","",INDEX(NOTA[NO.NOTA],MATCH(NOTA[[#This Row],[ID_H]],NOTA[ID_H],0)))</f>
        <v/>
      </c>
      <c r="AJ912" s="38" t="str">
        <f ca="1">IF(NOTA[[#This Row],[NAMA BARANG]]="","",INDEX(NOTA[SUPPLIER],MATCH(,INDIRECT(ADDRESS(ROW(NOTA[ID]),COLUMN(NOTA[ID]))&amp;":"&amp;ADDRESS(ROW(),COLUMN(NOTA[ID]))),-1)))</f>
        <v/>
      </c>
      <c r="AK912" s="38" t="str">
        <f ca="1">IF(NOTA[[#This Row],[ID_H]]="","",IF(NOTA[[#This Row],[FAKTUR]]="",INDIRECT(ADDRESS(ROW()-1,COLUMN())),NOTA[[#This Row],[FAKTUR]]))</f>
        <v/>
      </c>
      <c r="AL912" s="35" t="str">
        <f ca="1">IF(NOTA[[#This Row],[ID]]="","",COUNTIF(NOTA[ID_H],NOTA[[#This Row],[ID_H]]))</f>
        <v/>
      </c>
      <c r="AM912" s="35" t="str">
        <f ca="1">IF(NOTA[[#This Row],[TGL.NOTA]]="",IF(NOTA[[#This Row],[SUPPLIER_H]]="","",AM911),MONTH(NOTA[[#This Row],[TGL.NOTA]]))</f>
        <v/>
      </c>
      <c r="AN9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2" s="35" t="str">
        <f>IF(NOTA[[#This Row],[CONCAT1]]="","",MATCH(NOTA[[#This Row],[CONCAT1]],[3]!db[NB NOTA_C],0))</f>
        <v/>
      </c>
      <c r="AS912" s="35" t="str">
        <f>IF(NOTA[[#This Row],[Column5]]="","",TRUE)</f>
        <v/>
      </c>
      <c r="AT912" s="35" t="str">
        <f ca="1">IF(NOTA[[#This Row],[ID_H]]="","",IF(NOTA[[#This Row],[Column3]]=TRUE,NOTA[[#This Row],[Column5]],INDEX([3]!db[QTY/ CTN],NOTA[[#This Row],[//DB]])))</f>
        <v/>
      </c>
      <c r="AU9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2" s="35" t="str">
        <f ca="1">IF(NOTA[[#This Row],[ID_H]]="","",MATCH(NOTA[[#This Row],[NB NOTA_C_QTY]],[3]!db[NB NOTA_C_QTY+F],0))</f>
        <v/>
      </c>
      <c r="AW912" s="43" t="str">
        <f ca="1">IF(NOTA[[#This Row],[NB NOTA_C_QTY]]="","",ROW()-2)</f>
        <v/>
      </c>
    </row>
    <row r="913" spans="1:49" ht="20.100000000000001" customHeight="1">
      <c r="A91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5" t="str">
        <f ca="1">IF(NOTA[[#This Row],[NAMA BARANG]]="","",INDEX(NOTA[ID],MATCH(,INDIRECT(ADDRESS(ROW(NOTA[ID]),COLUMN(NOTA[ID]))&amp;":"&amp;ADDRESS(ROW(),COLUMN(NOTA[ID]))),-1)))</f>
        <v/>
      </c>
      <c r="C913" s="45"/>
      <c r="F913" s="46"/>
      <c r="G913" s="35"/>
      <c r="H913" s="36"/>
      <c r="I913" s="35"/>
      <c r="K913" s="37"/>
      <c r="L913" s="35"/>
      <c r="N913" s="38"/>
      <c r="O913" s="39"/>
      <c r="P913" s="47"/>
      <c r="Q913" s="48"/>
      <c r="R913" s="41"/>
      <c r="T913" s="42"/>
      <c r="U913" s="44"/>
      <c r="V913" s="42" t="str">
        <f>IF(NOTA[[#This Row],[HARGA/ CTN]]="",NOTA[[#This Row],[JUMLAH_H]],NOTA[[#This Row],[HARGA/ CTN]]*IF(NOTA[[#This Row],[C]]="",0,NOTA[[#This Row],[C]]))</f>
        <v/>
      </c>
      <c r="W913" s="42" t="str">
        <f>IF(NOTA[[#This Row],[JUMLAH]]="","",NOTA[[#This Row],[JUMLAH]]*NOTA[[#This Row],[Column6]])</f>
        <v/>
      </c>
      <c r="X913" s="42" t="str">
        <f>IF(NOTA[[#This Row],[JUMLAH]]="","",(NOTA[[#This Row],[JUMLAH]]-NOTA[[#This Row],[DISC 1-]])*NOTA[[#This Row],[Column7]])</f>
        <v/>
      </c>
      <c r="Y913" s="42" t="str">
        <f>IF(NOTA[[#This Row],[JUMLAH]]="","",(NOTA[[#This Row],[JUMLAH]]-NOTA[[#This Row],[DISC 1-]]-NOTA[[#This Row],[DISC 2-]])*NOTA[[#This Row],[Column8]])</f>
        <v/>
      </c>
      <c r="Z913" s="42" t="str">
        <f>IF(NOTA[[#This Row],[JUMLAH]]="","",NOTA[[#This Row],[DISC 1-]]+NOTA[[#This Row],[DISC 2-]]+NOTA[[#This Row],[DISC 3-]])</f>
        <v/>
      </c>
      <c r="AA913" s="42" t="str">
        <f>IF(NOTA[[#This Row],[JUMLAH]]="","",NOTA[[#This Row],[JUMLAH]]-NOTA[[#This Row],[DISC]])</f>
        <v/>
      </c>
      <c r="AB913" s="42"/>
      <c r="AC9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42" t="str">
        <f>IF(OR(NOTA[[#This Row],[QTY]]="",NOTA[[#This Row],[HARGA SATUAN]]="",),"",NOTA[[#This Row],[QTY]]*NOTA[[#This Row],[HARGA SATUAN]])</f>
        <v/>
      </c>
      <c r="AG913" s="36" t="str">
        <f ca="1">IF(NOTA[[#This Row],[ID_H]]="","",INDEX(NOTA[TANGGAL],MATCH(,INDIRECT(ADDRESS(ROW(NOTA[TANGGAL]),COLUMN(NOTA[TANGGAL]))&amp;":"&amp;ADDRESS(ROW(),COLUMN(NOTA[TANGGAL]))),-1)))</f>
        <v/>
      </c>
      <c r="AH913" s="36" t="str">
        <f ca="1">IF(NOTA[[#This Row],[ID_H]]="","",INDEX(NOTA[TGL.NOTA],MATCH(,INDIRECT(ADDRESS(ROW(NOTA[TGL.NOTA]),COLUMN(NOTA[TGL.NOTA]))&amp;":"&amp;ADDRESS(ROW(),COLUMN(NOTA[TGL.NOTA]))),-1)))</f>
        <v/>
      </c>
      <c r="AI913" s="36" t="str">
        <f ca="1">IF(NOTA[[#This Row],[ID_H]]="","",INDEX(NOTA[NO.NOTA],MATCH(NOTA[[#This Row],[ID_H]],NOTA[ID_H],0)))</f>
        <v/>
      </c>
      <c r="AJ913" s="38" t="str">
        <f ca="1">IF(NOTA[[#This Row],[NAMA BARANG]]="","",INDEX(NOTA[SUPPLIER],MATCH(,INDIRECT(ADDRESS(ROW(NOTA[ID]),COLUMN(NOTA[ID]))&amp;":"&amp;ADDRESS(ROW(),COLUMN(NOTA[ID]))),-1)))</f>
        <v/>
      </c>
      <c r="AK913" s="38" t="str">
        <f ca="1">IF(NOTA[[#This Row],[ID_H]]="","",IF(NOTA[[#This Row],[FAKTUR]]="",INDIRECT(ADDRESS(ROW()-1,COLUMN())),NOTA[[#This Row],[FAKTUR]]))</f>
        <v/>
      </c>
      <c r="AL913" s="35" t="str">
        <f ca="1">IF(NOTA[[#This Row],[ID]]="","",COUNTIF(NOTA[ID_H],NOTA[[#This Row],[ID_H]]))</f>
        <v/>
      </c>
      <c r="AM913" s="35" t="str">
        <f ca="1">IF(NOTA[[#This Row],[TGL.NOTA]]="",IF(NOTA[[#This Row],[SUPPLIER_H]]="","",AM912),MONTH(NOTA[[#This Row],[TGL.NOTA]]))</f>
        <v/>
      </c>
      <c r="AN91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3" s="35" t="str">
        <f>IF(NOTA[[#This Row],[CONCAT1]]="","",MATCH(NOTA[[#This Row],[CONCAT1]],[3]!db[NB NOTA_C],0))</f>
        <v/>
      </c>
      <c r="AS913" s="35" t="str">
        <f>IF(NOTA[[#This Row],[Column5]]="","",TRUE)</f>
        <v/>
      </c>
      <c r="AT913" s="35" t="str">
        <f ca="1">IF(NOTA[[#This Row],[ID_H]]="","",IF(NOTA[[#This Row],[Column3]]=TRUE,NOTA[[#This Row],[Column5]],INDEX([3]!db[QTY/ CTN],NOTA[[#This Row],[//DB]])))</f>
        <v/>
      </c>
      <c r="AU91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3" s="35" t="str">
        <f ca="1">IF(NOTA[[#This Row],[ID_H]]="","",MATCH(NOTA[[#This Row],[NB NOTA_C_QTY]],[3]!db[NB NOTA_C_QTY+F],0))</f>
        <v/>
      </c>
      <c r="AW913" s="43" t="str">
        <f ca="1">IF(NOTA[[#This Row],[NB NOTA_C_QTY]]="","",ROW()-2)</f>
        <v/>
      </c>
    </row>
    <row r="914" spans="1:49" ht="20.100000000000001" customHeight="1">
      <c r="A91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5" t="str">
        <f ca="1">IF(NOTA[[#This Row],[NAMA BARANG]]="","",INDEX(NOTA[ID],MATCH(,INDIRECT(ADDRESS(ROW(NOTA[ID]),COLUMN(NOTA[ID]))&amp;":"&amp;ADDRESS(ROW(),COLUMN(NOTA[ID]))),-1)))</f>
        <v/>
      </c>
      <c r="C914" s="45"/>
      <c r="F914" s="46"/>
      <c r="G914" s="35"/>
      <c r="H914" s="36"/>
      <c r="I914" s="35"/>
      <c r="K914" s="37"/>
      <c r="L914" s="35"/>
      <c r="N914" s="38"/>
      <c r="O914" s="39"/>
      <c r="P914" s="47"/>
      <c r="Q914" s="48"/>
      <c r="R914" s="41"/>
      <c r="T914" s="42"/>
      <c r="U914" s="44"/>
      <c r="V914" s="42" t="str">
        <f>IF(NOTA[[#This Row],[HARGA/ CTN]]="",NOTA[[#This Row],[JUMLAH_H]],NOTA[[#This Row],[HARGA/ CTN]]*IF(NOTA[[#This Row],[C]]="",0,NOTA[[#This Row],[C]]))</f>
        <v/>
      </c>
      <c r="W914" s="42" t="str">
        <f>IF(NOTA[[#This Row],[JUMLAH]]="","",NOTA[[#This Row],[JUMLAH]]*NOTA[[#This Row],[Column6]])</f>
        <v/>
      </c>
      <c r="X914" s="42" t="str">
        <f>IF(NOTA[[#This Row],[JUMLAH]]="","",(NOTA[[#This Row],[JUMLAH]]-NOTA[[#This Row],[DISC 1-]])*NOTA[[#This Row],[Column7]])</f>
        <v/>
      </c>
      <c r="Y914" s="42" t="str">
        <f>IF(NOTA[[#This Row],[JUMLAH]]="","",(NOTA[[#This Row],[JUMLAH]]-NOTA[[#This Row],[DISC 1-]]-NOTA[[#This Row],[DISC 2-]])*NOTA[[#This Row],[Column8]])</f>
        <v/>
      </c>
      <c r="Z914" s="42" t="str">
        <f>IF(NOTA[[#This Row],[JUMLAH]]="","",NOTA[[#This Row],[DISC 1-]]+NOTA[[#This Row],[DISC 2-]]+NOTA[[#This Row],[DISC 3-]])</f>
        <v/>
      </c>
      <c r="AA914" s="42" t="str">
        <f>IF(NOTA[[#This Row],[JUMLAH]]="","",NOTA[[#This Row],[JUMLAH]]-NOTA[[#This Row],[DISC]])</f>
        <v/>
      </c>
      <c r="AB914" s="42"/>
      <c r="AC9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42" t="str">
        <f>IF(OR(NOTA[[#This Row],[QTY]]="",NOTA[[#This Row],[HARGA SATUAN]]="",),"",NOTA[[#This Row],[QTY]]*NOTA[[#This Row],[HARGA SATUAN]])</f>
        <v/>
      </c>
      <c r="AG914" s="36" t="str">
        <f ca="1">IF(NOTA[[#This Row],[ID_H]]="","",INDEX(NOTA[TANGGAL],MATCH(,INDIRECT(ADDRESS(ROW(NOTA[TANGGAL]),COLUMN(NOTA[TANGGAL]))&amp;":"&amp;ADDRESS(ROW(),COLUMN(NOTA[TANGGAL]))),-1)))</f>
        <v/>
      </c>
      <c r="AH914" s="36" t="str">
        <f ca="1">IF(NOTA[[#This Row],[ID_H]]="","",INDEX(NOTA[TGL.NOTA],MATCH(,INDIRECT(ADDRESS(ROW(NOTA[TGL.NOTA]),COLUMN(NOTA[TGL.NOTA]))&amp;":"&amp;ADDRESS(ROW(),COLUMN(NOTA[TGL.NOTA]))),-1)))</f>
        <v/>
      </c>
      <c r="AI914" s="36" t="str">
        <f ca="1">IF(NOTA[[#This Row],[ID_H]]="","",INDEX(NOTA[NO.NOTA],MATCH(NOTA[[#This Row],[ID_H]],NOTA[ID_H],0)))</f>
        <v/>
      </c>
      <c r="AJ914" s="38" t="str">
        <f ca="1">IF(NOTA[[#This Row],[NAMA BARANG]]="","",INDEX(NOTA[SUPPLIER],MATCH(,INDIRECT(ADDRESS(ROW(NOTA[ID]),COLUMN(NOTA[ID]))&amp;":"&amp;ADDRESS(ROW(),COLUMN(NOTA[ID]))),-1)))</f>
        <v/>
      </c>
      <c r="AK914" s="38" t="str">
        <f ca="1">IF(NOTA[[#This Row],[ID_H]]="","",IF(NOTA[[#This Row],[FAKTUR]]="",INDIRECT(ADDRESS(ROW()-1,COLUMN())),NOTA[[#This Row],[FAKTUR]]))</f>
        <v/>
      </c>
      <c r="AL914" s="35" t="str">
        <f ca="1">IF(NOTA[[#This Row],[ID]]="","",COUNTIF(NOTA[ID_H],NOTA[[#This Row],[ID_H]]))</f>
        <v/>
      </c>
      <c r="AM914" s="35" t="str">
        <f ca="1">IF(NOTA[[#This Row],[TGL.NOTA]]="",IF(NOTA[[#This Row],[SUPPLIER_H]]="","",AM913),MONTH(NOTA[[#This Row],[TGL.NOTA]]))</f>
        <v/>
      </c>
      <c r="AN91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4" s="35" t="str">
        <f>IF(NOTA[[#This Row],[CONCAT1]]="","",MATCH(NOTA[[#This Row],[CONCAT1]],[3]!db[NB NOTA_C],0))</f>
        <v/>
      </c>
      <c r="AS914" s="35" t="str">
        <f>IF(NOTA[[#This Row],[Column5]]="","",TRUE)</f>
        <v/>
      </c>
      <c r="AT914" s="35" t="str">
        <f ca="1">IF(NOTA[[#This Row],[ID_H]]="","",IF(NOTA[[#This Row],[Column3]]=TRUE,NOTA[[#This Row],[Column5]],INDEX([3]!db[QTY/ CTN],NOTA[[#This Row],[//DB]])))</f>
        <v/>
      </c>
      <c r="AU91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4" s="35" t="str">
        <f ca="1">IF(NOTA[[#This Row],[ID_H]]="","",MATCH(NOTA[[#This Row],[NB NOTA_C_QTY]],[3]!db[NB NOTA_C_QTY+F],0))</f>
        <v/>
      </c>
      <c r="AW914" s="43" t="str">
        <f ca="1">IF(NOTA[[#This Row],[NB NOTA_C_QTY]]="","",ROW()-2)</f>
        <v/>
      </c>
    </row>
    <row r="915" spans="1:49" ht="20.100000000000001" customHeight="1">
      <c r="A91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5" t="str">
        <f ca="1">IF(NOTA[[#This Row],[NAMA BARANG]]="","",INDEX(NOTA[ID],MATCH(,INDIRECT(ADDRESS(ROW(NOTA[ID]),COLUMN(NOTA[ID]))&amp;":"&amp;ADDRESS(ROW(),COLUMN(NOTA[ID]))),-1)))</f>
        <v/>
      </c>
      <c r="C915" s="45"/>
      <c r="F915" s="46"/>
      <c r="G915" s="35"/>
      <c r="H915" s="36"/>
      <c r="I915" s="35"/>
      <c r="K915" s="37"/>
      <c r="L915" s="35"/>
      <c r="N915" s="38"/>
      <c r="O915" s="39"/>
      <c r="P915" s="47"/>
      <c r="Q915" s="48"/>
      <c r="R915" s="41"/>
      <c r="T915" s="42"/>
      <c r="U915" s="44"/>
      <c r="V915" s="42" t="str">
        <f>IF(NOTA[[#This Row],[HARGA/ CTN]]="",NOTA[[#This Row],[JUMLAH_H]],NOTA[[#This Row],[HARGA/ CTN]]*IF(NOTA[[#This Row],[C]]="",0,NOTA[[#This Row],[C]]))</f>
        <v/>
      </c>
      <c r="W915" s="42" t="str">
        <f>IF(NOTA[[#This Row],[JUMLAH]]="","",NOTA[[#This Row],[JUMLAH]]*NOTA[[#This Row],[Column6]])</f>
        <v/>
      </c>
      <c r="X915" s="42" t="str">
        <f>IF(NOTA[[#This Row],[JUMLAH]]="","",(NOTA[[#This Row],[JUMLAH]]-NOTA[[#This Row],[DISC 1-]])*NOTA[[#This Row],[Column7]])</f>
        <v/>
      </c>
      <c r="Y915" s="42" t="str">
        <f>IF(NOTA[[#This Row],[JUMLAH]]="","",(NOTA[[#This Row],[JUMLAH]]-NOTA[[#This Row],[DISC 1-]]-NOTA[[#This Row],[DISC 2-]])*NOTA[[#This Row],[Column8]])</f>
        <v/>
      </c>
      <c r="Z915" s="42" t="str">
        <f>IF(NOTA[[#This Row],[JUMLAH]]="","",NOTA[[#This Row],[DISC 1-]]+NOTA[[#This Row],[DISC 2-]]+NOTA[[#This Row],[DISC 3-]])</f>
        <v/>
      </c>
      <c r="AA915" s="42" t="str">
        <f>IF(NOTA[[#This Row],[JUMLAH]]="","",NOTA[[#This Row],[JUMLAH]]-NOTA[[#This Row],[DISC]])</f>
        <v/>
      </c>
      <c r="AB915" s="42"/>
      <c r="AC9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42" t="str">
        <f>IF(OR(NOTA[[#This Row],[QTY]]="",NOTA[[#This Row],[HARGA SATUAN]]="",),"",NOTA[[#This Row],[QTY]]*NOTA[[#This Row],[HARGA SATUAN]])</f>
        <v/>
      </c>
      <c r="AG915" s="36" t="str">
        <f ca="1">IF(NOTA[[#This Row],[ID_H]]="","",INDEX(NOTA[TANGGAL],MATCH(,INDIRECT(ADDRESS(ROW(NOTA[TANGGAL]),COLUMN(NOTA[TANGGAL]))&amp;":"&amp;ADDRESS(ROW(),COLUMN(NOTA[TANGGAL]))),-1)))</f>
        <v/>
      </c>
      <c r="AH915" s="36" t="str">
        <f ca="1">IF(NOTA[[#This Row],[ID_H]]="","",INDEX(NOTA[TGL.NOTA],MATCH(,INDIRECT(ADDRESS(ROW(NOTA[TGL.NOTA]),COLUMN(NOTA[TGL.NOTA]))&amp;":"&amp;ADDRESS(ROW(),COLUMN(NOTA[TGL.NOTA]))),-1)))</f>
        <v/>
      </c>
      <c r="AI915" s="36" t="str">
        <f ca="1">IF(NOTA[[#This Row],[ID_H]]="","",INDEX(NOTA[NO.NOTA],MATCH(NOTA[[#This Row],[ID_H]],NOTA[ID_H],0)))</f>
        <v/>
      </c>
      <c r="AJ915" s="38" t="str">
        <f ca="1">IF(NOTA[[#This Row],[NAMA BARANG]]="","",INDEX(NOTA[SUPPLIER],MATCH(,INDIRECT(ADDRESS(ROW(NOTA[ID]),COLUMN(NOTA[ID]))&amp;":"&amp;ADDRESS(ROW(),COLUMN(NOTA[ID]))),-1)))</f>
        <v/>
      </c>
      <c r="AK915" s="38" t="str">
        <f ca="1">IF(NOTA[[#This Row],[ID_H]]="","",IF(NOTA[[#This Row],[FAKTUR]]="",INDIRECT(ADDRESS(ROW()-1,COLUMN())),NOTA[[#This Row],[FAKTUR]]))</f>
        <v/>
      </c>
      <c r="AL915" s="35" t="str">
        <f ca="1">IF(NOTA[[#This Row],[ID]]="","",COUNTIF(NOTA[ID_H],NOTA[[#This Row],[ID_H]]))</f>
        <v/>
      </c>
      <c r="AM915" s="35" t="str">
        <f ca="1">IF(NOTA[[#This Row],[TGL.NOTA]]="",IF(NOTA[[#This Row],[SUPPLIER_H]]="","",AM914),MONTH(NOTA[[#This Row],[TGL.NOTA]]))</f>
        <v/>
      </c>
      <c r="AN91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5" s="35" t="str">
        <f>IF(NOTA[[#This Row],[CONCAT1]]="","",MATCH(NOTA[[#This Row],[CONCAT1]],[3]!db[NB NOTA_C],0))</f>
        <v/>
      </c>
      <c r="AS915" s="35" t="str">
        <f>IF(NOTA[[#This Row],[Column5]]="","",TRUE)</f>
        <v/>
      </c>
      <c r="AT915" s="35" t="str">
        <f ca="1">IF(NOTA[[#This Row],[ID_H]]="","",IF(NOTA[[#This Row],[Column3]]=TRUE,NOTA[[#This Row],[Column5]],INDEX([3]!db[QTY/ CTN],NOTA[[#This Row],[//DB]])))</f>
        <v/>
      </c>
      <c r="AU91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5" s="35" t="str">
        <f ca="1">IF(NOTA[[#This Row],[ID_H]]="","",MATCH(NOTA[[#This Row],[NB NOTA_C_QTY]],[3]!db[NB NOTA_C_QTY+F],0))</f>
        <v/>
      </c>
      <c r="AW915" s="43" t="str">
        <f ca="1">IF(NOTA[[#This Row],[NB NOTA_C_QTY]]="","",ROW()-2)</f>
        <v/>
      </c>
    </row>
    <row r="916" spans="1:49" ht="20.100000000000001" customHeight="1">
      <c r="A91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5" t="str">
        <f ca="1">IF(NOTA[[#This Row],[NAMA BARANG]]="","",INDEX(NOTA[ID],MATCH(,INDIRECT(ADDRESS(ROW(NOTA[ID]),COLUMN(NOTA[ID]))&amp;":"&amp;ADDRESS(ROW(),COLUMN(NOTA[ID]))),-1)))</f>
        <v/>
      </c>
      <c r="C916" s="45"/>
      <c r="F916" s="46"/>
      <c r="G916" s="35"/>
      <c r="H916" s="36"/>
      <c r="I916" s="35"/>
      <c r="K916" s="37"/>
      <c r="L916" s="35"/>
      <c r="N916" s="38"/>
      <c r="O916" s="39"/>
      <c r="P916" s="47"/>
      <c r="Q916" s="48"/>
      <c r="R916" s="41"/>
      <c r="T916" s="42"/>
      <c r="U916" s="44"/>
      <c r="V916" s="42" t="str">
        <f>IF(NOTA[[#This Row],[HARGA/ CTN]]="",NOTA[[#This Row],[JUMLAH_H]],NOTA[[#This Row],[HARGA/ CTN]]*IF(NOTA[[#This Row],[C]]="",0,NOTA[[#This Row],[C]]))</f>
        <v/>
      </c>
      <c r="W916" s="42" t="str">
        <f>IF(NOTA[[#This Row],[JUMLAH]]="","",NOTA[[#This Row],[JUMLAH]]*NOTA[[#This Row],[Column6]])</f>
        <v/>
      </c>
      <c r="X916" s="42" t="str">
        <f>IF(NOTA[[#This Row],[JUMLAH]]="","",(NOTA[[#This Row],[JUMLAH]]-NOTA[[#This Row],[DISC 1-]])*NOTA[[#This Row],[Column7]])</f>
        <v/>
      </c>
      <c r="Y916" s="42" t="str">
        <f>IF(NOTA[[#This Row],[JUMLAH]]="","",(NOTA[[#This Row],[JUMLAH]]-NOTA[[#This Row],[DISC 1-]]-NOTA[[#This Row],[DISC 2-]])*NOTA[[#This Row],[Column8]])</f>
        <v/>
      </c>
      <c r="Z916" s="42" t="str">
        <f>IF(NOTA[[#This Row],[JUMLAH]]="","",NOTA[[#This Row],[DISC 1-]]+NOTA[[#This Row],[DISC 2-]]+NOTA[[#This Row],[DISC 3-]])</f>
        <v/>
      </c>
      <c r="AA916" s="42" t="str">
        <f>IF(NOTA[[#This Row],[JUMLAH]]="","",NOTA[[#This Row],[JUMLAH]]-NOTA[[#This Row],[DISC]])</f>
        <v/>
      </c>
      <c r="AB916" s="42"/>
      <c r="AC9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42" t="str">
        <f>IF(OR(NOTA[[#This Row],[QTY]]="",NOTA[[#This Row],[HARGA SATUAN]]="",),"",NOTA[[#This Row],[QTY]]*NOTA[[#This Row],[HARGA SATUAN]])</f>
        <v/>
      </c>
      <c r="AG916" s="36" t="str">
        <f ca="1">IF(NOTA[[#This Row],[ID_H]]="","",INDEX(NOTA[TANGGAL],MATCH(,INDIRECT(ADDRESS(ROW(NOTA[TANGGAL]),COLUMN(NOTA[TANGGAL]))&amp;":"&amp;ADDRESS(ROW(),COLUMN(NOTA[TANGGAL]))),-1)))</f>
        <v/>
      </c>
      <c r="AH916" s="36" t="str">
        <f ca="1">IF(NOTA[[#This Row],[ID_H]]="","",INDEX(NOTA[TGL.NOTA],MATCH(,INDIRECT(ADDRESS(ROW(NOTA[TGL.NOTA]),COLUMN(NOTA[TGL.NOTA]))&amp;":"&amp;ADDRESS(ROW(),COLUMN(NOTA[TGL.NOTA]))),-1)))</f>
        <v/>
      </c>
      <c r="AI916" s="36" t="str">
        <f ca="1">IF(NOTA[[#This Row],[ID_H]]="","",INDEX(NOTA[NO.NOTA],MATCH(NOTA[[#This Row],[ID_H]],NOTA[ID_H],0)))</f>
        <v/>
      </c>
      <c r="AJ916" s="38" t="str">
        <f ca="1">IF(NOTA[[#This Row],[NAMA BARANG]]="","",INDEX(NOTA[SUPPLIER],MATCH(,INDIRECT(ADDRESS(ROW(NOTA[ID]),COLUMN(NOTA[ID]))&amp;":"&amp;ADDRESS(ROW(),COLUMN(NOTA[ID]))),-1)))</f>
        <v/>
      </c>
      <c r="AK916" s="38" t="str">
        <f ca="1">IF(NOTA[[#This Row],[ID_H]]="","",IF(NOTA[[#This Row],[FAKTUR]]="",INDIRECT(ADDRESS(ROW()-1,COLUMN())),NOTA[[#This Row],[FAKTUR]]))</f>
        <v/>
      </c>
      <c r="AL916" s="35" t="str">
        <f ca="1">IF(NOTA[[#This Row],[ID]]="","",COUNTIF(NOTA[ID_H],NOTA[[#This Row],[ID_H]]))</f>
        <v/>
      </c>
      <c r="AM916" s="35" t="str">
        <f ca="1">IF(NOTA[[#This Row],[TGL.NOTA]]="",IF(NOTA[[#This Row],[SUPPLIER_H]]="","",AM915),MONTH(NOTA[[#This Row],[TGL.NOTA]]))</f>
        <v/>
      </c>
      <c r="AN91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6" s="35" t="str">
        <f>IF(NOTA[[#This Row],[CONCAT1]]="","",MATCH(NOTA[[#This Row],[CONCAT1]],[3]!db[NB NOTA_C],0))</f>
        <v/>
      </c>
      <c r="AS916" s="35" t="str">
        <f>IF(NOTA[[#This Row],[Column5]]="","",TRUE)</f>
        <v/>
      </c>
      <c r="AT916" s="35" t="str">
        <f ca="1">IF(NOTA[[#This Row],[ID_H]]="","",IF(NOTA[[#This Row],[Column3]]=TRUE,NOTA[[#This Row],[Column5]],INDEX([3]!db[QTY/ CTN],NOTA[[#This Row],[//DB]])))</f>
        <v/>
      </c>
      <c r="AU91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6" s="35" t="str">
        <f ca="1">IF(NOTA[[#This Row],[ID_H]]="","",MATCH(NOTA[[#This Row],[NB NOTA_C_QTY]],[3]!db[NB NOTA_C_QTY+F],0))</f>
        <v/>
      </c>
      <c r="AW916" s="43" t="str">
        <f ca="1">IF(NOTA[[#This Row],[NB NOTA_C_QTY]]="","",ROW()-2)</f>
        <v/>
      </c>
    </row>
    <row r="917" spans="1:49" ht="20.100000000000001" customHeight="1">
      <c r="A91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5" t="str">
        <f ca="1">IF(NOTA[[#This Row],[NAMA BARANG]]="","",INDEX(NOTA[ID],MATCH(,INDIRECT(ADDRESS(ROW(NOTA[ID]),COLUMN(NOTA[ID]))&amp;":"&amp;ADDRESS(ROW(),COLUMN(NOTA[ID]))),-1)))</f>
        <v/>
      </c>
      <c r="C917" s="45"/>
      <c r="F917" s="46"/>
      <c r="G917" s="35"/>
      <c r="H917" s="36"/>
      <c r="I917" s="35"/>
      <c r="K917" s="37"/>
      <c r="L917" s="35"/>
      <c r="N917" s="38"/>
      <c r="O917" s="39"/>
      <c r="P917" s="47"/>
      <c r="Q917" s="48"/>
      <c r="R917" s="41"/>
      <c r="T917" s="42"/>
      <c r="U917" s="44"/>
      <c r="V917" s="42" t="str">
        <f>IF(NOTA[[#This Row],[HARGA/ CTN]]="",NOTA[[#This Row],[JUMLAH_H]],NOTA[[#This Row],[HARGA/ CTN]]*IF(NOTA[[#This Row],[C]]="",0,NOTA[[#This Row],[C]]))</f>
        <v/>
      </c>
      <c r="W917" s="42" t="str">
        <f>IF(NOTA[[#This Row],[JUMLAH]]="","",NOTA[[#This Row],[JUMLAH]]*NOTA[[#This Row],[Column6]])</f>
        <v/>
      </c>
      <c r="X917" s="42" t="str">
        <f>IF(NOTA[[#This Row],[JUMLAH]]="","",(NOTA[[#This Row],[JUMLAH]]-NOTA[[#This Row],[DISC 1-]])*NOTA[[#This Row],[Column7]])</f>
        <v/>
      </c>
      <c r="Y917" s="42" t="str">
        <f>IF(NOTA[[#This Row],[JUMLAH]]="","",(NOTA[[#This Row],[JUMLAH]]-NOTA[[#This Row],[DISC 1-]]-NOTA[[#This Row],[DISC 2-]])*NOTA[[#This Row],[Column8]])</f>
        <v/>
      </c>
      <c r="Z917" s="42" t="str">
        <f>IF(NOTA[[#This Row],[JUMLAH]]="","",NOTA[[#This Row],[DISC 1-]]+NOTA[[#This Row],[DISC 2-]]+NOTA[[#This Row],[DISC 3-]])</f>
        <v/>
      </c>
      <c r="AA917" s="42" t="str">
        <f>IF(NOTA[[#This Row],[JUMLAH]]="","",NOTA[[#This Row],[JUMLAH]]-NOTA[[#This Row],[DISC]])</f>
        <v/>
      </c>
      <c r="AB917" s="42"/>
      <c r="AC9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42" t="str">
        <f>IF(OR(NOTA[[#This Row],[QTY]]="",NOTA[[#This Row],[HARGA SATUAN]]="",),"",NOTA[[#This Row],[QTY]]*NOTA[[#This Row],[HARGA SATUAN]])</f>
        <v/>
      </c>
      <c r="AG917" s="36" t="str">
        <f ca="1">IF(NOTA[[#This Row],[ID_H]]="","",INDEX(NOTA[TANGGAL],MATCH(,INDIRECT(ADDRESS(ROW(NOTA[TANGGAL]),COLUMN(NOTA[TANGGAL]))&amp;":"&amp;ADDRESS(ROW(),COLUMN(NOTA[TANGGAL]))),-1)))</f>
        <v/>
      </c>
      <c r="AH917" s="36" t="str">
        <f ca="1">IF(NOTA[[#This Row],[ID_H]]="","",INDEX(NOTA[TGL.NOTA],MATCH(,INDIRECT(ADDRESS(ROW(NOTA[TGL.NOTA]),COLUMN(NOTA[TGL.NOTA]))&amp;":"&amp;ADDRESS(ROW(),COLUMN(NOTA[TGL.NOTA]))),-1)))</f>
        <v/>
      </c>
      <c r="AI917" s="36" t="str">
        <f ca="1">IF(NOTA[[#This Row],[ID_H]]="","",INDEX(NOTA[NO.NOTA],MATCH(NOTA[[#This Row],[ID_H]],NOTA[ID_H],0)))</f>
        <v/>
      </c>
      <c r="AJ917" s="38" t="str">
        <f ca="1">IF(NOTA[[#This Row],[NAMA BARANG]]="","",INDEX(NOTA[SUPPLIER],MATCH(,INDIRECT(ADDRESS(ROW(NOTA[ID]),COLUMN(NOTA[ID]))&amp;":"&amp;ADDRESS(ROW(),COLUMN(NOTA[ID]))),-1)))</f>
        <v/>
      </c>
      <c r="AK917" s="38" t="str">
        <f ca="1">IF(NOTA[[#This Row],[ID_H]]="","",IF(NOTA[[#This Row],[FAKTUR]]="",INDIRECT(ADDRESS(ROW()-1,COLUMN())),NOTA[[#This Row],[FAKTUR]]))</f>
        <v/>
      </c>
      <c r="AL917" s="35" t="str">
        <f ca="1">IF(NOTA[[#This Row],[ID]]="","",COUNTIF(NOTA[ID_H],NOTA[[#This Row],[ID_H]]))</f>
        <v/>
      </c>
      <c r="AM917" s="35" t="str">
        <f ca="1">IF(NOTA[[#This Row],[TGL.NOTA]]="",IF(NOTA[[#This Row],[SUPPLIER_H]]="","",AM916),MONTH(NOTA[[#This Row],[TGL.NOTA]]))</f>
        <v/>
      </c>
      <c r="AN91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7" s="35" t="str">
        <f>IF(NOTA[[#This Row],[CONCAT1]]="","",MATCH(NOTA[[#This Row],[CONCAT1]],[3]!db[NB NOTA_C],0))</f>
        <v/>
      </c>
      <c r="AS917" s="35" t="str">
        <f>IF(NOTA[[#This Row],[Column5]]="","",TRUE)</f>
        <v/>
      </c>
      <c r="AT917" s="35" t="str">
        <f ca="1">IF(NOTA[[#This Row],[ID_H]]="","",IF(NOTA[[#This Row],[Column3]]=TRUE,NOTA[[#This Row],[Column5]],INDEX([3]!db[QTY/ CTN],NOTA[[#This Row],[//DB]])))</f>
        <v/>
      </c>
      <c r="AU91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7" s="35" t="str">
        <f ca="1">IF(NOTA[[#This Row],[ID_H]]="","",MATCH(NOTA[[#This Row],[NB NOTA_C_QTY]],[3]!db[NB NOTA_C_QTY+F],0))</f>
        <v/>
      </c>
      <c r="AW917" s="43" t="str">
        <f ca="1">IF(NOTA[[#This Row],[NB NOTA_C_QTY]]="","",ROW()-2)</f>
        <v/>
      </c>
    </row>
    <row r="918" spans="1:49" ht="20.100000000000001" customHeight="1">
      <c r="A91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5" t="str">
        <f ca="1">IF(NOTA[[#This Row],[NAMA BARANG]]="","",INDEX(NOTA[ID],MATCH(,INDIRECT(ADDRESS(ROW(NOTA[ID]),COLUMN(NOTA[ID]))&amp;":"&amp;ADDRESS(ROW(),COLUMN(NOTA[ID]))),-1)))</f>
        <v/>
      </c>
      <c r="C918" s="45"/>
      <c r="F918" s="46"/>
      <c r="G918" s="35"/>
      <c r="H918" s="36"/>
      <c r="I918" s="35"/>
      <c r="K918" s="37"/>
      <c r="L918" s="35"/>
      <c r="N918" s="38"/>
      <c r="O918" s="39"/>
      <c r="P918" s="47"/>
      <c r="Q918" s="48"/>
      <c r="R918" s="41"/>
      <c r="T918" s="42"/>
      <c r="U918" s="44"/>
      <c r="V918" s="42" t="str">
        <f>IF(NOTA[[#This Row],[HARGA/ CTN]]="",NOTA[[#This Row],[JUMLAH_H]],NOTA[[#This Row],[HARGA/ CTN]]*IF(NOTA[[#This Row],[C]]="",0,NOTA[[#This Row],[C]]))</f>
        <v/>
      </c>
      <c r="W918" s="42" t="str">
        <f>IF(NOTA[[#This Row],[JUMLAH]]="","",NOTA[[#This Row],[JUMLAH]]*NOTA[[#This Row],[Column6]])</f>
        <v/>
      </c>
      <c r="X918" s="42" t="str">
        <f>IF(NOTA[[#This Row],[JUMLAH]]="","",(NOTA[[#This Row],[JUMLAH]]-NOTA[[#This Row],[DISC 1-]])*NOTA[[#This Row],[Column7]])</f>
        <v/>
      </c>
      <c r="Y918" s="42" t="str">
        <f>IF(NOTA[[#This Row],[JUMLAH]]="","",(NOTA[[#This Row],[JUMLAH]]-NOTA[[#This Row],[DISC 1-]]-NOTA[[#This Row],[DISC 2-]])*NOTA[[#This Row],[Column8]])</f>
        <v/>
      </c>
      <c r="Z918" s="42" t="str">
        <f>IF(NOTA[[#This Row],[JUMLAH]]="","",NOTA[[#This Row],[DISC 1-]]+NOTA[[#This Row],[DISC 2-]]+NOTA[[#This Row],[DISC 3-]])</f>
        <v/>
      </c>
      <c r="AA918" s="42" t="str">
        <f>IF(NOTA[[#This Row],[JUMLAH]]="","",NOTA[[#This Row],[JUMLAH]]-NOTA[[#This Row],[DISC]])</f>
        <v/>
      </c>
      <c r="AB918" s="42"/>
      <c r="AC9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42" t="str">
        <f>IF(OR(NOTA[[#This Row],[QTY]]="",NOTA[[#This Row],[HARGA SATUAN]]="",),"",NOTA[[#This Row],[QTY]]*NOTA[[#This Row],[HARGA SATUAN]])</f>
        <v/>
      </c>
      <c r="AG918" s="36" t="str">
        <f ca="1">IF(NOTA[[#This Row],[ID_H]]="","",INDEX(NOTA[TANGGAL],MATCH(,INDIRECT(ADDRESS(ROW(NOTA[TANGGAL]),COLUMN(NOTA[TANGGAL]))&amp;":"&amp;ADDRESS(ROW(),COLUMN(NOTA[TANGGAL]))),-1)))</f>
        <v/>
      </c>
      <c r="AH918" s="36" t="str">
        <f ca="1">IF(NOTA[[#This Row],[ID_H]]="","",INDEX(NOTA[TGL.NOTA],MATCH(,INDIRECT(ADDRESS(ROW(NOTA[TGL.NOTA]),COLUMN(NOTA[TGL.NOTA]))&amp;":"&amp;ADDRESS(ROW(),COLUMN(NOTA[TGL.NOTA]))),-1)))</f>
        <v/>
      </c>
      <c r="AI918" s="36" t="str">
        <f ca="1">IF(NOTA[[#This Row],[ID_H]]="","",INDEX(NOTA[NO.NOTA],MATCH(NOTA[[#This Row],[ID_H]],NOTA[ID_H],0)))</f>
        <v/>
      </c>
      <c r="AJ918" s="38" t="str">
        <f ca="1">IF(NOTA[[#This Row],[NAMA BARANG]]="","",INDEX(NOTA[SUPPLIER],MATCH(,INDIRECT(ADDRESS(ROW(NOTA[ID]),COLUMN(NOTA[ID]))&amp;":"&amp;ADDRESS(ROW(),COLUMN(NOTA[ID]))),-1)))</f>
        <v/>
      </c>
      <c r="AK918" s="38" t="str">
        <f ca="1">IF(NOTA[[#This Row],[ID_H]]="","",IF(NOTA[[#This Row],[FAKTUR]]="",INDIRECT(ADDRESS(ROW()-1,COLUMN())),NOTA[[#This Row],[FAKTUR]]))</f>
        <v/>
      </c>
      <c r="AL918" s="35" t="str">
        <f ca="1">IF(NOTA[[#This Row],[ID]]="","",COUNTIF(NOTA[ID_H],NOTA[[#This Row],[ID_H]]))</f>
        <v/>
      </c>
      <c r="AM918" s="35" t="str">
        <f ca="1">IF(NOTA[[#This Row],[TGL.NOTA]]="",IF(NOTA[[#This Row],[SUPPLIER_H]]="","",AM917),MONTH(NOTA[[#This Row],[TGL.NOTA]]))</f>
        <v/>
      </c>
      <c r="AN91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8" s="35" t="str">
        <f>IF(NOTA[[#This Row],[CONCAT1]]="","",MATCH(NOTA[[#This Row],[CONCAT1]],[3]!db[NB NOTA_C],0))</f>
        <v/>
      </c>
      <c r="AS918" s="35" t="str">
        <f>IF(NOTA[[#This Row],[Column5]]="","",TRUE)</f>
        <v/>
      </c>
      <c r="AT918" s="35" t="str">
        <f ca="1">IF(NOTA[[#This Row],[ID_H]]="","",IF(NOTA[[#This Row],[Column3]]=TRUE,NOTA[[#This Row],[Column5]],INDEX([3]!db[QTY/ CTN],NOTA[[#This Row],[//DB]])))</f>
        <v/>
      </c>
      <c r="AU91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8" s="35" t="str">
        <f ca="1">IF(NOTA[[#This Row],[ID_H]]="","",MATCH(NOTA[[#This Row],[NB NOTA_C_QTY]],[3]!db[NB NOTA_C_QTY+F],0))</f>
        <v/>
      </c>
      <c r="AW918" s="43" t="str">
        <f ca="1">IF(NOTA[[#This Row],[NB NOTA_C_QTY]]="","",ROW()-2)</f>
        <v/>
      </c>
    </row>
    <row r="919" spans="1:49" ht="20.100000000000001" customHeight="1">
      <c r="A91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5" t="str">
        <f ca="1">IF(NOTA[[#This Row],[NAMA BARANG]]="","",INDEX(NOTA[ID],MATCH(,INDIRECT(ADDRESS(ROW(NOTA[ID]),COLUMN(NOTA[ID]))&amp;":"&amp;ADDRESS(ROW(),COLUMN(NOTA[ID]))),-1)))</f>
        <v/>
      </c>
      <c r="C919" s="45"/>
      <c r="F919" s="46"/>
      <c r="G919" s="35"/>
      <c r="H919" s="36"/>
      <c r="I919" s="35"/>
      <c r="K919" s="37"/>
      <c r="L919" s="35"/>
      <c r="N919" s="38"/>
      <c r="O919" s="39"/>
      <c r="P919" s="47"/>
      <c r="Q919" s="48"/>
      <c r="R919" s="41"/>
      <c r="T919" s="42"/>
      <c r="U919" s="44"/>
      <c r="V919" s="42" t="str">
        <f>IF(NOTA[[#This Row],[HARGA/ CTN]]="",NOTA[[#This Row],[JUMLAH_H]],NOTA[[#This Row],[HARGA/ CTN]]*IF(NOTA[[#This Row],[C]]="",0,NOTA[[#This Row],[C]]))</f>
        <v/>
      </c>
      <c r="W919" s="42" t="str">
        <f>IF(NOTA[[#This Row],[JUMLAH]]="","",NOTA[[#This Row],[JUMLAH]]*NOTA[[#This Row],[Column6]])</f>
        <v/>
      </c>
      <c r="X919" s="42" t="str">
        <f>IF(NOTA[[#This Row],[JUMLAH]]="","",(NOTA[[#This Row],[JUMLAH]]-NOTA[[#This Row],[DISC 1-]])*NOTA[[#This Row],[Column7]])</f>
        <v/>
      </c>
      <c r="Y919" s="42" t="str">
        <f>IF(NOTA[[#This Row],[JUMLAH]]="","",(NOTA[[#This Row],[JUMLAH]]-NOTA[[#This Row],[DISC 1-]]-NOTA[[#This Row],[DISC 2-]])*NOTA[[#This Row],[Column8]])</f>
        <v/>
      </c>
      <c r="Z919" s="42" t="str">
        <f>IF(NOTA[[#This Row],[JUMLAH]]="","",NOTA[[#This Row],[DISC 1-]]+NOTA[[#This Row],[DISC 2-]]+NOTA[[#This Row],[DISC 3-]])</f>
        <v/>
      </c>
      <c r="AA919" s="42" t="str">
        <f>IF(NOTA[[#This Row],[JUMLAH]]="","",NOTA[[#This Row],[JUMLAH]]-NOTA[[#This Row],[DISC]])</f>
        <v/>
      </c>
      <c r="AB919" s="42"/>
      <c r="AC9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1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42" t="str">
        <f>IF(OR(NOTA[[#This Row],[QTY]]="",NOTA[[#This Row],[HARGA SATUAN]]="",),"",NOTA[[#This Row],[QTY]]*NOTA[[#This Row],[HARGA SATUAN]])</f>
        <v/>
      </c>
      <c r="AG919" s="36" t="str">
        <f ca="1">IF(NOTA[[#This Row],[ID_H]]="","",INDEX(NOTA[TANGGAL],MATCH(,INDIRECT(ADDRESS(ROW(NOTA[TANGGAL]),COLUMN(NOTA[TANGGAL]))&amp;":"&amp;ADDRESS(ROW(),COLUMN(NOTA[TANGGAL]))),-1)))</f>
        <v/>
      </c>
      <c r="AH919" s="36" t="str">
        <f ca="1">IF(NOTA[[#This Row],[ID_H]]="","",INDEX(NOTA[TGL.NOTA],MATCH(,INDIRECT(ADDRESS(ROW(NOTA[TGL.NOTA]),COLUMN(NOTA[TGL.NOTA]))&amp;":"&amp;ADDRESS(ROW(),COLUMN(NOTA[TGL.NOTA]))),-1)))</f>
        <v/>
      </c>
      <c r="AI919" s="36" t="str">
        <f ca="1">IF(NOTA[[#This Row],[ID_H]]="","",INDEX(NOTA[NO.NOTA],MATCH(NOTA[[#This Row],[ID_H]],NOTA[ID_H],0)))</f>
        <v/>
      </c>
      <c r="AJ919" s="38" t="str">
        <f ca="1">IF(NOTA[[#This Row],[NAMA BARANG]]="","",INDEX(NOTA[SUPPLIER],MATCH(,INDIRECT(ADDRESS(ROW(NOTA[ID]),COLUMN(NOTA[ID]))&amp;":"&amp;ADDRESS(ROW(),COLUMN(NOTA[ID]))),-1)))</f>
        <v/>
      </c>
      <c r="AK919" s="38" t="str">
        <f ca="1">IF(NOTA[[#This Row],[ID_H]]="","",IF(NOTA[[#This Row],[FAKTUR]]="",INDIRECT(ADDRESS(ROW()-1,COLUMN())),NOTA[[#This Row],[FAKTUR]]))</f>
        <v/>
      </c>
      <c r="AL919" s="35" t="str">
        <f ca="1">IF(NOTA[[#This Row],[ID]]="","",COUNTIF(NOTA[ID_H],NOTA[[#This Row],[ID_H]]))</f>
        <v/>
      </c>
      <c r="AM919" s="35" t="str">
        <f ca="1">IF(NOTA[[#This Row],[TGL.NOTA]]="",IF(NOTA[[#This Row],[SUPPLIER_H]]="","",AM918),MONTH(NOTA[[#This Row],[TGL.NOTA]]))</f>
        <v/>
      </c>
      <c r="AN91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1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1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1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9" s="35" t="str">
        <f>IF(NOTA[[#This Row],[CONCAT1]]="","",MATCH(NOTA[[#This Row],[CONCAT1]],[3]!db[NB NOTA_C],0))</f>
        <v/>
      </c>
      <c r="AS919" s="35" t="str">
        <f>IF(NOTA[[#This Row],[Column5]]="","",TRUE)</f>
        <v/>
      </c>
      <c r="AT919" s="35" t="str">
        <f ca="1">IF(NOTA[[#This Row],[ID_H]]="","",IF(NOTA[[#This Row],[Column3]]=TRUE,NOTA[[#This Row],[Column5]],INDEX([3]!db[QTY/ CTN],NOTA[[#This Row],[//DB]])))</f>
        <v/>
      </c>
      <c r="AU91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19" s="35" t="str">
        <f ca="1">IF(NOTA[[#This Row],[ID_H]]="","",MATCH(NOTA[[#This Row],[NB NOTA_C_QTY]],[3]!db[NB NOTA_C_QTY+F],0))</f>
        <v/>
      </c>
      <c r="AW919" s="43" t="str">
        <f ca="1">IF(NOTA[[#This Row],[NB NOTA_C_QTY]]="","",ROW()-2)</f>
        <v/>
      </c>
    </row>
    <row r="920" spans="1:49" ht="20.100000000000001" customHeight="1">
      <c r="A92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5" t="str">
        <f ca="1">IF(NOTA[[#This Row],[NAMA BARANG]]="","",INDEX(NOTA[ID],MATCH(,INDIRECT(ADDRESS(ROW(NOTA[ID]),COLUMN(NOTA[ID]))&amp;":"&amp;ADDRESS(ROW(),COLUMN(NOTA[ID]))),-1)))</f>
        <v/>
      </c>
      <c r="C920" s="45"/>
      <c r="F920" s="46"/>
      <c r="G920" s="35"/>
      <c r="H920" s="36"/>
      <c r="I920" s="35"/>
      <c r="K920" s="37"/>
      <c r="L920" s="35"/>
      <c r="N920" s="38"/>
      <c r="O920" s="39"/>
      <c r="P920" s="47"/>
      <c r="Q920" s="48"/>
      <c r="R920" s="41"/>
      <c r="T920" s="42"/>
      <c r="U920" s="44"/>
      <c r="V920" s="42" t="str">
        <f>IF(NOTA[[#This Row],[HARGA/ CTN]]="",NOTA[[#This Row],[JUMLAH_H]],NOTA[[#This Row],[HARGA/ CTN]]*IF(NOTA[[#This Row],[C]]="",0,NOTA[[#This Row],[C]]))</f>
        <v/>
      </c>
      <c r="W920" s="42" t="str">
        <f>IF(NOTA[[#This Row],[JUMLAH]]="","",NOTA[[#This Row],[JUMLAH]]*NOTA[[#This Row],[Column6]])</f>
        <v/>
      </c>
      <c r="X920" s="42" t="str">
        <f>IF(NOTA[[#This Row],[JUMLAH]]="","",(NOTA[[#This Row],[JUMLAH]]-NOTA[[#This Row],[DISC 1-]])*NOTA[[#This Row],[Column7]])</f>
        <v/>
      </c>
      <c r="Y920" s="42" t="str">
        <f>IF(NOTA[[#This Row],[JUMLAH]]="","",(NOTA[[#This Row],[JUMLAH]]-NOTA[[#This Row],[DISC 1-]]-NOTA[[#This Row],[DISC 2-]])*NOTA[[#This Row],[Column8]])</f>
        <v/>
      </c>
      <c r="Z920" s="42" t="str">
        <f>IF(NOTA[[#This Row],[JUMLAH]]="","",NOTA[[#This Row],[DISC 1-]]+NOTA[[#This Row],[DISC 2-]]+NOTA[[#This Row],[DISC 3-]])</f>
        <v/>
      </c>
      <c r="AA920" s="42" t="str">
        <f>IF(NOTA[[#This Row],[JUMLAH]]="","",NOTA[[#This Row],[JUMLAH]]-NOTA[[#This Row],[DISC]])</f>
        <v/>
      </c>
      <c r="AB920" s="42"/>
      <c r="AC9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42" t="str">
        <f>IF(OR(NOTA[[#This Row],[QTY]]="",NOTA[[#This Row],[HARGA SATUAN]]="",),"",NOTA[[#This Row],[QTY]]*NOTA[[#This Row],[HARGA SATUAN]])</f>
        <v/>
      </c>
      <c r="AG920" s="36" t="str">
        <f ca="1">IF(NOTA[[#This Row],[ID_H]]="","",INDEX(NOTA[TANGGAL],MATCH(,INDIRECT(ADDRESS(ROW(NOTA[TANGGAL]),COLUMN(NOTA[TANGGAL]))&amp;":"&amp;ADDRESS(ROW(),COLUMN(NOTA[TANGGAL]))),-1)))</f>
        <v/>
      </c>
      <c r="AH920" s="36" t="str">
        <f ca="1">IF(NOTA[[#This Row],[ID_H]]="","",INDEX(NOTA[TGL.NOTA],MATCH(,INDIRECT(ADDRESS(ROW(NOTA[TGL.NOTA]),COLUMN(NOTA[TGL.NOTA]))&amp;":"&amp;ADDRESS(ROW(),COLUMN(NOTA[TGL.NOTA]))),-1)))</f>
        <v/>
      </c>
      <c r="AI920" s="36" t="str">
        <f ca="1">IF(NOTA[[#This Row],[ID_H]]="","",INDEX(NOTA[NO.NOTA],MATCH(NOTA[[#This Row],[ID_H]],NOTA[ID_H],0)))</f>
        <v/>
      </c>
      <c r="AJ920" s="38" t="str">
        <f ca="1">IF(NOTA[[#This Row],[NAMA BARANG]]="","",INDEX(NOTA[SUPPLIER],MATCH(,INDIRECT(ADDRESS(ROW(NOTA[ID]),COLUMN(NOTA[ID]))&amp;":"&amp;ADDRESS(ROW(),COLUMN(NOTA[ID]))),-1)))</f>
        <v/>
      </c>
      <c r="AK920" s="38" t="str">
        <f ca="1">IF(NOTA[[#This Row],[ID_H]]="","",IF(NOTA[[#This Row],[FAKTUR]]="",INDIRECT(ADDRESS(ROW()-1,COLUMN())),NOTA[[#This Row],[FAKTUR]]))</f>
        <v/>
      </c>
      <c r="AL920" s="35" t="str">
        <f ca="1">IF(NOTA[[#This Row],[ID]]="","",COUNTIF(NOTA[ID_H],NOTA[[#This Row],[ID_H]]))</f>
        <v/>
      </c>
      <c r="AM920" s="35" t="str">
        <f ca="1">IF(NOTA[[#This Row],[TGL.NOTA]]="",IF(NOTA[[#This Row],[SUPPLIER_H]]="","",AM919),MONTH(NOTA[[#This Row],[TGL.NOTA]]))</f>
        <v/>
      </c>
      <c r="AN92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0" s="35" t="str">
        <f>IF(NOTA[[#This Row],[CONCAT1]]="","",MATCH(NOTA[[#This Row],[CONCAT1]],[3]!db[NB NOTA_C],0))</f>
        <v/>
      </c>
      <c r="AS920" s="35" t="str">
        <f>IF(NOTA[[#This Row],[Column5]]="","",TRUE)</f>
        <v/>
      </c>
      <c r="AT920" s="35" t="str">
        <f ca="1">IF(NOTA[[#This Row],[ID_H]]="","",IF(NOTA[[#This Row],[Column3]]=TRUE,NOTA[[#This Row],[Column5]],INDEX([3]!db[QTY/ CTN],NOTA[[#This Row],[//DB]])))</f>
        <v/>
      </c>
      <c r="AU92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0" s="35" t="str">
        <f ca="1">IF(NOTA[[#This Row],[ID_H]]="","",MATCH(NOTA[[#This Row],[NB NOTA_C_QTY]],[3]!db[NB NOTA_C_QTY+F],0))</f>
        <v/>
      </c>
      <c r="AW920" s="43" t="str">
        <f ca="1">IF(NOTA[[#This Row],[NB NOTA_C_QTY]]="","",ROW()-2)</f>
        <v/>
      </c>
    </row>
    <row r="921" spans="1:49" ht="20.100000000000001" customHeight="1">
      <c r="A92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5" t="str">
        <f ca="1">IF(NOTA[[#This Row],[NAMA BARANG]]="","",INDEX(NOTA[ID],MATCH(,INDIRECT(ADDRESS(ROW(NOTA[ID]),COLUMN(NOTA[ID]))&amp;":"&amp;ADDRESS(ROW(),COLUMN(NOTA[ID]))),-1)))</f>
        <v/>
      </c>
      <c r="C921" s="45"/>
      <c r="F921" s="46"/>
      <c r="G921" s="35"/>
      <c r="H921" s="36"/>
      <c r="I921" s="35"/>
      <c r="K921" s="37"/>
      <c r="L921" s="35"/>
      <c r="N921" s="38"/>
      <c r="O921" s="39"/>
      <c r="P921" s="47"/>
      <c r="Q921" s="48"/>
      <c r="R921" s="41"/>
      <c r="T921" s="42"/>
      <c r="U921" s="44"/>
      <c r="V921" s="42" t="str">
        <f>IF(NOTA[[#This Row],[HARGA/ CTN]]="",NOTA[[#This Row],[JUMLAH_H]],NOTA[[#This Row],[HARGA/ CTN]]*IF(NOTA[[#This Row],[C]]="",0,NOTA[[#This Row],[C]]))</f>
        <v/>
      </c>
      <c r="W921" s="42" t="str">
        <f>IF(NOTA[[#This Row],[JUMLAH]]="","",NOTA[[#This Row],[JUMLAH]]*NOTA[[#This Row],[Column6]])</f>
        <v/>
      </c>
      <c r="X921" s="42" t="str">
        <f>IF(NOTA[[#This Row],[JUMLAH]]="","",(NOTA[[#This Row],[JUMLAH]]-NOTA[[#This Row],[DISC 1-]])*NOTA[[#This Row],[Column7]])</f>
        <v/>
      </c>
      <c r="Y921" s="42" t="str">
        <f>IF(NOTA[[#This Row],[JUMLAH]]="","",(NOTA[[#This Row],[JUMLAH]]-NOTA[[#This Row],[DISC 1-]]-NOTA[[#This Row],[DISC 2-]])*NOTA[[#This Row],[Column8]])</f>
        <v/>
      </c>
      <c r="Z921" s="42" t="str">
        <f>IF(NOTA[[#This Row],[JUMLAH]]="","",NOTA[[#This Row],[DISC 1-]]+NOTA[[#This Row],[DISC 2-]]+NOTA[[#This Row],[DISC 3-]])</f>
        <v/>
      </c>
      <c r="AA921" s="42" t="str">
        <f>IF(NOTA[[#This Row],[JUMLAH]]="","",NOTA[[#This Row],[JUMLAH]]-NOTA[[#This Row],[DISC]])</f>
        <v/>
      </c>
      <c r="AB921" s="42"/>
      <c r="AC9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42" t="str">
        <f>IF(OR(NOTA[[#This Row],[QTY]]="",NOTA[[#This Row],[HARGA SATUAN]]="",),"",NOTA[[#This Row],[QTY]]*NOTA[[#This Row],[HARGA SATUAN]])</f>
        <v/>
      </c>
      <c r="AG921" s="36" t="str">
        <f ca="1">IF(NOTA[[#This Row],[ID_H]]="","",INDEX(NOTA[TANGGAL],MATCH(,INDIRECT(ADDRESS(ROW(NOTA[TANGGAL]),COLUMN(NOTA[TANGGAL]))&amp;":"&amp;ADDRESS(ROW(),COLUMN(NOTA[TANGGAL]))),-1)))</f>
        <v/>
      </c>
      <c r="AH921" s="36" t="str">
        <f ca="1">IF(NOTA[[#This Row],[ID_H]]="","",INDEX(NOTA[TGL.NOTA],MATCH(,INDIRECT(ADDRESS(ROW(NOTA[TGL.NOTA]),COLUMN(NOTA[TGL.NOTA]))&amp;":"&amp;ADDRESS(ROW(),COLUMN(NOTA[TGL.NOTA]))),-1)))</f>
        <v/>
      </c>
      <c r="AI921" s="36" t="str">
        <f ca="1">IF(NOTA[[#This Row],[ID_H]]="","",INDEX(NOTA[NO.NOTA],MATCH(NOTA[[#This Row],[ID_H]],NOTA[ID_H],0)))</f>
        <v/>
      </c>
      <c r="AJ921" s="38" t="str">
        <f ca="1">IF(NOTA[[#This Row],[NAMA BARANG]]="","",INDEX(NOTA[SUPPLIER],MATCH(,INDIRECT(ADDRESS(ROW(NOTA[ID]),COLUMN(NOTA[ID]))&amp;":"&amp;ADDRESS(ROW(),COLUMN(NOTA[ID]))),-1)))</f>
        <v/>
      </c>
      <c r="AK921" s="38" t="str">
        <f ca="1">IF(NOTA[[#This Row],[ID_H]]="","",IF(NOTA[[#This Row],[FAKTUR]]="",INDIRECT(ADDRESS(ROW()-1,COLUMN())),NOTA[[#This Row],[FAKTUR]]))</f>
        <v/>
      </c>
      <c r="AL921" s="35" t="str">
        <f ca="1">IF(NOTA[[#This Row],[ID]]="","",COUNTIF(NOTA[ID_H],NOTA[[#This Row],[ID_H]]))</f>
        <v/>
      </c>
      <c r="AM921" s="35" t="str">
        <f ca="1">IF(NOTA[[#This Row],[TGL.NOTA]]="",IF(NOTA[[#This Row],[SUPPLIER_H]]="","",AM920),MONTH(NOTA[[#This Row],[TGL.NOTA]]))</f>
        <v/>
      </c>
      <c r="AN92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1" s="35" t="str">
        <f>IF(NOTA[[#This Row],[CONCAT1]]="","",MATCH(NOTA[[#This Row],[CONCAT1]],[3]!db[NB NOTA_C],0))</f>
        <v/>
      </c>
      <c r="AS921" s="35" t="str">
        <f>IF(NOTA[[#This Row],[Column5]]="","",TRUE)</f>
        <v/>
      </c>
      <c r="AT921" s="35" t="str">
        <f ca="1">IF(NOTA[[#This Row],[ID_H]]="","",IF(NOTA[[#This Row],[Column3]]=TRUE,NOTA[[#This Row],[Column5]],INDEX([3]!db[QTY/ CTN],NOTA[[#This Row],[//DB]])))</f>
        <v/>
      </c>
      <c r="AU92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1" s="35" t="str">
        <f ca="1">IF(NOTA[[#This Row],[ID_H]]="","",MATCH(NOTA[[#This Row],[NB NOTA_C_QTY]],[3]!db[NB NOTA_C_QTY+F],0))</f>
        <v/>
      </c>
      <c r="AW921" s="43" t="str">
        <f ca="1">IF(NOTA[[#This Row],[NB NOTA_C_QTY]]="","",ROW()-2)</f>
        <v/>
      </c>
    </row>
    <row r="922" spans="1:49" ht="20.100000000000001" customHeight="1">
      <c r="A92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5" t="str">
        <f ca="1">IF(NOTA[[#This Row],[NAMA BARANG]]="","",INDEX(NOTA[ID],MATCH(,INDIRECT(ADDRESS(ROW(NOTA[ID]),COLUMN(NOTA[ID]))&amp;":"&amp;ADDRESS(ROW(),COLUMN(NOTA[ID]))),-1)))</f>
        <v/>
      </c>
      <c r="C922" s="45"/>
      <c r="F922" s="46"/>
      <c r="G922" s="35"/>
      <c r="H922" s="36"/>
      <c r="I922" s="35"/>
      <c r="K922" s="37"/>
      <c r="L922" s="35"/>
      <c r="N922" s="38"/>
      <c r="O922" s="39"/>
      <c r="P922" s="47"/>
      <c r="Q922" s="48"/>
      <c r="R922" s="41"/>
      <c r="T922" s="42"/>
      <c r="U922" s="44"/>
      <c r="V922" s="42" t="str">
        <f>IF(NOTA[[#This Row],[HARGA/ CTN]]="",NOTA[[#This Row],[JUMLAH_H]],NOTA[[#This Row],[HARGA/ CTN]]*IF(NOTA[[#This Row],[C]]="",0,NOTA[[#This Row],[C]]))</f>
        <v/>
      </c>
      <c r="W922" s="42" t="str">
        <f>IF(NOTA[[#This Row],[JUMLAH]]="","",NOTA[[#This Row],[JUMLAH]]*NOTA[[#This Row],[Column6]])</f>
        <v/>
      </c>
      <c r="X922" s="42" t="str">
        <f>IF(NOTA[[#This Row],[JUMLAH]]="","",(NOTA[[#This Row],[JUMLAH]]-NOTA[[#This Row],[DISC 1-]])*NOTA[[#This Row],[Column7]])</f>
        <v/>
      </c>
      <c r="Y922" s="42" t="str">
        <f>IF(NOTA[[#This Row],[JUMLAH]]="","",(NOTA[[#This Row],[JUMLAH]]-NOTA[[#This Row],[DISC 1-]]-NOTA[[#This Row],[DISC 2-]])*NOTA[[#This Row],[Column8]])</f>
        <v/>
      </c>
      <c r="Z922" s="42" t="str">
        <f>IF(NOTA[[#This Row],[JUMLAH]]="","",NOTA[[#This Row],[DISC 1-]]+NOTA[[#This Row],[DISC 2-]]+NOTA[[#This Row],[DISC 3-]])</f>
        <v/>
      </c>
      <c r="AA922" s="42" t="str">
        <f>IF(NOTA[[#This Row],[JUMLAH]]="","",NOTA[[#This Row],[JUMLAH]]-NOTA[[#This Row],[DISC]])</f>
        <v/>
      </c>
      <c r="AB922" s="42"/>
      <c r="AC9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42" t="str">
        <f>IF(OR(NOTA[[#This Row],[QTY]]="",NOTA[[#This Row],[HARGA SATUAN]]="",),"",NOTA[[#This Row],[QTY]]*NOTA[[#This Row],[HARGA SATUAN]])</f>
        <v/>
      </c>
      <c r="AG922" s="36" t="str">
        <f ca="1">IF(NOTA[[#This Row],[ID_H]]="","",INDEX(NOTA[TANGGAL],MATCH(,INDIRECT(ADDRESS(ROW(NOTA[TANGGAL]),COLUMN(NOTA[TANGGAL]))&amp;":"&amp;ADDRESS(ROW(),COLUMN(NOTA[TANGGAL]))),-1)))</f>
        <v/>
      </c>
      <c r="AH922" s="36" t="str">
        <f ca="1">IF(NOTA[[#This Row],[ID_H]]="","",INDEX(NOTA[TGL.NOTA],MATCH(,INDIRECT(ADDRESS(ROW(NOTA[TGL.NOTA]),COLUMN(NOTA[TGL.NOTA]))&amp;":"&amp;ADDRESS(ROW(),COLUMN(NOTA[TGL.NOTA]))),-1)))</f>
        <v/>
      </c>
      <c r="AI922" s="36" t="str">
        <f ca="1">IF(NOTA[[#This Row],[ID_H]]="","",INDEX(NOTA[NO.NOTA],MATCH(NOTA[[#This Row],[ID_H]],NOTA[ID_H],0)))</f>
        <v/>
      </c>
      <c r="AJ922" s="38" t="str">
        <f ca="1">IF(NOTA[[#This Row],[NAMA BARANG]]="","",INDEX(NOTA[SUPPLIER],MATCH(,INDIRECT(ADDRESS(ROW(NOTA[ID]),COLUMN(NOTA[ID]))&amp;":"&amp;ADDRESS(ROW(),COLUMN(NOTA[ID]))),-1)))</f>
        <v/>
      </c>
      <c r="AK922" s="38" t="str">
        <f ca="1">IF(NOTA[[#This Row],[ID_H]]="","",IF(NOTA[[#This Row],[FAKTUR]]="",INDIRECT(ADDRESS(ROW()-1,COLUMN())),NOTA[[#This Row],[FAKTUR]]))</f>
        <v/>
      </c>
      <c r="AL922" s="35" t="str">
        <f ca="1">IF(NOTA[[#This Row],[ID]]="","",COUNTIF(NOTA[ID_H],NOTA[[#This Row],[ID_H]]))</f>
        <v/>
      </c>
      <c r="AM922" s="35" t="str">
        <f ca="1">IF(NOTA[[#This Row],[TGL.NOTA]]="",IF(NOTA[[#This Row],[SUPPLIER_H]]="","",AM921),MONTH(NOTA[[#This Row],[TGL.NOTA]]))</f>
        <v/>
      </c>
      <c r="AN92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2" s="35" t="str">
        <f>IF(NOTA[[#This Row],[CONCAT1]]="","",MATCH(NOTA[[#This Row],[CONCAT1]],[3]!db[NB NOTA_C],0))</f>
        <v/>
      </c>
      <c r="AS922" s="35" t="str">
        <f>IF(NOTA[[#This Row],[Column5]]="","",TRUE)</f>
        <v/>
      </c>
      <c r="AT922" s="35" t="str">
        <f ca="1">IF(NOTA[[#This Row],[ID_H]]="","",IF(NOTA[[#This Row],[Column3]]=TRUE,NOTA[[#This Row],[Column5]],INDEX([3]!db[QTY/ CTN],NOTA[[#This Row],[//DB]])))</f>
        <v/>
      </c>
      <c r="AU92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2" s="35" t="str">
        <f ca="1">IF(NOTA[[#This Row],[ID_H]]="","",MATCH(NOTA[[#This Row],[NB NOTA_C_QTY]],[3]!db[NB NOTA_C_QTY+F],0))</f>
        <v/>
      </c>
      <c r="AW922" s="43" t="str">
        <f ca="1">IF(NOTA[[#This Row],[NB NOTA_C_QTY]]="","",ROW()-2)</f>
        <v/>
      </c>
    </row>
    <row r="923" spans="1:49" ht="20.100000000000001" customHeight="1">
      <c r="A92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5" t="str">
        <f ca="1">IF(NOTA[[#This Row],[NAMA BARANG]]="","",INDEX(NOTA[ID],MATCH(,INDIRECT(ADDRESS(ROW(NOTA[ID]),COLUMN(NOTA[ID]))&amp;":"&amp;ADDRESS(ROW(),COLUMN(NOTA[ID]))),-1)))</f>
        <v/>
      </c>
      <c r="C923" s="45"/>
      <c r="F923" s="46"/>
      <c r="G923" s="35"/>
      <c r="H923" s="36"/>
      <c r="I923" s="35"/>
      <c r="K923" s="37"/>
      <c r="L923" s="35"/>
      <c r="N923" s="38"/>
      <c r="O923" s="39"/>
      <c r="P923" s="47"/>
      <c r="Q923" s="48"/>
      <c r="R923" s="41"/>
      <c r="T923" s="42"/>
      <c r="U923" s="44"/>
      <c r="V923" s="42" t="str">
        <f>IF(NOTA[[#This Row],[HARGA/ CTN]]="",NOTA[[#This Row],[JUMLAH_H]],NOTA[[#This Row],[HARGA/ CTN]]*IF(NOTA[[#This Row],[C]]="",0,NOTA[[#This Row],[C]]))</f>
        <v/>
      </c>
      <c r="W923" s="42" t="str">
        <f>IF(NOTA[[#This Row],[JUMLAH]]="","",NOTA[[#This Row],[JUMLAH]]*NOTA[[#This Row],[Column6]])</f>
        <v/>
      </c>
      <c r="X923" s="42" t="str">
        <f>IF(NOTA[[#This Row],[JUMLAH]]="","",(NOTA[[#This Row],[JUMLAH]]-NOTA[[#This Row],[DISC 1-]])*NOTA[[#This Row],[Column7]])</f>
        <v/>
      </c>
      <c r="Y923" s="42" t="str">
        <f>IF(NOTA[[#This Row],[JUMLAH]]="","",(NOTA[[#This Row],[JUMLAH]]-NOTA[[#This Row],[DISC 1-]]-NOTA[[#This Row],[DISC 2-]])*NOTA[[#This Row],[Column8]])</f>
        <v/>
      </c>
      <c r="Z923" s="42" t="str">
        <f>IF(NOTA[[#This Row],[JUMLAH]]="","",NOTA[[#This Row],[DISC 1-]]+NOTA[[#This Row],[DISC 2-]]+NOTA[[#This Row],[DISC 3-]])</f>
        <v/>
      </c>
      <c r="AA923" s="42" t="str">
        <f>IF(NOTA[[#This Row],[JUMLAH]]="","",NOTA[[#This Row],[JUMLAH]]-NOTA[[#This Row],[DISC]])</f>
        <v/>
      </c>
      <c r="AB923" s="42"/>
      <c r="AC9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42" t="str">
        <f>IF(OR(NOTA[[#This Row],[QTY]]="",NOTA[[#This Row],[HARGA SATUAN]]="",),"",NOTA[[#This Row],[QTY]]*NOTA[[#This Row],[HARGA SATUAN]])</f>
        <v/>
      </c>
      <c r="AG923" s="36" t="str">
        <f ca="1">IF(NOTA[[#This Row],[ID_H]]="","",INDEX(NOTA[TANGGAL],MATCH(,INDIRECT(ADDRESS(ROW(NOTA[TANGGAL]),COLUMN(NOTA[TANGGAL]))&amp;":"&amp;ADDRESS(ROW(),COLUMN(NOTA[TANGGAL]))),-1)))</f>
        <v/>
      </c>
      <c r="AH923" s="36" t="str">
        <f ca="1">IF(NOTA[[#This Row],[ID_H]]="","",INDEX(NOTA[TGL.NOTA],MATCH(,INDIRECT(ADDRESS(ROW(NOTA[TGL.NOTA]),COLUMN(NOTA[TGL.NOTA]))&amp;":"&amp;ADDRESS(ROW(),COLUMN(NOTA[TGL.NOTA]))),-1)))</f>
        <v/>
      </c>
      <c r="AI923" s="36" t="str">
        <f ca="1">IF(NOTA[[#This Row],[ID_H]]="","",INDEX(NOTA[NO.NOTA],MATCH(NOTA[[#This Row],[ID_H]],NOTA[ID_H],0)))</f>
        <v/>
      </c>
      <c r="AJ923" s="38" t="str">
        <f ca="1">IF(NOTA[[#This Row],[NAMA BARANG]]="","",INDEX(NOTA[SUPPLIER],MATCH(,INDIRECT(ADDRESS(ROW(NOTA[ID]),COLUMN(NOTA[ID]))&amp;":"&amp;ADDRESS(ROW(),COLUMN(NOTA[ID]))),-1)))</f>
        <v/>
      </c>
      <c r="AK923" s="38" t="str">
        <f ca="1">IF(NOTA[[#This Row],[ID_H]]="","",IF(NOTA[[#This Row],[FAKTUR]]="",INDIRECT(ADDRESS(ROW()-1,COLUMN())),NOTA[[#This Row],[FAKTUR]]))</f>
        <v/>
      </c>
      <c r="AL923" s="35" t="str">
        <f ca="1">IF(NOTA[[#This Row],[ID]]="","",COUNTIF(NOTA[ID_H],NOTA[[#This Row],[ID_H]]))</f>
        <v/>
      </c>
      <c r="AM923" s="35" t="str">
        <f ca="1">IF(NOTA[[#This Row],[TGL.NOTA]]="",IF(NOTA[[#This Row],[SUPPLIER_H]]="","",AM922),MONTH(NOTA[[#This Row],[TGL.NOTA]]))</f>
        <v/>
      </c>
      <c r="AN92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3" s="35" t="str">
        <f>IF(NOTA[[#This Row],[CONCAT1]]="","",MATCH(NOTA[[#This Row],[CONCAT1]],[3]!db[NB NOTA_C],0))</f>
        <v/>
      </c>
      <c r="AS923" s="35" t="str">
        <f>IF(NOTA[[#This Row],[Column5]]="","",TRUE)</f>
        <v/>
      </c>
      <c r="AT923" s="35" t="str">
        <f ca="1">IF(NOTA[[#This Row],[ID_H]]="","",IF(NOTA[[#This Row],[Column3]]=TRUE,NOTA[[#This Row],[Column5]],INDEX([3]!db[QTY/ CTN],NOTA[[#This Row],[//DB]])))</f>
        <v/>
      </c>
      <c r="AU92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3" s="35" t="str">
        <f ca="1">IF(NOTA[[#This Row],[ID_H]]="","",MATCH(NOTA[[#This Row],[NB NOTA_C_QTY]],[3]!db[NB NOTA_C_QTY+F],0))</f>
        <v/>
      </c>
      <c r="AW923" s="43" t="str">
        <f ca="1">IF(NOTA[[#This Row],[NB NOTA_C_QTY]]="","",ROW()-2)</f>
        <v/>
      </c>
    </row>
    <row r="924" spans="1:49" ht="20.100000000000001" customHeight="1">
      <c r="A92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5" t="str">
        <f ca="1">IF(NOTA[[#This Row],[NAMA BARANG]]="","",INDEX(NOTA[ID],MATCH(,INDIRECT(ADDRESS(ROW(NOTA[ID]),COLUMN(NOTA[ID]))&amp;":"&amp;ADDRESS(ROW(),COLUMN(NOTA[ID]))),-1)))</f>
        <v/>
      </c>
      <c r="C924" s="45"/>
      <c r="F924" s="46"/>
      <c r="G924" s="35"/>
      <c r="H924" s="36"/>
      <c r="I924" s="35"/>
      <c r="K924" s="37"/>
      <c r="L924" s="35"/>
      <c r="N924" s="38"/>
      <c r="O924" s="39"/>
      <c r="P924" s="47"/>
      <c r="Q924" s="48"/>
      <c r="R924" s="41"/>
      <c r="T924" s="42"/>
      <c r="U924" s="44"/>
      <c r="V924" s="42" t="str">
        <f>IF(NOTA[[#This Row],[HARGA/ CTN]]="",NOTA[[#This Row],[JUMLAH_H]],NOTA[[#This Row],[HARGA/ CTN]]*IF(NOTA[[#This Row],[C]]="",0,NOTA[[#This Row],[C]]))</f>
        <v/>
      </c>
      <c r="W924" s="42" t="str">
        <f>IF(NOTA[[#This Row],[JUMLAH]]="","",NOTA[[#This Row],[JUMLAH]]*NOTA[[#This Row],[Column6]])</f>
        <v/>
      </c>
      <c r="X924" s="42" t="str">
        <f>IF(NOTA[[#This Row],[JUMLAH]]="","",(NOTA[[#This Row],[JUMLAH]]-NOTA[[#This Row],[DISC 1-]])*NOTA[[#This Row],[Column7]])</f>
        <v/>
      </c>
      <c r="Y924" s="42" t="str">
        <f>IF(NOTA[[#This Row],[JUMLAH]]="","",(NOTA[[#This Row],[JUMLAH]]-NOTA[[#This Row],[DISC 1-]]-NOTA[[#This Row],[DISC 2-]])*NOTA[[#This Row],[Column8]])</f>
        <v/>
      </c>
      <c r="Z924" s="42" t="str">
        <f>IF(NOTA[[#This Row],[JUMLAH]]="","",NOTA[[#This Row],[DISC 1-]]+NOTA[[#This Row],[DISC 2-]]+NOTA[[#This Row],[DISC 3-]])</f>
        <v/>
      </c>
      <c r="AA924" s="42" t="str">
        <f>IF(NOTA[[#This Row],[JUMLAH]]="","",NOTA[[#This Row],[JUMLAH]]-NOTA[[#This Row],[DISC]])</f>
        <v/>
      </c>
      <c r="AB924" s="42"/>
      <c r="AC9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42" t="str">
        <f>IF(OR(NOTA[[#This Row],[QTY]]="",NOTA[[#This Row],[HARGA SATUAN]]="",),"",NOTA[[#This Row],[QTY]]*NOTA[[#This Row],[HARGA SATUAN]])</f>
        <v/>
      </c>
      <c r="AG924" s="36" t="str">
        <f ca="1">IF(NOTA[[#This Row],[ID_H]]="","",INDEX(NOTA[TANGGAL],MATCH(,INDIRECT(ADDRESS(ROW(NOTA[TANGGAL]),COLUMN(NOTA[TANGGAL]))&amp;":"&amp;ADDRESS(ROW(),COLUMN(NOTA[TANGGAL]))),-1)))</f>
        <v/>
      </c>
      <c r="AH924" s="36" t="str">
        <f ca="1">IF(NOTA[[#This Row],[ID_H]]="","",INDEX(NOTA[TGL.NOTA],MATCH(,INDIRECT(ADDRESS(ROW(NOTA[TGL.NOTA]),COLUMN(NOTA[TGL.NOTA]))&amp;":"&amp;ADDRESS(ROW(),COLUMN(NOTA[TGL.NOTA]))),-1)))</f>
        <v/>
      </c>
      <c r="AI924" s="36" t="str">
        <f ca="1">IF(NOTA[[#This Row],[ID_H]]="","",INDEX(NOTA[NO.NOTA],MATCH(NOTA[[#This Row],[ID_H]],NOTA[ID_H],0)))</f>
        <v/>
      </c>
      <c r="AJ924" s="38" t="str">
        <f ca="1">IF(NOTA[[#This Row],[NAMA BARANG]]="","",INDEX(NOTA[SUPPLIER],MATCH(,INDIRECT(ADDRESS(ROW(NOTA[ID]),COLUMN(NOTA[ID]))&amp;":"&amp;ADDRESS(ROW(),COLUMN(NOTA[ID]))),-1)))</f>
        <v/>
      </c>
      <c r="AK924" s="38" t="str">
        <f ca="1">IF(NOTA[[#This Row],[ID_H]]="","",IF(NOTA[[#This Row],[FAKTUR]]="",INDIRECT(ADDRESS(ROW()-1,COLUMN())),NOTA[[#This Row],[FAKTUR]]))</f>
        <v/>
      </c>
      <c r="AL924" s="35" t="str">
        <f ca="1">IF(NOTA[[#This Row],[ID]]="","",COUNTIF(NOTA[ID_H],NOTA[[#This Row],[ID_H]]))</f>
        <v/>
      </c>
      <c r="AM924" s="35" t="str">
        <f ca="1">IF(NOTA[[#This Row],[TGL.NOTA]]="",IF(NOTA[[#This Row],[SUPPLIER_H]]="","",AM923),MONTH(NOTA[[#This Row],[TGL.NOTA]]))</f>
        <v/>
      </c>
      <c r="AN92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4" s="35" t="str">
        <f>IF(NOTA[[#This Row],[CONCAT1]]="","",MATCH(NOTA[[#This Row],[CONCAT1]],[3]!db[NB NOTA_C],0))</f>
        <v/>
      </c>
      <c r="AS924" s="35" t="str">
        <f>IF(NOTA[[#This Row],[Column5]]="","",TRUE)</f>
        <v/>
      </c>
      <c r="AT924" s="35" t="str">
        <f ca="1">IF(NOTA[[#This Row],[ID_H]]="","",IF(NOTA[[#This Row],[Column3]]=TRUE,NOTA[[#This Row],[Column5]],INDEX([3]!db[QTY/ CTN],NOTA[[#This Row],[//DB]])))</f>
        <v/>
      </c>
      <c r="AU92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4" s="35" t="str">
        <f ca="1">IF(NOTA[[#This Row],[ID_H]]="","",MATCH(NOTA[[#This Row],[NB NOTA_C_QTY]],[3]!db[NB NOTA_C_QTY+F],0))</f>
        <v/>
      </c>
      <c r="AW924" s="43" t="str">
        <f ca="1">IF(NOTA[[#This Row],[NB NOTA_C_QTY]]="","",ROW()-2)</f>
        <v/>
      </c>
    </row>
    <row r="925" spans="1:49" ht="20.100000000000001" customHeight="1">
      <c r="A92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5" t="str">
        <f ca="1">IF(NOTA[[#This Row],[NAMA BARANG]]="","",INDEX(NOTA[ID],MATCH(,INDIRECT(ADDRESS(ROW(NOTA[ID]),COLUMN(NOTA[ID]))&amp;":"&amp;ADDRESS(ROW(),COLUMN(NOTA[ID]))),-1)))</f>
        <v/>
      </c>
      <c r="C925" s="45"/>
      <c r="F925" s="46"/>
      <c r="G925" s="35"/>
      <c r="H925" s="36"/>
      <c r="I925" s="35"/>
      <c r="K925" s="37"/>
      <c r="L925" s="35"/>
      <c r="N925" s="38"/>
      <c r="O925" s="39"/>
      <c r="P925" s="47"/>
      <c r="Q925" s="48"/>
      <c r="R925" s="41"/>
      <c r="T925" s="42"/>
      <c r="U925" s="44"/>
      <c r="V925" s="42" t="str">
        <f>IF(NOTA[[#This Row],[HARGA/ CTN]]="",NOTA[[#This Row],[JUMLAH_H]],NOTA[[#This Row],[HARGA/ CTN]]*IF(NOTA[[#This Row],[C]]="",0,NOTA[[#This Row],[C]]))</f>
        <v/>
      </c>
      <c r="W925" s="42" t="str">
        <f>IF(NOTA[[#This Row],[JUMLAH]]="","",NOTA[[#This Row],[JUMLAH]]*NOTA[[#This Row],[Column6]])</f>
        <v/>
      </c>
      <c r="X925" s="42" t="str">
        <f>IF(NOTA[[#This Row],[JUMLAH]]="","",(NOTA[[#This Row],[JUMLAH]]-NOTA[[#This Row],[DISC 1-]])*NOTA[[#This Row],[Column7]])</f>
        <v/>
      </c>
      <c r="Y925" s="42" t="str">
        <f>IF(NOTA[[#This Row],[JUMLAH]]="","",(NOTA[[#This Row],[JUMLAH]]-NOTA[[#This Row],[DISC 1-]]-NOTA[[#This Row],[DISC 2-]])*NOTA[[#This Row],[Column8]])</f>
        <v/>
      </c>
      <c r="Z925" s="42" t="str">
        <f>IF(NOTA[[#This Row],[JUMLAH]]="","",NOTA[[#This Row],[DISC 1-]]+NOTA[[#This Row],[DISC 2-]]+NOTA[[#This Row],[DISC 3-]])</f>
        <v/>
      </c>
      <c r="AA925" s="42" t="str">
        <f>IF(NOTA[[#This Row],[JUMLAH]]="","",NOTA[[#This Row],[JUMLAH]]-NOTA[[#This Row],[DISC]])</f>
        <v/>
      </c>
      <c r="AB925" s="42"/>
      <c r="AC9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42" t="str">
        <f>IF(OR(NOTA[[#This Row],[QTY]]="",NOTA[[#This Row],[HARGA SATUAN]]="",),"",NOTA[[#This Row],[QTY]]*NOTA[[#This Row],[HARGA SATUAN]])</f>
        <v/>
      </c>
      <c r="AG925" s="36" t="str">
        <f ca="1">IF(NOTA[[#This Row],[ID_H]]="","",INDEX(NOTA[TANGGAL],MATCH(,INDIRECT(ADDRESS(ROW(NOTA[TANGGAL]),COLUMN(NOTA[TANGGAL]))&amp;":"&amp;ADDRESS(ROW(),COLUMN(NOTA[TANGGAL]))),-1)))</f>
        <v/>
      </c>
      <c r="AH925" s="36" t="str">
        <f ca="1">IF(NOTA[[#This Row],[ID_H]]="","",INDEX(NOTA[TGL.NOTA],MATCH(,INDIRECT(ADDRESS(ROW(NOTA[TGL.NOTA]),COLUMN(NOTA[TGL.NOTA]))&amp;":"&amp;ADDRESS(ROW(),COLUMN(NOTA[TGL.NOTA]))),-1)))</f>
        <v/>
      </c>
      <c r="AI925" s="36" t="str">
        <f ca="1">IF(NOTA[[#This Row],[ID_H]]="","",INDEX(NOTA[NO.NOTA],MATCH(NOTA[[#This Row],[ID_H]],NOTA[ID_H],0)))</f>
        <v/>
      </c>
      <c r="AJ925" s="38" t="str">
        <f ca="1">IF(NOTA[[#This Row],[NAMA BARANG]]="","",INDEX(NOTA[SUPPLIER],MATCH(,INDIRECT(ADDRESS(ROW(NOTA[ID]),COLUMN(NOTA[ID]))&amp;":"&amp;ADDRESS(ROW(),COLUMN(NOTA[ID]))),-1)))</f>
        <v/>
      </c>
      <c r="AK925" s="38" t="str">
        <f ca="1">IF(NOTA[[#This Row],[ID_H]]="","",IF(NOTA[[#This Row],[FAKTUR]]="",INDIRECT(ADDRESS(ROW()-1,COLUMN())),NOTA[[#This Row],[FAKTUR]]))</f>
        <v/>
      </c>
      <c r="AL925" s="35" t="str">
        <f ca="1">IF(NOTA[[#This Row],[ID]]="","",COUNTIF(NOTA[ID_H],NOTA[[#This Row],[ID_H]]))</f>
        <v/>
      </c>
      <c r="AM925" s="35" t="str">
        <f ca="1">IF(NOTA[[#This Row],[TGL.NOTA]]="",IF(NOTA[[#This Row],[SUPPLIER_H]]="","",AM924),MONTH(NOTA[[#This Row],[TGL.NOTA]]))</f>
        <v/>
      </c>
      <c r="AN92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5" s="35" t="str">
        <f>IF(NOTA[[#This Row],[CONCAT1]]="","",MATCH(NOTA[[#This Row],[CONCAT1]],[3]!db[NB NOTA_C],0))</f>
        <v/>
      </c>
      <c r="AS925" s="35" t="str">
        <f>IF(NOTA[[#This Row],[Column5]]="","",TRUE)</f>
        <v/>
      </c>
      <c r="AT925" s="35" t="str">
        <f ca="1">IF(NOTA[[#This Row],[ID_H]]="","",IF(NOTA[[#This Row],[Column3]]=TRUE,NOTA[[#This Row],[Column5]],INDEX([3]!db[QTY/ CTN],NOTA[[#This Row],[//DB]])))</f>
        <v/>
      </c>
      <c r="AU92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5" s="35" t="str">
        <f ca="1">IF(NOTA[[#This Row],[ID_H]]="","",MATCH(NOTA[[#This Row],[NB NOTA_C_QTY]],[3]!db[NB NOTA_C_QTY+F],0))</f>
        <v/>
      </c>
      <c r="AW925" s="43" t="str">
        <f ca="1">IF(NOTA[[#This Row],[NB NOTA_C_QTY]]="","",ROW()-2)</f>
        <v/>
      </c>
    </row>
    <row r="926" spans="1:49" ht="20.100000000000001" customHeight="1">
      <c r="A92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5" t="str">
        <f ca="1">IF(NOTA[[#This Row],[NAMA BARANG]]="","",INDEX(NOTA[ID],MATCH(,INDIRECT(ADDRESS(ROW(NOTA[ID]),COLUMN(NOTA[ID]))&amp;":"&amp;ADDRESS(ROW(),COLUMN(NOTA[ID]))),-1)))</f>
        <v/>
      </c>
      <c r="C926" s="45"/>
      <c r="F926" s="46"/>
      <c r="G926" s="35"/>
      <c r="H926" s="36"/>
      <c r="I926" s="35"/>
      <c r="K926" s="37"/>
      <c r="L926" s="35"/>
      <c r="N926" s="38"/>
      <c r="O926" s="39"/>
      <c r="P926" s="47"/>
      <c r="Q926" s="48"/>
      <c r="R926" s="41"/>
      <c r="T926" s="42"/>
      <c r="U926" s="44"/>
      <c r="V926" s="42" t="str">
        <f>IF(NOTA[[#This Row],[HARGA/ CTN]]="",NOTA[[#This Row],[JUMLAH_H]],NOTA[[#This Row],[HARGA/ CTN]]*IF(NOTA[[#This Row],[C]]="",0,NOTA[[#This Row],[C]]))</f>
        <v/>
      </c>
      <c r="W926" s="42" t="str">
        <f>IF(NOTA[[#This Row],[JUMLAH]]="","",NOTA[[#This Row],[JUMLAH]]*NOTA[[#This Row],[Column6]])</f>
        <v/>
      </c>
      <c r="X926" s="42" t="str">
        <f>IF(NOTA[[#This Row],[JUMLAH]]="","",(NOTA[[#This Row],[JUMLAH]]-NOTA[[#This Row],[DISC 1-]])*NOTA[[#This Row],[Column7]])</f>
        <v/>
      </c>
      <c r="Y926" s="42" t="str">
        <f>IF(NOTA[[#This Row],[JUMLAH]]="","",(NOTA[[#This Row],[JUMLAH]]-NOTA[[#This Row],[DISC 1-]]-NOTA[[#This Row],[DISC 2-]])*NOTA[[#This Row],[Column8]])</f>
        <v/>
      </c>
      <c r="Z926" s="42" t="str">
        <f>IF(NOTA[[#This Row],[JUMLAH]]="","",NOTA[[#This Row],[DISC 1-]]+NOTA[[#This Row],[DISC 2-]]+NOTA[[#This Row],[DISC 3-]])</f>
        <v/>
      </c>
      <c r="AA926" s="42" t="str">
        <f>IF(NOTA[[#This Row],[JUMLAH]]="","",NOTA[[#This Row],[JUMLAH]]-NOTA[[#This Row],[DISC]])</f>
        <v/>
      </c>
      <c r="AB926" s="42"/>
      <c r="AC9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42" t="str">
        <f>IF(OR(NOTA[[#This Row],[QTY]]="",NOTA[[#This Row],[HARGA SATUAN]]="",),"",NOTA[[#This Row],[QTY]]*NOTA[[#This Row],[HARGA SATUAN]])</f>
        <v/>
      </c>
      <c r="AG926" s="36" t="str">
        <f ca="1">IF(NOTA[[#This Row],[ID_H]]="","",INDEX(NOTA[TANGGAL],MATCH(,INDIRECT(ADDRESS(ROW(NOTA[TANGGAL]),COLUMN(NOTA[TANGGAL]))&amp;":"&amp;ADDRESS(ROW(),COLUMN(NOTA[TANGGAL]))),-1)))</f>
        <v/>
      </c>
      <c r="AH926" s="36" t="str">
        <f ca="1">IF(NOTA[[#This Row],[ID_H]]="","",INDEX(NOTA[TGL.NOTA],MATCH(,INDIRECT(ADDRESS(ROW(NOTA[TGL.NOTA]),COLUMN(NOTA[TGL.NOTA]))&amp;":"&amp;ADDRESS(ROW(),COLUMN(NOTA[TGL.NOTA]))),-1)))</f>
        <v/>
      </c>
      <c r="AI926" s="36" t="str">
        <f ca="1">IF(NOTA[[#This Row],[ID_H]]="","",INDEX(NOTA[NO.NOTA],MATCH(NOTA[[#This Row],[ID_H]],NOTA[ID_H],0)))</f>
        <v/>
      </c>
      <c r="AJ926" s="38" t="str">
        <f ca="1">IF(NOTA[[#This Row],[NAMA BARANG]]="","",INDEX(NOTA[SUPPLIER],MATCH(,INDIRECT(ADDRESS(ROW(NOTA[ID]),COLUMN(NOTA[ID]))&amp;":"&amp;ADDRESS(ROW(),COLUMN(NOTA[ID]))),-1)))</f>
        <v/>
      </c>
      <c r="AK926" s="38" t="str">
        <f ca="1">IF(NOTA[[#This Row],[ID_H]]="","",IF(NOTA[[#This Row],[FAKTUR]]="",INDIRECT(ADDRESS(ROW()-1,COLUMN())),NOTA[[#This Row],[FAKTUR]]))</f>
        <v/>
      </c>
      <c r="AL926" s="35" t="str">
        <f ca="1">IF(NOTA[[#This Row],[ID]]="","",COUNTIF(NOTA[ID_H],NOTA[[#This Row],[ID_H]]))</f>
        <v/>
      </c>
      <c r="AM926" s="35" t="str">
        <f ca="1">IF(NOTA[[#This Row],[TGL.NOTA]]="",IF(NOTA[[#This Row],[SUPPLIER_H]]="","",AM925),MONTH(NOTA[[#This Row],[TGL.NOTA]]))</f>
        <v/>
      </c>
      <c r="AN92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6" s="35" t="str">
        <f>IF(NOTA[[#This Row],[CONCAT1]]="","",MATCH(NOTA[[#This Row],[CONCAT1]],[3]!db[NB NOTA_C],0))</f>
        <v/>
      </c>
      <c r="AS926" s="35" t="str">
        <f>IF(NOTA[[#This Row],[Column5]]="","",TRUE)</f>
        <v/>
      </c>
      <c r="AT926" s="35" t="str">
        <f ca="1">IF(NOTA[[#This Row],[ID_H]]="","",IF(NOTA[[#This Row],[Column3]]=TRUE,NOTA[[#This Row],[Column5]],INDEX([3]!db[QTY/ CTN],NOTA[[#This Row],[//DB]])))</f>
        <v/>
      </c>
      <c r="AU92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6" s="35" t="str">
        <f ca="1">IF(NOTA[[#This Row],[ID_H]]="","",MATCH(NOTA[[#This Row],[NB NOTA_C_QTY]],[3]!db[NB NOTA_C_QTY+F],0))</f>
        <v/>
      </c>
      <c r="AW926" s="43" t="str">
        <f ca="1">IF(NOTA[[#This Row],[NB NOTA_C_QTY]]="","",ROW()-2)</f>
        <v/>
      </c>
    </row>
    <row r="927" spans="1:49" ht="20.100000000000001" customHeight="1">
      <c r="A92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5" t="str">
        <f ca="1">IF(NOTA[[#This Row],[NAMA BARANG]]="","",INDEX(NOTA[ID],MATCH(,INDIRECT(ADDRESS(ROW(NOTA[ID]),COLUMN(NOTA[ID]))&amp;":"&amp;ADDRESS(ROW(),COLUMN(NOTA[ID]))),-1)))</f>
        <v/>
      </c>
      <c r="C927" s="45"/>
      <c r="F927" s="46"/>
      <c r="G927" s="35"/>
      <c r="H927" s="36"/>
      <c r="I927" s="35"/>
      <c r="K927" s="37"/>
      <c r="L927" s="35"/>
      <c r="N927" s="38"/>
      <c r="O927" s="39"/>
      <c r="P927" s="47"/>
      <c r="Q927" s="48"/>
      <c r="R927" s="41"/>
      <c r="T927" s="42"/>
      <c r="U927" s="44"/>
      <c r="V927" s="42" t="str">
        <f>IF(NOTA[[#This Row],[HARGA/ CTN]]="",NOTA[[#This Row],[JUMLAH_H]],NOTA[[#This Row],[HARGA/ CTN]]*IF(NOTA[[#This Row],[C]]="",0,NOTA[[#This Row],[C]]))</f>
        <v/>
      </c>
      <c r="W927" s="42" t="str">
        <f>IF(NOTA[[#This Row],[JUMLAH]]="","",NOTA[[#This Row],[JUMLAH]]*NOTA[[#This Row],[Column6]])</f>
        <v/>
      </c>
      <c r="X927" s="42" t="str">
        <f>IF(NOTA[[#This Row],[JUMLAH]]="","",(NOTA[[#This Row],[JUMLAH]]-NOTA[[#This Row],[DISC 1-]])*NOTA[[#This Row],[Column7]])</f>
        <v/>
      </c>
      <c r="Y927" s="42" t="str">
        <f>IF(NOTA[[#This Row],[JUMLAH]]="","",(NOTA[[#This Row],[JUMLAH]]-NOTA[[#This Row],[DISC 1-]]-NOTA[[#This Row],[DISC 2-]])*NOTA[[#This Row],[Column8]])</f>
        <v/>
      </c>
      <c r="Z927" s="42" t="str">
        <f>IF(NOTA[[#This Row],[JUMLAH]]="","",NOTA[[#This Row],[DISC 1-]]+NOTA[[#This Row],[DISC 2-]]+NOTA[[#This Row],[DISC 3-]])</f>
        <v/>
      </c>
      <c r="AA927" s="42" t="str">
        <f>IF(NOTA[[#This Row],[JUMLAH]]="","",NOTA[[#This Row],[JUMLAH]]-NOTA[[#This Row],[DISC]])</f>
        <v/>
      </c>
      <c r="AB927" s="42"/>
      <c r="AC9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42" t="str">
        <f>IF(OR(NOTA[[#This Row],[QTY]]="",NOTA[[#This Row],[HARGA SATUAN]]="",),"",NOTA[[#This Row],[QTY]]*NOTA[[#This Row],[HARGA SATUAN]])</f>
        <v/>
      </c>
      <c r="AG927" s="36" t="str">
        <f ca="1">IF(NOTA[[#This Row],[ID_H]]="","",INDEX(NOTA[TANGGAL],MATCH(,INDIRECT(ADDRESS(ROW(NOTA[TANGGAL]),COLUMN(NOTA[TANGGAL]))&amp;":"&amp;ADDRESS(ROW(),COLUMN(NOTA[TANGGAL]))),-1)))</f>
        <v/>
      </c>
      <c r="AH927" s="36" t="str">
        <f ca="1">IF(NOTA[[#This Row],[ID_H]]="","",INDEX(NOTA[TGL.NOTA],MATCH(,INDIRECT(ADDRESS(ROW(NOTA[TGL.NOTA]),COLUMN(NOTA[TGL.NOTA]))&amp;":"&amp;ADDRESS(ROW(),COLUMN(NOTA[TGL.NOTA]))),-1)))</f>
        <v/>
      </c>
      <c r="AI927" s="36" t="str">
        <f ca="1">IF(NOTA[[#This Row],[ID_H]]="","",INDEX(NOTA[NO.NOTA],MATCH(NOTA[[#This Row],[ID_H]],NOTA[ID_H],0)))</f>
        <v/>
      </c>
      <c r="AJ927" s="38" t="str">
        <f ca="1">IF(NOTA[[#This Row],[NAMA BARANG]]="","",INDEX(NOTA[SUPPLIER],MATCH(,INDIRECT(ADDRESS(ROW(NOTA[ID]),COLUMN(NOTA[ID]))&amp;":"&amp;ADDRESS(ROW(),COLUMN(NOTA[ID]))),-1)))</f>
        <v/>
      </c>
      <c r="AK927" s="38" t="str">
        <f ca="1">IF(NOTA[[#This Row],[ID_H]]="","",IF(NOTA[[#This Row],[FAKTUR]]="",INDIRECT(ADDRESS(ROW()-1,COLUMN())),NOTA[[#This Row],[FAKTUR]]))</f>
        <v/>
      </c>
      <c r="AL927" s="35" t="str">
        <f ca="1">IF(NOTA[[#This Row],[ID]]="","",COUNTIF(NOTA[ID_H],NOTA[[#This Row],[ID_H]]))</f>
        <v/>
      </c>
      <c r="AM927" s="35" t="str">
        <f ca="1">IF(NOTA[[#This Row],[TGL.NOTA]]="",IF(NOTA[[#This Row],[SUPPLIER_H]]="","",AM926),MONTH(NOTA[[#This Row],[TGL.NOTA]]))</f>
        <v/>
      </c>
      <c r="AN92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7" s="35" t="str">
        <f>IF(NOTA[[#This Row],[CONCAT1]]="","",MATCH(NOTA[[#This Row],[CONCAT1]],[3]!db[NB NOTA_C],0))</f>
        <v/>
      </c>
      <c r="AS927" s="35" t="str">
        <f>IF(NOTA[[#This Row],[Column5]]="","",TRUE)</f>
        <v/>
      </c>
      <c r="AT927" s="35" t="str">
        <f ca="1">IF(NOTA[[#This Row],[ID_H]]="","",IF(NOTA[[#This Row],[Column3]]=TRUE,NOTA[[#This Row],[Column5]],INDEX([3]!db[QTY/ CTN],NOTA[[#This Row],[//DB]])))</f>
        <v/>
      </c>
      <c r="AU92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7" s="35" t="str">
        <f ca="1">IF(NOTA[[#This Row],[ID_H]]="","",MATCH(NOTA[[#This Row],[NB NOTA_C_QTY]],[3]!db[NB NOTA_C_QTY+F],0))</f>
        <v/>
      </c>
      <c r="AW927" s="43" t="str">
        <f ca="1">IF(NOTA[[#This Row],[NB NOTA_C_QTY]]="","",ROW()-2)</f>
        <v/>
      </c>
    </row>
    <row r="928" spans="1:49" ht="20.100000000000001" customHeight="1">
      <c r="A92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5" t="str">
        <f ca="1">IF(NOTA[[#This Row],[NAMA BARANG]]="","",INDEX(NOTA[ID],MATCH(,INDIRECT(ADDRESS(ROW(NOTA[ID]),COLUMN(NOTA[ID]))&amp;":"&amp;ADDRESS(ROW(),COLUMN(NOTA[ID]))),-1)))</f>
        <v/>
      </c>
      <c r="C928" s="45"/>
      <c r="F928" s="46"/>
      <c r="G928" s="35"/>
      <c r="H928" s="36"/>
      <c r="I928" s="35"/>
      <c r="K928" s="37"/>
      <c r="L928" s="35"/>
      <c r="N928" s="38"/>
      <c r="O928" s="39"/>
      <c r="P928" s="47"/>
      <c r="Q928" s="48"/>
      <c r="R928" s="41"/>
      <c r="T928" s="42"/>
      <c r="U928" s="44"/>
      <c r="V928" s="42" t="str">
        <f>IF(NOTA[[#This Row],[HARGA/ CTN]]="",NOTA[[#This Row],[JUMLAH_H]],NOTA[[#This Row],[HARGA/ CTN]]*IF(NOTA[[#This Row],[C]]="",0,NOTA[[#This Row],[C]]))</f>
        <v/>
      </c>
      <c r="W928" s="42" t="str">
        <f>IF(NOTA[[#This Row],[JUMLAH]]="","",NOTA[[#This Row],[JUMLAH]]*NOTA[[#This Row],[Column6]])</f>
        <v/>
      </c>
      <c r="X928" s="42" t="str">
        <f>IF(NOTA[[#This Row],[JUMLAH]]="","",(NOTA[[#This Row],[JUMLAH]]-NOTA[[#This Row],[DISC 1-]])*NOTA[[#This Row],[Column7]])</f>
        <v/>
      </c>
      <c r="Y928" s="42" t="str">
        <f>IF(NOTA[[#This Row],[JUMLAH]]="","",(NOTA[[#This Row],[JUMLAH]]-NOTA[[#This Row],[DISC 1-]]-NOTA[[#This Row],[DISC 2-]])*NOTA[[#This Row],[Column8]])</f>
        <v/>
      </c>
      <c r="Z928" s="42" t="str">
        <f>IF(NOTA[[#This Row],[JUMLAH]]="","",NOTA[[#This Row],[DISC 1-]]+NOTA[[#This Row],[DISC 2-]]+NOTA[[#This Row],[DISC 3-]])</f>
        <v/>
      </c>
      <c r="AA928" s="42" t="str">
        <f>IF(NOTA[[#This Row],[JUMLAH]]="","",NOTA[[#This Row],[JUMLAH]]-NOTA[[#This Row],[DISC]])</f>
        <v/>
      </c>
      <c r="AB928" s="42"/>
      <c r="AC9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42" t="str">
        <f>IF(OR(NOTA[[#This Row],[QTY]]="",NOTA[[#This Row],[HARGA SATUAN]]="",),"",NOTA[[#This Row],[QTY]]*NOTA[[#This Row],[HARGA SATUAN]])</f>
        <v/>
      </c>
      <c r="AG928" s="36" t="str">
        <f ca="1">IF(NOTA[[#This Row],[ID_H]]="","",INDEX(NOTA[TANGGAL],MATCH(,INDIRECT(ADDRESS(ROW(NOTA[TANGGAL]),COLUMN(NOTA[TANGGAL]))&amp;":"&amp;ADDRESS(ROW(),COLUMN(NOTA[TANGGAL]))),-1)))</f>
        <v/>
      </c>
      <c r="AH928" s="36" t="str">
        <f ca="1">IF(NOTA[[#This Row],[ID_H]]="","",INDEX(NOTA[TGL.NOTA],MATCH(,INDIRECT(ADDRESS(ROW(NOTA[TGL.NOTA]),COLUMN(NOTA[TGL.NOTA]))&amp;":"&amp;ADDRESS(ROW(),COLUMN(NOTA[TGL.NOTA]))),-1)))</f>
        <v/>
      </c>
      <c r="AI928" s="36" t="str">
        <f ca="1">IF(NOTA[[#This Row],[ID_H]]="","",INDEX(NOTA[NO.NOTA],MATCH(NOTA[[#This Row],[ID_H]],NOTA[ID_H],0)))</f>
        <v/>
      </c>
      <c r="AJ928" s="38" t="str">
        <f ca="1">IF(NOTA[[#This Row],[NAMA BARANG]]="","",INDEX(NOTA[SUPPLIER],MATCH(,INDIRECT(ADDRESS(ROW(NOTA[ID]),COLUMN(NOTA[ID]))&amp;":"&amp;ADDRESS(ROW(),COLUMN(NOTA[ID]))),-1)))</f>
        <v/>
      </c>
      <c r="AK928" s="38" t="str">
        <f ca="1">IF(NOTA[[#This Row],[ID_H]]="","",IF(NOTA[[#This Row],[FAKTUR]]="",INDIRECT(ADDRESS(ROW()-1,COLUMN())),NOTA[[#This Row],[FAKTUR]]))</f>
        <v/>
      </c>
      <c r="AL928" s="35" t="str">
        <f ca="1">IF(NOTA[[#This Row],[ID]]="","",COUNTIF(NOTA[ID_H],NOTA[[#This Row],[ID_H]]))</f>
        <v/>
      </c>
      <c r="AM928" s="35" t="str">
        <f ca="1">IF(NOTA[[#This Row],[TGL.NOTA]]="",IF(NOTA[[#This Row],[SUPPLIER_H]]="","",AM927),MONTH(NOTA[[#This Row],[TGL.NOTA]]))</f>
        <v/>
      </c>
      <c r="AN92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8" s="35" t="str">
        <f>IF(NOTA[[#This Row],[CONCAT1]]="","",MATCH(NOTA[[#This Row],[CONCAT1]],[3]!db[NB NOTA_C],0))</f>
        <v/>
      </c>
      <c r="AS928" s="35" t="str">
        <f>IF(NOTA[[#This Row],[Column5]]="","",TRUE)</f>
        <v/>
      </c>
      <c r="AT928" s="35" t="str">
        <f ca="1">IF(NOTA[[#This Row],[ID_H]]="","",IF(NOTA[[#This Row],[Column3]]=TRUE,NOTA[[#This Row],[Column5]],INDEX([3]!db[QTY/ CTN],NOTA[[#This Row],[//DB]])))</f>
        <v/>
      </c>
      <c r="AU92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8" s="35" t="str">
        <f ca="1">IF(NOTA[[#This Row],[ID_H]]="","",MATCH(NOTA[[#This Row],[NB NOTA_C_QTY]],[3]!db[NB NOTA_C_QTY+F],0))</f>
        <v/>
      </c>
      <c r="AW928" s="43" t="str">
        <f ca="1">IF(NOTA[[#This Row],[NB NOTA_C_QTY]]="","",ROW()-2)</f>
        <v/>
      </c>
    </row>
    <row r="929" spans="1:49" ht="20.100000000000001" customHeight="1">
      <c r="A92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5" t="str">
        <f ca="1">IF(NOTA[[#This Row],[NAMA BARANG]]="","",INDEX(NOTA[ID],MATCH(,INDIRECT(ADDRESS(ROW(NOTA[ID]),COLUMN(NOTA[ID]))&amp;":"&amp;ADDRESS(ROW(),COLUMN(NOTA[ID]))),-1)))</f>
        <v/>
      </c>
      <c r="C929" s="45"/>
      <c r="F929" s="46"/>
      <c r="G929" s="35"/>
      <c r="H929" s="36"/>
      <c r="I929" s="35"/>
      <c r="K929" s="37"/>
      <c r="L929" s="35"/>
      <c r="N929" s="38"/>
      <c r="O929" s="39"/>
      <c r="P929" s="47"/>
      <c r="Q929" s="48"/>
      <c r="R929" s="41"/>
      <c r="T929" s="42"/>
      <c r="U929" s="44"/>
      <c r="V929" s="42" t="str">
        <f>IF(NOTA[[#This Row],[HARGA/ CTN]]="",NOTA[[#This Row],[JUMLAH_H]],NOTA[[#This Row],[HARGA/ CTN]]*IF(NOTA[[#This Row],[C]]="",0,NOTA[[#This Row],[C]]))</f>
        <v/>
      </c>
      <c r="W929" s="42" t="str">
        <f>IF(NOTA[[#This Row],[JUMLAH]]="","",NOTA[[#This Row],[JUMLAH]]*NOTA[[#This Row],[Column6]])</f>
        <v/>
      </c>
      <c r="X929" s="42" t="str">
        <f>IF(NOTA[[#This Row],[JUMLAH]]="","",(NOTA[[#This Row],[JUMLAH]]-NOTA[[#This Row],[DISC 1-]])*NOTA[[#This Row],[Column7]])</f>
        <v/>
      </c>
      <c r="Y929" s="42" t="str">
        <f>IF(NOTA[[#This Row],[JUMLAH]]="","",(NOTA[[#This Row],[JUMLAH]]-NOTA[[#This Row],[DISC 1-]]-NOTA[[#This Row],[DISC 2-]])*NOTA[[#This Row],[Column8]])</f>
        <v/>
      </c>
      <c r="Z929" s="42" t="str">
        <f>IF(NOTA[[#This Row],[JUMLAH]]="","",NOTA[[#This Row],[DISC 1-]]+NOTA[[#This Row],[DISC 2-]]+NOTA[[#This Row],[DISC 3-]])</f>
        <v/>
      </c>
      <c r="AA929" s="42" t="str">
        <f>IF(NOTA[[#This Row],[JUMLAH]]="","",NOTA[[#This Row],[JUMLAH]]-NOTA[[#This Row],[DISC]])</f>
        <v/>
      </c>
      <c r="AB929" s="42"/>
      <c r="AC9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2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2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42" t="str">
        <f>IF(OR(NOTA[[#This Row],[QTY]]="",NOTA[[#This Row],[HARGA SATUAN]]="",),"",NOTA[[#This Row],[QTY]]*NOTA[[#This Row],[HARGA SATUAN]])</f>
        <v/>
      </c>
      <c r="AG929" s="36" t="str">
        <f ca="1">IF(NOTA[[#This Row],[ID_H]]="","",INDEX(NOTA[TANGGAL],MATCH(,INDIRECT(ADDRESS(ROW(NOTA[TANGGAL]),COLUMN(NOTA[TANGGAL]))&amp;":"&amp;ADDRESS(ROW(),COLUMN(NOTA[TANGGAL]))),-1)))</f>
        <v/>
      </c>
      <c r="AH929" s="36" t="str">
        <f ca="1">IF(NOTA[[#This Row],[ID_H]]="","",INDEX(NOTA[TGL.NOTA],MATCH(,INDIRECT(ADDRESS(ROW(NOTA[TGL.NOTA]),COLUMN(NOTA[TGL.NOTA]))&amp;":"&amp;ADDRESS(ROW(),COLUMN(NOTA[TGL.NOTA]))),-1)))</f>
        <v/>
      </c>
      <c r="AI929" s="36" t="str">
        <f ca="1">IF(NOTA[[#This Row],[ID_H]]="","",INDEX(NOTA[NO.NOTA],MATCH(NOTA[[#This Row],[ID_H]],NOTA[ID_H],0)))</f>
        <v/>
      </c>
      <c r="AJ929" s="38" t="str">
        <f ca="1">IF(NOTA[[#This Row],[NAMA BARANG]]="","",INDEX(NOTA[SUPPLIER],MATCH(,INDIRECT(ADDRESS(ROW(NOTA[ID]),COLUMN(NOTA[ID]))&amp;":"&amp;ADDRESS(ROW(),COLUMN(NOTA[ID]))),-1)))</f>
        <v/>
      </c>
      <c r="AK929" s="38" t="str">
        <f ca="1">IF(NOTA[[#This Row],[ID_H]]="","",IF(NOTA[[#This Row],[FAKTUR]]="",INDIRECT(ADDRESS(ROW()-1,COLUMN())),NOTA[[#This Row],[FAKTUR]]))</f>
        <v/>
      </c>
      <c r="AL929" s="35" t="str">
        <f ca="1">IF(NOTA[[#This Row],[ID]]="","",COUNTIF(NOTA[ID_H],NOTA[[#This Row],[ID_H]]))</f>
        <v/>
      </c>
      <c r="AM929" s="35" t="str">
        <f ca="1">IF(NOTA[[#This Row],[TGL.NOTA]]="",IF(NOTA[[#This Row],[SUPPLIER_H]]="","",AM928),MONTH(NOTA[[#This Row],[TGL.NOTA]]))</f>
        <v/>
      </c>
      <c r="AN92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2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2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2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9" s="35" t="str">
        <f>IF(NOTA[[#This Row],[CONCAT1]]="","",MATCH(NOTA[[#This Row],[CONCAT1]],[3]!db[NB NOTA_C],0))</f>
        <v/>
      </c>
      <c r="AS929" s="35" t="str">
        <f>IF(NOTA[[#This Row],[Column5]]="","",TRUE)</f>
        <v/>
      </c>
      <c r="AT929" s="35" t="str">
        <f ca="1">IF(NOTA[[#This Row],[ID_H]]="","",IF(NOTA[[#This Row],[Column3]]=TRUE,NOTA[[#This Row],[Column5]],INDEX([3]!db[QTY/ CTN],NOTA[[#This Row],[//DB]])))</f>
        <v/>
      </c>
      <c r="AU92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29" s="35" t="str">
        <f ca="1">IF(NOTA[[#This Row],[ID_H]]="","",MATCH(NOTA[[#This Row],[NB NOTA_C_QTY]],[3]!db[NB NOTA_C_QTY+F],0))</f>
        <v/>
      </c>
      <c r="AW929" s="43" t="str">
        <f ca="1">IF(NOTA[[#This Row],[NB NOTA_C_QTY]]="","",ROW()-2)</f>
        <v/>
      </c>
    </row>
    <row r="930" spans="1:49" ht="20.100000000000001" customHeight="1">
      <c r="A93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5" t="str">
        <f ca="1">IF(NOTA[[#This Row],[NAMA BARANG]]="","",INDEX(NOTA[ID],MATCH(,INDIRECT(ADDRESS(ROW(NOTA[ID]),COLUMN(NOTA[ID]))&amp;":"&amp;ADDRESS(ROW(),COLUMN(NOTA[ID]))),-1)))</f>
        <v/>
      </c>
      <c r="C930" s="45"/>
      <c r="F930" s="46"/>
      <c r="G930" s="35"/>
      <c r="H930" s="36"/>
      <c r="I930" s="35"/>
      <c r="K930" s="37"/>
      <c r="L930" s="35"/>
      <c r="N930" s="38"/>
      <c r="O930" s="39"/>
      <c r="P930" s="47"/>
      <c r="Q930" s="48"/>
      <c r="R930" s="41"/>
      <c r="T930" s="42"/>
      <c r="U930" s="44"/>
      <c r="V930" s="42" t="str">
        <f>IF(NOTA[[#This Row],[HARGA/ CTN]]="",NOTA[[#This Row],[JUMLAH_H]],NOTA[[#This Row],[HARGA/ CTN]]*IF(NOTA[[#This Row],[C]]="",0,NOTA[[#This Row],[C]]))</f>
        <v/>
      </c>
      <c r="W930" s="42" t="str">
        <f>IF(NOTA[[#This Row],[JUMLAH]]="","",NOTA[[#This Row],[JUMLAH]]*NOTA[[#This Row],[Column6]])</f>
        <v/>
      </c>
      <c r="X930" s="42" t="str">
        <f>IF(NOTA[[#This Row],[JUMLAH]]="","",(NOTA[[#This Row],[JUMLAH]]-NOTA[[#This Row],[DISC 1-]])*NOTA[[#This Row],[Column7]])</f>
        <v/>
      </c>
      <c r="Y930" s="42" t="str">
        <f>IF(NOTA[[#This Row],[JUMLAH]]="","",(NOTA[[#This Row],[JUMLAH]]-NOTA[[#This Row],[DISC 1-]]-NOTA[[#This Row],[DISC 2-]])*NOTA[[#This Row],[Column8]])</f>
        <v/>
      </c>
      <c r="Z930" s="42" t="str">
        <f>IF(NOTA[[#This Row],[JUMLAH]]="","",NOTA[[#This Row],[DISC 1-]]+NOTA[[#This Row],[DISC 2-]]+NOTA[[#This Row],[DISC 3-]])</f>
        <v/>
      </c>
      <c r="AA930" s="42" t="str">
        <f>IF(NOTA[[#This Row],[JUMLAH]]="","",NOTA[[#This Row],[JUMLAH]]-NOTA[[#This Row],[DISC]])</f>
        <v/>
      </c>
      <c r="AB930" s="42"/>
      <c r="AC9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42" t="str">
        <f>IF(OR(NOTA[[#This Row],[QTY]]="",NOTA[[#This Row],[HARGA SATUAN]]="",),"",NOTA[[#This Row],[QTY]]*NOTA[[#This Row],[HARGA SATUAN]])</f>
        <v/>
      </c>
      <c r="AG930" s="36" t="str">
        <f ca="1">IF(NOTA[[#This Row],[ID_H]]="","",INDEX(NOTA[TANGGAL],MATCH(,INDIRECT(ADDRESS(ROW(NOTA[TANGGAL]),COLUMN(NOTA[TANGGAL]))&amp;":"&amp;ADDRESS(ROW(),COLUMN(NOTA[TANGGAL]))),-1)))</f>
        <v/>
      </c>
      <c r="AH930" s="36" t="str">
        <f ca="1">IF(NOTA[[#This Row],[ID_H]]="","",INDEX(NOTA[TGL.NOTA],MATCH(,INDIRECT(ADDRESS(ROW(NOTA[TGL.NOTA]),COLUMN(NOTA[TGL.NOTA]))&amp;":"&amp;ADDRESS(ROW(),COLUMN(NOTA[TGL.NOTA]))),-1)))</f>
        <v/>
      </c>
      <c r="AI930" s="36" t="str">
        <f ca="1">IF(NOTA[[#This Row],[ID_H]]="","",INDEX(NOTA[NO.NOTA],MATCH(NOTA[[#This Row],[ID_H]],NOTA[ID_H],0)))</f>
        <v/>
      </c>
      <c r="AJ930" s="38" t="str">
        <f ca="1">IF(NOTA[[#This Row],[NAMA BARANG]]="","",INDEX(NOTA[SUPPLIER],MATCH(,INDIRECT(ADDRESS(ROW(NOTA[ID]),COLUMN(NOTA[ID]))&amp;":"&amp;ADDRESS(ROW(),COLUMN(NOTA[ID]))),-1)))</f>
        <v/>
      </c>
      <c r="AK930" s="38" t="str">
        <f ca="1">IF(NOTA[[#This Row],[ID_H]]="","",IF(NOTA[[#This Row],[FAKTUR]]="",INDIRECT(ADDRESS(ROW()-1,COLUMN())),NOTA[[#This Row],[FAKTUR]]))</f>
        <v/>
      </c>
      <c r="AL930" s="35" t="str">
        <f ca="1">IF(NOTA[[#This Row],[ID]]="","",COUNTIF(NOTA[ID_H],NOTA[[#This Row],[ID_H]]))</f>
        <v/>
      </c>
      <c r="AM930" s="35" t="str">
        <f ca="1">IF(NOTA[[#This Row],[TGL.NOTA]]="",IF(NOTA[[#This Row],[SUPPLIER_H]]="","",AM929),MONTH(NOTA[[#This Row],[TGL.NOTA]]))</f>
        <v/>
      </c>
      <c r="AN93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0" s="35" t="str">
        <f>IF(NOTA[[#This Row],[CONCAT1]]="","",MATCH(NOTA[[#This Row],[CONCAT1]],[3]!db[NB NOTA_C],0))</f>
        <v/>
      </c>
      <c r="AS930" s="35" t="str">
        <f>IF(NOTA[[#This Row],[Column5]]="","",TRUE)</f>
        <v/>
      </c>
      <c r="AT930" s="35" t="str">
        <f ca="1">IF(NOTA[[#This Row],[ID_H]]="","",IF(NOTA[[#This Row],[Column3]]=TRUE,NOTA[[#This Row],[Column5]],INDEX([3]!db[QTY/ CTN],NOTA[[#This Row],[//DB]])))</f>
        <v/>
      </c>
      <c r="AU93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0" s="35" t="str">
        <f ca="1">IF(NOTA[[#This Row],[ID_H]]="","",MATCH(NOTA[[#This Row],[NB NOTA_C_QTY]],[3]!db[NB NOTA_C_QTY+F],0))</f>
        <v/>
      </c>
      <c r="AW930" s="43" t="str">
        <f ca="1">IF(NOTA[[#This Row],[NB NOTA_C_QTY]]="","",ROW()-2)</f>
        <v/>
      </c>
    </row>
    <row r="931" spans="1:49" ht="20.100000000000001" customHeight="1">
      <c r="A93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5" t="str">
        <f ca="1">IF(NOTA[[#This Row],[NAMA BARANG]]="","",INDEX(NOTA[ID],MATCH(,INDIRECT(ADDRESS(ROW(NOTA[ID]),COLUMN(NOTA[ID]))&amp;":"&amp;ADDRESS(ROW(),COLUMN(NOTA[ID]))),-1)))</f>
        <v/>
      </c>
      <c r="C931" s="45"/>
      <c r="F931" s="46"/>
      <c r="G931" s="35"/>
      <c r="H931" s="36"/>
      <c r="I931" s="35"/>
      <c r="K931" s="37"/>
      <c r="L931" s="35"/>
      <c r="N931" s="38"/>
      <c r="O931" s="39"/>
      <c r="P931" s="47"/>
      <c r="Q931" s="48"/>
      <c r="R931" s="41"/>
      <c r="T931" s="42"/>
      <c r="U931" s="44"/>
      <c r="V931" s="42" t="str">
        <f>IF(NOTA[[#This Row],[HARGA/ CTN]]="",NOTA[[#This Row],[JUMLAH_H]],NOTA[[#This Row],[HARGA/ CTN]]*IF(NOTA[[#This Row],[C]]="",0,NOTA[[#This Row],[C]]))</f>
        <v/>
      </c>
      <c r="W931" s="42" t="str">
        <f>IF(NOTA[[#This Row],[JUMLAH]]="","",NOTA[[#This Row],[JUMLAH]]*NOTA[[#This Row],[Column6]])</f>
        <v/>
      </c>
      <c r="X931" s="42" t="str">
        <f>IF(NOTA[[#This Row],[JUMLAH]]="","",(NOTA[[#This Row],[JUMLAH]]-NOTA[[#This Row],[DISC 1-]])*NOTA[[#This Row],[Column7]])</f>
        <v/>
      </c>
      <c r="Y931" s="42" t="str">
        <f>IF(NOTA[[#This Row],[JUMLAH]]="","",(NOTA[[#This Row],[JUMLAH]]-NOTA[[#This Row],[DISC 1-]]-NOTA[[#This Row],[DISC 2-]])*NOTA[[#This Row],[Column8]])</f>
        <v/>
      </c>
      <c r="Z931" s="42" t="str">
        <f>IF(NOTA[[#This Row],[JUMLAH]]="","",NOTA[[#This Row],[DISC 1-]]+NOTA[[#This Row],[DISC 2-]]+NOTA[[#This Row],[DISC 3-]])</f>
        <v/>
      </c>
      <c r="AA931" s="42" t="str">
        <f>IF(NOTA[[#This Row],[JUMLAH]]="","",NOTA[[#This Row],[JUMLAH]]-NOTA[[#This Row],[DISC]])</f>
        <v/>
      </c>
      <c r="AB931" s="42"/>
      <c r="AC9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42" t="str">
        <f>IF(OR(NOTA[[#This Row],[QTY]]="",NOTA[[#This Row],[HARGA SATUAN]]="",),"",NOTA[[#This Row],[QTY]]*NOTA[[#This Row],[HARGA SATUAN]])</f>
        <v/>
      </c>
      <c r="AG931" s="36" t="str">
        <f ca="1">IF(NOTA[[#This Row],[ID_H]]="","",INDEX(NOTA[TANGGAL],MATCH(,INDIRECT(ADDRESS(ROW(NOTA[TANGGAL]),COLUMN(NOTA[TANGGAL]))&amp;":"&amp;ADDRESS(ROW(),COLUMN(NOTA[TANGGAL]))),-1)))</f>
        <v/>
      </c>
      <c r="AH931" s="36" t="str">
        <f ca="1">IF(NOTA[[#This Row],[ID_H]]="","",INDEX(NOTA[TGL.NOTA],MATCH(,INDIRECT(ADDRESS(ROW(NOTA[TGL.NOTA]),COLUMN(NOTA[TGL.NOTA]))&amp;":"&amp;ADDRESS(ROW(),COLUMN(NOTA[TGL.NOTA]))),-1)))</f>
        <v/>
      </c>
      <c r="AI931" s="36" t="str">
        <f ca="1">IF(NOTA[[#This Row],[ID_H]]="","",INDEX(NOTA[NO.NOTA],MATCH(NOTA[[#This Row],[ID_H]],NOTA[ID_H],0)))</f>
        <v/>
      </c>
      <c r="AJ931" s="38" t="str">
        <f ca="1">IF(NOTA[[#This Row],[NAMA BARANG]]="","",INDEX(NOTA[SUPPLIER],MATCH(,INDIRECT(ADDRESS(ROW(NOTA[ID]),COLUMN(NOTA[ID]))&amp;":"&amp;ADDRESS(ROW(),COLUMN(NOTA[ID]))),-1)))</f>
        <v/>
      </c>
      <c r="AK931" s="38" t="str">
        <f ca="1">IF(NOTA[[#This Row],[ID_H]]="","",IF(NOTA[[#This Row],[FAKTUR]]="",INDIRECT(ADDRESS(ROW()-1,COLUMN())),NOTA[[#This Row],[FAKTUR]]))</f>
        <v/>
      </c>
      <c r="AL931" s="35" t="str">
        <f ca="1">IF(NOTA[[#This Row],[ID]]="","",COUNTIF(NOTA[ID_H],NOTA[[#This Row],[ID_H]]))</f>
        <v/>
      </c>
      <c r="AM931" s="35" t="str">
        <f ca="1">IF(NOTA[[#This Row],[TGL.NOTA]]="",IF(NOTA[[#This Row],[SUPPLIER_H]]="","",AM930),MONTH(NOTA[[#This Row],[TGL.NOTA]]))</f>
        <v/>
      </c>
      <c r="AN93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1" s="35" t="str">
        <f>IF(NOTA[[#This Row],[CONCAT1]]="","",MATCH(NOTA[[#This Row],[CONCAT1]],[3]!db[NB NOTA_C],0))</f>
        <v/>
      </c>
      <c r="AS931" s="35" t="str">
        <f>IF(NOTA[[#This Row],[Column5]]="","",TRUE)</f>
        <v/>
      </c>
      <c r="AT931" s="35" t="str">
        <f ca="1">IF(NOTA[[#This Row],[ID_H]]="","",IF(NOTA[[#This Row],[Column3]]=TRUE,NOTA[[#This Row],[Column5]],INDEX([3]!db[QTY/ CTN],NOTA[[#This Row],[//DB]])))</f>
        <v/>
      </c>
      <c r="AU93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1" s="35" t="str">
        <f ca="1">IF(NOTA[[#This Row],[ID_H]]="","",MATCH(NOTA[[#This Row],[NB NOTA_C_QTY]],[3]!db[NB NOTA_C_QTY+F],0))</f>
        <v/>
      </c>
      <c r="AW931" s="43" t="str">
        <f ca="1">IF(NOTA[[#This Row],[NB NOTA_C_QTY]]="","",ROW()-2)</f>
        <v/>
      </c>
    </row>
    <row r="932" spans="1:49" ht="20.100000000000001" customHeight="1">
      <c r="A93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5" t="str">
        <f ca="1">IF(NOTA[[#This Row],[NAMA BARANG]]="","",INDEX(NOTA[ID],MATCH(,INDIRECT(ADDRESS(ROW(NOTA[ID]),COLUMN(NOTA[ID]))&amp;":"&amp;ADDRESS(ROW(),COLUMN(NOTA[ID]))),-1)))</f>
        <v/>
      </c>
      <c r="C932" s="45"/>
      <c r="F932" s="46"/>
      <c r="G932" s="35"/>
      <c r="H932" s="36"/>
      <c r="I932" s="35"/>
      <c r="K932" s="37"/>
      <c r="L932" s="35"/>
      <c r="N932" s="38"/>
      <c r="O932" s="39"/>
      <c r="P932" s="47"/>
      <c r="Q932" s="48"/>
      <c r="R932" s="41"/>
      <c r="T932" s="42"/>
      <c r="U932" s="44"/>
      <c r="V932" s="42" t="str">
        <f>IF(NOTA[[#This Row],[HARGA/ CTN]]="",NOTA[[#This Row],[JUMLAH_H]],NOTA[[#This Row],[HARGA/ CTN]]*IF(NOTA[[#This Row],[C]]="",0,NOTA[[#This Row],[C]]))</f>
        <v/>
      </c>
      <c r="W932" s="42" t="str">
        <f>IF(NOTA[[#This Row],[JUMLAH]]="","",NOTA[[#This Row],[JUMLAH]]*NOTA[[#This Row],[Column6]])</f>
        <v/>
      </c>
      <c r="X932" s="42" t="str">
        <f>IF(NOTA[[#This Row],[JUMLAH]]="","",(NOTA[[#This Row],[JUMLAH]]-NOTA[[#This Row],[DISC 1-]])*NOTA[[#This Row],[Column7]])</f>
        <v/>
      </c>
      <c r="Y932" s="42" t="str">
        <f>IF(NOTA[[#This Row],[JUMLAH]]="","",(NOTA[[#This Row],[JUMLAH]]-NOTA[[#This Row],[DISC 1-]]-NOTA[[#This Row],[DISC 2-]])*NOTA[[#This Row],[Column8]])</f>
        <v/>
      </c>
      <c r="Z932" s="42" t="str">
        <f>IF(NOTA[[#This Row],[JUMLAH]]="","",NOTA[[#This Row],[DISC 1-]]+NOTA[[#This Row],[DISC 2-]]+NOTA[[#This Row],[DISC 3-]])</f>
        <v/>
      </c>
      <c r="AA932" s="42" t="str">
        <f>IF(NOTA[[#This Row],[JUMLAH]]="","",NOTA[[#This Row],[JUMLAH]]-NOTA[[#This Row],[DISC]])</f>
        <v/>
      </c>
      <c r="AB932" s="42"/>
      <c r="AC9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42" t="str">
        <f>IF(OR(NOTA[[#This Row],[QTY]]="",NOTA[[#This Row],[HARGA SATUAN]]="",),"",NOTA[[#This Row],[QTY]]*NOTA[[#This Row],[HARGA SATUAN]])</f>
        <v/>
      </c>
      <c r="AG932" s="36" t="str">
        <f ca="1">IF(NOTA[[#This Row],[ID_H]]="","",INDEX(NOTA[TANGGAL],MATCH(,INDIRECT(ADDRESS(ROW(NOTA[TANGGAL]),COLUMN(NOTA[TANGGAL]))&amp;":"&amp;ADDRESS(ROW(),COLUMN(NOTA[TANGGAL]))),-1)))</f>
        <v/>
      </c>
      <c r="AH932" s="36" t="str">
        <f ca="1">IF(NOTA[[#This Row],[ID_H]]="","",INDEX(NOTA[TGL.NOTA],MATCH(,INDIRECT(ADDRESS(ROW(NOTA[TGL.NOTA]),COLUMN(NOTA[TGL.NOTA]))&amp;":"&amp;ADDRESS(ROW(),COLUMN(NOTA[TGL.NOTA]))),-1)))</f>
        <v/>
      </c>
      <c r="AI932" s="36" t="str">
        <f ca="1">IF(NOTA[[#This Row],[ID_H]]="","",INDEX(NOTA[NO.NOTA],MATCH(NOTA[[#This Row],[ID_H]],NOTA[ID_H],0)))</f>
        <v/>
      </c>
      <c r="AJ932" s="38" t="str">
        <f ca="1">IF(NOTA[[#This Row],[NAMA BARANG]]="","",INDEX(NOTA[SUPPLIER],MATCH(,INDIRECT(ADDRESS(ROW(NOTA[ID]),COLUMN(NOTA[ID]))&amp;":"&amp;ADDRESS(ROW(),COLUMN(NOTA[ID]))),-1)))</f>
        <v/>
      </c>
      <c r="AK932" s="38" t="str">
        <f ca="1">IF(NOTA[[#This Row],[ID_H]]="","",IF(NOTA[[#This Row],[FAKTUR]]="",INDIRECT(ADDRESS(ROW()-1,COLUMN())),NOTA[[#This Row],[FAKTUR]]))</f>
        <v/>
      </c>
      <c r="AL932" s="35" t="str">
        <f ca="1">IF(NOTA[[#This Row],[ID]]="","",COUNTIF(NOTA[ID_H],NOTA[[#This Row],[ID_H]]))</f>
        <v/>
      </c>
      <c r="AM932" s="35" t="str">
        <f ca="1">IF(NOTA[[#This Row],[TGL.NOTA]]="",IF(NOTA[[#This Row],[SUPPLIER_H]]="","",AM931),MONTH(NOTA[[#This Row],[TGL.NOTA]]))</f>
        <v/>
      </c>
      <c r="AN93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2" s="35" t="str">
        <f>IF(NOTA[[#This Row],[CONCAT1]]="","",MATCH(NOTA[[#This Row],[CONCAT1]],[3]!db[NB NOTA_C],0))</f>
        <v/>
      </c>
      <c r="AS932" s="35" t="str">
        <f>IF(NOTA[[#This Row],[Column5]]="","",TRUE)</f>
        <v/>
      </c>
      <c r="AT932" s="35" t="str">
        <f ca="1">IF(NOTA[[#This Row],[ID_H]]="","",IF(NOTA[[#This Row],[Column3]]=TRUE,NOTA[[#This Row],[Column5]],INDEX([3]!db[QTY/ CTN],NOTA[[#This Row],[//DB]])))</f>
        <v/>
      </c>
      <c r="AU93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2" s="35" t="str">
        <f ca="1">IF(NOTA[[#This Row],[ID_H]]="","",MATCH(NOTA[[#This Row],[NB NOTA_C_QTY]],[3]!db[NB NOTA_C_QTY+F],0))</f>
        <v/>
      </c>
      <c r="AW932" s="43" t="str">
        <f ca="1">IF(NOTA[[#This Row],[NB NOTA_C_QTY]]="","",ROW()-2)</f>
        <v/>
      </c>
    </row>
    <row r="933" spans="1:49" ht="20.100000000000001" customHeight="1">
      <c r="A93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5" t="str">
        <f ca="1">IF(NOTA[[#This Row],[NAMA BARANG]]="","",INDEX(NOTA[ID],MATCH(,INDIRECT(ADDRESS(ROW(NOTA[ID]),COLUMN(NOTA[ID]))&amp;":"&amp;ADDRESS(ROW(),COLUMN(NOTA[ID]))),-1)))</f>
        <v/>
      </c>
      <c r="C933" s="45"/>
      <c r="F933" s="46"/>
      <c r="G933" s="35"/>
      <c r="H933" s="36"/>
      <c r="I933" s="35"/>
      <c r="K933" s="37"/>
      <c r="L933" s="35"/>
      <c r="N933" s="38"/>
      <c r="O933" s="39"/>
      <c r="P933" s="47"/>
      <c r="Q933" s="48"/>
      <c r="R933" s="41"/>
      <c r="T933" s="42"/>
      <c r="U933" s="44"/>
      <c r="V933" s="42" t="str">
        <f>IF(NOTA[[#This Row],[HARGA/ CTN]]="",NOTA[[#This Row],[JUMLAH_H]],NOTA[[#This Row],[HARGA/ CTN]]*IF(NOTA[[#This Row],[C]]="",0,NOTA[[#This Row],[C]]))</f>
        <v/>
      </c>
      <c r="W933" s="42" t="str">
        <f>IF(NOTA[[#This Row],[JUMLAH]]="","",NOTA[[#This Row],[JUMLAH]]*NOTA[[#This Row],[Column6]])</f>
        <v/>
      </c>
      <c r="X933" s="42" t="str">
        <f>IF(NOTA[[#This Row],[JUMLAH]]="","",(NOTA[[#This Row],[JUMLAH]]-NOTA[[#This Row],[DISC 1-]])*NOTA[[#This Row],[Column7]])</f>
        <v/>
      </c>
      <c r="Y933" s="42" t="str">
        <f>IF(NOTA[[#This Row],[JUMLAH]]="","",(NOTA[[#This Row],[JUMLAH]]-NOTA[[#This Row],[DISC 1-]]-NOTA[[#This Row],[DISC 2-]])*NOTA[[#This Row],[Column8]])</f>
        <v/>
      </c>
      <c r="Z933" s="42" t="str">
        <f>IF(NOTA[[#This Row],[JUMLAH]]="","",NOTA[[#This Row],[DISC 1-]]+NOTA[[#This Row],[DISC 2-]]+NOTA[[#This Row],[DISC 3-]])</f>
        <v/>
      </c>
      <c r="AA933" s="42" t="str">
        <f>IF(NOTA[[#This Row],[JUMLAH]]="","",NOTA[[#This Row],[JUMLAH]]-NOTA[[#This Row],[DISC]])</f>
        <v/>
      </c>
      <c r="AB933" s="42"/>
      <c r="AC9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42" t="str">
        <f>IF(OR(NOTA[[#This Row],[QTY]]="",NOTA[[#This Row],[HARGA SATUAN]]="",),"",NOTA[[#This Row],[QTY]]*NOTA[[#This Row],[HARGA SATUAN]])</f>
        <v/>
      </c>
      <c r="AG933" s="36" t="str">
        <f ca="1">IF(NOTA[[#This Row],[ID_H]]="","",INDEX(NOTA[TANGGAL],MATCH(,INDIRECT(ADDRESS(ROW(NOTA[TANGGAL]),COLUMN(NOTA[TANGGAL]))&amp;":"&amp;ADDRESS(ROW(),COLUMN(NOTA[TANGGAL]))),-1)))</f>
        <v/>
      </c>
      <c r="AH933" s="36" t="str">
        <f ca="1">IF(NOTA[[#This Row],[ID_H]]="","",INDEX(NOTA[TGL.NOTA],MATCH(,INDIRECT(ADDRESS(ROW(NOTA[TGL.NOTA]),COLUMN(NOTA[TGL.NOTA]))&amp;":"&amp;ADDRESS(ROW(),COLUMN(NOTA[TGL.NOTA]))),-1)))</f>
        <v/>
      </c>
      <c r="AI933" s="36" t="str">
        <f ca="1">IF(NOTA[[#This Row],[ID_H]]="","",INDEX(NOTA[NO.NOTA],MATCH(NOTA[[#This Row],[ID_H]],NOTA[ID_H],0)))</f>
        <v/>
      </c>
      <c r="AJ933" s="38" t="str">
        <f ca="1">IF(NOTA[[#This Row],[NAMA BARANG]]="","",INDEX(NOTA[SUPPLIER],MATCH(,INDIRECT(ADDRESS(ROW(NOTA[ID]),COLUMN(NOTA[ID]))&amp;":"&amp;ADDRESS(ROW(),COLUMN(NOTA[ID]))),-1)))</f>
        <v/>
      </c>
      <c r="AK933" s="38" t="str">
        <f ca="1">IF(NOTA[[#This Row],[ID_H]]="","",IF(NOTA[[#This Row],[FAKTUR]]="",INDIRECT(ADDRESS(ROW()-1,COLUMN())),NOTA[[#This Row],[FAKTUR]]))</f>
        <v/>
      </c>
      <c r="AL933" s="35" t="str">
        <f ca="1">IF(NOTA[[#This Row],[ID]]="","",COUNTIF(NOTA[ID_H],NOTA[[#This Row],[ID_H]]))</f>
        <v/>
      </c>
      <c r="AM933" s="35" t="str">
        <f ca="1">IF(NOTA[[#This Row],[TGL.NOTA]]="",IF(NOTA[[#This Row],[SUPPLIER_H]]="","",AM932),MONTH(NOTA[[#This Row],[TGL.NOTA]]))</f>
        <v/>
      </c>
      <c r="AN93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3" s="35" t="str">
        <f>IF(NOTA[[#This Row],[CONCAT1]]="","",MATCH(NOTA[[#This Row],[CONCAT1]],[3]!db[NB NOTA_C],0))</f>
        <v/>
      </c>
      <c r="AS933" s="35" t="str">
        <f>IF(NOTA[[#This Row],[Column5]]="","",TRUE)</f>
        <v/>
      </c>
      <c r="AT933" s="35" t="str">
        <f ca="1">IF(NOTA[[#This Row],[ID_H]]="","",IF(NOTA[[#This Row],[Column3]]=TRUE,NOTA[[#This Row],[Column5]],INDEX([3]!db[QTY/ CTN],NOTA[[#This Row],[//DB]])))</f>
        <v/>
      </c>
      <c r="AU93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3" s="35" t="str">
        <f ca="1">IF(NOTA[[#This Row],[ID_H]]="","",MATCH(NOTA[[#This Row],[NB NOTA_C_QTY]],[3]!db[NB NOTA_C_QTY+F],0))</f>
        <v/>
      </c>
      <c r="AW933" s="43" t="str">
        <f ca="1">IF(NOTA[[#This Row],[NB NOTA_C_QTY]]="","",ROW()-2)</f>
        <v/>
      </c>
    </row>
    <row r="934" spans="1:49" ht="20.100000000000001" customHeight="1">
      <c r="A93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5" t="str">
        <f ca="1">IF(NOTA[[#This Row],[NAMA BARANG]]="","",INDEX(NOTA[ID],MATCH(,INDIRECT(ADDRESS(ROW(NOTA[ID]),COLUMN(NOTA[ID]))&amp;":"&amp;ADDRESS(ROW(),COLUMN(NOTA[ID]))),-1)))</f>
        <v/>
      </c>
      <c r="C934" s="45"/>
      <c r="F934" s="46"/>
      <c r="G934" s="35"/>
      <c r="H934" s="36"/>
      <c r="I934" s="35"/>
      <c r="K934" s="37"/>
      <c r="L934" s="35"/>
      <c r="N934" s="38"/>
      <c r="O934" s="39"/>
      <c r="P934" s="47"/>
      <c r="Q934" s="48"/>
      <c r="R934" s="41"/>
      <c r="T934" s="42"/>
      <c r="U934" s="44"/>
      <c r="V934" s="42" t="str">
        <f>IF(NOTA[[#This Row],[HARGA/ CTN]]="",NOTA[[#This Row],[JUMLAH_H]],NOTA[[#This Row],[HARGA/ CTN]]*IF(NOTA[[#This Row],[C]]="",0,NOTA[[#This Row],[C]]))</f>
        <v/>
      </c>
      <c r="W934" s="42" t="str">
        <f>IF(NOTA[[#This Row],[JUMLAH]]="","",NOTA[[#This Row],[JUMLAH]]*NOTA[[#This Row],[Column6]])</f>
        <v/>
      </c>
      <c r="X934" s="42" t="str">
        <f>IF(NOTA[[#This Row],[JUMLAH]]="","",(NOTA[[#This Row],[JUMLAH]]-NOTA[[#This Row],[DISC 1-]])*NOTA[[#This Row],[Column7]])</f>
        <v/>
      </c>
      <c r="Y934" s="42" t="str">
        <f>IF(NOTA[[#This Row],[JUMLAH]]="","",(NOTA[[#This Row],[JUMLAH]]-NOTA[[#This Row],[DISC 1-]]-NOTA[[#This Row],[DISC 2-]])*NOTA[[#This Row],[Column8]])</f>
        <v/>
      </c>
      <c r="Z934" s="42" t="str">
        <f>IF(NOTA[[#This Row],[JUMLAH]]="","",NOTA[[#This Row],[DISC 1-]]+NOTA[[#This Row],[DISC 2-]]+NOTA[[#This Row],[DISC 3-]])</f>
        <v/>
      </c>
      <c r="AA934" s="42" t="str">
        <f>IF(NOTA[[#This Row],[JUMLAH]]="","",NOTA[[#This Row],[JUMLAH]]-NOTA[[#This Row],[DISC]])</f>
        <v/>
      </c>
      <c r="AB934" s="42"/>
      <c r="AC9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42" t="str">
        <f>IF(OR(NOTA[[#This Row],[QTY]]="",NOTA[[#This Row],[HARGA SATUAN]]="",),"",NOTA[[#This Row],[QTY]]*NOTA[[#This Row],[HARGA SATUAN]])</f>
        <v/>
      </c>
      <c r="AG934" s="36" t="str">
        <f ca="1">IF(NOTA[[#This Row],[ID_H]]="","",INDEX(NOTA[TANGGAL],MATCH(,INDIRECT(ADDRESS(ROW(NOTA[TANGGAL]),COLUMN(NOTA[TANGGAL]))&amp;":"&amp;ADDRESS(ROW(),COLUMN(NOTA[TANGGAL]))),-1)))</f>
        <v/>
      </c>
      <c r="AH934" s="36" t="str">
        <f ca="1">IF(NOTA[[#This Row],[ID_H]]="","",INDEX(NOTA[TGL.NOTA],MATCH(,INDIRECT(ADDRESS(ROW(NOTA[TGL.NOTA]),COLUMN(NOTA[TGL.NOTA]))&amp;":"&amp;ADDRESS(ROW(),COLUMN(NOTA[TGL.NOTA]))),-1)))</f>
        <v/>
      </c>
      <c r="AI934" s="36" t="str">
        <f ca="1">IF(NOTA[[#This Row],[ID_H]]="","",INDEX(NOTA[NO.NOTA],MATCH(NOTA[[#This Row],[ID_H]],NOTA[ID_H],0)))</f>
        <v/>
      </c>
      <c r="AJ934" s="38" t="str">
        <f ca="1">IF(NOTA[[#This Row],[NAMA BARANG]]="","",INDEX(NOTA[SUPPLIER],MATCH(,INDIRECT(ADDRESS(ROW(NOTA[ID]),COLUMN(NOTA[ID]))&amp;":"&amp;ADDRESS(ROW(),COLUMN(NOTA[ID]))),-1)))</f>
        <v/>
      </c>
      <c r="AK934" s="38" t="str">
        <f ca="1">IF(NOTA[[#This Row],[ID_H]]="","",IF(NOTA[[#This Row],[FAKTUR]]="",INDIRECT(ADDRESS(ROW()-1,COLUMN())),NOTA[[#This Row],[FAKTUR]]))</f>
        <v/>
      </c>
      <c r="AL934" s="35" t="str">
        <f ca="1">IF(NOTA[[#This Row],[ID]]="","",COUNTIF(NOTA[ID_H],NOTA[[#This Row],[ID_H]]))</f>
        <v/>
      </c>
      <c r="AM934" s="35" t="str">
        <f ca="1">IF(NOTA[[#This Row],[TGL.NOTA]]="",IF(NOTA[[#This Row],[SUPPLIER_H]]="","",AM933),MONTH(NOTA[[#This Row],[TGL.NOTA]]))</f>
        <v/>
      </c>
      <c r="AN93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4" s="35" t="str">
        <f>IF(NOTA[[#This Row],[CONCAT1]]="","",MATCH(NOTA[[#This Row],[CONCAT1]],[3]!db[NB NOTA_C],0))</f>
        <v/>
      </c>
      <c r="AS934" s="35" t="str">
        <f>IF(NOTA[[#This Row],[Column5]]="","",TRUE)</f>
        <v/>
      </c>
      <c r="AT934" s="35" t="str">
        <f ca="1">IF(NOTA[[#This Row],[ID_H]]="","",IF(NOTA[[#This Row],[Column3]]=TRUE,NOTA[[#This Row],[Column5]],INDEX([3]!db[QTY/ CTN],NOTA[[#This Row],[//DB]])))</f>
        <v/>
      </c>
      <c r="AU93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4" s="35" t="str">
        <f ca="1">IF(NOTA[[#This Row],[ID_H]]="","",MATCH(NOTA[[#This Row],[NB NOTA_C_QTY]],[3]!db[NB NOTA_C_QTY+F],0))</f>
        <v/>
      </c>
      <c r="AW934" s="43" t="str">
        <f ca="1">IF(NOTA[[#This Row],[NB NOTA_C_QTY]]="","",ROW()-2)</f>
        <v/>
      </c>
    </row>
    <row r="935" spans="1:49" ht="20.100000000000001" customHeight="1">
      <c r="A93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5" t="str">
        <f ca="1">IF(NOTA[[#This Row],[NAMA BARANG]]="","",INDEX(NOTA[ID],MATCH(,INDIRECT(ADDRESS(ROW(NOTA[ID]),COLUMN(NOTA[ID]))&amp;":"&amp;ADDRESS(ROW(),COLUMN(NOTA[ID]))),-1)))</f>
        <v/>
      </c>
      <c r="C935" s="45"/>
      <c r="F935" s="46"/>
      <c r="G935" s="35"/>
      <c r="H935" s="36"/>
      <c r="I935" s="35"/>
      <c r="K935" s="37"/>
      <c r="L935" s="35"/>
      <c r="N935" s="38"/>
      <c r="O935" s="39"/>
      <c r="P935" s="47"/>
      <c r="Q935" s="48"/>
      <c r="R935" s="41"/>
      <c r="T935" s="42"/>
      <c r="U935" s="44"/>
      <c r="V935" s="42" t="str">
        <f>IF(NOTA[[#This Row],[HARGA/ CTN]]="",NOTA[[#This Row],[JUMLAH_H]],NOTA[[#This Row],[HARGA/ CTN]]*IF(NOTA[[#This Row],[C]]="",0,NOTA[[#This Row],[C]]))</f>
        <v/>
      </c>
      <c r="W935" s="42" t="str">
        <f>IF(NOTA[[#This Row],[JUMLAH]]="","",NOTA[[#This Row],[JUMLAH]]*NOTA[[#This Row],[Column6]])</f>
        <v/>
      </c>
      <c r="X935" s="42" t="str">
        <f>IF(NOTA[[#This Row],[JUMLAH]]="","",(NOTA[[#This Row],[JUMLAH]]-NOTA[[#This Row],[DISC 1-]])*NOTA[[#This Row],[Column7]])</f>
        <v/>
      </c>
      <c r="Y935" s="42" t="str">
        <f>IF(NOTA[[#This Row],[JUMLAH]]="","",(NOTA[[#This Row],[JUMLAH]]-NOTA[[#This Row],[DISC 1-]]-NOTA[[#This Row],[DISC 2-]])*NOTA[[#This Row],[Column8]])</f>
        <v/>
      </c>
      <c r="Z935" s="42" t="str">
        <f>IF(NOTA[[#This Row],[JUMLAH]]="","",NOTA[[#This Row],[DISC 1-]]+NOTA[[#This Row],[DISC 2-]]+NOTA[[#This Row],[DISC 3-]])</f>
        <v/>
      </c>
      <c r="AA935" s="42" t="str">
        <f>IF(NOTA[[#This Row],[JUMLAH]]="","",NOTA[[#This Row],[JUMLAH]]-NOTA[[#This Row],[DISC]])</f>
        <v/>
      </c>
      <c r="AB935" s="42"/>
      <c r="AC9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42" t="str">
        <f>IF(OR(NOTA[[#This Row],[QTY]]="",NOTA[[#This Row],[HARGA SATUAN]]="",),"",NOTA[[#This Row],[QTY]]*NOTA[[#This Row],[HARGA SATUAN]])</f>
        <v/>
      </c>
      <c r="AG935" s="36" t="str">
        <f ca="1">IF(NOTA[[#This Row],[ID_H]]="","",INDEX(NOTA[TANGGAL],MATCH(,INDIRECT(ADDRESS(ROW(NOTA[TANGGAL]),COLUMN(NOTA[TANGGAL]))&amp;":"&amp;ADDRESS(ROW(),COLUMN(NOTA[TANGGAL]))),-1)))</f>
        <v/>
      </c>
      <c r="AH935" s="36" t="str">
        <f ca="1">IF(NOTA[[#This Row],[ID_H]]="","",INDEX(NOTA[TGL.NOTA],MATCH(,INDIRECT(ADDRESS(ROW(NOTA[TGL.NOTA]),COLUMN(NOTA[TGL.NOTA]))&amp;":"&amp;ADDRESS(ROW(),COLUMN(NOTA[TGL.NOTA]))),-1)))</f>
        <v/>
      </c>
      <c r="AI935" s="36" t="str">
        <f ca="1">IF(NOTA[[#This Row],[ID_H]]="","",INDEX(NOTA[NO.NOTA],MATCH(NOTA[[#This Row],[ID_H]],NOTA[ID_H],0)))</f>
        <v/>
      </c>
      <c r="AJ935" s="38" t="str">
        <f ca="1">IF(NOTA[[#This Row],[NAMA BARANG]]="","",INDEX(NOTA[SUPPLIER],MATCH(,INDIRECT(ADDRESS(ROW(NOTA[ID]),COLUMN(NOTA[ID]))&amp;":"&amp;ADDRESS(ROW(),COLUMN(NOTA[ID]))),-1)))</f>
        <v/>
      </c>
      <c r="AK935" s="38" t="str">
        <f ca="1">IF(NOTA[[#This Row],[ID_H]]="","",IF(NOTA[[#This Row],[FAKTUR]]="",INDIRECT(ADDRESS(ROW()-1,COLUMN())),NOTA[[#This Row],[FAKTUR]]))</f>
        <v/>
      </c>
      <c r="AL935" s="35" t="str">
        <f ca="1">IF(NOTA[[#This Row],[ID]]="","",COUNTIF(NOTA[ID_H],NOTA[[#This Row],[ID_H]]))</f>
        <v/>
      </c>
      <c r="AM935" s="35" t="str">
        <f ca="1">IF(NOTA[[#This Row],[TGL.NOTA]]="",IF(NOTA[[#This Row],[SUPPLIER_H]]="","",AM934),MONTH(NOTA[[#This Row],[TGL.NOTA]]))</f>
        <v/>
      </c>
      <c r="AN93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5" s="35" t="str">
        <f>IF(NOTA[[#This Row],[CONCAT1]]="","",MATCH(NOTA[[#This Row],[CONCAT1]],[3]!db[NB NOTA_C],0))</f>
        <v/>
      </c>
      <c r="AS935" s="35" t="str">
        <f>IF(NOTA[[#This Row],[Column5]]="","",TRUE)</f>
        <v/>
      </c>
      <c r="AT935" s="35" t="str">
        <f ca="1">IF(NOTA[[#This Row],[ID_H]]="","",IF(NOTA[[#This Row],[Column3]]=TRUE,NOTA[[#This Row],[Column5]],INDEX([3]!db[QTY/ CTN],NOTA[[#This Row],[//DB]])))</f>
        <v/>
      </c>
      <c r="AU93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5" s="35" t="str">
        <f ca="1">IF(NOTA[[#This Row],[ID_H]]="","",MATCH(NOTA[[#This Row],[NB NOTA_C_QTY]],[3]!db[NB NOTA_C_QTY+F],0))</f>
        <v/>
      </c>
      <c r="AW935" s="43" t="str">
        <f ca="1">IF(NOTA[[#This Row],[NB NOTA_C_QTY]]="","",ROW()-2)</f>
        <v/>
      </c>
    </row>
    <row r="936" spans="1:49" ht="20.100000000000001" customHeight="1">
      <c r="A93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5" t="str">
        <f ca="1">IF(NOTA[[#This Row],[NAMA BARANG]]="","",INDEX(NOTA[ID],MATCH(,INDIRECT(ADDRESS(ROW(NOTA[ID]),COLUMN(NOTA[ID]))&amp;":"&amp;ADDRESS(ROW(),COLUMN(NOTA[ID]))),-1)))</f>
        <v/>
      </c>
      <c r="C936" s="45"/>
      <c r="F936" s="46"/>
      <c r="G936" s="35"/>
      <c r="H936" s="36"/>
      <c r="I936" s="35"/>
      <c r="K936" s="37"/>
      <c r="L936" s="35"/>
      <c r="N936" s="38"/>
      <c r="O936" s="39"/>
      <c r="P936" s="47"/>
      <c r="Q936" s="48"/>
      <c r="R936" s="41"/>
      <c r="T936" s="42"/>
      <c r="U936" s="44"/>
      <c r="V936" s="42" t="str">
        <f>IF(NOTA[[#This Row],[HARGA/ CTN]]="",NOTA[[#This Row],[JUMLAH_H]],NOTA[[#This Row],[HARGA/ CTN]]*IF(NOTA[[#This Row],[C]]="",0,NOTA[[#This Row],[C]]))</f>
        <v/>
      </c>
      <c r="W936" s="42" t="str">
        <f>IF(NOTA[[#This Row],[JUMLAH]]="","",NOTA[[#This Row],[JUMLAH]]*NOTA[[#This Row],[Column6]])</f>
        <v/>
      </c>
      <c r="X936" s="42" t="str">
        <f>IF(NOTA[[#This Row],[JUMLAH]]="","",(NOTA[[#This Row],[JUMLAH]]-NOTA[[#This Row],[DISC 1-]])*NOTA[[#This Row],[Column7]])</f>
        <v/>
      </c>
      <c r="Y936" s="42" t="str">
        <f>IF(NOTA[[#This Row],[JUMLAH]]="","",(NOTA[[#This Row],[JUMLAH]]-NOTA[[#This Row],[DISC 1-]]-NOTA[[#This Row],[DISC 2-]])*NOTA[[#This Row],[Column8]])</f>
        <v/>
      </c>
      <c r="Z936" s="42" t="str">
        <f>IF(NOTA[[#This Row],[JUMLAH]]="","",NOTA[[#This Row],[DISC 1-]]+NOTA[[#This Row],[DISC 2-]]+NOTA[[#This Row],[DISC 3-]])</f>
        <v/>
      </c>
      <c r="AA936" s="42" t="str">
        <f>IF(NOTA[[#This Row],[JUMLAH]]="","",NOTA[[#This Row],[JUMLAH]]-NOTA[[#This Row],[DISC]])</f>
        <v/>
      </c>
      <c r="AB936" s="42"/>
      <c r="AC9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42" t="str">
        <f>IF(OR(NOTA[[#This Row],[QTY]]="",NOTA[[#This Row],[HARGA SATUAN]]="",),"",NOTA[[#This Row],[QTY]]*NOTA[[#This Row],[HARGA SATUAN]])</f>
        <v/>
      </c>
      <c r="AG936" s="36" t="str">
        <f ca="1">IF(NOTA[[#This Row],[ID_H]]="","",INDEX(NOTA[TANGGAL],MATCH(,INDIRECT(ADDRESS(ROW(NOTA[TANGGAL]),COLUMN(NOTA[TANGGAL]))&amp;":"&amp;ADDRESS(ROW(),COLUMN(NOTA[TANGGAL]))),-1)))</f>
        <v/>
      </c>
      <c r="AH936" s="36" t="str">
        <f ca="1">IF(NOTA[[#This Row],[ID_H]]="","",INDEX(NOTA[TGL.NOTA],MATCH(,INDIRECT(ADDRESS(ROW(NOTA[TGL.NOTA]),COLUMN(NOTA[TGL.NOTA]))&amp;":"&amp;ADDRESS(ROW(),COLUMN(NOTA[TGL.NOTA]))),-1)))</f>
        <v/>
      </c>
      <c r="AI936" s="36" t="str">
        <f ca="1">IF(NOTA[[#This Row],[ID_H]]="","",INDEX(NOTA[NO.NOTA],MATCH(NOTA[[#This Row],[ID_H]],NOTA[ID_H],0)))</f>
        <v/>
      </c>
      <c r="AJ936" s="38" t="str">
        <f ca="1">IF(NOTA[[#This Row],[NAMA BARANG]]="","",INDEX(NOTA[SUPPLIER],MATCH(,INDIRECT(ADDRESS(ROW(NOTA[ID]),COLUMN(NOTA[ID]))&amp;":"&amp;ADDRESS(ROW(),COLUMN(NOTA[ID]))),-1)))</f>
        <v/>
      </c>
      <c r="AK936" s="38" t="str">
        <f ca="1">IF(NOTA[[#This Row],[ID_H]]="","",IF(NOTA[[#This Row],[FAKTUR]]="",INDIRECT(ADDRESS(ROW()-1,COLUMN())),NOTA[[#This Row],[FAKTUR]]))</f>
        <v/>
      </c>
      <c r="AL936" s="35" t="str">
        <f ca="1">IF(NOTA[[#This Row],[ID]]="","",COUNTIF(NOTA[ID_H],NOTA[[#This Row],[ID_H]]))</f>
        <v/>
      </c>
      <c r="AM936" s="35" t="str">
        <f ca="1">IF(NOTA[[#This Row],[TGL.NOTA]]="",IF(NOTA[[#This Row],[SUPPLIER_H]]="","",AM935),MONTH(NOTA[[#This Row],[TGL.NOTA]]))</f>
        <v/>
      </c>
      <c r="AN93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6" s="35" t="str">
        <f>IF(NOTA[[#This Row],[CONCAT1]]="","",MATCH(NOTA[[#This Row],[CONCAT1]],[3]!db[NB NOTA_C],0))</f>
        <v/>
      </c>
      <c r="AS936" s="35" t="str">
        <f>IF(NOTA[[#This Row],[Column5]]="","",TRUE)</f>
        <v/>
      </c>
      <c r="AT936" s="35" t="str">
        <f ca="1">IF(NOTA[[#This Row],[ID_H]]="","",IF(NOTA[[#This Row],[Column3]]=TRUE,NOTA[[#This Row],[Column5]],INDEX([3]!db[QTY/ CTN],NOTA[[#This Row],[//DB]])))</f>
        <v/>
      </c>
      <c r="AU93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6" s="35" t="str">
        <f ca="1">IF(NOTA[[#This Row],[ID_H]]="","",MATCH(NOTA[[#This Row],[NB NOTA_C_QTY]],[3]!db[NB NOTA_C_QTY+F],0))</f>
        <v/>
      </c>
      <c r="AW936" s="43" t="str">
        <f ca="1">IF(NOTA[[#This Row],[NB NOTA_C_QTY]]="","",ROW()-2)</f>
        <v/>
      </c>
    </row>
    <row r="937" spans="1:49" ht="20.100000000000001" customHeight="1">
      <c r="A93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5" t="str">
        <f ca="1">IF(NOTA[[#This Row],[NAMA BARANG]]="","",INDEX(NOTA[ID],MATCH(,INDIRECT(ADDRESS(ROW(NOTA[ID]),COLUMN(NOTA[ID]))&amp;":"&amp;ADDRESS(ROW(),COLUMN(NOTA[ID]))),-1)))</f>
        <v/>
      </c>
      <c r="C937" s="45"/>
      <c r="F937" s="46"/>
      <c r="G937" s="35"/>
      <c r="H937" s="36"/>
      <c r="I937" s="35"/>
      <c r="K937" s="37"/>
      <c r="L937" s="35"/>
      <c r="N937" s="38"/>
      <c r="O937" s="39"/>
      <c r="P937" s="47"/>
      <c r="Q937" s="48"/>
      <c r="R937" s="41"/>
      <c r="T937" s="42"/>
      <c r="U937" s="44"/>
      <c r="V937" s="42" t="str">
        <f>IF(NOTA[[#This Row],[HARGA/ CTN]]="",NOTA[[#This Row],[JUMLAH_H]],NOTA[[#This Row],[HARGA/ CTN]]*IF(NOTA[[#This Row],[C]]="",0,NOTA[[#This Row],[C]]))</f>
        <v/>
      </c>
      <c r="W937" s="42" t="str">
        <f>IF(NOTA[[#This Row],[JUMLAH]]="","",NOTA[[#This Row],[JUMLAH]]*NOTA[[#This Row],[Column6]])</f>
        <v/>
      </c>
      <c r="X937" s="42" t="str">
        <f>IF(NOTA[[#This Row],[JUMLAH]]="","",(NOTA[[#This Row],[JUMLAH]]-NOTA[[#This Row],[DISC 1-]])*NOTA[[#This Row],[Column7]])</f>
        <v/>
      </c>
      <c r="Y937" s="42" t="str">
        <f>IF(NOTA[[#This Row],[JUMLAH]]="","",(NOTA[[#This Row],[JUMLAH]]-NOTA[[#This Row],[DISC 1-]]-NOTA[[#This Row],[DISC 2-]])*NOTA[[#This Row],[Column8]])</f>
        <v/>
      </c>
      <c r="Z937" s="42" t="str">
        <f>IF(NOTA[[#This Row],[JUMLAH]]="","",NOTA[[#This Row],[DISC 1-]]+NOTA[[#This Row],[DISC 2-]]+NOTA[[#This Row],[DISC 3-]])</f>
        <v/>
      </c>
      <c r="AA937" s="42" t="str">
        <f>IF(NOTA[[#This Row],[JUMLAH]]="","",NOTA[[#This Row],[JUMLAH]]-NOTA[[#This Row],[DISC]])</f>
        <v/>
      </c>
      <c r="AB937" s="42"/>
      <c r="AC9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42" t="str">
        <f>IF(OR(NOTA[[#This Row],[QTY]]="",NOTA[[#This Row],[HARGA SATUAN]]="",),"",NOTA[[#This Row],[QTY]]*NOTA[[#This Row],[HARGA SATUAN]])</f>
        <v/>
      </c>
      <c r="AG937" s="36" t="str">
        <f ca="1">IF(NOTA[[#This Row],[ID_H]]="","",INDEX(NOTA[TANGGAL],MATCH(,INDIRECT(ADDRESS(ROW(NOTA[TANGGAL]),COLUMN(NOTA[TANGGAL]))&amp;":"&amp;ADDRESS(ROW(),COLUMN(NOTA[TANGGAL]))),-1)))</f>
        <v/>
      </c>
      <c r="AH937" s="36" t="str">
        <f ca="1">IF(NOTA[[#This Row],[ID_H]]="","",INDEX(NOTA[TGL.NOTA],MATCH(,INDIRECT(ADDRESS(ROW(NOTA[TGL.NOTA]),COLUMN(NOTA[TGL.NOTA]))&amp;":"&amp;ADDRESS(ROW(),COLUMN(NOTA[TGL.NOTA]))),-1)))</f>
        <v/>
      </c>
      <c r="AI937" s="36" t="str">
        <f ca="1">IF(NOTA[[#This Row],[ID_H]]="","",INDEX(NOTA[NO.NOTA],MATCH(NOTA[[#This Row],[ID_H]],NOTA[ID_H],0)))</f>
        <v/>
      </c>
      <c r="AJ937" s="38" t="str">
        <f ca="1">IF(NOTA[[#This Row],[NAMA BARANG]]="","",INDEX(NOTA[SUPPLIER],MATCH(,INDIRECT(ADDRESS(ROW(NOTA[ID]),COLUMN(NOTA[ID]))&amp;":"&amp;ADDRESS(ROW(),COLUMN(NOTA[ID]))),-1)))</f>
        <v/>
      </c>
      <c r="AK937" s="38" t="str">
        <f ca="1">IF(NOTA[[#This Row],[ID_H]]="","",IF(NOTA[[#This Row],[FAKTUR]]="",INDIRECT(ADDRESS(ROW()-1,COLUMN())),NOTA[[#This Row],[FAKTUR]]))</f>
        <v/>
      </c>
      <c r="AL937" s="35" t="str">
        <f ca="1">IF(NOTA[[#This Row],[ID]]="","",COUNTIF(NOTA[ID_H],NOTA[[#This Row],[ID_H]]))</f>
        <v/>
      </c>
      <c r="AM937" s="35" t="str">
        <f ca="1">IF(NOTA[[#This Row],[TGL.NOTA]]="",IF(NOTA[[#This Row],[SUPPLIER_H]]="","",AM936),MONTH(NOTA[[#This Row],[TGL.NOTA]]))</f>
        <v/>
      </c>
      <c r="AN93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7" s="35" t="str">
        <f>IF(NOTA[[#This Row],[CONCAT1]]="","",MATCH(NOTA[[#This Row],[CONCAT1]],[3]!db[NB NOTA_C],0))</f>
        <v/>
      </c>
      <c r="AS937" s="35" t="str">
        <f>IF(NOTA[[#This Row],[Column5]]="","",TRUE)</f>
        <v/>
      </c>
      <c r="AT937" s="35" t="str">
        <f ca="1">IF(NOTA[[#This Row],[ID_H]]="","",IF(NOTA[[#This Row],[Column3]]=TRUE,NOTA[[#This Row],[Column5]],INDEX([3]!db[QTY/ CTN],NOTA[[#This Row],[//DB]])))</f>
        <v/>
      </c>
      <c r="AU93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7" s="35" t="str">
        <f ca="1">IF(NOTA[[#This Row],[ID_H]]="","",MATCH(NOTA[[#This Row],[NB NOTA_C_QTY]],[3]!db[NB NOTA_C_QTY+F],0))</f>
        <v/>
      </c>
      <c r="AW937" s="43" t="str">
        <f ca="1">IF(NOTA[[#This Row],[NB NOTA_C_QTY]]="","",ROW()-2)</f>
        <v/>
      </c>
    </row>
    <row r="938" spans="1:49" ht="20.100000000000001" customHeight="1">
      <c r="A93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5" t="str">
        <f ca="1">IF(NOTA[[#This Row],[NAMA BARANG]]="","",INDEX(NOTA[ID],MATCH(,INDIRECT(ADDRESS(ROW(NOTA[ID]),COLUMN(NOTA[ID]))&amp;":"&amp;ADDRESS(ROW(),COLUMN(NOTA[ID]))),-1)))</f>
        <v/>
      </c>
      <c r="C938" s="45"/>
      <c r="F938" s="46"/>
      <c r="G938" s="35"/>
      <c r="H938" s="36"/>
      <c r="I938" s="35"/>
      <c r="K938" s="37"/>
      <c r="L938" s="35"/>
      <c r="N938" s="38"/>
      <c r="O938" s="39"/>
      <c r="P938" s="47"/>
      <c r="Q938" s="48"/>
      <c r="R938" s="41"/>
      <c r="T938" s="42"/>
      <c r="U938" s="44"/>
      <c r="V938" s="42" t="str">
        <f>IF(NOTA[[#This Row],[HARGA/ CTN]]="",NOTA[[#This Row],[JUMLAH_H]],NOTA[[#This Row],[HARGA/ CTN]]*IF(NOTA[[#This Row],[C]]="",0,NOTA[[#This Row],[C]]))</f>
        <v/>
      </c>
      <c r="W938" s="42" t="str">
        <f>IF(NOTA[[#This Row],[JUMLAH]]="","",NOTA[[#This Row],[JUMLAH]]*NOTA[[#This Row],[Column6]])</f>
        <v/>
      </c>
      <c r="X938" s="42" t="str">
        <f>IF(NOTA[[#This Row],[JUMLAH]]="","",(NOTA[[#This Row],[JUMLAH]]-NOTA[[#This Row],[DISC 1-]])*NOTA[[#This Row],[Column7]])</f>
        <v/>
      </c>
      <c r="Y938" s="42" t="str">
        <f>IF(NOTA[[#This Row],[JUMLAH]]="","",(NOTA[[#This Row],[JUMLAH]]-NOTA[[#This Row],[DISC 1-]]-NOTA[[#This Row],[DISC 2-]])*NOTA[[#This Row],[Column8]])</f>
        <v/>
      </c>
      <c r="Z938" s="42" t="str">
        <f>IF(NOTA[[#This Row],[JUMLAH]]="","",NOTA[[#This Row],[DISC 1-]]+NOTA[[#This Row],[DISC 2-]]+NOTA[[#This Row],[DISC 3-]])</f>
        <v/>
      </c>
      <c r="AA938" s="42" t="str">
        <f>IF(NOTA[[#This Row],[JUMLAH]]="","",NOTA[[#This Row],[JUMLAH]]-NOTA[[#This Row],[DISC]])</f>
        <v/>
      </c>
      <c r="AB938" s="42"/>
      <c r="AC9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42" t="str">
        <f>IF(OR(NOTA[[#This Row],[QTY]]="",NOTA[[#This Row],[HARGA SATUAN]]="",),"",NOTA[[#This Row],[QTY]]*NOTA[[#This Row],[HARGA SATUAN]])</f>
        <v/>
      </c>
      <c r="AG938" s="36" t="str">
        <f ca="1">IF(NOTA[[#This Row],[ID_H]]="","",INDEX(NOTA[TANGGAL],MATCH(,INDIRECT(ADDRESS(ROW(NOTA[TANGGAL]),COLUMN(NOTA[TANGGAL]))&amp;":"&amp;ADDRESS(ROW(),COLUMN(NOTA[TANGGAL]))),-1)))</f>
        <v/>
      </c>
      <c r="AH938" s="36" t="str">
        <f ca="1">IF(NOTA[[#This Row],[ID_H]]="","",INDEX(NOTA[TGL.NOTA],MATCH(,INDIRECT(ADDRESS(ROW(NOTA[TGL.NOTA]),COLUMN(NOTA[TGL.NOTA]))&amp;":"&amp;ADDRESS(ROW(),COLUMN(NOTA[TGL.NOTA]))),-1)))</f>
        <v/>
      </c>
      <c r="AI938" s="36" t="str">
        <f ca="1">IF(NOTA[[#This Row],[ID_H]]="","",INDEX(NOTA[NO.NOTA],MATCH(NOTA[[#This Row],[ID_H]],NOTA[ID_H],0)))</f>
        <v/>
      </c>
      <c r="AJ938" s="38" t="str">
        <f ca="1">IF(NOTA[[#This Row],[NAMA BARANG]]="","",INDEX(NOTA[SUPPLIER],MATCH(,INDIRECT(ADDRESS(ROW(NOTA[ID]),COLUMN(NOTA[ID]))&amp;":"&amp;ADDRESS(ROW(),COLUMN(NOTA[ID]))),-1)))</f>
        <v/>
      </c>
      <c r="AK938" s="38" t="str">
        <f ca="1">IF(NOTA[[#This Row],[ID_H]]="","",IF(NOTA[[#This Row],[FAKTUR]]="",INDIRECT(ADDRESS(ROW()-1,COLUMN())),NOTA[[#This Row],[FAKTUR]]))</f>
        <v/>
      </c>
      <c r="AL938" s="35" t="str">
        <f ca="1">IF(NOTA[[#This Row],[ID]]="","",COUNTIF(NOTA[ID_H],NOTA[[#This Row],[ID_H]]))</f>
        <v/>
      </c>
      <c r="AM938" s="35" t="str">
        <f ca="1">IF(NOTA[[#This Row],[TGL.NOTA]]="",IF(NOTA[[#This Row],[SUPPLIER_H]]="","",AM937),MONTH(NOTA[[#This Row],[TGL.NOTA]]))</f>
        <v/>
      </c>
      <c r="AN93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8" s="35" t="str">
        <f>IF(NOTA[[#This Row],[CONCAT1]]="","",MATCH(NOTA[[#This Row],[CONCAT1]],[3]!db[NB NOTA_C],0))</f>
        <v/>
      </c>
      <c r="AS938" s="35" t="str">
        <f>IF(NOTA[[#This Row],[Column5]]="","",TRUE)</f>
        <v/>
      </c>
      <c r="AT938" s="35" t="str">
        <f ca="1">IF(NOTA[[#This Row],[ID_H]]="","",IF(NOTA[[#This Row],[Column3]]=TRUE,NOTA[[#This Row],[Column5]],INDEX([3]!db[QTY/ CTN],NOTA[[#This Row],[//DB]])))</f>
        <v/>
      </c>
      <c r="AU93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8" s="35" t="str">
        <f ca="1">IF(NOTA[[#This Row],[ID_H]]="","",MATCH(NOTA[[#This Row],[NB NOTA_C_QTY]],[3]!db[NB NOTA_C_QTY+F],0))</f>
        <v/>
      </c>
      <c r="AW938" s="43" t="str">
        <f ca="1">IF(NOTA[[#This Row],[NB NOTA_C_QTY]]="","",ROW()-2)</f>
        <v/>
      </c>
    </row>
    <row r="939" spans="1:49" ht="20.100000000000001" customHeight="1">
      <c r="A93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5" t="str">
        <f ca="1">IF(NOTA[[#This Row],[NAMA BARANG]]="","",INDEX(NOTA[ID],MATCH(,INDIRECT(ADDRESS(ROW(NOTA[ID]),COLUMN(NOTA[ID]))&amp;":"&amp;ADDRESS(ROW(),COLUMN(NOTA[ID]))),-1)))</f>
        <v/>
      </c>
      <c r="C939" s="45"/>
      <c r="F939" s="46"/>
      <c r="G939" s="35"/>
      <c r="H939" s="36"/>
      <c r="I939" s="35"/>
      <c r="K939" s="37"/>
      <c r="L939" s="35"/>
      <c r="N939" s="38"/>
      <c r="O939" s="39"/>
      <c r="P939" s="47"/>
      <c r="Q939" s="48"/>
      <c r="R939" s="41"/>
      <c r="T939" s="42"/>
      <c r="U939" s="44"/>
      <c r="V939" s="42" t="str">
        <f>IF(NOTA[[#This Row],[HARGA/ CTN]]="",NOTA[[#This Row],[JUMLAH_H]],NOTA[[#This Row],[HARGA/ CTN]]*IF(NOTA[[#This Row],[C]]="",0,NOTA[[#This Row],[C]]))</f>
        <v/>
      </c>
      <c r="W939" s="42" t="str">
        <f>IF(NOTA[[#This Row],[JUMLAH]]="","",NOTA[[#This Row],[JUMLAH]]*NOTA[[#This Row],[Column6]])</f>
        <v/>
      </c>
      <c r="X939" s="42" t="str">
        <f>IF(NOTA[[#This Row],[JUMLAH]]="","",(NOTA[[#This Row],[JUMLAH]]-NOTA[[#This Row],[DISC 1-]])*NOTA[[#This Row],[Column7]])</f>
        <v/>
      </c>
      <c r="Y939" s="42" t="str">
        <f>IF(NOTA[[#This Row],[JUMLAH]]="","",(NOTA[[#This Row],[JUMLAH]]-NOTA[[#This Row],[DISC 1-]]-NOTA[[#This Row],[DISC 2-]])*NOTA[[#This Row],[Column8]])</f>
        <v/>
      </c>
      <c r="Z939" s="42" t="str">
        <f>IF(NOTA[[#This Row],[JUMLAH]]="","",NOTA[[#This Row],[DISC 1-]]+NOTA[[#This Row],[DISC 2-]]+NOTA[[#This Row],[DISC 3-]])</f>
        <v/>
      </c>
      <c r="AA939" s="42" t="str">
        <f>IF(NOTA[[#This Row],[JUMLAH]]="","",NOTA[[#This Row],[JUMLAH]]-NOTA[[#This Row],[DISC]])</f>
        <v/>
      </c>
      <c r="AB939" s="42"/>
      <c r="AC9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3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3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42" t="str">
        <f>IF(OR(NOTA[[#This Row],[QTY]]="",NOTA[[#This Row],[HARGA SATUAN]]="",),"",NOTA[[#This Row],[QTY]]*NOTA[[#This Row],[HARGA SATUAN]])</f>
        <v/>
      </c>
      <c r="AG939" s="36" t="str">
        <f ca="1">IF(NOTA[[#This Row],[ID_H]]="","",INDEX(NOTA[TANGGAL],MATCH(,INDIRECT(ADDRESS(ROW(NOTA[TANGGAL]),COLUMN(NOTA[TANGGAL]))&amp;":"&amp;ADDRESS(ROW(),COLUMN(NOTA[TANGGAL]))),-1)))</f>
        <v/>
      </c>
      <c r="AH939" s="36" t="str">
        <f ca="1">IF(NOTA[[#This Row],[ID_H]]="","",INDEX(NOTA[TGL.NOTA],MATCH(,INDIRECT(ADDRESS(ROW(NOTA[TGL.NOTA]),COLUMN(NOTA[TGL.NOTA]))&amp;":"&amp;ADDRESS(ROW(),COLUMN(NOTA[TGL.NOTA]))),-1)))</f>
        <v/>
      </c>
      <c r="AI939" s="36" t="str">
        <f ca="1">IF(NOTA[[#This Row],[ID_H]]="","",INDEX(NOTA[NO.NOTA],MATCH(NOTA[[#This Row],[ID_H]],NOTA[ID_H],0)))</f>
        <v/>
      </c>
      <c r="AJ939" s="38" t="str">
        <f ca="1">IF(NOTA[[#This Row],[NAMA BARANG]]="","",INDEX(NOTA[SUPPLIER],MATCH(,INDIRECT(ADDRESS(ROW(NOTA[ID]),COLUMN(NOTA[ID]))&amp;":"&amp;ADDRESS(ROW(),COLUMN(NOTA[ID]))),-1)))</f>
        <v/>
      </c>
      <c r="AK939" s="38" t="str">
        <f ca="1">IF(NOTA[[#This Row],[ID_H]]="","",IF(NOTA[[#This Row],[FAKTUR]]="",INDIRECT(ADDRESS(ROW()-1,COLUMN())),NOTA[[#This Row],[FAKTUR]]))</f>
        <v/>
      </c>
      <c r="AL939" s="35" t="str">
        <f ca="1">IF(NOTA[[#This Row],[ID]]="","",COUNTIF(NOTA[ID_H],NOTA[[#This Row],[ID_H]]))</f>
        <v/>
      </c>
      <c r="AM939" s="35" t="str">
        <f ca="1">IF(NOTA[[#This Row],[TGL.NOTA]]="",IF(NOTA[[#This Row],[SUPPLIER_H]]="","",AM938),MONTH(NOTA[[#This Row],[TGL.NOTA]]))</f>
        <v/>
      </c>
      <c r="AN93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3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3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3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9" s="35" t="str">
        <f>IF(NOTA[[#This Row],[CONCAT1]]="","",MATCH(NOTA[[#This Row],[CONCAT1]],[3]!db[NB NOTA_C],0))</f>
        <v/>
      </c>
      <c r="AS939" s="35" t="str">
        <f>IF(NOTA[[#This Row],[Column5]]="","",TRUE)</f>
        <v/>
      </c>
      <c r="AT939" s="35" t="str">
        <f ca="1">IF(NOTA[[#This Row],[ID_H]]="","",IF(NOTA[[#This Row],[Column3]]=TRUE,NOTA[[#This Row],[Column5]],INDEX([3]!db[QTY/ CTN],NOTA[[#This Row],[//DB]])))</f>
        <v/>
      </c>
      <c r="AU93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39" s="35" t="str">
        <f ca="1">IF(NOTA[[#This Row],[ID_H]]="","",MATCH(NOTA[[#This Row],[NB NOTA_C_QTY]],[3]!db[NB NOTA_C_QTY+F],0))</f>
        <v/>
      </c>
      <c r="AW939" s="43" t="str">
        <f ca="1">IF(NOTA[[#This Row],[NB NOTA_C_QTY]]="","",ROW()-2)</f>
        <v/>
      </c>
    </row>
    <row r="940" spans="1:49" ht="20.100000000000001" customHeight="1">
      <c r="A94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5" t="str">
        <f ca="1">IF(NOTA[[#This Row],[NAMA BARANG]]="","",INDEX(NOTA[ID],MATCH(,INDIRECT(ADDRESS(ROW(NOTA[ID]),COLUMN(NOTA[ID]))&amp;":"&amp;ADDRESS(ROW(),COLUMN(NOTA[ID]))),-1)))</f>
        <v/>
      </c>
      <c r="C940" s="45"/>
      <c r="F940" s="46"/>
      <c r="G940" s="35"/>
      <c r="H940" s="36"/>
      <c r="I940" s="35"/>
      <c r="K940" s="37"/>
      <c r="L940" s="35"/>
      <c r="N940" s="38"/>
      <c r="O940" s="39"/>
      <c r="P940" s="47"/>
      <c r="Q940" s="48"/>
      <c r="R940" s="41"/>
      <c r="T940" s="42"/>
      <c r="U940" s="44"/>
      <c r="V940" s="42" t="str">
        <f>IF(NOTA[[#This Row],[HARGA/ CTN]]="",NOTA[[#This Row],[JUMLAH_H]],NOTA[[#This Row],[HARGA/ CTN]]*IF(NOTA[[#This Row],[C]]="",0,NOTA[[#This Row],[C]]))</f>
        <v/>
      </c>
      <c r="W940" s="42" t="str">
        <f>IF(NOTA[[#This Row],[JUMLAH]]="","",NOTA[[#This Row],[JUMLAH]]*NOTA[[#This Row],[Column6]])</f>
        <v/>
      </c>
      <c r="X940" s="42" t="str">
        <f>IF(NOTA[[#This Row],[JUMLAH]]="","",(NOTA[[#This Row],[JUMLAH]]-NOTA[[#This Row],[DISC 1-]])*NOTA[[#This Row],[Column7]])</f>
        <v/>
      </c>
      <c r="Y940" s="42" t="str">
        <f>IF(NOTA[[#This Row],[JUMLAH]]="","",(NOTA[[#This Row],[JUMLAH]]-NOTA[[#This Row],[DISC 1-]]-NOTA[[#This Row],[DISC 2-]])*NOTA[[#This Row],[Column8]])</f>
        <v/>
      </c>
      <c r="Z940" s="42" t="str">
        <f>IF(NOTA[[#This Row],[JUMLAH]]="","",NOTA[[#This Row],[DISC 1-]]+NOTA[[#This Row],[DISC 2-]]+NOTA[[#This Row],[DISC 3-]])</f>
        <v/>
      </c>
      <c r="AA940" s="42" t="str">
        <f>IF(NOTA[[#This Row],[JUMLAH]]="","",NOTA[[#This Row],[JUMLAH]]-NOTA[[#This Row],[DISC]])</f>
        <v/>
      </c>
      <c r="AB940" s="42"/>
      <c r="AC9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42" t="str">
        <f>IF(OR(NOTA[[#This Row],[QTY]]="",NOTA[[#This Row],[HARGA SATUAN]]="",),"",NOTA[[#This Row],[QTY]]*NOTA[[#This Row],[HARGA SATUAN]])</f>
        <v/>
      </c>
      <c r="AG940" s="36" t="str">
        <f ca="1">IF(NOTA[[#This Row],[ID_H]]="","",INDEX(NOTA[TANGGAL],MATCH(,INDIRECT(ADDRESS(ROW(NOTA[TANGGAL]),COLUMN(NOTA[TANGGAL]))&amp;":"&amp;ADDRESS(ROW(),COLUMN(NOTA[TANGGAL]))),-1)))</f>
        <v/>
      </c>
      <c r="AH940" s="36" t="str">
        <f ca="1">IF(NOTA[[#This Row],[ID_H]]="","",INDEX(NOTA[TGL.NOTA],MATCH(,INDIRECT(ADDRESS(ROW(NOTA[TGL.NOTA]),COLUMN(NOTA[TGL.NOTA]))&amp;":"&amp;ADDRESS(ROW(),COLUMN(NOTA[TGL.NOTA]))),-1)))</f>
        <v/>
      </c>
      <c r="AI940" s="36" t="str">
        <f ca="1">IF(NOTA[[#This Row],[ID_H]]="","",INDEX(NOTA[NO.NOTA],MATCH(NOTA[[#This Row],[ID_H]],NOTA[ID_H],0)))</f>
        <v/>
      </c>
      <c r="AJ940" s="38" t="str">
        <f ca="1">IF(NOTA[[#This Row],[NAMA BARANG]]="","",INDEX(NOTA[SUPPLIER],MATCH(,INDIRECT(ADDRESS(ROW(NOTA[ID]),COLUMN(NOTA[ID]))&amp;":"&amp;ADDRESS(ROW(),COLUMN(NOTA[ID]))),-1)))</f>
        <v/>
      </c>
      <c r="AK940" s="38" t="str">
        <f ca="1">IF(NOTA[[#This Row],[ID_H]]="","",IF(NOTA[[#This Row],[FAKTUR]]="",INDIRECT(ADDRESS(ROW()-1,COLUMN())),NOTA[[#This Row],[FAKTUR]]))</f>
        <v/>
      </c>
      <c r="AL940" s="35" t="str">
        <f ca="1">IF(NOTA[[#This Row],[ID]]="","",COUNTIF(NOTA[ID_H],NOTA[[#This Row],[ID_H]]))</f>
        <v/>
      </c>
      <c r="AM940" s="35" t="str">
        <f ca="1">IF(NOTA[[#This Row],[TGL.NOTA]]="",IF(NOTA[[#This Row],[SUPPLIER_H]]="","",AM939),MONTH(NOTA[[#This Row],[TGL.NOTA]]))</f>
        <v/>
      </c>
      <c r="AN94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0" s="35" t="str">
        <f>IF(NOTA[[#This Row],[CONCAT1]]="","",MATCH(NOTA[[#This Row],[CONCAT1]],[3]!db[NB NOTA_C],0))</f>
        <v/>
      </c>
      <c r="AS940" s="35" t="str">
        <f>IF(NOTA[[#This Row],[Column5]]="","",TRUE)</f>
        <v/>
      </c>
      <c r="AT940" s="35" t="str">
        <f ca="1">IF(NOTA[[#This Row],[ID_H]]="","",IF(NOTA[[#This Row],[Column3]]=TRUE,NOTA[[#This Row],[Column5]],INDEX([3]!db[QTY/ CTN],NOTA[[#This Row],[//DB]])))</f>
        <v/>
      </c>
      <c r="AU94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0" s="35" t="str">
        <f ca="1">IF(NOTA[[#This Row],[ID_H]]="","",MATCH(NOTA[[#This Row],[NB NOTA_C_QTY]],[3]!db[NB NOTA_C_QTY+F],0))</f>
        <v/>
      </c>
      <c r="AW940" s="43" t="str">
        <f ca="1">IF(NOTA[[#This Row],[NB NOTA_C_QTY]]="","",ROW()-2)</f>
        <v/>
      </c>
    </row>
    <row r="941" spans="1:49" ht="20.100000000000001" customHeight="1">
      <c r="A94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5" t="str">
        <f ca="1">IF(NOTA[[#This Row],[NAMA BARANG]]="","",INDEX(NOTA[ID],MATCH(,INDIRECT(ADDRESS(ROW(NOTA[ID]),COLUMN(NOTA[ID]))&amp;":"&amp;ADDRESS(ROW(),COLUMN(NOTA[ID]))),-1)))</f>
        <v/>
      </c>
      <c r="C941" s="45"/>
      <c r="F941" s="46"/>
      <c r="G941" s="35"/>
      <c r="H941" s="36"/>
      <c r="I941" s="35"/>
      <c r="K941" s="37"/>
      <c r="L941" s="35"/>
      <c r="N941" s="38"/>
      <c r="O941" s="39"/>
      <c r="P941" s="47"/>
      <c r="Q941" s="48"/>
      <c r="R941" s="41"/>
      <c r="T941" s="42"/>
      <c r="U941" s="44"/>
      <c r="V941" s="42" t="str">
        <f>IF(NOTA[[#This Row],[HARGA/ CTN]]="",NOTA[[#This Row],[JUMLAH_H]],NOTA[[#This Row],[HARGA/ CTN]]*IF(NOTA[[#This Row],[C]]="",0,NOTA[[#This Row],[C]]))</f>
        <v/>
      </c>
      <c r="W941" s="42" t="str">
        <f>IF(NOTA[[#This Row],[JUMLAH]]="","",NOTA[[#This Row],[JUMLAH]]*NOTA[[#This Row],[Column6]])</f>
        <v/>
      </c>
      <c r="X941" s="42" t="str">
        <f>IF(NOTA[[#This Row],[JUMLAH]]="","",(NOTA[[#This Row],[JUMLAH]]-NOTA[[#This Row],[DISC 1-]])*NOTA[[#This Row],[Column7]])</f>
        <v/>
      </c>
      <c r="Y941" s="42" t="str">
        <f>IF(NOTA[[#This Row],[JUMLAH]]="","",(NOTA[[#This Row],[JUMLAH]]-NOTA[[#This Row],[DISC 1-]]-NOTA[[#This Row],[DISC 2-]])*NOTA[[#This Row],[Column8]])</f>
        <v/>
      </c>
      <c r="Z941" s="42" t="str">
        <f>IF(NOTA[[#This Row],[JUMLAH]]="","",NOTA[[#This Row],[DISC 1-]]+NOTA[[#This Row],[DISC 2-]]+NOTA[[#This Row],[DISC 3-]])</f>
        <v/>
      </c>
      <c r="AA941" s="42" t="str">
        <f>IF(NOTA[[#This Row],[JUMLAH]]="","",NOTA[[#This Row],[JUMLAH]]-NOTA[[#This Row],[DISC]])</f>
        <v/>
      </c>
      <c r="AB941" s="42"/>
      <c r="AC9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42" t="str">
        <f>IF(OR(NOTA[[#This Row],[QTY]]="",NOTA[[#This Row],[HARGA SATUAN]]="",),"",NOTA[[#This Row],[QTY]]*NOTA[[#This Row],[HARGA SATUAN]])</f>
        <v/>
      </c>
      <c r="AG941" s="36" t="str">
        <f ca="1">IF(NOTA[[#This Row],[ID_H]]="","",INDEX(NOTA[TANGGAL],MATCH(,INDIRECT(ADDRESS(ROW(NOTA[TANGGAL]),COLUMN(NOTA[TANGGAL]))&amp;":"&amp;ADDRESS(ROW(),COLUMN(NOTA[TANGGAL]))),-1)))</f>
        <v/>
      </c>
      <c r="AH941" s="36" t="str">
        <f ca="1">IF(NOTA[[#This Row],[ID_H]]="","",INDEX(NOTA[TGL.NOTA],MATCH(,INDIRECT(ADDRESS(ROW(NOTA[TGL.NOTA]),COLUMN(NOTA[TGL.NOTA]))&amp;":"&amp;ADDRESS(ROW(),COLUMN(NOTA[TGL.NOTA]))),-1)))</f>
        <v/>
      </c>
      <c r="AI941" s="36" t="str">
        <f ca="1">IF(NOTA[[#This Row],[ID_H]]="","",INDEX(NOTA[NO.NOTA],MATCH(NOTA[[#This Row],[ID_H]],NOTA[ID_H],0)))</f>
        <v/>
      </c>
      <c r="AJ941" s="38" t="str">
        <f ca="1">IF(NOTA[[#This Row],[NAMA BARANG]]="","",INDEX(NOTA[SUPPLIER],MATCH(,INDIRECT(ADDRESS(ROW(NOTA[ID]),COLUMN(NOTA[ID]))&amp;":"&amp;ADDRESS(ROW(),COLUMN(NOTA[ID]))),-1)))</f>
        <v/>
      </c>
      <c r="AK941" s="38" t="str">
        <f ca="1">IF(NOTA[[#This Row],[ID_H]]="","",IF(NOTA[[#This Row],[FAKTUR]]="",INDIRECT(ADDRESS(ROW()-1,COLUMN())),NOTA[[#This Row],[FAKTUR]]))</f>
        <v/>
      </c>
      <c r="AL941" s="35" t="str">
        <f ca="1">IF(NOTA[[#This Row],[ID]]="","",COUNTIF(NOTA[ID_H],NOTA[[#This Row],[ID_H]]))</f>
        <v/>
      </c>
      <c r="AM941" s="35" t="str">
        <f ca="1">IF(NOTA[[#This Row],[TGL.NOTA]]="",IF(NOTA[[#This Row],[SUPPLIER_H]]="","",AM940),MONTH(NOTA[[#This Row],[TGL.NOTA]]))</f>
        <v/>
      </c>
      <c r="AN94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1" s="35" t="str">
        <f>IF(NOTA[[#This Row],[CONCAT1]]="","",MATCH(NOTA[[#This Row],[CONCAT1]],[3]!db[NB NOTA_C],0))</f>
        <v/>
      </c>
      <c r="AS941" s="35" t="str">
        <f>IF(NOTA[[#This Row],[Column5]]="","",TRUE)</f>
        <v/>
      </c>
      <c r="AT941" s="35" t="str">
        <f ca="1">IF(NOTA[[#This Row],[ID_H]]="","",IF(NOTA[[#This Row],[Column3]]=TRUE,NOTA[[#This Row],[Column5]],INDEX([3]!db[QTY/ CTN],NOTA[[#This Row],[//DB]])))</f>
        <v/>
      </c>
      <c r="AU94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1" s="35" t="str">
        <f ca="1">IF(NOTA[[#This Row],[ID_H]]="","",MATCH(NOTA[[#This Row],[NB NOTA_C_QTY]],[3]!db[NB NOTA_C_QTY+F],0))</f>
        <v/>
      </c>
      <c r="AW941" s="43" t="str">
        <f ca="1">IF(NOTA[[#This Row],[NB NOTA_C_QTY]]="","",ROW()-2)</f>
        <v/>
      </c>
    </row>
    <row r="942" spans="1:49" ht="20.100000000000001" customHeight="1">
      <c r="A94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5" t="str">
        <f ca="1">IF(NOTA[[#This Row],[NAMA BARANG]]="","",INDEX(NOTA[ID],MATCH(,INDIRECT(ADDRESS(ROW(NOTA[ID]),COLUMN(NOTA[ID]))&amp;":"&amp;ADDRESS(ROW(),COLUMN(NOTA[ID]))),-1)))</f>
        <v/>
      </c>
      <c r="C942" s="45"/>
      <c r="F942" s="46"/>
      <c r="G942" s="35"/>
      <c r="H942" s="36"/>
      <c r="I942" s="35"/>
      <c r="K942" s="37"/>
      <c r="L942" s="35"/>
      <c r="N942" s="38"/>
      <c r="O942" s="39"/>
      <c r="P942" s="47"/>
      <c r="Q942" s="48"/>
      <c r="R942" s="41"/>
      <c r="T942" s="42"/>
      <c r="U942" s="44"/>
      <c r="V942" s="42" t="str">
        <f>IF(NOTA[[#This Row],[HARGA/ CTN]]="",NOTA[[#This Row],[JUMLAH_H]],NOTA[[#This Row],[HARGA/ CTN]]*IF(NOTA[[#This Row],[C]]="",0,NOTA[[#This Row],[C]]))</f>
        <v/>
      </c>
      <c r="W942" s="42" t="str">
        <f>IF(NOTA[[#This Row],[JUMLAH]]="","",NOTA[[#This Row],[JUMLAH]]*NOTA[[#This Row],[Column6]])</f>
        <v/>
      </c>
      <c r="X942" s="42" t="str">
        <f>IF(NOTA[[#This Row],[JUMLAH]]="","",(NOTA[[#This Row],[JUMLAH]]-NOTA[[#This Row],[DISC 1-]])*NOTA[[#This Row],[Column7]])</f>
        <v/>
      </c>
      <c r="Y942" s="42" t="str">
        <f>IF(NOTA[[#This Row],[JUMLAH]]="","",(NOTA[[#This Row],[JUMLAH]]-NOTA[[#This Row],[DISC 1-]]-NOTA[[#This Row],[DISC 2-]])*NOTA[[#This Row],[Column8]])</f>
        <v/>
      </c>
      <c r="Z942" s="42" t="str">
        <f>IF(NOTA[[#This Row],[JUMLAH]]="","",NOTA[[#This Row],[DISC 1-]]+NOTA[[#This Row],[DISC 2-]]+NOTA[[#This Row],[DISC 3-]])</f>
        <v/>
      </c>
      <c r="AA942" s="42" t="str">
        <f>IF(NOTA[[#This Row],[JUMLAH]]="","",NOTA[[#This Row],[JUMLAH]]-NOTA[[#This Row],[DISC]])</f>
        <v/>
      </c>
      <c r="AB942" s="42"/>
      <c r="AC9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42" t="str">
        <f>IF(OR(NOTA[[#This Row],[QTY]]="",NOTA[[#This Row],[HARGA SATUAN]]="",),"",NOTA[[#This Row],[QTY]]*NOTA[[#This Row],[HARGA SATUAN]])</f>
        <v/>
      </c>
      <c r="AG942" s="36" t="str">
        <f ca="1">IF(NOTA[[#This Row],[ID_H]]="","",INDEX(NOTA[TANGGAL],MATCH(,INDIRECT(ADDRESS(ROW(NOTA[TANGGAL]),COLUMN(NOTA[TANGGAL]))&amp;":"&amp;ADDRESS(ROW(),COLUMN(NOTA[TANGGAL]))),-1)))</f>
        <v/>
      </c>
      <c r="AH942" s="36" t="str">
        <f ca="1">IF(NOTA[[#This Row],[ID_H]]="","",INDEX(NOTA[TGL.NOTA],MATCH(,INDIRECT(ADDRESS(ROW(NOTA[TGL.NOTA]),COLUMN(NOTA[TGL.NOTA]))&amp;":"&amp;ADDRESS(ROW(),COLUMN(NOTA[TGL.NOTA]))),-1)))</f>
        <v/>
      </c>
      <c r="AI942" s="36" t="str">
        <f ca="1">IF(NOTA[[#This Row],[ID_H]]="","",INDEX(NOTA[NO.NOTA],MATCH(NOTA[[#This Row],[ID_H]],NOTA[ID_H],0)))</f>
        <v/>
      </c>
      <c r="AJ942" s="38" t="str">
        <f ca="1">IF(NOTA[[#This Row],[NAMA BARANG]]="","",INDEX(NOTA[SUPPLIER],MATCH(,INDIRECT(ADDRESS(ROW(NOTA[ID]),COLUMN(NOTA[ID]))&amp;":"&amp;ADDRESS(ROW(),COLUMN(NOTA[ID]))),-1)))</f>
        <v/>
      </c>
      <c r="AK942" s="38" t="str">
        <f ca="1">IF(NOTA[[#This Row],[ID_H]]="","",IF(NOTA[[#This Row],[FAKTUR]]="",INDIRECT(ADDRESS(ROW()-1,COLUMN())),NOTA[[#This Row],[FAKTUR]]))</f>
        <v/>
      </c>
      <c r="AL942" s="35" t="str">
        <f ca="1">IF(NOTA[[#This Row],[ID]]="","",COUNTIF(NOTA[ID_H],NOTA[[#This Row],[ID_H]]))</f>
        <v/>
      </c>
      <c r="AM942" s="35" t="str">
        <f ca="1">IF(NOTA[[#This Row],[TGL.NOTA]]="",IF(NOTA[[#This Row],[SUPPLIER_H]]="","",AM941),MONTH(NOTA[[#This Row],[TGL.NOTA]]))</f>
        <v/>
      </c>
      <c r="AN94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2" s="35" t="str">
        <f>IF(NOTA[[#This Row],[CONCAT1]]="","",MATCH(NOTA[[#This Row],[CONCAT1]],[3]!db[NB NOTA_C],0))</f>
        <v/>
      </c>
      <c r="AS942" s="35" t="str">
        <f>IF(NOTA[[#This Row],[Column5]]="","",TRUE)</f>
        <v/>
      </c>
      <c r="AT942" s="35" t="str">
        <f ca="1">IF(NOTA[[#This Row],[ID_H]]="","",IF(NOTA[[#This Row],[Column3]]=TRUE,NOTA[[#This Row],[Column5]],INDEX([3]!db[QTY/ CTN],NOTA[[#This Row],[//DB]])))</f>
        <v/>
      </c>
      <c r="AU94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2" s="35" t="str">
        <f ca="1">IF(NOTA[[#This Row],[ID_H]]="","",MATCH(NOTA[[#This Row],[NB NOTA_C_QTY]],[3]!db[NB NOTA_C_QTY+F],0))</f>
        <v/>
      </c>
      <c r="AW942" s="43" t="str">
        <f ca="1">IF(NOTA[[#This Row],[NB NOTA_C_QTY]]="","",ROW()-2)</f>
        <v/>
      </c>
    </row>
    <row r="943" spans="1:49" ht="20.100000000000001" customHeight="1">
      <c r="A94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5" t="str">
        <f ca="1">IF(NOTA[[#This Row],[NAMA BARANG]]="","",INDEX(NOTA[ID],MATCH(,INDIRECT(ADDRESS(ROW(NOTA[ID]),COLUMN(NOTA[ID]))&amp;":"&amp;ADDRESS(ROW(),COLUMN(NOTA[ID]))),-1)))</f>
        <v/>
      </c>
      <c r="C943" s="45"/>
      <c r="F943" s="46"/>
      <c r="G943" s="35"/>
      <c r="H943" s="36"/>
      <c r="I943" s="35"/>
      <c r="K943" s="37"/>
      <c r="L943" s="35"/>
      <c r="N943" s="38"/>
      <c r="O943" s="39"/>
      <c r="P943" s="47"/>
      <c r="Q943" s="48"/>
      <c r="R943" s="41"/>
      <c r="T943" s="42"/>
      <c r="U943" s="44"/>
      <c r="V943" s="42" t="str">
        <f>IF(NOTA[[#This Row],[HARGA/ CTN]]="",NOTA[[#This Row],[JUMLAH_H]],NOTA[[#This Row],[HARGA/ CTN]]*IF(NOTA[[#This Row],[C]]="",0,NOTA[[#This Row],[C]]))</f>
        <v/>
      </c>
      <c r="W943" s="42" t="str">
        <f>IF(NOTA[[#This Row],[JUMLAH]]="","",NOTA[[#This Row],[JUMLAH]]*NOTA[[#This Row],[Column6]])</f>
        <v/>
      </c>
      <c r="X943" s="42" t="str">
        <f>IF(NOTA[[#This Row],[JUMLAH]]="","",(NOTA[[#This Row],[JUMLAH]]-NOTA[[#This Row],[DISC 1-]])*NOTA[[#This Row],[Column7]])</f>
        <v/>
      </c>
      <c r="Y943" s="42" t="str">
        <f>IF(NOTA[[#This Row],[JUMLAH]]="","",(NOTA[[#This Row],[JUMLAH]]-NOTA[[#This Row],[DISC 1-]]-NOTA[[#This Row],[DISC 2-]])*NOTA[[#This Row],[Column8]])</f>
        <v/>
      </c>
      <c r="Z943" s="42" t="str">
        <f>IF(NOTA[[#This Row],[JUMLAH]]="","",NOTA[[#This Row],[DISC 1-]]+NOTA[[#This Row],[DISC 2-]]+NOTA[[#This Row],[DISC 3-]])</f>
        <v/>
      </c>
      <c r="AA943" s="42" t="str">
        <f>IF(NOTA[[#This Row],[JUMLAH]]="","",NOTA[[#This Row],[JUMLAH]]-NOTA[[#This Row],[DISC]])</f>
        <v/>
      </c>
      <c r="AB943" s="42"/>
      <c r="AC9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42" t="str">
        <f>IF(OR(NOTA[[#This Row],[QTY]]="",NOTA[[#This Row],[HARGA SATUAN]]="",),"",NOTA[[#This Row],[QTY]]*NOTA[[#This Row],[HARGA SATUAN]])</f>
        <v/>
      </c>
      <c r="AG943" s="36" t="str">
        <f ca="1">IF(NOTA[[#This Row],[ID_H]]="","",INDEX(NOTA[TANGGAL],MATCH(,INDIRECT(ADDRESS(ROW(NOTA[TANGGAL]),COLUMN(NOTA[TANGGAL]))&amp;":"&amp;ADDRESS(ROW(),COLUMN(NOTA[TANGGAL]))),-1)))</f>
        <v/>
      </c>
      <c r="AH943" s="36" t="str">
        <f ca="1">IF(NOTA[[#This Row],[ID_H]]="","",INDEX(NOTA[TGL.NOTA],MATCH(,INDIRECT(ADDRESS(ROW(NOTA[TGL.NOTA]),COLUMN(NOTA[TGL.NOTA]))&amp;":"&amp;ADDRESS(ROW(),COLUMN(NOTA[TGL.NOTA]))),-1)))</f>
        <v/>
      </c>
      <c r="AI943" s="36" t="str">
        <f ca="1">IF(NOTA[[#This Row],[ID_H]]="","",INDEX(NOTA[NO.NOTA],MATCH(NOTA[[#This Row],[ID_H]],NOTA[ID_H],0)))</f>
        <v/>
      </c>
      <c r="AJ943" s="38" t="str">
        <f ca="1">IF(NOTA[[#This Row],[NAMA BARANG]]="","",INDEX(NOTA[SUPPLIER],MATCH(,INDIRECT(ADDRESS(ROW(NOTA[ID]),COLUMN(NOTA[ID]))&amp;":"&amp;ADDRESS(ROW(),COLUMN(NOTA[ID]))),-1)))</f>
        <v/>
      </c>
      <c r="AK943" s="38" t="str">
        <f ca="1">IF(NOTA[[#This Row],[ID_H]]="","",IF(NOTA[[#This Row],[FAKTUR]]="",INDIRECT(ADDRESS(ROW()-1,COLUMN())),NOTA[[#This Row],[FAKTUR]]))</f>
        <v/>
      </c>
      <c r="AL943" s="35" t="str">
        <f ca="1">IF(NOTA[[#This Row],[ID]]="","",COUNTIF(NOTA[ID_H],NOTA[[#This Row],[ID_H]]))</f>
        <v/>
      </c>
      <c r="AM943" s="35" t="str">
        <f ca="1">IF(NOTA[[#This Row],[TGL.NOTA]]="",IF(NOTA[[#This Row],[SUPPLIER_H]]="","",AM942),MONTH(NOTA[[#This Row],[TGL.NOTA]]))</f>
        <v/>
      </c>
      <c r="AN94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3" s="35" t="str">
        <f>IF(NOTA[[#This Row],[CONCAT1]]="","",MATCH(NOTA[[#This Row],[CONCAT1]],[3]!db[NB NOTA_C],0))</f>
        <v/>
      </c>
      <c r="AS943" s="35" t="str">
        <f>IF(NOTA[[#This Row],[Column5]]="","",TRUE)</f>
        <v/>
      </c>
      <c r="AT943" s="35" t="str">
        <f ca="1">IF(NOTA[[#This Row],[ID_H]]="","",IF(NOTA[[#This Row],[Column3]]=TRUE,NOTA[[#This Row],[Column5]],INDEX([3]!db[QTY/ CTN],NOTA[[#This Row],[//DB]])))</f>
        <v/>
      </c>
      <c r="AU94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3" s="35" t="str">
        <f ca="1">IF(NOTA[[#This Row],[ID_H]]="","",MATCH(NOTA[[#This Row],[NB NOTA_C_QTY]],[3]!db[NB NOTA_C_QTY+F],0))</f>
        <v/>
      </c>
      <c r="AW943" s="43" t="str">
        <f ca="1">IF(NOTA[[#This Row],[NB NOTA_C_QTY]]="","",ROW()-2)</f>
        <v/>
      </c>
    </row>
    <row r="944" spans="1:49" ht="20.100000000000001" customHeight="1">
      <c r="A94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5" t="str">
        <f ca="1">IF(NOTA[[#This Row],[NAMA BARANG]]="","",INDEX(NOTA[ID],MATCH(,INDIRECT(ADDRESS(ROW(NOTA[ID]),COLUMN(NOTA[ID]))&amp;":"&amp;ADDRESS(ROW(),COLUMN(NOTA[ID]))),-1)))</f>
        <v/>
      </c>
      <c r="C944" s="45"/>
      <c r="F944" s="46"/>
      <c r="G944" s="35"/>
      <c r="H944" s="36"/>
      <c r="I944" s="35"/>
      <c r="K944" s="37"/>
      <c r="L944" s="35"/>
      <c r="N944" s="38"/>
      <c r="O944" s="39"/>
      <c r="P944" s="47"/>
      <c r="Q944" s="48"/>
      <c r="R944" s="41"/>
      <c r="T944" s="42"/>
      <c r="U944" s="44"/>
      <c r="V944" s="42" t="str">
        <f>IF(NOTA[[#This Row],[HARGA/ CTN]]="",NOTA[[#This Row],[JUMLAH_H]],NOTA[[#This Row],[HARGA/ CTN]]*IF(NOTA[[#This Row],[C]]="",0,NOTA[[#This Row],[C]]))</f>
        <v/>
      </c>
      <c r="W944" s="42" t="str">
        <f>IF(NOTA[[#This Row],[JUMLAH]]="","",NOTA[[#This Row],[JUMLAH]]*NOTA[[#This Row],[Column6]])</f>
        <v/>
      </c>
      <c r="X944" s="42" t="str">
        <f>IF(NOTA[[#This Row],[JUMLAH]]="","",(NOTA[[#This Row],[JUMLAH]]-NOTA[[#This Row],[DISC 1-]])*NOTA[[#This Row],[Column7]])</f>
        <v/>
      </c>
      <c r="Y944" s="42" t="str">
        <f>IF(NOTA[[#This Row],[JUMLAH]]="","",(NOTA[[#This Row],[JUMLAH]]-NOTA[[#This Row],[DISC 1-]]-NOTA[[#This Row],[DISC 2-]])*NOTA[[#This Row],[Column8]])</f>
        <v/>
      </c>
      <c r="Z944" s="42" t="str">
        <f>IF(NOTA[[#This Row],[JUMLAH]]="","",NOTA[[#This Row],[DISC 1-]]+NOTA[[#This Row],[DISC 2-]]+NOTA[[#This Row],[DISC 3-]])</f>
        <v/>
      </c>
      <c r="AA944" s="42" t="str">
        <f>IF(NOTA[[#This Row],[JUMLAH]]="","",NOTA[[#This Row],[JUMLAH]]-NOTA[[#This Row],[DISC]])</f>
        <v/>
      </c>
      <c r="AB944" s="42"/>
      <c r="AC9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42" t="str">
        <f>IF(OR(NOTA[[#This Row],[QTY]]="",NOTA[[#This Row],[HARGA SATUAN]]="",),"",NOTA[[#This Row],[QTY]]*NOTA[[#This Row],[HARGA SATUAN]])</f>
        <v/>
      </c>
      <c r="AG944" s="36" t="str">
        <f ca="1">IF(NOTA[[#This Row],[ID_H]]="","",INDEX(NOTA[TANGGAL],MATCH(,INDIRECT(ADDRESS(ROW(NOTA[TANGGAL]),COLUMN(NOTA[TANGGAL]))&amp;":"&amp;ADDRESS(ROW(),COLUMN(NOTA[TANGGAL]))),-1)))</f>
        <v/>
      </c>
      <c r="AH944" s="36" t="str">
        <f ca="1">IF(NOTA[[#This Row],[ID_H]]="","",INDEX(NOTA[TGL.NOTA],MATCH(,INDIRECT(ADDRESS(ROW(NOTA[TGL.NOTA]),COLUMN(NOTA[TGL.NOTA]))&amp;":"&amp;ADDRESS(ROW(),COLUMN(NOTA[TGL.NOTA]))),-1)))</f>
        <v/>
      </c>
      <c r="AI944" s="36" t="str">
        <f ca="1">IF(NOTA[[#This Row],[ID_H]]="","",INDEX(NOTA[NO.NOTA],MATCH(NOTA[[#This Row],[ID_H]],NOTA[ID_H],0)))</f>
        <v/>
      </c>
      <c r="AJ944" s="38" t="str">
        <f ca="1">IF(NOTA[[#This Row],[NAMA BARANG]]="","",INDEX(NOTA[SUPPLIER],MATCH(,INDIRECT(ADDRESS(ROW(NOTA[ID]),COLUMN(NOTA[ID]))&amp;":"&amp;ADDRESS(ROW(),COLUMN(NOTA[ID]))),-1)))</f>
        <v/>
      </c>
      <c r="AK944" s="38" t="str">
        <f ca="1">IF(NOTA[[#This Row],[ID_H]]="","",IF(NOTA[[#This Row],[FAKTUR]]="",INDIRECT(ADDRESS(ROW()-1,COLUMN())),NOTA[[#This Row],[FAKTUR]]))</f>
        <v/>
      </c>
      <c r="AL944" s="35" t="str">
        <f ca="1">IF(NOTA[[#This Row],[ID]]="","",COUNTIF(NOTA[ID_H],NOTA[[#This Row],[ID_H]]))</f>
        <v/>
      </c>
      <c r="AM944" s="35" t="str">
        <f ca="1">IF(NOTA[[#This Row],[TGL.NOTA]]="",IF(NOTA[[#This Row],[SUPPLIER_H]]="","",AM943),MONTH(NOTA[[#This Row],[TGL.NOTA]]))</f>
        <v/>
      </c>
      <c r="AN94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4" s="35" t="str">
        <f>IF(NOTA[[#This Row],[CONCAT1]]="","",MATCH(NOTA[[#This Row],[CONCAT1]],[3]!db[NB NOTA_C],0))</f>
        <v/>
      </c>
      <c r="AS944" s="35" t="str">
        <f>IF(NOTA[[#This Row],[Column5]]="","",TRUE)</f>
        <v/>
      </c>
      <c r="AT944" s="35" t="str">
        <f ca="1">IF(NOTA[[#This Row],[ID_H]]="","",IF(NOTA[[#This Row],[Column3]]=TRUE,NOTA[[#This Row],[Column5]],INDEX([3]!db[QTY/ CTN],NOTA[[#This Row],[//DB]])))</f>
        <v/>
      </c>
      <c r="AU94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4" s="35" t="str">
        <f ca="1">IF(NOTA[[#This Row],[ID_H]]="","",MATCH(NOTA[[#This Row],[NB NOTA_C_QTY]],[3]!db[NB NOTA_C_QTY+F],0))</f>
        <v/>
      </c>
      <c r="AW944" s="43" t="str">
        <f ca="1">IF(NOTA[[#This Row],[NB NOTA_C_QTY]]="","",ROW()-2)</f>
        <v/>
      </c>
    </row>
    <row r="945" spans="1:49" ht="20.100000000000001" customHeight="1">
      <c r="A94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5" t="str">
        <f ca="1">IF(NOTA[[#This Row],[NAMA BARANG]]="","",INDEX(NOTA[ID],MATCH(,INDIRECT(ADDRESS(ROW(NOTA[ID]),COLUMN(NOTA[ID]))&amp;":"&amp;ADDRESS(ROW(),COLUMN(NOTA[ID]))),-1)))</f>
        <v/>
      </c>
      <c r="C945" s="45"/>
      <c r="F945" s="46"/>
      <c r="G945" s="35"/>
      <c r="H945" s="36"/>
      <c r="I945" s="35"/>
      <c r="K945" s="37"/>
      <c r="L945" s="35"/>
      <c r="N945" s="38"/>
      <c r="O945" s="39"/>
      <c r="P945" s="47"/>
      <c r="Q945" s="48"/>
      <c r="R945" s="41"/>
      <c r="T945" s="42"/>
      <c r="U945" s="44"/>
      <c r="V945" s="42" t="str">
        <f>IF(NOTA[[#This Row],[HARGA/ CTN]]="",NOTA[[#This Row],[JUMLAH_H]],NOTA[[#This Row],[HARGA/ CTN]]*IF(NOTA[[#This Row],[C]]="",0,NOTA[[#This Row],[C]]))</f>
        <v/>
      </c>
      <c r="W945" s="42" t="str">
        <f>IF(NOTA[[#This Row],[JUMLAH]]="","",NOTA[[#This Row],[JUMLAH]]*NOTA[[#This Row],[Column6]])</f>
        <v/>
      </c>
      <c r="X945" s="42" t="str">
        <f>IF(NOTA[[#This Row],[JUMLAH]]="","",(NOTA[[#This Row],[JUMLAH]]-NOTA[[#This Row],[DISC 1-]])*NOTA[[#This Row],[Column7]])</f>
        <v/>
      </c>
      <c r="Y945" s="42" t="str">
        <f>IF(NOTA[[#This Row],[JUMLAH]]="","",(NOTA[[#This Row],[JUMLAH]]-NOTA[[#This Row],[DISC 1-]]-NOTA[[#This Row],[DISC 2-]])*NOTA[[#This Row],[Column8]])</f>
        <v/>
      </c>
      <c r="Z945" s="42" t="str">
        <f>IF(NOTA[[#This Row],[JUMLAH]]="","",NOTA[[#This Row],[DISC 1-]]+NOTA[[#This Row],[DISC 2-]]+NOTA[[#This Row],[DISC 3-]])</f>
        <v/>
      </c>
      <c r="AA945" s="42" t="str">
        <f>IF(NOTA[[#This Row],[JUMLAH]]="","",NOTA[[#This Row],[JUMLAH]]-NOTA[[#This Row],[DISC]])</f>
        <v/>
      </c>
      <c r="AB945" s="42"/>
      <c r="AC9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42" t="str">
        <f>IF(OR(NOTA[[#This Row],[QTY]]="",NOTA[[#This Row],[HARGA SATUAN]]="",),"",NOTA[[#This Row],[QTY]]*NOTA[[#This Row],[HARGA SATUAN]])</f>
        <v/>
      </c>
      <c r="AG945" s="36" t="str">
        <f ca="1">IF(NOTA[[#This Row],[ID_H]]="","",INDEX(NOTA[TANGGAL],MATCH(,INDIRECT(ADDRESS(ROW(NOTA[TANGGAL]),COLUMN(NOTA[TANGGAL]))&amp;":"&amp;ADDRESS(ROW(),COLUMN(NOTA[TANGGAL]))),-1)))</f>
        <v/>
      </c>
      <c r="AH945" s="36" t="str">
        <f ca="1">IF(NOTA[[#This Row],[ID_H]]="","",INDEX(NOTA[TGL.NOTA],MATCH(,INDIRECT(ADDRESS(ROW(NOTA[TGL.NOTA]),COLUMN(NOTA[TGL.NOTA]))&amp;":"&amp;ADDRESS(ROW(),COLUMN(NOTA[TGL.NOTA]))),-1)))</f>
        <v/>
      </c>
      <c r="AI945" s="36" t="str">
        <f ca="1">IF(NOTA[[#This Row],[ID_H]]="","",INDEX(NOTA[NO.NOTA],MATCH(NOTA[[#This Row],[ID_H]],NOTA[ID_H],0)))</f>
        <v/>
      </c>
      <c r="AJ945" s="38" t="str">
        <f ca="1">IF(NOTA[[#This Row],[NAMA BARANG]]="","",INDEX(NOTA[SUPPLIER],MATCH(,INDIRECT(ADDRESS(ROW(NOTA[ID]),COLUMN(NOTA[ID]))&amp;":"&amp;ADDRESS(ROW(),COLUMN(NOTA[ID]))),-1)))</f>
        <v/>
      </c>
      <c r="AK945" s="38" t="str">
        <f ca="1">IF(NOTA[[#This Row],[ID_H]]="","",IF(NOTA[[#This Row],[FAKTUR]]="",INDIRECT(ADDRESS(ROW()-1,COLUMN())),NOTA[[#This Row],[FAKTUR]]))</f>
        <v/>
      </c>
      <c r="AL945" s="35" t="str">
        <f ca="1">IF(NOTA[[#This Row],[ID]]="","",COUNTIF(NOTA[ID_H],NOTA[[#This Row],[ID_H]]))</f>
        <v/>
      </c>
      <c r="AM945" s="35" t="str">
        <f ca="1">IF(NOTA[[#This Row],[TGL.NOTA]]="",IF(NOTA[[#This Row],[SUPPLIER_H]]="","",AM944),MONTH(NOTA[[#This Row],[TGL.NOTA]]))</f>
        <v/>
      </c>
      <c r="AN94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5" s="35" t="str">
        <f>IF(NOTA[[#This Row],[CONCAT1]]="","",MATCH(NOTA[[#This Row],[CONCAT1]],[3]!db[NB NOTA_C],0))</f>
        <v/>
      </c>
      <c r="AS945" s="35" t="str">
        <f>IF(NOTA[[#This Row],[Column5]]="","",TRUE)</f>
        <v/>
      </c>
      <c r="AT945" s="35" t="str">
        <f ca="1">IF(NOTA[[#This Row],[ID_H]]="","",IF(NOTA[[#This Row],[Column3]]=TRUE,NOTA[[#This Row],[Column5]],INDEX([3]!db[QTY/ CTN],NOTA[[#This Row],[//DB]])))</f>
        <v/>
      </c>
      <c r="AU94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5" s="35" t="str">
        <f ca="1">IF(NOTA[[#This Row],[ID_H]]="","",MATCH(NOTA[[#This Row],[NB NOTA_C_QTY]],[3]!db[NB NOTA_C_QTY+F],0))</f>
        <v/>
      </c>
      <c r="AW945" s="43" t="str">
        <f ca="1">IF(NOTA[[#This Row],[NB NOTA_C_QTY]]="","",ROW()-2)</f>
        <v/>
      </c>
    </row>
    <row r="946" spans="1:49" ht="20.100000000000001" customHeight="1">
      <c r="A94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5" t="str">
        <f ca="1">IF(NOTA[[#This Row],[NAMA BARANG]]="","",INDEX(NOTA[ID],MATCH(,INDIRECT(ADDRESS(ROW(NOTA[ID]),COLUMN(NOTA[ID]))&amp;":"&amp;ADDRESS(ROW(),COLUMN(NOTA[ID]))),-1)))</f>
        <v/>
      </c>
      <c r="C946" s="45"/>
      <c r="F946" s="46"/>
      <c r="G946" s="35"/>
      <c r="H946" s="36"/>
      <c r="I946" s="35"/>
      <c r="K946" s="37"/>
      <c r="L946" s="35"/>
      <c r="N946" s="38"/>
      <c r="O946" s="39"/>
      <c r="P946" s="47"/>
      <c r="Q946" s="48"/>
      <c r="R946" s="41"/>
      <c r="T946" s="42"/>
      <c r="U946" s="44"/>
      <c r="V946" s="42" t="str">
        <f>IF(NOTA[[#This Row],[HARGA/ CTN]]="",NOTA[[#This Row],[JUMLAH_H]],NOTA[[#This Row],[HARGA/ CTN]]*IF(NOTA[[#This Row],[C]]="",0,NOTA[[#This Row],[C]]))</f>
        <v/>
      </c>
      <c r="W946" s="42" t="str">
        <f>IF(NOTA[[#This Row],[JUMLAH]]="","",NOTA[[#This Row],[JUMLAH]]*NOTA[[#This Row],[Column6]])</f>
        <v/>
      </c>
      <c r="X946" s="42" t="str">
        <f>IF(NOTA[[#This Row],[JUMLAH]]="","",(NOTA[[#This Row],[JUMLAH]]-NOTA[[#This Row],[DISC 1-]])*NOTA[[#This Row],[Column7]])</f>
        <v/>
      </c>
      <c r="Y946" s="42" t="str">
        <f>IF(NOTA[[#This Row],[JUMLAH]]="","",(NOTA[[#This Row],[JUMLAH]]-NOTA[[#This Row],[DISC 1-]]-NOTA[[#This Row],[DISC 2-]])*NOTA[[#This Row],[Column8]])</f>
        <v/>
      </c>
      <c r="Z946" s="42" t="str">
        <f>IF(NOTA[[#This Row],[JUMLAH]]="","",NOTA[[#This Row],[DISC 1-]]+NOTA[[#This Row],[DISC 2-]]+NOTA[[#This Row],[DISC 3-]])</f>
        <v/>
      </c>
      <c r="AA946" s="42" t="str">
        <f>IF(NOTA[[#This Row],[JUMLAH]]="","",NOTA[[#This Row],[JUMLAH]]-NOTA[[#This Row],[DISC]])</f>
        <v/>
      </c>
      <c r="AB946" s="42"/>
      <c r="AC9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42" t="str">
        <f>IF(OR(NOTA[[#This Row],[QTY]]="",NOTA[[#This Row],[HARGA SATUAN]]="",),"",NOTA[[#This Row],[QTY]]*NOTA[[#This Row],[HARGA SATUAN]])</f>
        <v/>
      </c>
      <c r="AG946" s="36" t="str">
        <f ca="1">IF(NOTA[[#This Row],[ID_H]]="","",INDEX(NOTA[TANGGAL],MATCH(,INDIRECT(ADDRESS(ROW(NOTA[TANGGAL]),COLUMN(NOTA[TANGGAL]))&amp;":"&amp;ADDRESS(ROW(),COLUMN(NOTA[TANGGAL]))),-1)))</f>
        <v/>
      </c>
      <c r="AH946" s="36" t="str">
        <f ca="1">IF(NOTA[[#This Row],[ID_H]]="","",INDEX(NOTA[TGL.NOTA],MATCH(,INDIRECT(ADDRESS(ROW(NOTA[TGL.NOTA]),COLUMN(NOTA[TGL.NOTA]))&amp;":"&amp;ADDRESS(ROW(),COLUMN(NOTA[TGL.NOTA]))),-1)))</f>
        <v/>
      </c>
      <c r="AI946" s="36" t="str">
        <f ca="1">IF(NOTA[[#This Row],[ID_H]]="","",INDEX(NOTA[NO.NOTA],MATCH(NOTA[[#This Row],[ID_H]],NOTA[ID_H],0)))</f>
        <v/>
      </c>
      <c r="AJ946" s="38" t="str">
        <f ca="1">IF(NOTA[[#This Row],[NAMA BARANG]]="","",INDEX(NOTA[SUPPLIER],MATCH(,INDIRECT(ADDRESS(ROW(NOTA[ID]),COLUMN(NOTA[ID]))&amp;":"&amp;ADDRESS(ROW(),COLUMN(NOTA[ID]))),-1)))</f>
        <v/>
      </c>
      <c r="AK946" s="38" t="str">
        <f ca="1">IF(NOTA[[#This Row],[ID_H]]="","",IF(NOTA[[#This Row],[FAKTUR]]="",INDIRECT(ADDRESS(ROW()-1,COLUMN())),NOTA[[#This Row],[FAKTUR]]))</f>
        <v/>
      </c>
      <c r="AL946" s="35" t="str">
        <f ca="1">IF(NOTA[[#This Row],[ID]]="","",COUNTIF(NOTA[ID_H],NOTA[[#This Row],[ID_H]]))</f>
        <v/>
      </c>
      <c r="AM946" s="35" t="str">
        <f ca="1">IF(NOTA[[#This Row],[TGL.NOTA]]="",IF(NOTA[[#This Row],[SUPPLIER_H]]="","",AM945),MONTH(NOTA[[#This Row],[TGL.NOTA]]))</f>
        <v/>
      </c>
      <c r="AN94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6" s="35" t="str">
        <f>IF(NOTA[[#This Row],[CONCAT1]]="","",MATCH(NOTA[[#This Row],[CONCAT1]],[3]!db[NB NOTA_C],0))</f>
        <v/>
      </c>
      <c r="AS946" s="35" t="str">
        <f>IF(NOTA[[#This Row],[Column5]]="","",TRUE)</f>
        <v/>
      </c>
      <c r="AT946" s="35" t="str">
        <f ca="1">IF(NOTA[[#This Row],[ID_H]]="","",IF(NOTA[[#This Row],[Column3]]=TRUE,NOTA[[#This Row],[Column5]],INDEX([3]!db[QTY/ CTN],NOTA[[#This Row],[//DB]])))</f>
        <v/>
      </c>
      <c r="AU94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6" s="35" t="str">
        <f ca="1">IF(NOTA[[#This Row],[ID_H]]="","",MATCH(NOTA[[#This Row],[NB NOTA_C_QTY]],[3]!db[NB NOTA_C_QTY+F],0))</f>
        <v/>
      </c>
      <c r="AW946" s="43" t="str">
        <f ca="1">IF(NOTA[[#This Row],[NB NOTA_C_QTY]]="","",ROW()-2)</f>
        <v/>
      </c>
    </row>
    <row r="947" spans="1:49" ht="20.100000000000001" customHeight="1">
      <c r="A94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5" t="str">
        <f ca="1">IF(NOTA[[#This Row],[NAMA BARANG]]="","",INDEX(NOTA[ID],MATCH(,INDIRECT(ADDRESS(ROW(NOTA[ID]),COLUMN(NOTA[ID]))&amp;":"&amp;ADDRESS(ROW(),COLUMN(NOTA[ID]))),-1)))</f>
        <v/>
      </c>
      <c r="C947" s="45"/>
      <c r="F947" s="46"/>
      <c r="G947" s="35"/>
      <c r="H947" s="36"/>
      <c r="I947" s="35"/>
      <c r="K947" s="37"/>
      <c r="L947" s="35"/>
      <c r="N947" s="38"/>
      <c r="O947" s="39"/>
      <c r="P947" s="47"/>
      <c r="Q947" s="48"/>
      <c r="R947" s="41"/>
      <c r="T947" s="42"/>
      <c r="U947" s="44"/>
      <c r="V947" s="42" t="str">
        <f>IF(NOTA[[#This Row],[HARGA/ CTN]]="",NOTA[[#This Row],[JUMLAH_H]],NOTA[[#This Row],[HARGA/ CTN]]*IF(NOTA[[#This Row],[C]]="",0,NOTA[[#This Row],[C]]))</f>
        <v/>
      </c>
      <c r="W947" s="42" t="str">
        <f>IF(NOTA[[#This Row],[JUMLAH]]="","",NOTA[[#This Row],[JUMLAH]]*NOTA[[#This Row],[Column6]])</f>
        <v/>
      </c>
      <c r="X947" s="42" t="str">
        <f>IF(NOTA[[#This Row],[JUMLAH]]="","",(NOTA[[#This Row],[JUMLAH]]-NOTA[[#This Row],[DISC 1-]])*NOTA[[#This Row],[Column7]])</f>
        <v/>
      </c>
      <c r="Y947" s="42" t="str">
        <f>IF(NOTA[[#This Row],[JUMLAH]]="","",(NOTA[[#This Row],[JUMLAH]]-NOTA[[#This Row],[DISC 1-]]-NOTA[[#This Row],[DISC 2-]])*NOTA[[#This Row],[Column8]])</f>
        <v/>
      </c>
      <c r="Z947" s="42" t="str">
        <f>IF(NOTA[[#This Row],[JUMLAH]]="","",NOTA[[#This Row],[DISC 1-]]+NOTA[[#This Row],[DISC 2-]]+NOTA[[#This Row],[DISC 3-]])</f>
        <v/>
      </c>
      <c r="AA947" s="42" t="str">
        <f>IF(NOTA[[#This Row],[JUMLAH]]="","",NOTA[[#This Row],[JUMLAH]]-NOTA[[#This Row],[DISC]])</f>
        <v/>
      </c>
      <c r="AB947" s="42"/>
      <c r="AC9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42" t="str">
        <f>IF(OR(NOTA[[#This Row],[QTY]]="",NOTA[[#This Row],[HARGA SATUAN]]="",),"",NOTA[[#This Row],[QTY]]*NOTA[[#This Row],[HARGA SATUAN]])</f>
        <v/>
      </c>
      <c r="AG947" s="36" t="str">
        <f ca="1">IF(NOTA[[#This Row],[ID_H]]="","",INDEX(NOTA[TANGGAL],MATCH(,INDIRECT(ADDRESS(ROW(NOTA[TANGGAL]),COLUMN(NOTA[TANGGAL]))&amp;":"&amp;ADDRESS(ROW(),COLUMN(NOTA[TANGGAL]))),-1)))</f>
        <v/>
      </c>
      <c r="AH947" s="36" t="str">
        <f ca="1">IF(NOTA[[#This Row],[ID_H]]="","",INDEX(NOTA[TGL.NOTA],MATCH(,INDIRECT(ADDRESS(ROW(NOTA[TGL.NOTA]),COLUMN(NOTA[TGL.NOTA]))&amp;":"&amp;ADDRESS(ROW(),COLUMN(NOTA[TGL.NOTA]))),-1)))</f>
        <v/>
      </c>
      <c r="AI947" s="36" t="str">
        <f ca="1">IF(NOTA[[#This Row],[ID_H]]="","",INDEX(NOTA[NO.NOTA],MATCH(NOTA[[#This Row],[ID_H]],NOTA[ID_H],0)))</f>
        <v/>
      </c>
      <c r="AJ947" s="38" t="str">
        <f ca="1">IF(NOTA[[#This Row],[NAMA BARANG]]="","",INDEX(NOTA[SUPPLIER],MATCH(,INDIRECT(ADDRESS(ROW(NOTA[ID]),COLUMN(NOTA[ID]))&amp;":"&amp;ADDRESS(ROW(),COLUMN(NOTA[ID]))),-1)))</f>
        <v/>
      </c>
      <c r="AK947" s="38" t="str">
        <f ca="1">IF(NOTA[[#This Row],[ID_H]]="","",IF(NOTA[[#This Row],[FAKTUR]]="",INDIRECT(ADDRESS(ROW()-1,COLUMN())),NOTA[[#This Row],[FAKTUR]]))</f>
        <v/>
      </c>
      <c r="AL947" s="35" t="str">
        <f ca="1">IF(NOTA[[#This Row],[ID]]="","",COUNTIF(NOTA[ID_H],NOTA[[#This Row],[ID_H]]))</f>
        <v/>
      </c>
      <c r="AM947" s="35" t="str">
        <f ca="1">IF(NOTA[[#This Row],[TGL.NOTA]]="",IF(NOTA[[#This Row],[SUPPLIER_H]]="","",AM946),MONTH(NOTA[[#This Row],[TGL.NOTA]]))</f>
        <v/>
      </c>
      <c r="AN94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7" s="35" t="str">
        <f>IF(NOTA[[#This Row],[CONCAT1]]="","",MATCH(NOTA[[#This Row],[CONCAT1]],[3]!db[NB NOTA_C],0))</f>
        <v/>
      </c>
      <c r="AS947" s="35" t="str">
        <f>IF(NOTA[[#This Row],[Column5]]="","",TRUE)</f>
        <v/>
      </c>
      <c r="AT947" s="35" t="str">
        <f ca="1">IF(NOTA[[#This Row],[ID_H]]="","",IF(NOTA[[#This Row],[Column3]]=TRUE,NOTA[[#This Row],[Column5]],INDEX([3]!db[QTY/ CTN],NOTA[[#This Row],[//DB]])))</f>
        <v/>
      </c>
      <c r="AU94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7" s="35" t="str">
        <f ca="1">IF(NOTA[[#This Row],[ID_H]]="","",MATCH(NOTA[[#This Row],[NB NOTA_C_QTY]],[3]!db[NB NOTA_C_QTY+F],0))</f>
        <v/>
      </c>
      <c r="AW947" s="43" t="str">
        <f ca="1">IF(NOTA[[#This Row],[NB NOTA_C_QTY]]="","",ROW()-2)</f>
        <v/>
      </c>
    </row>
    <row r="948" spans="1:49" ht="20.100000000000001" customHeight="1">
      <c r="A94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5" t="str">
        <f ca="1">IF(NOTA[[#This Row],[NAMA BARANG]]="","",INDEX(NOTA[ID],MATCH(,INDIRECT(ADDRESS(ROW(NOTA[ID]),COLUMN(NOTA[ID]))&amp;":"&amp;ADDRESS(ROW(),COLUMN(NOTA[ID]))),-1)))</f>
        <v/>
      </c>
      <c r="C948" s="45"/>
      <c r="F948" s="46"/>
      <c r="G948" s="35"/>
      <c r="H948" s="36"/>
      <c r="I948" s="35"/>
      <c r="K948" s="37"/>
      <c r="L948" s="35"/>
      <c r="N948" s="38"/>
      <c r="O948" s="39"/>
      <c r="P948" s="47"/>
      <c r="Q948" s="48"/>
      <c r="R948" s="41"/>
      <c r="T948" s="42"/>
      <c r="U948" s="44"/>
      <c r="V948" s="42" t="str">
        <f>IF(NOTA[[#This Row],[HARGA/ CTN]]="",NOTA[[#This Row],[JUMLAH_H]],NOTA[[#This Row],[HARGA/ CTN]]*IF(NOTA[[#This Row],[C]]="",0,NOTA[[#This Row],[C]]))</f>
        <v/>
      </c>
      <c r="W948" s="42" t="str">
        <f>IF(NOTA[[#This Row],[JUMLAH]]="","",NOTA[[#This Row],[JUMLAH]]*NOTA[[#This Row],[Column6]])</f>
        <v/>
      </c>
      <c r="X948" s="42" t="str">
        <f>IF(NOTA[[#This Row],[JUMLAH]]="","",(NOTA[[#This Row],[JUMLAH]]-NOTA[[#This Row],[DISC 1-]])*NOTA[[#This Row],[Column7]])</f>
        <v/>
      </c>
      <c r="Y948" s="42" t="str">
        <f>IF(NOTA[[#This Row],[JUMLAH]]="","",(NOTA[[#This Row],[JUMLAH]]-NOTA[[#This Row],[DISC 1-]]-NOTA[[#This Row],[DISC 2-]])*NOTA[[#This Row],[Column8]])</f>
        <v/>
      </c>
      <c r="Z948" s="42" t="str">
        <f>IF(NOTA[[#This Row],[JUMLAH]]="","",NOTA[[#This Row],[DISC 1-]]+NOTA[[#This Row],[DISC 2-]]+NOTA[[#This Row],[DISC 3-]])</f>
        <v/>
      </c>
      <c r="AA948" s="42" t="str">
        <f>IF(NOTA[[#This Row],[JUMLAH]]="","",NOTA[[#This Row],[JUMLAH]]-NOTA[[#This Row],[DISC]])</f>
        <v/>
      </c>
      <c r="AB948" s="42"/>
      <c r="AC9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42" t="str">
        <f>IF(OR(NOTA[[#This Row],[QTY]]="",NOTA[[#This Row],[HARGA SATUAN]]="",),"",NOTA[[#This Row],[QTY]]*NOTA[[#This Row],[HARGA SATUAN]])</f>
        <v/>
      </c>
      <c r="AG948" s="36" t="str">
        <f ca="1">IF(NOTA[[#This Row],[ID_H]]="","",INDEX(NOTA[TANGGAL],MATCH(,INDIRECT(ADDRESS(ROW(NOTA[TANGGAL]),COLUMN(NOTA[TANGGAL]))&amp;":"&amp;ADDRESS(ROW(),COLUMN(NOTA[TANGGAL]))),-1)))</f>
        <v/>
      </c>
      <c r="AH948" s="36" t="str">
        <f ca="1">IF(NOTA[[#This Row],[ID_H]]="","",INDEX(NOTA[TGL.NOTA],MATCH(,INDIRECT(ADDRESS(ROW(NOTA[TGL.NOTA]),COLUMN(NOTA[TGL.NOTA]))&amp;":"&amp;ADDRESS(ROW(),COLUMN(NOTA[TGL.NOTA]))),-1)))</f>
        <v/>
      </c>
      <c r="AI948" s="36" t="str">
        <f ca="1">IF(NOTA[[#This Row],[ID_H]]="","",INDEX(NOTA[NO.NOTA],MATCH(NOTA[[#This Row],[ID_H]],NOTA[ID_H],0)))</f>
        <v/>
      </c>
      <c r="AJ948" s="38" t="str">
        <f ca="1">IF(NOTA[[#This Row],[NAMA BARANG]]="","",INDEX(NOTA[SUPPLIER],MATCH(,INDIRECT(ADDRESS(ROW(NOTA[ID]),COLUMN(NOTA[ID]))&amp;":"&amp;ADDRESS(ROW(),COLUMN(NOTA[ID]))),-1)))</f>
        <v/>
      </c>
      <c r="AK948" s="38" t="str">
        <f ca="1">IF(NOTA[[#This Row],[ID_H]]="","",IF(NOTA[[#This Row],[FAKTUR]]="",INDIRECT(ADDRESS(ROW()-1,COLUMN())),NOTA[[#This Row],[FAKTUR]]))</f>
        <v/>
      </c>
      <c r="AL948" s="35" t="str">
        <f ca="1">IF(NOTA[[#This Row],[ID]]="","",COUNTIF(NOTA[ID_H],NOTA[[#This Row],[ID_H]]))</f>
        <v/>
      </c>
      <c r="AM948" s="35" t="str">
        <f ca="1">IF(NOTA[[#This Row],[TGL.NOTA]]="",IF(NOTA[[#This Row],[SUPPLIER_H]]="","",AM947),MONTH(NOTA[[#This Row],[TGL.NOTA]]))</f>
        <v/>
      </c>
      <c r="AN94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8" s="35" t="str">
        <f>IF(NOTA[[#This Row],[CONCAT1]]="","",MATCH(NOTA[[#This Row],[CONCAT1]],[3]!db[NB NOTA_C],0))</f>
        <v/>
      </c>
      <c r="AS948" s="35" t="str">
        <f>IF(NOTA[[#This Row],[Column5]]="","",TRUE)</f>
        <v/>
      </c>
      <c r="AT948" s="35" t="str">
        <f ca="1">IF(NOTA[[#This Row],[ID_H]]="","",IF(NOTA[[#This Row],[Column3]]=TRUE,NOTA[[#This Row],[Column5]],INDEX([3]!db[QTY/ CTN],NOTA[[#This Row],[//DB]])))</f>
        <v/>
      </c>
      <c r="AU94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8" s="35" t="str">
        <f ca="1">IF(NOTA[[#This Row],[ID_H]]="","",MATCH(NOTA[[#This Row],[NB NOTA_C_QTY]],[3]!db[NB NOTA_C_QTY+F],0))</f>
        <v/>
      </c>
      <c r="AW948" s="43" t="str">
        <f ca="1">IF(NOTA[[#This Row],[NB NOTA_C_QTY]]="","",ROW()-2)</f>
        <v/>
      </c>
    </row>
    <row r="949" spans="1:49" ht="20.100000000000001" customHeight="1">
      <c r="A94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5" t="str">
        <f ca="1">IF(NOTA[[#This Row],[NAMA BARANG]]="","",INDEX(NOTA[ID],MATCH(,INDIRECT(ADDRESS(ROW(NOTA[ID]),COLUMN(NOTA[ID]))&amp;":"&amp;ADDRESS(ROW(),COLUMN(NOTA[ID]))),-1)))</f>
        <v/>
      </c>
      <c r="C949" s="45"/>
      <c r="F949" s="46"/>
      <c r="G949" s="35"/>
      <c r="H949" s="36"/>
      <c r="I949" s="35"/>
      <c r="K949" s="37"/>
      <c r="L949" s="35"/>
      <c r="N949" s="38"/>
      <c r="O949" s="39"/>
      <c r="P949" s="47"/>
      <c r="Q949" s="48"/>
      <c r="R949" s="41"/>
      <c r="T949" s="42"/>
      <c r="U949" s="44"/>
      <c r="V949" s="42" t="str">
        <f>IF(NOTA[[#This Row],[HARGA/ CTN]]="",NOTA[[#This Row],[JUMLAH_H]],NOTA[[#This Row],[HARGA/ CTN]]*IF(NOTA[[#This Row],[C]]="",0,NOTA[[#This Row],[C]]))</f>
        <v/>
      </c>
      <c r="W949" s="42" t="str">
        <f>IF(NOTA[[#This Row],[JUMLAH]]="","",NOTA[[#This Row],[JUMLAH]]*NOTA[[#This Row],[Column6]])</f>
        <v/>
      </c>
      <c r="X949" s="42" t="str">
        <f>IF(NOTA[[#This Row],[JUMLAH]]="","",(NOTA[[#This Row],[JUMLAH]]-NOTA[[#This Row],[DISC 1-]])*NOTA[[#This Row],[Column7]])</f>
        <v/>
      </c>
      <c r="Y949" s="42" t="str">
        <f>IF(NOTA[[#This Row],[JUMLAH]]="","",(NOTA[[#This Row],[JUMLAH]]-NOTA[[#This Row],[DISC 1-]]-NOTA[[#This Row],[DISC 2-]])*NOTA[[#This Row],[Column8]])</f>
        <v/>
      </c>
      <c r="Z949" s="42" t="str">
        <f>IF(NOTA[[#This Row],[JUMLAH]]="","",NOTA[[#This Row],[DISC 1-]]+NOTA[[#This Row],[DISC 2-]]+NOTA[[#This Row],[DISC 3-]])</f>
        <v/>
      </c>
      <c r="AA949" s="42" t="str">
        <f>IF(NOTA[[#This Row],[JUMLAH]]="","",NOTA[[#This Row],[JUMLAH]]-NOTA[[#This Row],[DISC]])</f>
        <v/>
      </c>
      <c r="AB949" s="42"/>
      <c r="AC9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4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4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42" t="str">
        <f>IF(OR(NOTA[[#This Row],[QTY]]="",NOTA[[#This Row],[HARGA SATUAN]]="",),"",NOTA[[#This Row],[QTY]]*NOTA[[#This Row],[HARGA SATUAN]])</f>
        <v/>
      </c>
      <c r="AG949" s="36" t="str">
        <f ca="1">IF(NOTA[[#This Row],[ID_H]]="","",INDEX(NOTA[TANGGAL],MATCH(,INDIRECT(ADDRESS(ROW(NOTA[TANGGAL]),COLUMN(NOTA[TANGGAL]))&amp;":"&amp;ADDRESS(ROW(),COLUMN(NOTA[TANGGAL]))),-1)))</f>
        <v/>
      </c>
      <c r="AH949" s="36" t="str">
        <f ca="1">IF(NOTA[[#This Row],[ID_H]]="","",INDEX(NOTA[TGL.NOTA],MATCH(,INDIRECT(ADDRESS(ROW(NOTA[TGL.NOTA]),COLUMN(NOTA[TGL.NOTA]))&amp;":"&amp;ADDRESS(ROW(),COLUMN(NOTA[TGL.NOTA]))),-1)))</f>
        <v/>
      </c>
      <c r="AI949" s="36" t="str">
        <f ca="1">IF(NOTA[[#This Row],[ID_H]]="","",INDEX(NOTA[NO.NOTA],MATCH(NOTA[[#This Row],[ID_H]],NOTA[ID_H],0)))</f>
        <v/>
      </c>
      <c r="AJ949" s="38" t="str">
        <f ca="1">IF(NOTA[[#This Row],[NAMA BARANG]]="","",INDEX(NOTA[SUPPLIER],MATCH(,INDIRECT(ADDRESS(ROW(NOTA[ID]),COLUMN(NOTA[ID]))&amp;":"&amp;ADDRESS(ROW(),COLUMN(NOTA[ID]))),-1)))</f>
        <v/>
      </c>
      <c r="AK949" s="38" t="str">
        <f ca="1">IF(NOTA[[#This Row],[ID_H]]="","",IF(NOTA[[#This Row],[FAKTUR]]="",INDIRECT(ADDRESS(ROW()-1,COLUMN())),NOTA[[#This Row],[FAKTUR]]))</f>
        <v/>
      </c>
      <c r="AL949" s="35" t="str">
        <f ca="1">IF(NOTA[[#This Row],[ID]]="","",COUNTIF(NOTA[ID_H],NOTA[[#This Row],[ID_H]]))</f>
        <v/>
      </c>
      <c r="AM949" s="35" t="str">
        <f ca="1">IF(NOTA[[#This Row],[TGL.NOTA]]="",IF(NOTA[[#This Row],[SUPPLIER_H]]="","",AM948),MONTH(NOTA[[#This Row],[TGL.NOTA]]))</f>
        <v/>
      </c>
      <c r="AN94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4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4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4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9" s="35" t="str">
        <f>IF(NOTA[[#This Row],[CONCAT1]]="","",MATCH(NOTA[[#This Row],[CONCAT1]],[3]!db[NB NOTA_C],0))</f>
        <v/>
      </c>
      <c r="AS949" s="35" t="str">
        <f>IF(NOTA[[#This Row],[Column5]]="","",TRUE)</f>
        <v/>
      </c>
      <c r="AT949" s="35" t="str">
        <f ca="1">IF(NOTA[[#This Row],[ID_H]]="","",IF(NOTA[[#This Row],[Column3]]=TRUE,NOTA[[#This Row],[Column5]],INDEX([3]!db[QTY/ CTN],NOTA[[#This Row],[//DB]])))</f>
        <v/>
      </c>
      <c r="AU94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49" s="35" t="str">
        <f ca="1">IF(NOTA[[#This Row],[ID_H]]="","",MATCH(NOTA[[#This Row],[NB NOTA_C_QTY]],[3]!db[NB NOTA_C_QTY+F],0))</f>
        <v/>
      </c>
      <c r="AW949" s="43" t="str">
        <f ca="1">IF(NOTA[[#This Row],[NB NOTA_C_QTY]]="","",ROW()-2)</f>
        <v/>
      </c>
    </row>
    <row r="950" spans="1:49" ht="20.100000000000001" customHeight="1">
      <c r="A95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5" t="str">
        <f ca="1">IF(NOTA[[#This Row],[NAMA BARANG]]="","",INDEX(NOTA[ID],MATCH(,INDIRECT(ADDRESS(ROW(NOTA[ID]),COLUMN(NOTA[ID]))&amp;":"&amp;ADDRESS(ROW(),COLUMN(NOTA[ID]))),-1)))</f>
        <v/>
      </c>
      <c r="C950" s="45"/>
      <c r="F950" s="46"/>
      <c r="G950" s="35"/>
      <c r="H950" s="36"/>
      <c r="I950" s="35"/>
      <c r="K950" s="37"/>
      <c r="L950" s="35"/>
      <c r="N950" s="38"/>
      <c r="O950" s="39"/>
      <c r="P950" s="47"/>
      <c r="Q950" s="48"/>
      <c r="R950" s="41"/>
      <c r="T950" s="42"/>
      <c r="U950" s="44"/>
      <c r="V950" s="42" t="str">
        <f>IF(NOTA[[#This Row],[HARGA/ CTN]]="",NOTA[[#This Row],[JUMLAH_H]],NOTA[[#This Row],[HARGA/ CTN]]*IF(NOTA[[#This Row],[C]]="",0,NOTA[[#This Row],[C]]))</f>
        <v/>
      </c>
      <c r="W950" s="42" t="str">
        <f>IF(NOTA[[#This Row],[JUMLAH]]="","",NOTA[[#This Row],[JUMLAH]]*NOTA[[#This Row],[Column6]])</f>
        <v/>
      </c>
      <c r="X950" s="42" t="str">
        <f>IF(NOTA[[#This Row],[JUMLAH]]="","",(NOTA[[#This Row],[JUMLAH]]-NOTA[[#This Row],[DISC 1-]])*NOTA[[#This Row],[Column7]])</f>
        <v/>
      </c>
      <c r="Y950" s="42" t="str">
        <f>IF(NOTA[[#This Row],[JUMLAH]]="","",(NOTA[[#This Row],[JUMLAH]]-NOTA[[#This Row],[DISC 1-]]-NOTA[[#This Row],[DISC 2-]])*NOTA[[#This Row],[Column8]])</f>
        <v/>
      </c>
      <c r="Z950" s="42" t="str">
        <f>IF(NOTA[[#This Row],[JUMLAH]]="","",NOTA[[#This Row],[DISC 1-]]+NOTA[[#This Row],[DISC 2-]]+NOTA[[#This Row],[DISC 3-]])</f>
        <v/>
      </c>
      <c r="AA950" s="42" t="str">
        <f>IF(NOTA[[#This Row],[JUMLAH]]="","",NOTA[[#This Row],[JUMLAH]]-NOTA[[#This Row],[DISC]])</f>
        <v/>
      </c>
      <c r="AB950" s="42"/>
      <c r="AC9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42" t="str">
        <f>IF(OR(NOTA[[#This Row],[QTY]]="",NOTA[[#This Row],[HARGA SATUAN]]="",),"",NOTA[[#This Row],[QTY]]*NOTA[[#This Row],[HARGA SATUAN]])</f>
        <v/>
      </c>
      <c r="AG950" s="36" t="str">
        <f ca="1">IF(NOTA[[#This Row],[ID_H]]="","",INDEX(NOTA[TANGGAL],MATCH(,INDIRECT(ADDRESS(ROW(NOTA[TANGGAL]),COLUMN(NOTA[TANGGAL]))&amp;":"&amp;ADDRESS(ROW(),COLUMN(NOTA[TANGGAL]))),-1)))</f>
        <v/>
      </c>
      <c r="AH950" s="36" t="str">
        <f ca="1">IF(NOTA[[#This Row],[ID_H]]="","",INDEX(NOTA[TGL.NOTA],MATCH(,INDIRECT(ADDRESS(ROW(NOTA[TGL.NOTA]),COLUMN(NOTA[TGL.NOTA]))&amp;":"&amp;ADDRESS(ROW(),COLUMN(NOTA[TGL.NOTA]))),-1)))</f>
        <v/>
      </c>
      <c r="AI950" s="36" t="str">
        <f ca="1">IF(NOTA[[#This Row],[ID_H]]="","",INDEX(NOTA[NO.NOTA],MATCH(NOTA[[#This Row],[ID_H]],NOTA[ID_H],0)))</f>
        <v/>
      </c>
      <c r="AJ950" s="38" t="str">
        <f ca="1">IF(NOTA[[#This Row],[NAMA BARANG]]="","",INDEX(NOTA[SUPPLIER],MATCH(,INDIRECT(ADDRESS(ROW(NOTA[ID]),COLUMN(NOTA[ID]))&amp;":"&amp;ADDRESS(ROW(),COLUMN(NOTA[ID]))),-1)))</f>
        <v/>
      </c>
      <c r="AK950" s="38" t="str">
        <f ca="1">IF(NOTA[[#This Row],[ID_H]]="","",IF(NOTA[[#This Row],[FAKTUR]]="",INDIRECT(ADDRESS(ROW()-1,COLUMN())),NOTA[[#This Row],[FAKTUR]]))</f>
        <v/>
      </c>
      <c r="AL950" s="35" t="str">
        <f ca="1">IF(NOTA[[#This Row],[ID]]="","",COUNTIF(NOTA[ID_H],NOTA[[#This Row],[ID_H]]))</f>
        <v/>
      </c>
      <c r="AM950" s="35" t="str">
        <f ca="1">IF(NOTA[[#This Row],[TGL.NOTA]]="",IF(NOTA[[#This Row],[SUPPLIER_H]]="","",AM949),MONTH(NOTA[[#This Row],[TGL.NOTA]]))</f>
        <v/>
      </c>
      <c r="AN95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0" s="35" t="str">
        <f>IF(NOTA[[#This Row],[CONCAT1]]="","",MATCH(NOTA[[#This Row],[CONCAT1]],[3]!db[NB NOTA_C],0))</f>
        <v/>
      </c>
      <c r="AS950" s="35" t="str">
        <f>IF(NOTA[[#This Row],[Column5]]="","",TRUE)</f>
        <v/>
      </c>
      <c r="AT950" s="35" t="str">
        <f ca="1">IF(NOTA[[#This Row],[ID_H]]="","",IF(NOTA[[#This Row],[Column3]]=TRUE,NOTA[[#This Row],[Column5]],INDEX([3]!db[QTY/ CTN],NOTA[[#This Row],[//DB]])))</f>
        <v/>
      </c>
      <c r="AU95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0" s="35" t="str">
        <f ca="1">IF(NOTA[[#This Row],[ID_H]]="","",MATCH(NOTA[[#This Row],[NB NOTA_C_QTY]],[3]!db[NB NOTA_C_QTY+F],0))</f>
        <v/>
      </c>
      <c r="AW950" s="43" t="str">
        <f ca="1">IF(NOTA[[#This Row],[NB NOTA_C_QTY]]="","",ROW()-2)</f>
        <v/>
      </c>
    </row>
    <row r="951" spans="1:49" ht="20.100000000000001" customHeight="1">
      <c r="A95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5" t="str">
        <f ca="1">IF(NOTA[[#This Row],[NAMA BARANG]]="","",INDEX(NOTA[ID],MATCH(,INDIRECT(ADDRESS(ROW(NOTA[ID]),COLUMN(NOTA[ID]))&amp;":"&amp;ADDRESS(ROW(),COLUMN(NOTA[ID]))),-1)))</f>
        <v/>
      </c>
      <c r="C951" s="45"/>
      <c r="F951" s="46"/>
      <c r="G951" s="35"/>
      <c r="H951" s="36"/>
      <c r="I951" s="35"/>
      <c r="K951" s="37"/>
      <c r="L951" s="35"/>
      <c r="N951" s="38"/>
      <c r="O951" s="39"/>
      <c r="P951" s="47"/>
      <c r="Q951" s="48"/>
      <c r="R951" s="41"/>
      <c r="T951" s="42"/>
      <c r="U951" s="44"/>
      <c r="V951" s="42" t="str">
        <f>IF(NOTA[[#This Row],[HARGA/ CTN]]="",NOTA[[#This Row],[JUMLAH_H]],NOTA[[#This Row],[HARGA/ CTN]]*IF(NOTA[[#This Row],[C]]="",0,NOTA[[#This Row],[C]]))</f>
        <v/>
      </c>
      <c r="W951" s="42" t="str">
        <f>IF(NOTA[[#This Row],[JUMLAH]]="","",NOTA[[#This Row],[JUMLAH]]*NOTA[[#This Row],[Column6]])</f>
        <v/>
      </c>
      <c r="X951" s="42" t="str">
        <f>IF(NOTA[[#This Row],[JUMLAH]]="","",(NOTA[[#This Row],[JUMLAH]]-NOTA[[#This Row],[DISC 1-]])*NOTA[[#This Row],[Column7]])</f>
        <v/>
      </c>
      <c r="Y951" s="42" t="str">
        <f>IF(NOTA[[#This Row],[JUMLAH]]="","",(NOTA[[#This Row],[JUMLAH]]-NOTA[[#This Row],[DISC 1-]]-NOTA[[#This Row],[DISC 2-]])*NOTA[[#This Row],[Column8]])</f>
        <v/>
      </c>
      <c r="Z951" s="42" t="str">
        <f>IF(NOTA[[#This Row],[JUMLAH]]="","",NOTA[[#This Row],[DISC 1-]]+NOTA[[#This Row],[DISC 2-]]+NOTA[[#This Row],[DISC 3-]])</f>
        <v/>
      </c>
      <c r="AA951" s="42" t="str">
        <f>IF(NOTA[[#This Row],[JUMLAH]]="","",NOTA[[#This Row],[JUMLAH]]-NOTA[[#This Row],[DISC]])</f>
        <v/>
      </c>
      <c r="AB951" s="42"/>
      <c r="AC9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42" t="str">
        <f>IF(OR(NOTA[[#This Row],[QTY]]="",NOTA[[#This Row],[HARGA SATUAN]]="",),"",NOTA[[#This Row],[QTY]]*NOTA[[#This Row],[HARGA SATUAN]])</f>
        <v/>
      </c>
      <c r="AG951" s="36" t="str">
        <f ca="1">IF(NOTA[[#This Row],[ID_H]]="","",INDEX(NOTA[TANGGAL],MATCH(,INDIRECT(ADDRESS(ROW(NOTA[TANGGAL]),COLUMN(NOTA[TANGGAL]))&amp;":"&amp;ADDRESS(ROW(),COLUMN(NOTA[TANGGAL]))),-1)))</f>
        <v/>
      </c>
      <c r="AH951" s="36" t="str">
        <f ca="1">IF(NOTA[[#This Row],[ID_H]]="","",INDEX(NOTA[TGL.NOTA],MATCH(,INDIRECT(ADDRESS(ROW(NOTA[TGL.NOTA]),COLUMN(NOTA[TGL.NOTA]))&amp;":"&amp;ADDRESS(ROW(),COLUMN(NOTA[TGL.NOTA]))),-1)))</f>
        <v/>
      </c>
      <c r="AI951" s="36" t="str">
        <f ca="1">IF(NOTA[[#This Row],[ID_H]]="","",INDEX(NOTA[NO.NOTA],MATCH(NOTA[[#This Row],[ID_H]],NOTA[ID_H],0)))</f>
        <v/>
      </c>
      <c r="AJ951" s="38" t="str">
        <f ca="1">IF(NOTA[[#This Row],[NAMA BARANG]]="","",INDEX(NOTA[SUPPLIER],MATCH(,INDIRECT(ADDRESS(ROW(NOTA[ID]),COLUMN(NOTA[ID]))&amp;":"&amp;ADDRESS(ROW(),COLUMN(NOTA[ID]))),-1)))</f>
        <v/>
      </c>
      <c r="AK951" s="38" t="str">
        <f ca="1">IF(NOTA[[#This Row],[ID_H]]="","",IF(NOTA[[#This Row],[FAKTUR]]="",INDIRECT(ADDRESS(ROW()-1,COLUMN())),NOTA[[#This Row],[FAKTUR]]))</f>
        <v/>
      </c>
      <c r="AL951" s="35" t="str">
        <f ca="1">IF(NOTA[[#This Row],[ID]]="","",COUNTIF(NOTA[ID_H],NOTA[[#This Row],[ID_H]]))</f>
        <v/>
      </c>
      <c r="AM951" s="35" t="str">
        <f ca="1">IF(NOTA[[#This Row],[TGL.NOTA]]="",IF(NOTA[[#This Row],[SUPPLIER_H]]="","",AM950),MONTH(NOTA[[#This Row],[TGL.NOTA]]))</f>
        <v/>
      </c>
      <c r="AN95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1" s="35" t="str">
        <f>IF(NOTA[[#This Row],[CONCAT1]]="","",MATCH(NOTA[[#This Row],[CONCAT1]],[3]!db[NB NOTA_C],0))</f>
        <v/>
      </c>
      <c r="AS951" s="35" t="str">
        <f>IF(NOTA[[#This Row],[Column5]]="","",TRUE)</f>
        <v/>
      </c>
      <c r="AT951" s="35" t="str">
        <f ca="1">IF(NOTA[[#This Row],[ID_H]]="","",IF(NOTA[[#This Row],[Column3]]=TRUE,NOTA[[#This Row],[Column5]],INDEX([3]!db[QTY/ CTN],NOTA[[#This Row],[//DB]])))</f>
        <v/>
      </c>
      <c r="AU95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1" s="35" t="str">
        <f ca="1">IF(NOTA[[#This Row],[ID_H]]="","",MATCH(NOTA[[#This Row],[NB NOTA_C_QTY]],[3]!db[NB NOTA_C_QTY+F],0))</f>
        <v/>
      </c>
      <c r="AW951" s="43" t="str">
        <f ca="1">IF(NOTA[[#This Row],[NB NOTA_C_QTY]]="","",ROW()-2)</f>
        <v/>
      </c>
    </row>
    <row r="952" spans="1:49" ht="20.100000000000001" customHeight="1">
      <c r="A95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5" t="str">
        <f ca="1">IF(NOTA[[#This Row],[NAMA BARANG]]="","",INDEX(NOTA[ID],MATCH(,INDIRECT(ADDRESS(ROW(NOTA[ID]),COLUMN(NOTA[ID]))&amp;":"&amp;ADDRESS(ROW(),COLUMN(NOTA[ID]))),-1)))</f>
        <v/>
      </c>
      <c r="C952" s="45"/>
      <c r="F952" s="46"/>
      <c r="G952" s="35"/>
      <c r="H952" s="36"/>
      <c r="I952" s="35"/>
      <c r="K952" s="37"/>
      <c r="L952" s="35"/>
      <c r="N952" s="38"/>
      <c r="O952" s="39"/>
      <c r="P952" s="47"/>
      <c r="Q952" s="48"/>
      <c r="R952" s="41"/>
      <c r="T952" s="42"/>
      <c r="U952" s="44"/>
      <c r="V952" s="42" t="str">
        <f>IF(NOTA[[#This Row],[HARGA/ CTN]]="",NOTA[[#This Row],[JUMLAH_H]],NOTA[[#This Row],[HARGA/ CTN]]*IF(NOTA[[#This Row],[C]]="",0,NOTA[[#This Row],[C]]))</f>
        <v/>
      </c>
      <c r="W952" s="42" t="str">
        <f>IF(NOTA[[#This Row],[JUMLAH]]="","",NOTA[[#This Row],[JUMLAH]]*NOTA[[#This Row],[Column6]])</f>
        <v/>
      </c>
      <c r="X952" s="42" t="str">
        <f>IF(NOTA[[#This Row],[JUMLAH]]="","",(NOTA[[#This Row],[JUMLAH]]-NOTA[[#This Row],[DISC 1-]])*NOTA[[#This Row],[Column7]])</f>
        <v/>
      </c>
      <c r="Y952" s="42" t="str">
        <f>IF(NOTA[[#This Row],[JUMLAH]]="","",(NOTA[[#This Row],[JUMLAH]]-NOTA[[#This Row],[DISC 1-]]-NOTA[[#This Row],[DISC 2-]])*NOTA[[#This Row],[Column8]])</f>
        <v/>
      </c>
      <c r="Z952" s="42" t="str">
        <f>IF(NOTA[[#This Row],[JUMLAH]]="","",NOTA[[#This Row],[DISC 1-]]+NOTA[[#This Row],[DISC 2-]]+NOTA[[#This Row],[DISC 3-]])</f>
        <v/>
      </c>
      <c r="AA952" s="42" t="str">
        <f>IF(NOTA[[#This Row],[JUMLAH]]="","",NOTA[[#This Row],[JUMLAH]]-NOTA[[#This Row],[DISC]])</f>
        <v/>
      </c>
      <c r="AB952" s="42"/>
      <c r="AC9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42" t="str">
        <f>IF(OR(NOTA[[#This Row],[QTY]]="",NOTA[[#This Row],[HARGA SATUAN]]="",),"",NOTA[[#This Row],[QTY]]*NOTA[[#This Row],[HARGA SATUAN]])</f>
        <v/>
      </c>
      <c r="AG952" s="36" t="str">
        <f ca="1">IF(NOTA[[#This Row],[ID_H]]="","",INDEX(NOTA[TANGGAL],MATCH(,INDIRECT(ADDRESS(ROW(NOTA[TANGGAL]),COLUMN(NOTA[TANGGAL]))&amp;":"&amp;ADDRESS(ROW(),COLUMN(NOTA[TANGGAL]))),-1)))</f>
        <v/>
      </c>
      <c r="AH952" s="36" t="str">
        <f ca="1">IF(NOTA[[#This Row],[ID_H]]="","",INDEX(NOTA[TGL.NOTA],MATCH(,INDIRECT(ADDRESS(ROW(NOTA[TGL.NOTA]),COLUMN(NOTA[TGL.NOTA]))&amp;":"&amp;ADDRESS(ROW(),COLUMN(NOTA[TGL.NOTA]))),-1)))</f>
        <v/>
      </c>
      <c r="AI952" s="36" t="str">
        <f ca="1">IF(NOTA[[#This Row],[ID_H]]="","",INDEX(NOTA[NO.NOTA],MATCH(NOTA[[#This Row],[ID_H]],NOTA[ID_H],0)))</f>
        <v/>
      </c>
      <c r="AJ952" s="38" t="str">
        <f ca="1">IF(NOTA[[#This Row],[NAMA BARANG]]="","",INDEX(NOTA[SUPPLIER],MATCH(,INDIRECT(ADDRESS(ROW(NOTA[ID]),COLUMN(NOTA[ID]))&amp;":"&amp;ADDRESS(ROW(),COLUMN(NOTA[ID]))),-1)))</f>
        <v/>
      </c>
      <c r="AK952" s="38" t="str">
        <f ca="1">IF(NOTA[[#This Row],[ID_H]]="","",IF(NOTA[[#This Row],[FAKTUR]]="",INDIRECT(ADDRESS(ROW()-1,COLUMN())),NOTA[[#This Row],[FAKTUR]]))</f>
        <v/>
      </c>
      <c r="AL952" s="35" t="str">
        <f ca="1">IF(NOTA[[#This Row],[ID]]="","",COUNTIF(NOTA[ID_H],NOTA[[#This Row],[ID_H]]))</f>
        <v/>
      </c>
      <c r="AM952" s="35" t="str">
        <f ca="1">IF(NOTA[[#This Row],[TGL.NOTA]]="",IF(NOTA[[#This Row],[SUPPLIER_H]]="","",AM951),MONTH(NOTA[[#This Row],[TGL.NOTA]]))</f>
        <v/>
      </c>
      <c r="AN95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2" s="35" t="str">
        <f>IF(NOTA[[#This Row],[CONCAT1]]="","",MATCH(NOTA[[#This Row],[CONCAT1]],[3]!db[NB NOTA_C],0))</f>
        <v/>
      </c>
      <c r="AS952" s="35" t="str">
        <f>IF(NOTA[[#This Row],[Column5]]="","",TRUE)</f>
        <v/>
      </c>
      <c r="AT952" s="35" t="str">
        <f ca="1">IF(NOTA[[#This Row],[ID_H]]="","",IF(NOTA[[#This Row],[Column3]]=TRUE,NOTA[[#This Row],[Column5]],INDEX([3]!db[QTY/ CTN],NOTA[[#This Row],[//DB]])))</f>
        <v/>
      </c>
      <c r="AU95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2" s="35" t="str">
        <f ca="1">IF(NOTA[[#This Row],[ID_H]]="","",MATCH(NOTA[[#This Row],[NB NOTA_C_QTY]],[3]!db[NB NOTA_C_QTY+F],0))</f>
        <v/>
      </c>
      <c r="AW952" s="43" t="str">
        <f ca="1">IF(NOTA[[#This Row],[NB NOTA_C_QTY]]="","",ROW()-2)</f>
        <v/>
      </c>
    </row>
    <row r="953" spans="1:49" ht="20.100000000000001" customHeight="1">
      <c r="A95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5" t="str">
        <f ca="1">IF(NOTA[[#This Row],[NAMA BARANG]]="","",INDEX(NOTA[ID],MATCH(,INDIRECT(ADDRESS(ROW(NOTA[ID]),COLUMN(NOTA[ID]))&amp;":"&amp;ADDRESS(ROW(),COLUMN(NOTA[ID]))),-1)))</f>
        <v/>
      </c>
      <c r="C953" s="45"/>
      <c r="F953" s="46"/>
      <c r="G953" s="35"/>
      <c r="H953" s="36"/>
      <c r="I953" s="35"/>
      <c r="K953" s="37"/>
      <c r="L953" s="35"/>
      <c r="N953" s="38"/>
      <c r="O953" s="39"/>
      <c r="P953" s="47"/>
      <c r="Q953" s="48"/>
      <c r="R953" s="41"/>
      <c r="T953" s="42"/>
      <c r="U953" s="44"/>
      <c r="V953" s="42" t="str">
        <f>IF(NOTA[[#This Row],[HARGA/ CTN]]="",NOTA[[#This Row],[JUMLAH_H]],NOTA[[#This Row],[HARGA/ CTN]]*IF(NOTA[[#This Row],[C]]="",0,NOTA[[#This Row],[C]]))</f>
        <v/>
      </c>
      <c r="W953" s="42" t="str">
        <f>IF(NOTA[[#This Row],[JUMLAH]]="","",NOTA[[#This Row],[JUMLAH]]*NOTA[[#This Row],[Column6]])</f>
        <v/>
      </c>
      <c r="X953" s="42" t="str">
        <f>IF(NOTA[[#This Row],[JUMLAH]]="","",(NOTA[[#This Row],[JUMLAH]]-NOTA[[#This Row],[DISC 1-]])*NOTA[[#This Row],[Column7]])</f>
        <v/>
      </c>
      <c r="Y953" s="42" t="str">
        <f>IF(NOTA[[#This Row],[JUMLAH]]="","",(NOTA[[#This Row],[JUMLAH]]-NOTA[[#This Row],[DISC 1-]]-NOTA[[#This Row],[DISC 2-]])*NOTA[[#This Row],[Column8]])</f>
        <v/>
      </c>
      <c r="Z953" s="42" t="str">
        <f>IF(NOTA[[#This Row],[JUMLAH]]="","",NOTA[[#This Row],[DISC 1-]]+NOTA[[#This Row],[DISC 2-]]+NOTA[[#This Row],[DISC 3-]])</f>
        <v/>
      </c>
      <c r="AA953" s="42" t="str">
        <f>IF(NOTA[[#This Row],[JUMLAH]]="","",NOTA[[#This Row],[JUMLAH]]-NOTA[[#This Row],[DISC]])</f>
        <v/>
      </c>
      <c r="AB953" s="42"/>
      <c r="AC9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42" t="str">
        <f>IF(OR(NOTA[[#This Row],[QTY]]="",NOTA[[#This Row],[HARGA SATUAN]]="",),"",NOTA[[#This Row],[QTY]]*NOTA[[#This Row],[HARGA SATUAN]])</f>
        <v/>
      </c>
      <c r="AG953" s="36" t="str">
        <f ca="1">IF(NOTA[[#This Row],[ID_H]]="","",INDEX(NOTA[TANGGAL],MATCH(,INDIRECT(ADDRESS(ROW(NOTA[TANGGAL]),COLUMN(NOTA[TANGGAL]))&amp;":"&amp;ADDRESS(ROW(),COLUMN(NOTA[TANGGAL]))),-1)))</f>
        <v/>
      </c>
      <c r="AH953" s="36" t="str">
        <f ca="1">IF(NOTA[[#This Row],[ID_H]]="","",INDEX(NOTA[TGL.NOTA],MATCH(,INDIRECT(ADDRESS(ROW(NOTA[TGL.NOTA]),COLUMN(NOTA[TGL.NOTA]))&amp;":"&amp;ADDRESS(ROW(),COLUMN(NOTA[TGL.NOTA]))),-1)))</f>
        <v/>
      </c>
      <c r="AI953" s="36" t="str">
        <f ca="1">IF(NOTA[[#This Row],[ID_H]]="","",INDEX(NOTA[NO.NOTA],MATCH(NOTA[[#This Row],[ID_H]],NOTA[ID_H],0)))</f>
        <v/>
      </c>
      <c r="AJ953" s="38" t="str">
        <f ca="1">IF(NOTA[[#This Row],[NAMA BARANG]]="","",INDEX(NOTA[SUPPLIER],MATCH(,INDIRECT(ADDRESS(ROW(NOTA[ID]),COLUMN(NOTA[ID]))&amp;":"&amp;ADDRESS(ROW(),COLUMN(NOTA[ID]))),-1)))</f>
        <v/>
      </c>
      <c r="AK953" s="38" t="str">
        <f ca="1">IF(NOTA[[#This Row],[ID_H]]="","",IF(NOTA[[#This Row],[FAKTUR]]="",INDIRECT(ADDRESS(ROW()-1,COLUMN())),NOTA[[#This Row],[FAKTUR]]))</f>
        <v/>
      </c>
      <c r="AL953" s="35" t="str">
        <f ca="1">IF(NOTA[[#This Row],[ID]]="","",COUNTIF(NOTA[ID_H],NOTA[[#This Row],[ID_H]]))</f>
        <v/>
      </c>
      <c r="AM953" s="35" t="str">
        <f ca="1">IF(NOTA[[#This Row],[TGL.NOTA]]="",IF(NOTA[[#This Row],[SUPPLIER_H]]="","",AM952),MONTH(NOTA[[#This Row],[TGL.NOTA]]))</f>
        <v/>
      </c>
      <c r="AN95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3" s="35" t="str">
        <f>IF(NOTA[[#This Row],[CONCAT1]]="","",MATCH(NOTA[[#This Row],[CONCAT1]],[3]!db[NB NOTA_C],0))</f>
        <v/>
      </c>
      <c r="AS953" s="35" t="str">
        <f>IF(NOTA[[#This Row],[Column5]]="","",TRUE)</f>
        <v/>
      </c>
      <c r="AT953" s="35" t="str">
        <f ca="1">IF(NOTA[[#This Row],[ID_H]]="","",IF(NOTA[[#This Row],[Column3]]=TRUE,NOTA[[#This Row],[Column5]],INDEX([3]!db[QTY/ CTN],NOTA[[#This Row],[//DB]])))</f>
        <v/>
      </c>
      <c r="AU95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3" s="35" t="str">
        <f ca="1">IF(NOTA[[#This Row],[ID_H]]="","",MATCH(NOTA[[#This Row],[NB NOTA_C_QTY]],[3]!db[NB NOTA_C_QTY+F],0))</f>
        <v/>
      </c>
      <c r="AW953" s="43" t="str">
        <f ca="1">IF(NOTA[[#This Row],[NB NOTA_C_QTY]]="","",ROW()-2)</f>
        <v/>
      </c>
    </row>
    <row r="954" spans="1:49" ht="20.100000000000001" customHeight="1">
      <c r="A95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5" t="str">
        <f ca="1">IF(NOTA[[#This Row],[NAMA BARANG]]="","",INDEX(NOTA[ID],MATCH(,INDIRECT(ADDRESS(ROW(NOTA[ID]),COLUMN(NOTA[ID]))&amp;":"&amp;ADDRESS(ROW(),COLUMN(NOTA[ID]))),-1)))</f>
        <v/>
      </c>
      <c r="C954" s="45"/>
      <c r="F954" s="46"/>
      <c r="G954" s="35"/>
      <c r="H954" s="36"/>
      <c r="I954" s="35"/>
      <c r="K954" s="37"/>
      <c r="L954" s="35"/>
      <c r="N954" s="38"/>
      <c r="O954" s="39"/>
      <c r="P954" s="47"/>
      <c r="Q954" s="48"/>
      <c r="R954" s="41"/>
      <c r="T954" s="42"/>
      <c r="U954" s="44"/>
      <c r="V954" s="42" t="str">
        <f>IF(NOTA[[#This Row],[HARGA/ CTN]]="",NOTA[[#This Row],[JUMLAH_H]],NOTA[[#This Row],[HARGA/ CTN]]*IF(NOTA[[#This Row],[C]]="",0,NOTA[[#This Row],[C]]))</f>
        <v/>
      </c>
      <c r="W954" s="42" t="str">
        <f>IF(NOTA[[#This Row],[JUMLAH]]="","",NOTA[[#This Row],[JUMLAH]]*NOTA[[#This Row],[Column6]])</f>
        <v/>
      </c>
      <c r="X954" s="42" t="str">
        <f>IF(NOTA[[#This Row],[JUMLAH]]="","",(NOTA[[#This Row],[JUMLAH]]-NOTA[[#This Row],[DISC 1-]])*NOTA[[#This Row],[Column7]])</f>
        <v/>
      </c>
      <c r="Y954" s="42" t="str">
        <f>IF(NOTA[[#This Row],[JUMLAH]]="","",(NOTA[[#This Row],[JUMLAH]]-NOTA[[#This Row],[DISC 1-]]-NOTA[[#This Row],[DISC 2-]])*NOTA[[#This Row],[Column8]])</f>
        <v/>
      </c>
      <c r="Z954" s="42" t="str">
        <f>IF(NOTA[[#This Row],[JUMLAH]]="","",NOTA[[#This Row],[DISC 1-]]+NOTA[[#This Row],[DISC 2-]]+NOTA[[#This Row],[DISC 3-]])</f>
        <v/>
      </c>
      <c r="AA954" s="42" t="str">
        <f>IF(NOTA[[#This Row],[JUMLAH]]="","",NOTA[[#This Row],[JUMLAH]]-NOTA[[#This Row],[DISC]])</f>
        <v/>
      </c>
      <c r="AB954" s="42"/>
      <c r="AC9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42" t="str">
        <f>IF(OR(NOTA[[#This Row],[QTY]]="",NOTA[[#This Row],[HARGA SATUAN]]="",),"",NOTA[[#This Row],[QTY]]*NOTA[[#This Row],[HARGA SATUAN]])</f>
        <v/>
      </c>
      <c r="AG954" s="36" t="str">
        <f ca="1">IF(NOTA[[#This Row],[ID_H]]="","",INDEX(NOTA[TANGGAL],MATCH(,INDIRECT(ADDRESS(ROW(NOTA[TANGGAL]),COLUMN(NOTA[TANGGAL]))&amp;":"&amp;ADDRESS(ROW(),COLUMN(NOTA[TANGGAL]))),-1)))</f>
        <v/>
      </c>
      <c r="AH954" s="36" t="str">
        <f ca="1">IF(NOTA[[#This Row],[ID_H]]="","",INDEX(NOTA[TGL.NOTA],MATCH(,INDIRECT(ADDRESS(ROW(NOTA[TGL.NOTA]),COLUMN(NOTA[TGL.NOTA]))&amp;":"&amp;ADDRESS(ROW(),COLUMN(NOTA[TGL.NOTA]))),-1)))</f>
        <v/>
      </c>
      <c r="AI954" s="36" t="str">
        <f ca="1">IF(NOTA[[#This Row],[ID_H]]="","",INDEX(NOTA[NO.NOTA],MATCH(NOTA[[#This Row],[ID_H]],NOTA[ID_H],0)))</f>
        <v/>
      </c>
      <c r="AJ954" s="38" t="str">
        <f ca="1">IF(NOTA[[#This Row],[NAMA BARANG]]="","",INDEX(NOTA[SUPPLIER],MATCH(,INDIRECT(ADDRESS(ROW(NOTA[ID]),COLUMN(NOTA[ID]))&amp;":"&amp;ADDRESS(ROW(),COLUMN(NOTA[ID]))),-1)))</f>
        <v/>
      </c>
      <c r="AK954" s="38" t="str">
        <f ca="1">IF(NOTA[[#This Row],[ID_H]]="","",IF(NOTA[[#This Row],[FAKTUR]]="",INDIRECT(ADDRESS(ROW()-1,COLUMN())),NOTA[[#This Row],[FAKTUR]]))</f>
        <v/>
      </c>
      <c r="AL954" s="35" t="str">
        <f ca="1">IF(NOTA[[#This Row],[ID]]="","",COUNTIF(NOTA[ID_H],NOTA[[#This Row],[ID_H]]))</f>
        <v/>
      </c>
      <c r="AM954" s="35" t="str">
        <f ca="1">IF(NOTA[[#This Row],[TGL.NOTA]]="",IF(NOTA[[#This Row],[SUPPLIER_H]]="","",AM953),MONTH(NOTA[[#This Row],[TGL.NOTA]]))</f>
        <v/>
      </c>
      <c r="AN95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4" s="35" t="str">
        <f>IF(NOTA[[#This Row],[CONCAT1]]="","",MATCH(NOTA[[#This Row],[CONCAT1]],[3]!db[NB NOTA_C],0))</f>
        <v/>
      </c>
      <c r="AS954" s="35" t="str">
        <f>IF(NOTA[[#This Row],[Column5]]="","",TRUE)</f>
        <v/>
      </c>
      <c r="AT954" s="35" t="str">
        <f ca="1">IF(NOTA[[#This Row],[ID_H]]="","",IF(NOTA[[#This Row],[Column3]]=TRUE,NOTA[[#This Row],[Column5]],INDEX([3]!db[QTY/ CTN],NOTA[[#This Row],[//DB]])))</f>
        <v/>
      </c>
      <c r="AU95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4" s="35" t="str">
        <f ca="1">IF(NOTA[[#This Row],[ID_H]]="","",MATCH(NOTA[[#This Row],[NB NOTA_C_QTY]],[3]!db[NB NOTA_C_QTY+F],0))</f>
        <v/>
      </c>
      <c r="AW954" s="43" t="str">
        <f ca="1">IF(NOTA[[#This Row],[NB NOTA_C_QTY]]="","",ROW()-2)</f>
        <v/>
      </c>
    </row>
    <row r="955" spans="1:49" ht="20.100000000000001" customHeight="1">
      <c r="A95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5" t="str">
        <f ca="1">IF(NOTA[[#This Row],[NAMA BARANG]]="","",INDEX(NOTA[ID],MATCH(,INDIRECT(ADDRESS(ROW(NOTA[ID]),COLUMN(NOTA[ID]))&amp;":"&amp;ADDRESS(ROW(),COLUMN(NOTA[ID]))),-1)))</f>
        <v/>
      </c>
      <c r="C955" s="45"/>
      <c r="F955" s="46"/>
      <c r="G955" s="35"/>
      <c r="H955" s="36"/>
      <c r="I955" s="35"/>
      <c r="K955" s="37"/>
      <c r="L955" s="35"/>
      <c r="N955" s="38"/>
      <c r="O955" s="39"/>
      <c r="P955" s="47"/>
      <c r="Q955" s="48"/>
      <c r="R955" s="41"/>
      <c r="T955" s="42"/>
      <c r="U955" s="44"/>
      <c r="V955" s="42" t="str">
        <f>IF(NOTA[[#This Row],[HARGA/ CTN]]="",NOTA[[#This Row],[JUMLAH_H]],NOTA[[#This Row],[HARGA/ CTN]]*IF(NOTA[[#This Row],[C]]="",0,NOTA[[#This Row],[C]]))</f>
        <v/>
      </c>
      <c r="W955" s="42" t="str">
        <f>IF(NOTA[[#This Row],[JUMLAH]]="","",NOTA[[#This Row],[JUMLAH]]*NOTA[[#This Row],[Column6]])</f>
        <v/>
      </c>
      <c r="X955" s="42" t="str">
        <f>IF(NOTA[[#This Row],[JUMLAH]]="","",(NOTA[[#This Row],[JUMLAH]]-NOTA[[#This Row],[DISC 1-]])*NOTA[[#This Row],[Column7]])</f>
        <v/>
      </c>
      <c r="Y955" s="42" t="str">
        <f>IF(NOTA[[#This Row],[JUMLAH]]="","",(NOTA[[#This Row],[JUMLAH]]-NOTA[[#This Row],[DISC 1-]]-NOTA[[#This Row],[DISC 2-]])*NOTA[[#This Row],[Column8]])</f>
        <v/>
      </c>
      <c r="Z955" s="42" t="str">
        <f>IF(NOTA[[#This Row],[JUMLAH]]="","",NOTA[[#This Row],[DISC 1-]]+NOTA[[#This Row],[DISC 2-]]+NOTA[[#This Row],[DISC 3-]])</f>
        <v/>
      </c>
      <c r="AA955" s="42" t="str">
        <f>IF(NOTA[[#This Row],[JUMLAH]]="","",NOTA[[#This Row],[JUMLAH]]-NOTA[[#This Row],[DISC]])</f>
        <v/>
      </c>
      <c r="AB955" s="42"/>
      <c r="AC9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42" t="str">
        <f>IF(OR(NOTA[[#This Row],[QTY]]="",NOTA[[#This Row],[HARGA SATUAN]]="",),"",NOTA[[#This Row],[QTY]]*NOTA[[#This Row],[HARGA SATUAN]])</f>
        <v/>
      </c>
      <c r="AG955" s="36" t="str">
        <f ca="1">IF(NOTA[[#This Row],[ID_H]]="","",INDEX(NOTA[TANGGAL],MATCH(,INDIRECT(ADDRESS(ROW(NOTA[TANGGAL]),COLUMN(NOTA[TANGGAL]))&amp;":"&amp;ADDRESS(ROW(),COLUMN(NOTA[TANGGAL]))),-1)))</f>
        <v/>
      </c>
      <c r="AH955" s="36" t="str">
        <f ca="1">IF(NOTA[[#This Row],[ID_H]]="","",INDEX(NOTA[TGL.NOTA],MATCH(,INDIRECT(ADDRESS(ROW(NOTA[TGL.NOTA]),COLUMN(NOTA[TGL.NOTA]))&amp;":"&amp;ADDRESS(ROW(),COLUMN(NOTA[TGL.NOTA]))),-1)))</f>
        <v/>
      </c>
      <c r="AI955" s="36" t="str">
        <f ca="1">IF(NOTA[[#This Row],[ID_H]]="","",INDEX(NOTA[NO.NOTA],MATCH(NOTA[[#This Row],[ID_H]],NOTA[ID_H],0)))</f>
        <v/>
      </c>
      <c r="AJ955" s="38" t="str">
        <f ca="1">IF(NOTA[[#This Row],[NAMA BARANG]]="","",INDEX(NOTA[SUPPLIER],MATCH(,INDIRECT(ADDRESS(ROW(NOTA[ID]),COLUMN(NOTA[ID]))&amp;":"&amp;ADDRESS(ROW(),COLUMN(NOTA[ID]))),-1)))</f>
        <v/>
      </c>
      <c r="AK955" s="38" t="str">
        <f ca="1">IF(NOTA[[#This Row],[ID_H]]="","",IF(NOTA[[#This Row],[FAKTUR]]="",INDIRECT(ADDRESS(ROW()-1,COLUMN())),NOTA[[#This Row],[FAKTUR]]))</f>
        <v/>
      </c>
      <c r="AL955" s="35" t="str">
        <f ca="1">IF(NOTA[[#This Row],[ID]]="","",COUNTIF(NOTA[ID_H],NOTA[[#This Row],[ID_H]]))</f>
        <v/>
      </c>
      <c r="AM955" s="35" t="str">
        <f ca="1">IF(NOTA[[#This Row],[TGL.NOTA]]="",IF(NOTA[[#This Row],[SUPPLIER_H]]="","",AM954),MONTH(NOTA[[#This Row],[TGL.NOTA]]))</f>
        <v/>
      </c>
      <c r="AN95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5" s="35" t="str">
        <f>IF(NOTA[[#This Row],[CONCAT1]]="","",MATCH(NOTA[[#This Row],[CONCAT1]],[3]!db[NB NOTA_C],0))</f>
        <v/>
      </c>
      <c r="AS955" s="35" t="str">
        <f>IF(NOTA[[#This Row],[Column5]]="","",TRUE)</f>
        <v/>
      </c>
      <c r="AT955" s="35" t="str">
        <f ca="1">IF(NOTA[[#This Row],[ID_H]]="","",IF(NOTA[[#This Row],[Column3]]=TRUE,NOTA[[#This Row],[Column5]],INDEX([3]!db[QTY/ CTN],NOTA[[#This Row],[//DB]])))</f>
        <v/>
      </c>
      <c r="AU95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5" s="35" t="str">
        <f ca="1">IF(NOTA[[#This Row],[ID_H]]="","",MATCH(NOTA[[#This Row],[NB NOTA_C_QTY]],[3]!db[NB NOTA_C_QTY+F],0))</f>
        <v/>
      </c>
      <c r="AW955" s="43" t="str">
        <f ca="1">IF(NOTA[[#This Row],[NB NOTA_C_QTY]]="","",ROW()-2)</f>
        <v/>
      </c>
    </row>
    <row r="956" spans="1:49" ht="20.100000000000001" customHeight="1">
      <c r="A95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5" t="str">
        <f ca="1">IF(NOTA[[#This Row],[NAMA BARANG]]="","",INDEX(NOTA[ID],MATCH(,INDIRECT(ADDRESS(ROW(NOTA[ID]),COLUMN(NOTA[ID]))&amp;":"&amp;ADDRESS(ROW(),COLUMN(NOTA[ID]))),-1)))</f>
        <v/>
      </c>
      <c r="C956" s="45"/>
      <c r="F956" s="46"/>
      <c r="G956" s="35"/>
      <c r="H956" s="36"/>
      <c r="I956" s="35"/>
      <c r="K956" s="37"/>
      <c r="L956" s="35"/>
      <c r="N956" s="38"/>
      <c r="O956" s="39"/>
      <c r="P956" s="47"/>
      <c r="Q956" s="48"/>
      <c r="R956" s="41"/>
      <c r="T956" s="42"/>
      <c r="U956" s="44"/>
      <c r="V956" s="42" t="str">
        <f>IF(NOTA[[#This Row],[HARGA/ CTN]]="",NOTA[[#This Row],[JUMLAH_H]],NOTA[[#This Row],[HARGA/ CTN]]*IF(NOTA[[#This Row],[C]]="",0,NOTA[[#This Row],[C]]))</f>
        <v/>
      </c>
      <c r="W956" s="42" t="str">
        <f>IF(NOTA[[#This Row],[JUMLAH]]="","",NOTA[[#This Row],[JUMLAH]]*NOTA[[#This Row],[Column6]])</f>
        <v/>
      </c>
      <c r="X956" s="42" t="str">
        <f>IF(NOTA[[#This Row],[JUMLAH]]="","",(NOTA[[#This Row],[JUMLAH]]-NOTA[[#This Row],[DISC 1-]])*NOTA[[#This Row],[Column7]])</f>
        <v/>
      </c>
      <c r="Y956" s="42" t="str">
        <f>IF(NOTA[[#This Row],[JUMLAH]]="","",(NOTA[[#This Row],[JUMLAH]]-NOTA[[#This Row],[DISC 1-]]-NOTA[[#This Row],[DISC 2-]])*NOTA[[#This Row],[Column8]])</f>
        <v/>
      </c>
      <c r="Z956" s="42" t="str">
        <f>IF(NOTA[[#This Row],[JUMLAH]]="","",NOTA[[#This Row],[DISC 1-]]+NOTA[[#This Row],[DISC 2-]]+NOTA[[#This Row],[DISC 3-]])</f>
        <v/>
      </c>
      <c r="AA956" s="42" t="str">
        <f>IF(NOTA[[#This Row],[JUMLAH]]="","",NOTA[[#This Row],[JUMLAH]]-NOTA[[#This Row],[DISC]])</f>
        <v/>
      </c>
      <c r="AB956" s="42"/>
      <c r="AC9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42" t="str">
        <f>IF(OR(NOTA[[#This Row],[QTY]]="",NOTA[[#This Row],[HARGA SATUAN]]="",),"",NOTA[[#This Row],[QTY]]*NOTA[[#This Row],[HARGA SATUAN]])</f>
        <v/>
      </c>
      <c r="AG956" s="36" t="str">
        <f ca="1">IF(NOTA[[#This Row],[ID_H]]="","",INDEX(NOTA[TANGGAL],MATCH(,INDIRECT(ADDRESS(ROW(NOTA[TANGGAL]),COLUMN(NOTA[TANGGAL]))&amp;":"&amp;ADDRESS(ROW(),COLUMN(NOTA[TANGGAL]))),-1)))</f>
        <v/>
      </c>
      <c r="AH956" s="36" t="str">
        <f ca="1">IF(NOTA[[#This Row],[ID_H]]="","",INDEX(NOTA[TGL.NOTA],MATCH(,INDIRECT(ADDRESS(ROW(NOTA[TGL.NOTA]),COLUMN(NOTA[TGL.NOTA]))&amp;":"&amp;ADDRESS(ROW(),COLUMN(NOTA[TGL.NOTA]))),-1)))</f>
        <v/>
      </c>
      <c r="AI956" s="36" t="str">
        <f ca="1">IF(NOTA[[#This Row],[ID_H]]="","",INDEX(NOTA[NO.NOTA],MATCH(NOTA[[#This Row],[ID_H]],NOTA[ID_H],0)))</f>
        <v/>
      </c>
      <c r="AJ956" s="38" t="str">
        <f ca="1">IF(NOTA[[#This Row],[NAMA BARANG]]="","",INDEX(NOTA[SUPPLIER],MATCH(,INDIRECT(ADDRESS(ROW(NOTA[ID]),COLUMN(NOTA[ID]))&amp;":"&amp;ADDRESS(ROW(),COLUMN(NOTA[ID]))),-1)))</f>
        <v/>
      </c>
      <c r="AK956" s="38" t="str">
        <f ca="1">IF(NOTA[[#This Row],[ID_H]]="","",IF(NOTA[[#This Row],[FAKTUR]]="",INDIRECT(ADDRESS(ROW()-1,COLUMN())),NOTA[[#This Row],[FAKTUR]]))</f>
        <v/>
      </c>
      <c r="AL956" s="35" t="str">
        <f ca="1">IF(NOTA[[#This Row],[ID]]="","",COUNTIF(NOTA[ID_H],NOTA[[#This Row],[ID_H]]))</f>
        <v/>
      </c>
      <c r="AM956" s="35" t="str">
        <f ca="1">IF(NOTA[[#This Row],[TGL.NOTA]]="",IF(NOTA[[#This Row],[SUPPLIER_H]]="","",AM955),MONTH(NOTA[[#This Row],[TGL.NOTA]]))</f>
        <v/>
      </c>
      <c r="AN95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6" s="35" t="str">
        <f>IF(NOTA[[#This Row],[CONCAT1]]="","",MATCH(NOTA[[#This Row],[CONCAT1]],[3]!db[NB NOTA_C],0))</f>
        <v/>
      </c>
      <c r="AS956" s="35" t="str">
        <f>IF(NOTA[[#This Row],[Column5]]="","",TRUE)</f>
        <v/>
      </c>
      <c r="AT956" s="35" t="str">
        <f ca="1">IF(NOTA[[#This Row],[ID_H]]="","",IF(NOTA[[#This Row],[Column3]]=TRUE,NOTA[[#This Row],[Column5]],INDEX([3]!db[QTY/ CTN],NOTA[[#This Row],[//DB]])))</f>
        <v/>
      </c>
      <c r="AU95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6" s="35" t="str">
        <f ca="1">IF(NOTA[[#This Row],[ID_H]]="","",MATCH(NOTA[[#This Row],[NB NOTA_C_QTY]],[3]!db[NB NOTA_C_QTY+F],0))</f>
        <v/>
      </c>
      <c r="AW956" s="43" t="str">
        <f ca="1">IF(NOTA[[#This Row],[NB NOTA_C_QTY]]="","",ROW()-2)</f>
        <v/>
      </c>
    </row>
    <row r="957" spans="1:49" ht="20.100000000000001" customHeight="1">
      <c r="A95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5" t="str">
        <f ca="1">IF(NOTA[[#This Row],[NAMA BARANG]]="","",INDEX(NOTA[ID],MATCH(,INDIRECT(ADDRESS(ROW(NOTA[ID]),COLUMN(NOTA[ID]))&amp;":"&amp;ADDRESS(ROW(),COLUMN(NOTA[ID]))),-1)))</f>
        <v/>
      </c>
      <c r="C957" s="45"/>
      <c r="F957" s="46"/>
      <c r="G957" s="35"/>
      <c r="H957" s="36"/>
      <c r="I957" s="35"/>
      <c r="K957" s="37"/>
      <c r="L957" s="35"/>
      <c r="N957" s="38"/>
      <c r="O957" s="39"/>
      <c r="P957" s="47"/>
      <c r="Q957" s="48"/>
      <c r="R957" s="41"/>
      <c r="T957" s="42"/>
      <c r="U957" s="44"/>
      <c r="V957" s="42" t="str">
        <f>IF(NOTA[[#This Row],[HARGA/ CTN]]="",NOTA[[#This Row],[JUMLAH_H]],NOTA[[#This Row],[HARGA/ CTN]]*IF(NOTA[[#This Row],[C]]="",0,NOTA[[#This Row],[C]]))</f>
        <v/>
      </c>
      <c r="W957" s="42" t="str">
        <f>IF(NOTA[[#This Row],[JUMLAH]]="","",NOTA[[#This Row],[JUMLAH]]*NOTA[[#This Row],[Column6]])</f>
        <v/>
      </c>
      <c r="X957" s="42" t="str">
        <f>IF(NOTA[[#This Row],[JUMLAH]]="","",(NOTA[[#This Row],[JUMLAH]]-NOTA[[#This Row],[DISC 1-]])*NOTA[[#This Row],[Column7]])</f>
        <v/>
      </c>
      <c r="Y957" s="42" t="str">
        <f>IF(NOTA[[#This Row],[JUMLAH]]="","",(NOTA[[#This Row],[JUMLAH]]-NOTA[[#This Row],[DISC 1-]]-NOTA[[#This Row],[DISC 2-]])*NOTA[[#This Row],[Column8]])</f>
        <v/>
      </c>
      <c r="Z957" s="42" t="str">
        <f>IF(NOTA[[#This Row],[JUMLAH]]="","",NOTA[[#This Row],[DISC 1-]]+NOTA[[#This Row],[DISC 2-]]+NOTA[[#This Row],[DISC 3-]])</f>
        <v/>
      </c>
      <c r="AA957" s="42" t="str">
        <f>IF(NOTA[[#This Row],[JUMLAH]]="","",NOTA[[#This Row],[JUMLAH]]-NOTA[[#This Row],[DISC]])</f>
        <v/>
      </c>
      <c r="AB957" s="42"/>
      <c r="AC9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42" t="str">
        <f>IF(OR(NOTA[[#This Row],[QTY]]="",NOTA[[#This Row],[HARGA SATUAN]]="",),"",NOTA[[#This Row],[QTY]]*NOTA[[#This Row],[HARGA SATUAN]])</f>
        <v/>
      </c>
      <c r="AG957" s="36" t="str">
        <f ca="1">IF(NOTA[[#This Row],[ID_H]]="","",INDEX(NOTA[TANGGAL],MATCH(,INDIRECT(ADDRESS(ROW(NOTA[TANGGAL]),COLUMN(NOTA[TANGGAL]))&amp;":"&amp;ADDRESS(ROW(),COLUMN(NOTA[TANGGAL]))),-1)))</f>
        <v/>
      </c>
      <c r="AH957" s="36" t="str">
        <f ca="1">IF(NOTA[[#This Row],[ID_H]]="","",INDEX(NOTA[TGL.NOTA],MATCH(,INDIRECT(ADDRESS(ROW(NOTA[TGL.NOTA]),COLUMN(NOTA[TGL.NOTA]))&amp;":"&amp;ADDRESS(ROW(),COLUMN(NOTA[TGL.NOTA]))),-1)))</f>
        <v/>
      </c>
      <c r="AI957" s="36" t="str">
        <f ca="1">IF(NOTA[[#This Row],[ID_H]]="","",INDEX(NOTA[NO.NOTA],MATCH(NOTA[[#This Row],[ID_H]],NOTA[ID_H],0)))</f>
        <v/>
      </c>
      <c r="AJ957" s="38" t="str">
        <f ca="1">IF(NOTA[[#This Row],[NAMA BARANG]]="","",INDEX(NOTA[SUPPLIER],MATCH(,INDIRECT(ADDRESS(ROW(NOTA[ID]),COLUMN(NOTA[ID]))&amp;":"&amp;ADDRESS(ROW(),COLUMN(NOTA[ID]))),-1)))</f>
        <v/>
      </c>
      <c r="AK957" s="38" t="str">
        <f ca="1">IF(NOTA[[#This Row],[ID_H]]="","",IF(NOTA[[#This Row],[FAKTUR]]="",INDIRECT(ADDRESS(ROW()-1,COLUMN())),NOTA[[#This Row],[FAKTUR]]))</f>
        <v/>
      </c>
      <c r="AL957" s="35" t="str">
        <f ca="1">IF(NOTA[[#This Row],[ID]]="","",COUNTIF(NOTA[ID_H],NOTA[[#This Row],[ID_H]]))</f>
        <v/>
      </c>
      <c r="AM957" s="35" t="str">
        <f ca="1">IF(NOTA[[#This Row],[TGL.NOTA]]="",IF(NOTA[[#This Row],[SUPPLIER_H]]="","",AM956),MONTH(NOTA[[#This Row],[TGL.NOTA]]))</f>
        <v/>
      </c>
      <c r="AN95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7" s="35" t="str">
        <f>IF(NOTA[[#This Row],[CONCAT1]]="","",MATCH(NOTA[[#This Row],[CONCAT1]],[3]!db[NB NOTA_C],0))</f>
        <v/>
      </c>
      <c r="AS957" s="35" t="str">
        <f>IF(NOTA[[#This Row],[Column5]]="","",TRUE)</f>
        <v/>
      </c>
      <c r="AT957" s="35" t="str">
        <f ca="1">IF(NOTA[[#This Row],[ID_H]]="","",IF(NOTA[[#This Row],[Column3]]=TRUE,NOTA[[#This Row],[Column5]],INDEX([3]!db[QTY/ CTN],NOTA[[#This Row],[//DB]])))</f>
        <v/>
      </c>
      <c r="AU95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7" s="35" t="str">
        <f ca="1">IF(NOTA[[#This Row],[ID_H]]="","",MATCH(NOTA[[#This Row],[NB NOTA_C_QTY]],[3]!db[NB NOTA_C_QTY+F],0))</f>
        <v/>
      </c>
      <c r="AW957" s="43" t="str">
        <f ca="1">IF(NOTA[[#This Row],[NB NOTA_C_QTY]]="","",ROW()-2)</f>
        <v/>
      </c>
    </row>
    <row r="958" spans="1:49" ht="20.100000000000001" customHeight="1">
      <c r="A95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5" t="str">
        <f ca="1">IF(NOTA[[#This Row],[NAMA BARANG]]="","",INDEX(NOTA[ID],MATCH(,INDIRECT(ADDRESS(ROW(NOTA[ID]),COLUMN(NOTA[ID]))&amp;":"&amp;ADDRESS(ROW(),COLUMN(NOTA[ID]))),-1)))</f>
        <v/>
      </c>
      <c r="C958" s="45"/>
      <c r="F958" s="46"/>
      <c r="G958" s="35"/>
      <c r="H958" s="36"/>
      <c r="I958" s="35"/>
      <c r="K958" s="37"/>
      <c r="L958" s="35"/>
      <c r="N958" s="38"/>
      <c r="O958" s="39"/>
      <c r="P958" s="47"/>
      <c r="Q958" s="48"/>
      <c r="R958" s="41"/>
      <c r="T958" s="42"/>
      <c r="U958" s="44"/>
      <c r="V958" s="42" t="str">
        <f>IF(NOTA[[#This Row],[HARGA/ CTN]]="",NOTA[[#This Row],[JUMLAH_H]],NOTA[[#This Row],[HARGA/ CTN]]*IF(NOTA[[#This Row],[C]]="",0,NOTA[[#This Row],[C]]))</f>
        <v/>
      </c>
      <c r="W958" s="42" t="str">
        <f>IF(NOTA[[#This Row],[JUMLAH]]="","",NOTA[[#This Row],[JUMLAH]]*NOTA[[#This Row],[Column6]])</f>
        <v/>
      </c>
      <c r="X958" s="42" t="str">
        <f>IF(NOTA[[#This Row],[JUMLAH]]="","",(NOTA[[#This Row],[JUMLAH]]-NOTA[[#This Row],[DISC 1-]])*NOTA[[#This Row],[Column7]])</f>
        <v/>
      </c>
      <c r="Y958" s="42" t="str">
        <f>IF(NOTA[[#This Row],[JUMLAH]]="","",(NOTA[[#This Row],[JUMLAH]]-NOTA[[#This Row],[DISC 1-]]-NOTA[[#This Row],[DISC 2-]])*NOTA[[#This Row],[Column8]])</f>
        <v/>
      </c>
      <c r="Z958" s="42" t="str">
        <f>IF(NOTA[[#This Row],[JUMLAH]]="","",NOTA[[#This Row],[DISC 1-]]+NOTA[[#This Row],[DISC 2-]]+NOTA[[#This Row],[DISC 3-]])</f>
        <v/>
      </c>
      <c r="AA958" s="42" t="str">
        <f>IF(NOTA[[#This Row],[JUMLAH]]="","",NOTA[[#This Row],[JUMLAH]]-NOTA[[#This Row],[DISC]])</f>
        <v/>
      </c>
      <c r="AB958" s="42"/>
      <c r="AC9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42" t="str">
        <f>IF(OR(NOTA[[#This Row],[QTY]]="",NOTA[[#This Row],[HARGA SATUAN]]="",),"",NOTA[[#This Row],[QTY]]*NOTA[[#This Row],[HARGA SATUAN]])</f>
        <v/>
      </c>
      <c r="AG958" s="36" t="str">
        <f ca="1">IF(NOTA[[#This Row],[ID_H]]="","",INDEX(NOTA[TANGGAL],MATCH(,INDIRECT(ADDRESS(ROW(NOTA[TANGGAL]),COLUMN(NOTA[TANGGAL]))&amp;":"&amp;ADDRESS(ROW(),COLUMN(NOTA[TANGGAL]))),-1)))</f>
        <v/>
      </c>
      <c r="AH958" s="36" t="str">
        <f ca="1">IF(NOTA[[#This Row],[ID_H]]="","",INDEX(NOTA[TGL.NOTA],MATCH(,INDIRECT(ADDRESS(ROW(NOTA[TGL.NOTA]),COLUMN(NOTA[TGL.NOTA]))&amp;":"&amp;ADDRESS(ROW(),COLUMN(NOTA[TGL.NOTA]))),-1)))</f>
        <v/>
      </c>
      <c r="AI958" s="36" t="str">
        <f ca="1">IF(NOTA[[#This Row],[ID_H]]="","",INDEX(NOTA[NO.NOTA],MATCH(NOTA[[#This Row],[ID_H]],NOTA[ID_H],0)))</f>
        <v/>
      </c>
      <c r="AJ958" s="38" t="str">
        <f ca="1">IF(NOTA[[#This Row],[NAMA BARANG]]="","",INDEX(NOTA[SUPPLIER],MATCH(,INDIRECT(ADDRESS(ROW(NOTA[ID]),COLUMN(NOTA[ID]))&amp;":"&amp;ADDRESS(ROW(),COLUMN(NOTA[ID]))),-1)))</f>
        <v/>
      </c>
      <c r="AK958" s="38" t="str">
        <f ca="1">IF(NOTA[[#This Row],[ID_H]]="","",IF(NOTA[[#This Row],[FAKTUR]]="",INDIRECT(ADDRESS(ROW()-1,COLUMN())),NOTA[[#This Row],[FAKTUR]]))</f>
        <v/>
      </c>
      <c r="AL958" s="35" t="str">
        <f ca="1">IF(NOTA[[#This Row],[ID]]="","",COUNTIF(NOTA[ID_H],NOTA[[#This Row],[ID_H]]))</f>
        <v/>
      </c>
      <c r="AM958" s="35" t="str">
        <f ca="1">IF(NOTA[[#This Row],[TGL.NOTA]]="",IF(NOTA[[#This Row],[SUPPLIER_H]]="","",AM957),MONTH(NOTA[[#This Row],[TGL.NOTA]]))</f>
        <v/>
      </c>
      <c r="AN95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8" s="35" t="str">
        <f>IF(NOTA[[#This Row],[CONCAT1]]="","",MATCH(NOTA[[#This Row],[CONCAT1]],[3]!db[NB NOTA_C],0))</f>
        <v/>
      </c>
      <c r="AS958" s="35" t="str">
        <f>IF(NOTA[[#This Row],[Column5]]="","",TRUE)</f>
        <v/>
      </c>
      <c r="AT958" s="35" t="str">
        <f ca="1">IF(NOTA[[#This Row],[ID_H]]="","",IF(NOTA[[#This Row],[Column3]]=TRUE,NOTA[[#This Row],[Column5]],INDEX([3]!db[QTY/ CTN],NOTA[[#This Row],[//DB]])))</f>
        <v/>
      </c>
      <c r="AU95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8" s="35" t="str">
        <f ca="1">IF(NOTA[[#This Row],[ID_H]]="","",MATCH(NOTA[[#This Row],[NB NOTA_C_QTY]],[3]!db[NB NOTA_C_QTY+F],0))</f>
        <v/>
      </c>
      <c r="AW958" s="43" t="str">
        <f ca="1">IF(NOTA[[#This Row],[NB NOTA_C_QTY]]="","",ROW()-2)</f>
        <v/>
      </c>
    </row>
    <row r="959" spans="1:49" ht="20.100000000000001" customHeight="1">
      <c r="A95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5" t="str">
        <f ca="1">IF(NOTA[[#This Row],[NAMA BARANG]]="","",INDEX(NOTA[ID],MATCH(,INDIRECT(ADDRESS(ROW(NOTA[ID]),COLUMN(NOTA[ID]))&amp;":"&amp;ADDRESS(ROW(),COLUMN(NOTA[ID]))),-1)))</f>
        <v/>
      </c>
      <c r="C959" s="45"/>
      <c r="F959" s="46"/>
      <c r="G959" s="35"/>
      <c r="H959" s="36"/>
      <c r="I959" s="35"/>
      <c r="K959" s="37"/>
      <c r="L959" s="35"/>
      <c r="N959" s="38"/>
      <c r="O959" s="39"/>
      <c r="P959" s="47"/>
      <c r="Q959" s="48"/>
      <c r="R959" s="41"/>
      <c r="T959" s="42"/>
      <c r="U959" s="44"/>
      <c r="V959" s="42" t="str">
        <f>IF(NOTA[[#This Row],[HARGA/ CTN]]="",NOTA[[#This Row],[JUMLAH_H]],NOTA[[#This Row],[HARGA/ CTN]]*IF(NOTA[[#This Row],[C]]="",0,NOTA[[#This Row],[C]]))</f>
        <v/>
      </c>
      <c r="W959" s="42" t="str">
        <f>IF(NOTA[[#This Row],[JUMLAH]]="","",NOTA[[#This Row],[JUMLAH]]*NOTA[[#This Row],[Column6]])</f>
        <v/>
      </c>
      <c r="X959" s="42" t="str">
        <f>IF(NOTA[[#This Row],[JUMLAH]]="","",(NOTA[[#This Row],[JUMLAH]]-NOTA[[#This Row],[DISC 1-]])*NOTA[[#This Row],[Column7]])</f>
        <v/>
      </c>
      <c r="Y959" s="42" t="str">
        <f>IF(NOTA[[#This Row],[JUMLAH]]="","",(NOTA[[#This Row],[JUMLAH]]-NOTA[[#This Row],[DISC 1-]]-NOTA[[#This Row],[DISC 2-]])*NOTA[[#This Row],[Column8]])</f>
        <v/>
      </c>
      <c r="Z959" s="42" t="str">
        <f>IF(NOTA[[#This Row],[JUMLAH]]="","",NOTA[[#This Row],[DISC 1-]]+NOTA[[#This Row],[DISC 2-]]+NOTA[[#This Row],[DISC 3-]])</f>
        <v/>
      </c>
      <c r="AA959" s="42" t="str">
        <f>IF(NOTA[[#This Row],[JUMLAH]]="","",NOTA[[#This Row],[JUMLAH]]-NOTA[[#This Row],[DISC]])</f>
        <v/>
      </c>
      <c r="AB959" s="42"/>
      <c r="AC9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5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5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42" t="str">
        <f>IF(OR(NOTA[[#This Row],[QTY]]="",NOTA[[#This Row],[HARGA SATUAN]]="",),"",NOTA[[#This Row],[QTY]]*NOTA[[#This Row],[HARGA SATUAN]])</f>
        <v/>
      </c>
      <c r="AG959" s="36" t="str">
        <f ca="1">IF(NOTA[[#This Row],[ID_H]]="","",INDEX(NOTA[TANGGAL],MATCH(,INDIRECT(ADDRESS(ROW(NOTA[TANGGAL]),COLUMN(NOTA[TANGGAL]))&amp;":"&amp;ADDRESS(ROW(),COLUMN(NOTA[TANGGAL]))),-1)))</f>
        <v/>
      </c>
      <c r="AH959" s="36" t="str">
        <f ca="1">IF(NOTA[[#This Row],[ID_H]]="","",INDEX(NOTA[TGL.NOTA],MATCH(,INDIRECT(ADDRESS(ROW(NOTA[TGL.NOTA]),COLUMN(NOTA[TGL.NOTA]))&amp;":"&amp;ADDRESS(ROW(),COLUMN(NOTA[TGL.NOTA]))),-1)))</f>
        <v/>
      </c>
      <c r="AI959" s="36" t="str">
        <f ca="1">IF(NOTA[[#This Row],[ID_H]]="","",INDEX(NOTA[NO.NOTA],MATCH(NOTA[[#This Row],[ID_H]],NOTA[ID_H],0)))</f>
        <v/>
      </c>
      <c r="AJ959" s="38" t="str">
        <f ca="1">IF(NOTA[[#This Row],[NAMA BARANG]]="","",INDEX(NOTA[SUPPLIER],MATCH(,INDIRECT(ADDRESS(ROW(NOTA[ID]),COLUMN(NOTA[ID]))&amp;":"&amp;ADDRESS(ROW(),COLUMN(NOTA[ID]))),-1)))</f>
        <v/>
      </c>
      <c r="AK959" s="38" t="str">
        <f ca="1">IF(NOTA[[#This Row],[ID_H]]="","",IF(NOTA[[#This Row],[FAKTUR]]="",INDIRECT(ADDRESS(ROW()-1,COLUMN())),NOTA[[#This Row],[FAKTUR]]))</f>
        <v/>
      </c>
      <c r="AL959" s="35" t="str">
        <f ca="1">IF(NOTA[[#This Row],[ID]]="","",COUNTIF(NOTA[ID_H],NOTA[[#This Row],[ID_H]]))</f>
        <v/>
      </c>
      <c r="AM959" s="35" t="str">
        <f ca="1">IF(NOTA[[#This Row],[TGL.NOTA]]="",IF(NOTA[[#This Row],[SUPPLIER_H]]="","",AM958),MONTH(NOTA[[#This Row],[TGL.NOTA]]))</f>
        <v/>
      </c>
      <c r="AN95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5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5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5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9" s="35" t="str">
        <f>IF(NOTA[[#This Row],[CONCAT1]]="","",MATCH(NOTA[[#This Row],[CONCAT1]],[3]!db[NB NOTA_C],0))</f>
        <v/>
      </c>
      <c r="AS959" s="35" t="str">
        <f>IF(NOTA[[#This Row],[Column5]]="","",TRUE)</f>
        <v/>
      </c>
      <c r="AT959" s="35" t="str">
        <f ca="1">IF(NOTA[[#This Row],[ID_H]]="","",IF(NOTA[[#This Row],[Column3]]=TRUE,NOTA[[#This Row],[Column5]],INDEX([3]!db[QTY/ CTN],NOTA[[#This Row],[//DB]])))</f>
        <v/>
      </c>
      <c r="AU95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59" s="35" t="str">
        <f ca="1">IF(NOTA[[#This Row],[ID_H]]="","",MATCH(NOTA[[#This Row],[NB NOTA_C_QTY]],[3]!db[NB NOTA_C_QTY+F],0))</f>
        <v/>
      </c>
      <c r="AW959" s="43" t="str">
        <f ca="1">IF(NOTA[[#This Row],[NB NOTA_C_QTY]]="","",ROW()-2)</f>
        <v/>
      </c>
    </row>
    <row r="960" spans="1:49" ht="20.100000000000001" customHeight="1">
      <c r="A96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5" t="str">
        <f ca="1">IF(NOTA[[#This Row],[NAMA BARANG]]="","",INDEX(NOTA[ID],MATCH(,INDIRECT(ADDRESS(ROW(NOTA[ID]),COLUMN(NOTA[ID]))&amp;":"&amp;ADDRESS(ROW(),COLUMN(NOTA[ID]))),-1)))</f>
        <v/>
      </c>
      <c r="C960" s="45"/>
      <c r="F960" s="46"/>
      <c r="G960" s="35"/>
      <c r="H960" s="36"/>
      <c r="I960" s="35"/>
      <c r="K960" s="37"/>
      <c r="L960" s="35"/>
      <c r="N960" s="38"/>
      <c r="O960" s="39"/>
      <c r="P960" s="47"/>
      <c r="Q960" s="48"/>
      <c r="R960" s="41"/>
      <c r="T960" s="42"/>
      <c r="U960" s="44"/>
      <c r="V960" s="42" t="str">
        <f>IF(NOTA[[#This Row],[HARGA/ CTN]]="",NOTA[[#This Row],[JUMLAH_H]],NOTA[[#This Row],[HARGA/ CTN]]*IF(NOTA[[#This Row],[C]]="",0,NOTA[[#This Row],[C]]))</f>
        <v/>
      </c>
      <c r="W960" s="42" t="str">
        <f>IF(NOTA[[#This Row],[JUMLAH]]="","",NOTA[[#This Row],[JUMLAH]]*NOTA[[#This Row],[Column6]])</f>
        <v/>
      </c>
      <c r="X960" s="42" t="str">
        <f>IF(NOTA[[#This Row],[JUMLAH]]="","",(NOTA[[#This Row],[JUMLAH]]-NOTA[[#This Row],[DISC 1-]])*NOTA[[#This Row],[Column7]])</f>
        <v/>
      </c>
      <c r="Y960" s="42" t="str">
        <f>IF(NOTA[[#This Row],[JUMLAH]]="","",(NOTA[[#This Row],[JUMLAH]]-NOTA[[#This Row],[DISC 1-]]-NOTA[[#This Row],[DISC 2-]])*NOTA[[#This Row],[Column8]])</f>
        <v/>
      </c>
      <c r="Z960" s="42" t="str">
        <f>IF(NOTA[[#This Row],[JUMLAH]]="","",NOTA[[#This Row],[DISC 1-]]+NOTA[[#This Row],[DISC 2-]]+NOTA[[#This Row],[DISC 3-]])</f>
        <v/>
      </c>
      <c r="AA960" s="42" t="str">
        <f>IF(NOTA[[#This Row],[JUMLAH]]="","",NOTA[[#This Row],[JUMLAH]]-NOTA[[#This Row],[DISC]])</f>
        <v/>
      </c>
      <c r="AB960" s="42"/>
      <c r="AC9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42" t="str">
        <f>IF(OR(NOTA[[#This Row],[QTY]]="",NOTA[[#This Row],[HARGA SATUAN]]="",),"",NOTA[[#This Row],[QTY]]*NOTA[[#This Row],[HARGA SATUAN]])</f>
        <v/>
      </c>
      <c r="AG960" s="36" t="str">
        <f ca="1">IF(NOTA[[#This Row],[ID_H]]="","",INDEX(NOTA[TANGGAL],MATCH(,INDIRECT(ADDRESS(ROW(NOTA[TANGGAL]),COLUMN(NOTA[TANGGAL]))&amp;":"&amp;ADDRESS(ROW(),COLUMN(NOTA[TANGGAL]))),-1)))</f>
        <v/>
      </c>
      <c r="AH960" s="36" t="str">
        <f ca="1">IF(NOTA[[#This Row],[ID_H]]="","",INDEX(NOTA[TGL.NOTA],MATCH(,INDIRECT(ADDRESS(ROW(NOTA[TGL.NOTA]),COLUMN(NOTA[TGL.NOTA]))&amp;":"&amp;ADDRESS(ROW(),COLUMN(NOTA[TGL.NOTA]))),-1)))</f>
        <v/>
      </c>
      <c r="AI960" s="36" t="str">
        <f ca="1">IF(NOTA[[#This Row],[ID_H]]="","",INDEX(NOTA[NO.NOTA],MATCH(NOTA[[#This Row],[ID_H]],NOTA[ID_H],0)))</f>
        <v/>
      </c>
      <c r="AJ960" s="38" t="str">
        <f ca="1">IF(NOTA[[#This Row],[NAMA BARANG]]="","",INDEX(NOTA[SUPPLIER],MATCH(,INDIRECT(ADDRESS(ROW(NOTA[ID]),COLUMN(NOTA[ID]))&amp;":"&amp;ADDRESS(ROW(),COLUMN(NOTA[ID]))),-1)))</f>
        <v/>
      </c>
      <c r="AK960" s="38" t="str">
        <f ca="1">IF(NOTA[[#This Row],[ID_H]]="","",IF(NOTA[[#This Row],[FAKTUR]]="",INDIRECT(ADDRESS(ROW()-1,COLUMN())),NOTA[[#This Row],[FAKTUR]]))</f>
        <v/>
      </c>
      <c r="AL960" s="35" t="str">
        <f ca="1">IF(NOTA[[#This Row],[ID]]="","",COUNTIF(NOTA[ID_H],NOTA[[#This Row],[ID_H]]))</f>
        <v/>
      </c>
      <c r="AM960" s="35" t="str">
        <f ca="1">IF(NOTA[[#This Row],[TGL.NOTA]]="",IF(NOTA[[#This Row],[SUPPLIER_H]]="","",AM959),MONTH(NOTA[[#This Row],[TGL.NOTA]]))</f>
        <v/>
      </c>
      <c r="AN96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0" s="35" t="str">
        <f>IF(NOTA[[#This Row],[CONCAT1]]="","",MATCH(NOTA[[#This Row],[CONCAT1]],[3]!db[NB NOTA_C],0))</f>
        <v/>
      </c>
      <c r="AS960" s="35" t="str">
        <f>IF(NOTA[[#This Row],[Column5]]="","",TRUE)</f>
        <v/>
      </c>
      <c r="AT960" s="35" t="str">
        <f ca="1">IF(NOTA[[#This Row],[ID_H]]="","",IF(NOTA[[#This Row],[Column3]]=TRUE,NOTA[[#This Row],[Column5]],INDEX([3]!db[QTY/ CTN],NOTA[[#This Row],[//DB]])))</f>
        <v/>
      </c>
      <c r="AU96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0" s="35" t="str">
        <f ca="1">IF(NOTA[[#This Row],[ID_H]]="","",MATCH(NOTA[[#This Row],[NB NOTA_C_QTY]],[3]!db[NB NOTA_C_QTY+F],0))</f>
        <v/>
      </c>
      <c r="AW960" s="43" t="str">
        <f ca="1">IF(NOTA[[#This Row],[NB NOTA_C_QTY]]="","",ROW()-2)</f>
        <v/>
      </c>
    </row>
    <row r="961" spans="1:49" ht="20.100000000000001" customHeight="1">
      <c r="A96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5" t="str">
        <f ca="1">IF(NOTA[[#This Row],[NAMA BARANG]]="","",INDEX(NOTA[ID],MATCH(,INDIRECT(ADDRESS(ROW(NOTA[ID]),COLUMN(NOTA[ID]))&amp;":"&amp;ADDRESS(ROW(),COLUMN(NOTA[ID]))),-1)))</f>
        <v/>
      </c>
      <c r="C961" s="45"/>
      <c r="F961" s="46"/>
      <c r="G961" s="35"/>
      <c r="H961" s="36"/>
      <c r="I961" s="35"/>
      <c r="K961" s="37"/>
      <c r="L961" s="35"/>
      <c r="N961" s="38"/>
      <c r="O961" s="39"/>
      <c r="P961" s="47"/>
      <c r="Q961" s="48"/>
      <c r="R961" s="41"/>
      <c r="T961" s="42"/>
      <c r="U961" s="44"/>
      <c r="V961" s="42" t="str">
        <f>IF(NOTA[[#This Row],[HARGA/ CTN]]="",NOTA[[#This Row],[JUMLAH_H]],NOTA[[#This Row],[HARGA/ CTN]]*IF(NOTA[[#This Row],[C]]="",0,NOTA[[#This Row],[C]]))</f>
        <v/>
      </c>
      <c r="W961" s="42" t="str">
        <f>IF(NOTA[[#This Row],[JUMLAH]]="","",NOTA[[#This Row],[JUMLAH]]*NOTA[[#This Row],[Column6]])</f>
        <v/>
      </c>
      <c r="X961" s="42" t="str">
        <f>IF(NOTA[[#This Row],[JUMLAH]]="","",(NOTA[[#This Row],[JUMLAH]]-NOTA[[#This Row],[DISC 1-]])*NOTA[[#This Row],[Column7]])</f>
        <v/>
      </c>
      <c r="Y961" s="42" t="str">
        <f>IF(NOTA[[#This Row],[JUMLAH]]="","",(NOTA[[#This Row],[JUMLAH]]-NOTA[[#This Row],[DISC 1-]]-NOTA[[#This Row],[DISC 2-]])*NOTA[[#This Row],[Column8]])</f>
        <v/>
      </c>
      <c r="Z961" s="42" t="str">
        <f>IF(NOTA[[#This Row],[JUMLAH]]="","",NOTA[[#This Row],[DISC 1-]]+NOTA[[#This Row],[DISC 2-]]+NOTA[[#This Row],[DISC 3-]])</f>
        <v/>
      </c>
      <c r="AA961" s="42" t="str">
        <f>IF(NOTA[[#This Row],[JUMLAH]]="","",NOTA[[#This Row],[JUMLAH]]-NOTA[[#This Row],[DISC]])</f>
        <v/>
      </c>
      <c r="AB961" s="42"/>
      <c r="AC9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42" t="str">
        <f>IF(OR(NOTA[[#This Row],[QTY]]="",NOTA[[#This Row],[HARGA SATUAN]]="",),"",NOTA[[#This Row],[QTY]]*NOTA[[#This Row],[HARGA SATUAN]])</f>
        <v/>
      </c>
      <c r="AG961" s="36" t="str">
        <f ca="1">IF(NOTA[[#This Row],[ID_H]]="","",INDEX(NOTA[TANGGAL],MATCH(,INDIRECT(ADDRESS(ROW(NOTA[TANGGAL]),COLUMN(NOTA[TANGGAL]))&amp;":"&amp;ADDRESS(ROW(),COLUMN(NOTA[TANGGAL]))),-1)))</f>
        <v/>
      </c>
      <c r="AH961" s="36" t="str">
        <f ca="1">IF(NOTA[[#This Row],[ID_H]]="","",INDEX(NOTA[TGL.NOTA],MATCH(,INDIRECT(ADDRESS(ROW(NOTA[TGL.NOTA]),COLUMN(NOTA[TGL.NOTA]))&amp;":"&amp;ADDRESS(ROW(),COLUMN(NOTA[TGL.NOTA]))),-1)))</f>
        <v/>
      </c>
      <c r="AI961" s="36" t="str">
        <f ca="1">IF(NOTA[[#This Row],[ID_H]]="","",INDEX(NOTA[NO.NOTA],MATCH(NOTA[[#This Row],[ID_H]],NOTA[ID_H],0)))</f>
        <v/>
      </c>
      <c r="AJ961" s="38" t="str">
        <f ca="1">IF(NOTA[[#This Row],[NAMA BARANG]]="","",INDEX(NOTA[SUPPLIER],MATCH(,INDIRECT(ADDRESS(ROW(NOTA[ID]),COLUMN(NOTA[ID]))&amp;":"&amp;ADDRESS(ROW(),COLUMN(NOTA[ID]))),-1)))</f>
        <v/>
      </c>
      <c r="AK961" s="38" t="str">
        <f ca="1">IF(NOTA[[#This Row],[ID_H]]="","",IF(NOTA[[#This Row],[FAKTUR]]="",INDIRECT(ADDRESS(ROW()-1,COLUMN())),NOTA[[#This Row],[FAKTUR]]))</f>
        <v/>
      </c>
      <c r="AL961" s="35" t="str">
        <f ca="1">IF(NOTA[[#This Row],[ID]]="","",COUNTIF(NOTA[ID_H],NOTA[[#This Row],[ID_H]]))</f>
        <v/>
      </c>
      <c r="AM961" s="35" t="str">
        <f ca="1">IF(NOTA[[#This Row],[TGL.NOTA]]="",IF(NOTA[[#This Row],[SUPPLIER_H]]="","",AM960),MONTH(NOTA[[#This Row],[TGL.NOTA]]))</f>
        <v/>
      </c>
      <c r="AN96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1" s="35" t="str">
        <f>IF(NOTA[[#This Row],[CONCAT1]]="","",MATCH(NOTA[[#This Row],[CONCAT1]],[3]!db[NB NOTA_C],0))</f>
        <v/>
      </c>
      <c r="AS961" s="35" t="str">
        <f>IF(NOTA[[#This Row],[Column5]]="","",TRUE)</f>
        <v/>
      </c>
      <c r="AT961" s="35" t="str">
        <f ca="1">IF(NOTA[[#This Row],[ID_H]]="","",IF(NOTA[[#This Row],[Column3]]=TRUE,NOTA[[#This Row],[Column5]],INDEX([3]!db[QTY/ CTN],NOTA[[#This Row],[//DB]])))</f>
        <v/>
      </c>
      <c r="AU96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1" s="35" t="str">
        <f ca="1">IF(NOTA[[#This Row],[ID_H]]="","",MATCH(NOTA[[#This Row],[NB NOTA_C_QTY]],[3]!db[NB NOTA_C_QTY+F],0))</f>
        <v/>
      </c>
      <c r="AW961" s="43" t="str">
        <f ca="1">IF(NOTA[[#This Row],[NB NOTA_C_QTY]]="","",ROW()-2)</f>
        <v/>
      </c>
    </row>
    <row r="962" spans="1:49" ht="20.100000000000001" customHeight="1">
      <c r="A96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5" t="str">
        <f ca="1">IF(NOTA[[#This Row],[NAMA BARANG]]="","",INDEX(NOTA[ID],MATCH(,INDIRECT(ADDRESS(ROW(NOTA[ID]),COLUMN(NOTA[ID]))&amp;":"&amp;ADDRESS(ROW(),COLUMN(NOTA[ID]))),-1)))</f>
        <v/>
      </c>
      <c r="C962" s="45"/>
      <c r="F962" s="46"/>
      <c r="G962" s="35"/>
      <c r="H962" s="36"/>
      <c r="I962" s="35"/>
      <c r="K962" s="37"/>
      <c r="L962" s="35"/>
      <c r="N962" s="38"/>
      <c r="O962" s="39"/>
      <c r="P962" s="47"/>
      <c r="Q962" s="48"/>
      <c r="R962" s="41"/>
      <c r="T962" s="42"/>
      <c r="U962" s="44"/>
      <c r="V962" s="42" t="str">
        <f>IF(NOTA[[#This Row],[HARGA/ CTN]]="",NOTA[[#This Row],[JUMLAH_H]],NOTA[[#This Row],[HARGA/ CTN]]*IF(NOTA[[#This Row],[C]]="",0,NOTA[[#This Row],[C]]))</f>
        <v/>
      </c>
      <c r="W962" s="42" t="str">
        <f>IF(NOTA[[#This Row],[JUMLAH]]="","",NOTA[[#This Row],[JUMLAH]]*NOTA[[#This Row],[Column6]])</f>
        <v/>
      </c>
      <c r="X962" s="42" t="str">
        <f>IF(NOTA[[#This Row],[JUMLAH]]="","",(NOTA[[#This Row],[JUMLAH]]-NOTA[[#This Row],[DISC 1-]])*NOTA[[#This Row],[Column7]])</f>
        <v/>
      </c>
      <c r="Y962" s="42" t="str">
        <f>IF(NOTA[[#This Row],[JUMLAH]]="","",(NOTA[[#This Row],[JUMLAH]]-NOTA[[#This Row],[DISC 1-]]-NOTA[[#This Row],[DISC 2-]])*NOTA[[#This Row],[Column8]])</f>
        <v/>
      </c>
      <c r="Z962" s="42" t="str">
        <f>IF(NOTA[[#This Row],[JUMLAH]]="","",NOTA[[#This Row],[DISC 1-]]+NOTA[[#This Row],[DISC 2-]]+NOTA[[#This Row],[DISC 3-]])</f>
        <v/>
      </c>
      <c r="AA962" s="42" t="str">
        <f>IF(NOTA[[#This Row],[JUMLAH]]="","",NOTA[[#This Row],[JUMLAH]]-NOTA[[#This Row],[DISC]])</f>
        <v/>
      </c>
      <c r="AB962" s="42"/>
      <c r="AC9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42" t="str">
        <f>IF(OR(NOTA[[#This Row],[QTY]]="",NOTA[[#This Row],[HARGA SATUAN]]="",),"",NOTA[[#This Row],[QTY]]*NOTA[[#This Row],[HARGA SATUAN]])</f>
        <v/>
      </c>
      <c r="AG962" s="36" t="str">
        <f ca="1">IF(NOTA[[#This Row],[ID_H]]="","",INDEX(NOTA[TANGGAL],MATCH(,INDIRECT(ADDRESS(ROW(NOTA[TANGGAL]),COLUMN(NOTA[TANGGAL]))&amp;":"&amp;ADDRESS(ROW(),COLUMN(NOTA[TANGGAL]))),-1)))</f>
        <v/>
      </c>
      <c r="AH962" s="36" t="str">
        <f ca="1">IF(NOTA[[#This Row],[ID_H]]="","",INDEX(NOTA[TGL.NOTA],MATCH(,INDIRECT(ADDRESS(ROW(NOTA[TGL.NOTA]),COLUMN(NOTA[TGL.NOTA]))&amp;":"&amp;ADDRESS(ROW(),COLUMN(NOTA[TGL.NOTA]))),-1)))</f>
        <v/>
      </c>
      <c r="AI962" s="36" t="str">
        <f ca="1">IF(NOTA[[#This Row],[ID_H]]="","",INDEX(NOTA[NO.NOTA],MATCH(NOTA[[#This Row],[ID_H]],NOTA[ID_H],0)))</f>
        <v/>
      </c>
      <c r="AJ962" s="38" t="str">
        <f ca="1">IF(NOTA[[#This Row],[NAMA BARANG]]="","",INDEX(NOTA[SUPPLIER],MATCH(,INDIRECT(ADDRESS(ROW(NOTA[ID]),COLUMN(NOTA[ID]))&amp;":"&amp;ADDRESS(ROW(),COLUMN(NOTA[ID]))),-1)))</f>
        <v/>
      </c>
      <c r="AK962" s="38" t="str">
        <f ca="1">IF(NOTA[[#This Row],[ID_H]]="","",IF(NOTA[[#This Row],[FAKTUR]]="",INDIRECT(ADDRESS(ROW()-1,COLUMN())),NOTA[[#This Row],[FAKTUR]]))</f>
        <v/>
      </c>
      <c r="AL962" s="35" t="str">
        <f ca="1">IF(NOTA[[#This Row],[ID]]="","",COUNTIF(NOTA[ID_H],NOTA[[#This Row],[ID_H]]))</f>
        <v/>
      </c>
      <c r="AM962" s="35" t="str">
        <f ca="1">IF(NOTA[[#This Row],[TGL.NOTA]]="",IF(NOTA[[#This Row],[SUPPLIER_H]]="","",AM961),MONTH(NOTA[[#This Row],[TGL.NOTA]]))</f>
        <v/>
      </c>
      <c r="AN96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2" s="35" t="str">
        <f>IF(NOTA[[#This Row],[CONCAT1]]="","",MATCH(NOTA[[#This Row],[CONCAT1]],[3]!db[NB NOTA_C],0))</f>
        <v/>
      </c>
      <c r="AS962" s="35" t="str">
        <f>IF(NOTA[[#This Row],[Column5]]="","",TRUE)</f>
        <v/>
      </c>
      <c r="AT962" s="35" t="str">
        <f ca="1">IF(NOTA[[#This Row],[ID_H]]="","",IF(NOTA[[#This Row],[Column3]]=TRUE,NOTA[[#This Row],[Column5]],INDEX([3]!db[QTY/ CTN],NOTA[[#This Row],[//DB]])))</f>
        <v/>
      </c>
      <c r="AU96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2" s="35" t="str">
        <f ca="1">IF(NOTA[[#This Row],[ID_H]]="","",MATCH(NOTA[[#This Row],[NB NOTA_C_QTY]],[3]!db[NB NOTA_C_QTY+F],0))</f>
        <v/>
      </c>
      <c r="AW962" s="43" t="str">
        <f ca="1">IF(NOTA[[#This Row],[NB NOTA_C_QTY]]="","",ROW()-2)</f>
        <v/>
      </c>
    </row>
    <row r="963" spans="1:49" ht="20.100000000000001" customHeight="1">
      <c r="A96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5" t="str">
        <f ca="1">IF(NOTA[[#This Row],[NAMA BARANG]]="","",INDEX(NOTA[ID],MATCH(,INDIRECT(ADDRESS(ROW(NOTA[ID]),COLUMN(NOTA[ID]))&amp;":"&amp;ADDRESS(ROW(),COLUMN(NOTA[ID]))),-1)))</f>
        <v/>
      </c>
      <c r="C963" s="45"/>
      <c r="F963" s="46"/>
      <c r="G963" s="35"/>
      <c r="H963" s="36"/>
      <c r="I963" s="35"/>
      <c r="K963" s="37"/>
      <c r="L963" s="35"/>
      <c r="N963" s="38"/>
      <c r="O963" s="39"/>
      <c r="P963" s="47"/>
      <c r="Q963" s="48"/>
      <c r="R963" s="41"/>
      <c r="T963" s="42"/>
      <c r="U963" s="44"/>
      <c r="V963" s="42" t="str">
        <f>IF(NOTA[[#This Row],[HARGA/ CTN]]="",NOTA[[#This Row],[JUMLAH_H]],NOTA[[#This Row],[HARGA/ CTN]]*IF(NOTA[[#This Row],[C]]="",0,NOTA[[#This Row],[C]]))</f>
        <v/>
      </c>
      <c r="W963" s="42" t="str">
        <f>IF(NOTA[[#This Row],[JUMLAH]]="","",NOTA[[#This Row],[JUMLAH]]*NOTA[[#This Row],[Column6]])</f>
        <v/>
      </c>
      <c r="X963" s="42" t="str">
        <f>IF(NOTA[[#This Row],[JUMLAH]]="","",(NOTA[[#This Row],[JUMLAH]]-NOTA[[#This Row],[DISC 1-]])*NOTA[[#This Row],[Column7]])</f>
        <v/>
      </c>
      <c r="Y963" s="42" t="str">
        <f>IF(NOTA[[#This Row],[JUMLAH]]="","",(NOTA[[#This Row],[JUMLAH]]-NOTA[[#This Row],[DISC 1-]]-NOTA[[#This Row],[DISC 2-]])*NOTA[[#This Row],[Column8]])</f>
        <v/>
      </c>
      <c r="Z963" s="42" t="str">
        <f>IF(NOTA[[#This Row],[JUMLAH]]="","",NOTA[[#This Row],[DISC 1-]]+NOTA[[#This Row],[DISC 2-]]+NOTA[[#This Row],[DISC 3-]])</f>
        <v/>
      </c>
      <c r="AA963" s="42" t="str">
        <f>IF(NOTA[[#This Row],[JUMLAH]]="","",NOTA[[#This Row],[JUMLAH]]-NOTA[[#This Row],[DISC]])</f>
        <v/>
      </c>
      <c r="AB963" s="42"/>
      <c r="AC9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42" t="str">
        <f>IF(OR(NOTA[[#This Row],[QTY]]="",NOTA[[#This Row],[HARGA SATUAN]]="",),"",NOTA[[#This Row],[QTY]]*NOTA[[#This Row],[HARGA SATUAN]])</f>
        <v/>
      </c>
      <c r="AG963" s="36" t="str">
        <f ca="1">IF(NOTA[[#This Row],[ID_H]]="","",INDEX(NOTA[TANGGAL],MATCH(,INDIRECT(ADDRESS(ROW(NOTA[TANGGAL]),COLUMN(NOTA[TANGGAL]))&amp;":"&amp;ADDRESS(ROW(),COLUMN(NOTA[TANGGAL]))),-1)))</f>
        <v/>
      </c>
      <c r="AH963" s="36" t="str">
        <f ca="1">IF(NOTA[[#This Row],[ID_H]]="","",INDEX(NOTA[TGL.NOTA],MATCH(,INDIRECT(ADDRESS(ROW(NOTA[TGL.NOTA]),COLUMN(NOTA[TGL.NOTA]))&amp;":"&amp;ADDRESS(ROW(),COLUMN(NOTA[TGL.NOTA]))),-1)))</f>
        <v/>
      </c>
      <c r="AI963" s="36" t="str">
        <f ca="1">IF(NOTA[[#This Row],[ID_H]]="","",INDEX(NOTA[NO.NOTA],MATCH(NOTA[[#This Row],[ID_H]],NOTA[ID_H],0)))</f>
        <v/>
      </c>
      <c r="AJ963" s="38" t="str">
        <f ca="1">IF(NOTA[[#This Row],[NAMA BARANG]]="","",INDEX(NOTA[SUPPLIER],MATCH(,INDIRECT(ADDRESS(ROW(NOTA[ID]),COLUMN(NOTA[ID]))&amp;":"&amp;ADDRESS(ROW(),COLUMN(NOTA[ID]))),-1)))</f>
        <v/>
      </c>
      <c r="AK963" s="38" t="str">
        <f ca="1">IF(NOTA[[#This Row],[ID_H]]="","",IF(NOTA[[#This Row],[FAKTUR]]="",INDIRECT(ADDRESS(ROW()-1,COLUMN())),NOTA[[#This Row],[FAKTUR]]))</f>
        <v/>
      </c>
      <c r="AL963" s="35" t="str">
        <f ca="1">IF(NOTA[[#This Row],[ID]]="","",COUNTIF(NOTA[ID_H],NOTA[[#This Row],[ID_H]]))</f>
        <v/>
      </c>
      <c r="AM963" s="35" t="str">
        <f ca="1">IF(NOTA[[#This Row],[TGL.NOTA]]="",IF(NOTA[[#This Row],[SUPPLIER_H]]="","",AM962),MONTH(NOTA[[#This Row],[TGL.NOTA]]))</f>
        <v/>
      </c>
      <c r="AN96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3" s="35" t="str">
        <f>IF(NOTA[[#This Row],[CONCAT1]]="","",MATCH(NOTA[[#This Row],[CONCAT1]],[3]!db[NB NOTA_C],0))</f>
        <v/>
      </c>
      <c r="AS963" s="35" t="str">
        <f>IF(NOTA[[#This Row],[Column5]]="","",TRUE)</f>
        <v/>
      </c>
      <c r="AT963" s="35" t="str">
        <f ca="1">IF(NOTA[[#This Row],[ID_H]]="","",IF(NOTA[[#This Row],[Column3]]=TRUE,NOTA[[#This Row],[Column5]],INDEX([3]!db[QTY/ CTN],NOTA[[#This Row],[//DB]])))</f>
        <v/>
      </c>
      <c r="AU96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3" s="35" t="str">
        <f ca="1">IF(NOTA[[#This Row],[ID_H]]="","",MATCH(NOTA[[#This Row],[NB NOTA_C_QTY]],[3]!db[NB NOTA_C_QTY+F],0))</f>
        <v/>
      </c>
      <c r="AW963" s="43" t="str">
        <f ca="1">IF(NOTA[[#This Row],[NB NOTA_C_QTY]]="","",ROW()-2)</f>
        <v/>
      </c>
    </row>
    <row r="964" spans="1:49" ht="20.100000000000001" customHeight="1">
      <c r="A96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5" t="str">
        <f ca="1">IF(NOTA[[#This Row],[NAMA BARANG]]="","",INDEX(NOTA[ID],MATCH(,INDIRECT(ADDRESS(ROW(NOTA[ID]),COLUMN(NOTA[ID]))&amp;":"&amp;ADDRESS(ROW(),COLUMN(NOTA[ID]))),-1)))</f>
        <v/>
      </c>
      <c r="C964" s="45"/>
      <c r="F964" s="46"/>
      <c r="G964" s="35"/>
      <c r="H964" s="36"/>
      <c r="I964" s="35"/>
      <c r="K964" s="37"/>
      <c r="L964" s="35"/>
      <c r="N964" s="38"/>
      <c r="O964" s="39"/>
      <c r="P964" s="47"/>
      <c r="Q964" s="48"/>
      <c r="R964" s="41"/>
      <c r="T964" s="42"/>
      <c r="U964" s="44"/>
      <c r="V964" s="42" t="str">
        <f>IF(NOTA[[#This Row],[HARGA/ CTN]]="",NOTA[[#This Row],[JUMLAH_H]],NOTA[[#This Row],[HARGA/ CTN]]*IF(NOTA[[#This Row],[C]]="",0,NOTA[[#This Row],[C]]))</f>
        <v/>
      </c>
      <c r="W964" s="42" t="str">
        <f>IF(NOTA[[#This Row],[JUMLAH]]="","",NOTA[[#This Row],[JUMLAH]]*NOTA[[#This Row],[Column6]])</f>
        <v/>
      </c>
      <c r="X964" s="42" t="str">
        <f>IF(NOTA[[#This Row],[JUMLAH]]="","",(NOTA[[#This Row],[JUMLAH]]-NOTA[[#This Row],[DISC 1-]])*NOTA[[#This Row],[Column7]])</f>
        <v/>
      </c>
      <c r="Y964" s="42" t="str">
        <f>IF(NOTA[[#This Row],[JUMLAH]]="","",(NOTA[[#This Row],[JUMLAH]]-NOTA[[#This Row],[DISC 1-]]-NOTA[[#This Row],[DISC 2-]])*NOTA[[#This Row],[Column8]])</f>
        <v/>
      </c>
      <c r="Z964" s="42" t="str">
        <f>IF(NOTA[[#This Row],[JUMLAH]]="","",NOTA[[#This Row],[DISC 1-]]+NOTA[[#This Row],[DISC 2-]]+NOTA[[#This Row],[DISC 3-]])</f>
        <v/>
      </c>
      <c r="AA964" s="42" t="str">
        <f>IF(NOTA[[#This Row],[JUMLAH]]="","",NOTA[[#This Row],[JUMLAH]]-NOTA[[#This Row],[DISC]])</f>
        <v/>
      </c>
      <c r="AB964" s="42"/>
      <c r="AC9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42" t="str">
        <f>IF(OR(NOTA[[#This Row],[QTY]]="",NOTA[[#This Row],[HARGA SATUAN]]="",),"",NOTA[[#This Row],[QTY]]*NOTA[[#This Row],[HARGA SATUAN]])</f>
        <v/>
      </c>
      <c r="AG964" s="36" t="str">
        <f ca="1">IF(NOTA[[#This Row],[ID_H]]="","",INDEX(NOTA[TANGGAL],MATCH(,INDIRECT(ADDRESS(ROW(NOTA[TANGGAL]),COLUMN(NOTA[TANGGAL]))&amp;":"&amp;ADDRESS(ROW(),COLUMN(NOTA[TANGGAL]))),-1)))</f>
        <v/>
      </c>
      <c r="AH964" s="36" t="str">
        <f ca="1">IF(NOTA[[#This Row],[ID_H]]="","",INDEX(NOTA[TGL.NOTA],MATCH(,INDIRECT(ADDRESS(ROW(NOTA[TGL.NOTA]),COLUMN(NOTA[TGL.NOTA]))&amp;":"&amp;ADDRESS(ROW(),COLUMN(NOTA[TGL.NOTA]))),-1)))</f>
        <v/>
      </c>
      <c r="AI964" s="36" t="str">
        <f ca="1">IF(NOTA[[#This Row],[ID_H]]="","",INDEX(NOTA[NO.NOTA],MATCH(NOTA[[#This Row],[ID_H]],NOTA[ID_H],0)))</f>
        <v/>
      </c>
      <c r="AJ964" s="38" t="str">
        <f ca="1">IF(NOTA[[#This Row],[NAMA BARANG]]="","",INDEX(NOTA[SUPPLIER],MATCH(,INDIRECT(ADDRESS(ROW(NOTA[ID]),COLUMN(NOTA[ID]))&amp;":"&amp;ADDRESS(ROW(),COLUMN(NOTA[ID]))),-1)))</f>
        <v/>
      </c>
      <c r="AK964" s="38" t="str">
        <f ca="1">IF(NOTA[[#This Row],[ID_H]]="","",IF(NOTA[[#This Row],[FAKTUR]]="",INDIRECT(ADDRESS(ROW()-1,COLUMN())),NOTA[[#This Row],[FAKTUR]]))</f>
        <v/>
      </c>
      <c r="AL964" s="35" t="str">
        <f ca="1">IF(NOTA[[#This Row],[ID]]="","",COUNTIF(NOTA[ID_H],NOTA[[#This Row],[ID_H]]))</f>
        <v/>
      </c>
      <c r="AM964" s="35" t="str">
        <f ca="1">IF(NOTA[[#This Row],[TGL.NOTA]]="",IF(NOTA[[#This Row],[SUPPLIER_H]]="","",AM963),MONTH(NOTA[[#This Row],[TGL.NOTA]]))</f>
        <v/>
      </c>
      <c r="AN96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4" s="35" t="str">
        <f>IF(NOTA[[#This Row],[CONCAT1]]="","",MATCH(NOTA[[#This Row],[CONCAT1]],[3]!db[NB NOTA_C],0))</f>
        <v/>
      </c>
      <c r="AS964" s="35" t="str">
        <f>IF(NOTA[[#This Row],[Column5]]="","",TRUE)</f>
        <v/>
      </c>
      <c r="AT964" s="35" t="str">
        <f ca="1">IF(NOTA[[#This Row],[ID_H]]="","",IF(NOTA[[#This Row],[Column3]]=TRUE,NOTA[[#This Row],[Column5]],INDEX([3]!db[QTY/ CTN],NOTA[[#This Row],[//DB]])))</f>
        <v/>
      </c>
      <c r="AU96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4" s="35" t="str">
        <f ca="1">IF(NOTA[[#This Row],[ID_H]]="","",MATCH(NOTA[[#This Row],[NB NOTA_C_QTY]],[3]!db[NB NOTA_C_QTY+F],0))</f>
        <v/>
      </c>
      <c r="AW964" s="43" t="str">
        <f ca="1">IF(NOTA[[#This Row],[NB NOTA_C_QTY]]="","",ROW()-2)</f>
        <v/>
      </c>
    </row>
    <row r="965" spans="1:49" ht="20.100000000000001" customHeight="1">
      <c r="A96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5" t="str">
        <f ca="1">IF(NOTA[[#This Row],[NAMA BARANG]]="","",INDEX(NOTA[ID],MATCH(,INDIRECT(ADDRESS(ROW(NOTA[ID]),COLUMN(NOTA[ID]))&amp;":"&amp;ADDRESS(ROW(),COLUMN(NOTA[ID]))),-1)))</f>
        <v/>
      </c>
      <c r="C965" s="45"/>
      <c r="F965" s="46"/>
      <c r="G965" s="35"/>
      <c r="H965" s="36"/>
      <c r="I965" s="35"/>
      <c r="K965" s="37"/>
      <c r="L965" s="35"/>
      <c r="N965" s="38"/>
      <c r="O965" s="39"/>
      <c r="P965" s="47"/>
      <c r="Q965" s="48"/>
      <c r="R965" s="41"/>
      <c r="T965" s="42"/>
      <c r="U965" s="44"/>
      <c r="V965" s="42" t="str">
        <f>IF(NOTA[[#This Row],[HARGA/ CTN]]="",NOTA[[#This Row],[JUMLAH_H]],NOTA[[#This Row],[HARGA/ CTN]]*IF(NOTA[[#This Row],[C]]="",0,NOTA[[#This Row],[C]]))</f>
        <v/>
      </c>
      <c r="W965" s="42" t="str">
        <f>IF(NOTA[[#This Row],[JUMLAH]]="","",NOTA[[#This Row],[JUMLAH]]*NOTA[[#This Row],[Column6]])</f>
        <v/>
      </c>
      <c r="X965" s="42" t="str">
        <f>IF(NOTA[[#This Row],[JUMLAH]]="","",(NOTA[[#This Row],[JUMLAH]]-NOTA[[#This Row],[DISC 1-]])*NOTA[[#This Row],[Column7]])</f>
        <v/>
      </c>
      <c r="Y965" s="42" t="str">
        <f>IF(NOTA[[#This Row],[JUMLAH]]="","",(NOTA[[#This Row],[JUMLAH]]-NOTA[[#This Row],[DISC 1-]]-NOTA[[#This Row],[DISC 2-]])*NOTA[[#This Row],[Column8]])</f>
        <v/>
      </c>
      <c r="Z965" s="42" t="str">
        <f>IF(NOTA[[#This Row],[JUMLAH]]="","",NOTA[[#This Row],[DISC 1-]]+NOTA[[#This Row],[DISC 2-]]+NOTA[[#This Row],[DISC 3-]])</f>
        <v/>
      </c>
      <c r="AA965" s="42" t="str">
        <f>IF(NOTA[[#This Row],[JUMLAH]]="","",NOTA[[#This Row],[JUMLAH]]-NOTA[[#This Row],[DISC]])</f>
        <v/>
      </c>
      <c r="AB965" s="42"/>
      <c r="AC9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42" t="str">
        <f>IF(OR(NOTA[[#This Row],[QTY]]="",NOTA[[#This Row],[HARGA SATUAN]]="",),"",NOTA[[#This Row],[QTY]]*NOTA[[#This Row],[HARGA SATUAN]])</f>
        <v/>
      </c>
      <c r="AG965" s="36" t="str">
        <f ca="1">IF(NOTA[[#This Row],[ID_H]]="","",INDEX(NOTA[TANGGAL],MATCH(,INDIRECT(ADDRESS(ROW(NOTA[TANGGAL]),COLUMN(NOTA[TANGGAL]))&amp;":"&amp;ADDRESS(ROW(),COLUMN(NOTA[TANGGAL]))),-1)))</f>
        <v/>
      </c>
      <c r="AH965" s="36" t="str">
        <f ca="1">IF(NOTA[[#This Row],[ID_H]]="","",INDEX(NOTA[TGL.NOTA],MATCH(,INDIRECT(ADDRESS(ROW(NOTA[TGL.NOTA]),COLUMN(NOTA[TGL.NOTA]))&amp;":"&amp;ADDRESS(ROW(),COLUMN(NOTA[TGL.NOTA]))),-1)))</f>
        <v/>
      </c>
      <c r="AI965" s="36" t="str">
        <f ca="1">IF(NOTA[[#This Row],[ID_H]]="","",INDEX(NOTA[NO.NOTA],MATCH(NOTA[[#This Row],[ID_H]],NOTA[ID_H],0)))</f>
        <v/>
      </c>
      <c r="AJ965" s="38" t="str">
        <f ca="1">IF(NOTA[[#This Row],[NAMA BARANG]]="","",INDEX(NOTA[SUPPLIER],MATCH(,INDIRECT(ADDRESS(ROW(NOTA[ID]),COLUMN(NOTA[ID]))&amp;":"&amp;ADDRESS(ROW(),COLUMN(NOTA[ID]))),-1)))</f>
        <v/>
      </c>
      <c r="AK965" s="38" t="str">
        <f ca="1">IF(NOTA[[#This Row],[ID_H]]="","",IF(NOTA[[#This Row],[FAKTUR]]="",INDIRECT(ADDRESS(ROW()-1,COLUMN())),NOTA[[#This Row],[FAKTUR]]))</f>
        <v/>
      </c>
      <c r="AL965" s="35" t="str">
        <f ca="1">IF(NOTA[[#This Row],[ID]]="","",COUNTIF(NOTA[ID_H],NOTA[[#This Row],[ID_H]]))</f>
        <v/>
      </c>
      <c r="AM965" s="35" t="str">
        <f ca="1">IF(NOTA[[#This Row],[TGL.NOTA]]="",IF(NOTA[[#This Row],[SUPPLIER_H]]="","",AM964),MONTH(NOTA[[#This Row],[TGL.NOTA]]))</f>
        <v/>
      </c>
      <c r="AN96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5" s="35" t="str">
        <f>IF(NOTA[[#This Row],[CONCAT1]]="","",MATCH(NOTA[[#This Row],[CONCAT1]],[3]!db[NB NOTA_C],0))</f>
        <v/>
      </c>
      <c r="AS965" s="35" t="str">
        <f>IF(NOTA[[#This Row],[Column5]]="","",TRUE)</f>
        <v/>
      </c>
      <c r="AT965" s="35" t="str">
        <f ca="1">IF(NOTA[[#This Row],[ID_H]]="","",IF(NOTA[[#This Row],[Column3]]=TRUE,NOTA[[#This Row],[Column5]],INDEX([3]!db[QTY/ CTN],NOTA[[#This Row],[//DB]])))</f>
        <v/>
      </c>
      <c r="AU96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5" s="35" t="str">
        <f ca="1">IF(NOTA[[#This Row],[ID_H]]="","",MATCH(NOTA[[#This Row],[NB NOTA_C_QTY]],[3]!db[NB NOTA_C_QTY+F],0))</f>
        <v/>
      </c>
      <c r="AW965" s="43" t="str">
        <f ca="1">IF(NOTA[[#This Row],[NB NOTA_C_QTY]]="","",ROW()-2)</f>
        <v/>
      </c>
    </row>
    <row r="966" spans="1:49" ht="20.100000000000001" customHeight="1">
      <c r="A96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5" t="str">
        <f ca="1">IF(NOTA[[#This Row],[NAMA BARANG]]="","",INDEX(NOTA[ID],MATCH(,INDIRECT(ADDRESS(ROW(NOTA[ID]),COLUMN(NOTA[ID]))&amp;":"&amp;ADDRESS(ROW(),COLUMN(NOTA[ID]))),-1)))</f>
        <v/>
      </c>
      <c r="C966" s="45"/>
      <c r="F966" s="46"/>
      <c r="G966" s="35"/>
      <c r="H966" s="36"/>
      <c r="I966" s="35"/>
      <c r="K966" s="37"/>
      <c r="L966" s="35"/>
      <c r="N966" s="38"/>
      <c r="O966" s="39"/>
      <c r="P966" s="47"/>
      <c r="Q966" s="48"/>
      <c r="R966" s="41"/>
      <c r="T966" s="42"/>
      <c r="U966" s="44"/>
      <c r="V966" s="42" t="str">
        <f>IF(NOTA[[#This Row],[HARGA/ CTN]]="",NOTA[[#This Row],[JUMLAH_H]],NOTA[[#This Row],[HARGA/ CTN]]*IF(NOTA[[#This Row],[C]]="",0,NOTA[[#This Row],[C]]))</f>
        <v/>
      </c>
      <c r="W966" s="42" t="str">
        <f>IF(NOTA[[#This Row],[JUMLAH]]="","",NOTA[[#This Row],[JUMLAH]]*NOTA[[#This Row],[Column6]])</f>
        <v/>
      </c>
      <c r="X966" s="42" t="str">
        <f>IF(NOTA[[#This Row],[JUMLAH]]="","",(NOTA[[#This Row],[JUMLAH]]-NOTA[[#This Row],[DISC 1-]])*NOTA[[#This Row],[Column7]])</f>
        <v/>
      </c>
      <c r="Y966" s="42" t="str">
        <f>IF(NOTA[[#This Row],[JUMLAH]]="","",(NOTA[[#This Row],[JUMLAH]]-NOTA[[#This Row],[DISC 1-]]-NOTA[[#This Row],[DISC 2-]])*NOTA[[#This Row],[Column8]])</f>
        <v/>
      </c>
      <c r="Z966" s="42" t="str">
        <f>IF(NOTA[[#This Row],[JUMLAH]]="","",NOTA[[#This Row],[DISC 1-]]+NOTA[[#This Row],[DISC 2-]]+NOTA[[#This Row],[DISC 3-]])</f>
        <v/>
      </c>
      <c r="AA966" s="42" t="str">
        <f>IF(NOTA[[#This Row],[JUMLAH]]="","",NOTA[[#This Row],[JUMLAH]]-NOTA[[#This Row],[DISC]])</f>
        <v/>
      </c>
      <c r="AB966" s="42"/>
      <c r="AC9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42" t="str">
        <f>IF(OR(NOTA[[#This Row],[QTY]]="",NOTA[[#This Row],[HARGA SATUAN]]="",),"",NOTA[[#This Row],[QTY]]*NOTA[[#This Row],[HARGA SATUAN]])</f>
        <v/>
      </c>
      <c r="AG966" s="36" t="str">
        <f ca="1">IF(NOTA[[#This Row],[ID_H]]="","",INDEX(NOTA[TANGGAL],MATCH(,INDIRECT(ADDRESS(ROW(NOTA[TANGGAL]),COLUMN(NOTA[TANGGAL]))&amp;":"&amp;ADDRESS(ROW(),COLUMN(NOTA[TANGGAL]))),-1)))</f>
        <v/>
      </c>
      <c r="AH966" s="36" t="str">
        <f ca="1">IF(NOTA[[#This Row],[ID_H]]="","",INDEX(NOTA[TGL.NOTA],MATCH(,INDIRECT(ADDRESS(ROW(NOTA[TGL.NOTA]),COLUMN(NOTA[TGL.NOTA]))&amp;":"&amp;ADDRESS(ROW(),COLUMN(NOTA[TGL.NOTA]))),-1)))</f>
        <v/>
      </c>
      <c r="AI966" s="36" t="str">
        <f ca="1">IF(NOTA[[#This Row],[ID_H]]="","",INDEX(NOTA[NO.NOTA],MATCH(NOTA[[#This Row],[ID_H]],NOTA[ID_H],0)))</f>
        <v/>
      </c>
      <c r="AJ966" s="38" t="str">
        <f ca="1">IF(NOTA[[#This Row],[NAMA BARANG]]="","",INDEX(NOTA[SUPPLIER],MATCH(,INDIRECT(ADDRESS(ROW(NOTA[ID]),COLUMN(NOTA[ID]))&amp;":"&amp;ADDRESS(ROW(),COLUMN(NOTA[ID]))),-1)))</f>
        <v/>
      </c>
      <c r="AK966" s="38" t="str">
        <f ca="1">IF(NOTA[[#This Row],[ID_H]]="","",IF(NOTA[[#This Row],[FAKTUR]]="",INDIRECT(ADDRESS(ROW()-1,COLUMN())),NOTA[[#This Row],[FAKTUR]]))</f>
        <v/>
      </c>
      <c r="AL966" s="35" t="str">
        <f ca="1">IF(NOTA[[#This Row],[ID]]="","",COUNTIF(NOTA[ID_H],NOTA[[#This Row],[ID_H]]))</f>
        <v/>
      </c>
      <c r="AM966" s="35" t="str">
        <f ca="1">IF(NOTA[[#This Row],[TGL.NOTA]]="",IF(NOTA[[#This Row],[SUPPLIER_H]]="","",AM965),MONTH(NOTA[[#This Row],[TGL.NOTA]]))</f>
        <v/>
      </c>
      <c r="AN96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6" s="35" t="str">
        <f>IF(NOTA[[#This Row],[CONCAT1]]="","",MATCH(NOTA[[#This Row],[CONCAT1]],[3]!db[NB NOTA_C],0))</f>
        <v/>
      </c>
      <c r="AS966" s="35" t="str">
        <f>IF(NOTA[[#This Row],[Column5]]="","",TRUE)</f>
        <v/>
      </c>
      <c r="AT966" s="35" t="str">
        <f ca="1">IF(NOTA[[#This Row],[ID_H]]="","",IF(NOTA[[#This Row],[Column3]]=TRUE,NOTA[[#This Row],[Column5]],INDEX([3]!db[QTY/ CTN],NOTA[[#This Row],[//DB]])))</f>
        <v/>
      </c>
      <c r="AU96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6" s="35" t="str">
        <f ca="1">IF(NOTA[[#This Row],[ID_H]]="","",MATCH(NOTA[[#This Row],[NB NOTA_C_QTY]],[3]!db[NB NOTA_C_QTY+F],0))</f>
        <v/>
      </c>
      <c r="AW966" s="43" t="str">
        <f ca="1">IF(NOTA[[#This Row],[NB NOTA_C_QTY]]="","",ROW()-2)</f>
        <v/>
      </c>
    </row>
    <row r="967" spans="1:49" ht="20.100000000000001" customHeight="1">
      <c r="A96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5" t="str">
        <f ca="1">IF(NOTA[[#This Row],[NAMA BARANG]]="","",INDEX(NOTA[ID],MATCH(,INDIRECT(ADDRESS(ROW(NOTA[ID]),COLUMN(NOTA[ID]))&amp;":"&amp;ADDRESS(ROW(),COLUMN(NOTA[ID]))),-1)))</f>
        <v/>
      </c>
      <c r="C967" s="45"/>
      <c r="F967" s="46"/>
      <c r="G967" s="35"/>
      <c r="H967" s="36"/>
      <c r="I967" s="35"/>
      <c r="K967" s="37"/>
      <c r="L967" s="35"/>
      <c r="N967" s="38"/>
      <c r="O967" s="39"/>
      <c r="P967" s="47"/>
      <c r="Q967" s="48"/>
      <c r="R967" s="41"/>
      <c r="T967" s="42"/>
      <c r="U967" s="44"/>
      <c r="V967" s="42" t="str">
        <f>IF(NOTA[[#This Row],[HARGA/ CTN]]="",NOTA[[#This Row],[JUMLAH_H]],NOTA[[#This Row],[HARGA/ CTN]]*IF(NOTA[[#This Row],[C]]="",0,NOTA[[#This Row],[C]]))</f>
        <v/>
      </c>
      <c r="W967" s="42" t="str">
        <f>IF(NOTA[[#This Row],[JUMLAH]]="","",NOTA[[#This Row],[JUMLAH]]*NOTA[[#This Row],[Column6]])</f>
        <v/>
      </c>
      <c r="X967" s="42" t="str">
        <f>IF(NOTA[[#This Row],[JUMLAH]]="","",(NOTA[[#This Row],[JUMLAH]]-NOTA[[#This Row],[DISC 1-]])*NOTA[[#This Row],[Column7]])</f>
        <v/>
      </c>
      <c r="Y967" s="42" t="str">
        <f>IF(NOTA[[#This Row],[JUMLAH]]="","",(NOTA[[#This Row],[JUMLAH]]-NOTA[[#This Row],[DISC 1-]]-NOTA[[#This Row],[DISC 2-]])*NOTA[[#This Row],[Column8]])</f>
        <v/>
      </c>
      <c r="Z967" s="42" t="str">
        <f>IF(NOTA[[#This Row],[JUMLAH]]="","",NOTA[[#This Row],[DISC 1-]]+NOTA[[#This Row],[DISC 2-]]+NOTA[[#This Row],[DISC 3-]])</f>
        <v/>
      </c>
      <c r="AA967" s="42" t="str">
        <f>IF(NOTA[[#This Row],[JUMLAH]]="","",NOTA[[#This Row],[JUMLAH]]-NOTA[[#This Row],[DISC]])</f>
        <v/>
      </c>
      <c r="AB967" s="42"/>
      <c r="AC9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42" t="str">
        <f>IF(OR(NOTA[[#This Row],[QTY]]="",NOTA[[#This Row],[HARGA SATUAN]]="",),"",NOTA[[#This Row],[QTY]]*NOTA[[#This Row],[HARGA SATUAN]])</f>
        <v/>
      </c>
      <c r="AG967" s="36" t="str">
        <f ca="1">IF(NOTA[[#This Row],[ID_H]]="","",INDEX(NOTA[TANGGAL],MATCH(,INDIRECT(ADDRESS(ROW(NOTA[TANGGAL]),COLUMN(NOTA[TANGGAL]))&amp;":"&amp;ADDRESS(ROW(),COLUMN(NOTA[TANGGAL]))),-1)))</f>
        <v/>
      </c>
      <c r="AH967" s="36" t="str">
        <f ca="1">IF(NOTA[[#This Row],[ID_H]]="","",INDEX(NOTA[TGL.NOTA],MATCH(,INDIRECT(ADDRESS(ROW(NOTA[TGL.NOTA]),COLUMN(NOTA[TGL.NOTA]))&amp;":"&amp;ADDRESS(ROW(),COLUMN(NOTA[TGL.NOTA]))),-1)))</f>
        <v/>
      </c>
      <c r="AI967" s="36" t="str">
        <f ca="1">IF(NOTA[[#This Row],[ID_H]]="","",INDEX(NOTA[NO.NOTA],MATCH(NOTA[[#This Row],[ID_H]],NOTA[ID_H],0)))</f>
        <v/>
      </c>
      <c r="AJ967" s="38" t="str">
        <f ca="1">IF(NOTA[[#This Row],[NAMA BARANG]]="","",INDEX(NOTA[SUPPLIER],MATCH(,INDIRECT(ADDRESS(ROW(NOTA[ID]),COLUMN(NOTA[ID]))&amp;":"&amp;ADDRESS(ROW(),COLUMN(NOTA[ID]))),-1)))</f>
        <v/>
      </c>
      <c r="AK967" s="38" t="str">
        <f ca="1">IF(NOTA[[#This Row],[ID_H]]="","",IF(NOTA[[#This Row],[FAKTUR]]="",INDIRECT(ADDRESS(ROW()-1,COLUMN())),NOTA[[#This Row],[FAKTUR]]))</f>
        <v/>
      </c>
      <c r="AL967" s="35" t="str">
        <f ca="1">IF(NOTA[[#This Row],[ID]]="","",COUNTIF(NOTA[ID_H],NOTA[[#This Row],[ID_H]]))</f>
        <v/>
      </c>
      <c r="AM967" s="35" t="str">
        <f ca="1">IF(NOTA[[#This Row],[TGL.NOTA]]="",IF(NOTA[[#This Row],[SUPPLIER_H]]="","",AM966),MONTH(NOTA[[#This Row],[TGL.NOTA]]))</f>
        <v/>
      </c>
      <c r="AN96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7" s="35" t="str">
        <f>IF(NOTA[[#This Row],[CONCAT1]]="","",MATCH(NOTA[[#This Row],[CONCAT1]],[3]!db[NB NOTA_C],0))</f>
        <v/>
      </c>
      <c r="AS967" s="35" t="str">
        <f>IF(NOTA[[#This Row],[Column5]]="","",TRUE)</f>
        <v/>
      </c>
      <c r="AT967" s="35" t="str">
        <f ca="1">IF(NOTA[[#This Row],[ID_H]]="","",IF(NOTA[[#This Row],[Column3]]=TRUE,NOTA[[#This Row],[Column5]],INDEX([3]!db[QTY/ CTN],NOTA[[#This Row],[//DB]])))</f>
        <v/>
      </c>
      <c r="AU96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7" s="35" t="str">
        <f ca="1">IF(NOTA[[#This Row],[ID_H]]="","",MATCH(NOTA[[#This Row],[NB NOTA_C_QTY]],[3]!db[NB NOTA_C_QTY+F],0))</f>
        <v/>
      </c>
      <c r="AW967" s="43" t="str">
        <f ca="1">IF(NOTA[[#This Row],[NB NOTA_C_QTY]]="","",ROW()-2)</f>
        <v/>
      </c>
    </row>
    <row r="968" spans="1:49" ht="20.100000000000001" customHeight="1">
      <c r="A96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5" t="str">
        <f ca="1">IF(NOTA[[#This Row],[NAMA BARANG]]="","",INDEX(NOTA[ID],MATCH(,INDIRECT(ADDRESS(ROW(NOTA[ID]),COLUMN(NOTA[ID]))&amp;":"&amp;ADDRESS(ROW(),COLUMN(NOTA[ID]))),-1)))</f>
        <v/>
      </c>
      <c r="C968" s="45"/>
      <c r="F968" s="46"/>
      <c r="G968" s="35"/>
      <c r="H968" s="36"/>
      <c r="I968" s="35"/>
      <c r="K968" s="37"/>
      <c r="L968" s="35"/>
      <c r="N968" s="38"/>
      <c r="O968" s="39"/>
      <c r="P968" s="47"/>
      <c r="Q968" s="48"/>
      <c r="R968" s="41"/>
      <c r="T968" s="42"/>
      <c r="U968" s="44"/>
      <c r="V968" s="42" t="str">
        <f>IF(NOTA[[#This Row],[HARGA/ CTN]]="",NOTA[[#This Row],[JUMLAH_H]],NOTA[[#This Row],[HARGA/ CTN]]*IF(NOTA[[#This Row],[C]]="",0,NOTA[[#This Row],[C]]))</f>
        <v/>
      </c>
      <c r="W968" s="42" t="str">
        <f>IF(NOTA[[#This Row],[JUMLAH]]="","",NOTA[[#This Row],[JUMLAH]]*NOTA[[#This Row],[Column6]])</f>
        <v/>
      </c>
      <c r="X968" s="42" t="str">
        <f>IF(NOTA[[#This Row],[JUMLAH]]="","",(NOTA[[#This Row],[JUMLAH]]-NOTA[[#This Row],[DISC 1-]])*NOTA[[#This Row],[Column7]])</f>
        <v/>
      </c>
      <c r="Y968" s="42" t="str">
        <f>IF(NOTA[[#This Row],[JUMLAH]]="","",(NOTA[[#This Row],[JUMLAH]]-NOTA[[#This Row],[DISC 1-]]-NOTA[[#This Row],[DISC 2-]])*NOTA[[#This Row],[Column8]])</f>
        <v/>
      </c>
      <c r="Z968" s="42" t="str">
        <f>IF(NOTA[[#This Row],[JUMLAH]]="","",NOTA[[#This Row],[DISC 1-]]+NOTA[[#This Row],[DISC 2-]]+NOTA[[#This Row],[DISC 3-]])</f>
        <v/>
      </c>
      <c r="AA968" s="42" t="str">
        <f>IF(NOTA[[#This Row],[JUMLAH]]="","",NOTA[[#This Row],[JUMLAH]]-NOTA[[#This Row],[DISC]])</f>
        <v/>
      </c>
      <c r="AB968" s="42"/>
      <c r="AC9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42" t="str">
        <f>IF(OR(NOTA[[#This Row],[QTY]]="",NOTA[[#This Row],[HARGA SATUAN]]="",),"",NOTA[[#This Row],[QTY]]*NOTA[[#This Row],[HARGA SATUAN]])</f>
        <v/>
      </c>
      <c r="AG968" s="36" t="str">
        <f ca="1">IF(NOTA[[#This Row],[ID_H]]="","",INDEX(NOTA[TANGGAL],MATCH(,INDIRECT(ADDRESS(ROW(NOTA[TANGGAL]),COLUMN(NOTA[TANGGAL]))&amp;":"&amp;ADDRESS(ROW(),COLUMN(NOTA[TANGGAL]))),-1)))</f>
        <v/>
      </c>
      <c r="AH968" s="36" t="str">
        <f ca="1">IF(NOTA[[#This Row],[ID_H]]="","",INDEX(NOTA[TGL.NOTA],MATCH(,INDIRECT(ADDRESS(ROW(NOTA[TGL.NOTA]),COLUMN(NOTA[TGL.NOTA]))&amp;":"&amp;ADDRESS(ROW(),COLUMN(NOTA[TGL.NOTA]))),-1)))</f>
        <v/>
      </c>
      <c r="AI968" s="36" t="str">
        <f ca="1">IF(NOTA[[#This Row],[ID_H]]="","",INDEX(NOTA[NO.NOTA],MATCH(NOTA[[#This Row],[ID_H]],NOTA[ID_H],0)))</f>
        <v/>
      </c>
      <c r="AJ968" s="38" t="str">
        <f ca="1">IF(NOTA[[#This Row],[NAMA BARANG]]="","",INDEX(NOTA[SUPPLIER],MATCH(,INDIRECT(ADDRESS(ROW(NOTA[ID]),COLUMN(NOTA[ID]))&amp;":"&amp;ADDRESS(ROW(),COLUMN(NOTA[ID]))),-1)))</f>
        <v/>
      </c>
      <c r="AK968" s="38" t="str">
        <f ca="1">IF(NOTA[[#This Row],[ID_H]]="","",IF(NOTA[[#This Row],[FAKTUR]]="",INDIRECT(ADDRESS(ROW()-1,COLUMN())),NOTA[[#This Row],[FAKTUR]]))</f>
        <v/>
      </c>
      <c r="AL968" s="35" t="str">
        <f ca="1">IF(NOTA[[#This Row],[ID]]="","",COUNTIF(NOTA[ID_H],NOTA[[#This Row],[ID_H]]))</f>
        <v/>
      </c>
      <c r="AM968" s="35" t="str">
        <f ca="1">IF(NOTA[[#This Row],[TGL.NOTA]]="",IF(NOTA[[#This Row],[SUPPLIER_H]]="","",AM967),MONTH(NOTA[[#This Row],[TGL.NOTA]]))</f>
        <v/>
      </c>
      <c r="AN96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8" s="35" t="str">
        <f>IF(NOTA[[#This Row],[CONCAT1]]="","",MATCH(NOTA[[#This Row],[CONCAT1]],[3]!db[NB NOTA_C],0))</f>
        <v/>
      </c>
      <c r="AS968" s="35" t="str">
        <f>IF(NOTA[[#This Row],[Column5]]="","",TRUE)</f>
        <v/>
      </c>
      <c r="AT968" s="35" t="str">
        <f ca="1">IF(NOTA[[#This Row],[ID_H]]="","",IF(NOTA[[#This Row],[Column3]]=TRUE,NOTA[[#This Row],[Column5]],INDEX([3]!db[QTY/ CTN],NOTA[[#This Row],[//DB]])))</f>
        <v/>
      </c>
      <c r="AU96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8" s="35" t="str">
        <f ca="1">IF(NOTA[[#This Row],[ID_H]]="","",MATCH(NOTA[[#This Row],[NB NOTA_C_QTY]],[3]!db[NB NOTA_C_QTY+F],0))</f>
        <v/>
      </c>
      <c r="AW968" s="43" t="str">
        <f ca="1">IF(NOTA[[#This Row],[NB NOTA_C_QTY]]="","",ROW()-2)</f>
        <v/>
      </c>
    </row>
    <row r="969" spans="1:49" ht="20.100000000000001" customHeight="1">
      <c r="A96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5" t="str">
        <f ca="1">IF(NOTA[[#This Row],[NAMA BARANG]]="","",INDEX(NOTA[ID],MATCH(,INDIRECT(ADDRESS(ROW(NOTA[ID]),COLUMN(NOTA[ID]))&amp;":"&amp;ADDRESS(ROW(),COLUMN(NOTA[ID]))),-1)))</f>
        <v/>
      </c>
      <c r="C969" s="45"/>
      <c r="F969" s="46"/>
      <c r="G969" s="35"/>
      <c r="H969" s="36"/>
      <c r="I969" s="35"/>
      <c r="K969" s="37"/>
      <c r="L969" s="35"/>
      <c r="N969" s="38"/>
      <c r="O969" s="39"/>
      <c r="P969" s="47"/>
      <c r="Q969" s="48"/>
      <c r="R969" s="41"/>
      <c r="T969" s="42"/>
      <c r="U969" s="44"/>
      <c r="V969" s="42" t="str">
        <f>IF(NOTA[[#This Row],[HARGA/ CTN]]="",NOTA[[#This Row],[JUMLAH_H]],NOTA[[#This Row],[HARGA/ CTN]]*IF(NOTA[[#This Row],[C]]="",0,NOTA[[#This Row],[C]]))</f>
        <v/>
      </c>
      <c r="W969" s="42" t="str">
        <f>IF(NOTA[[#This Row],[JUMLAH]]="","",NOTA[[#This Row],[JUMLAH]]*NOTA[[#This Row],[Column6]])</f>
        <v/>
      </c>
      <c r="X969" s="42" t="str">
        <f>IF(NOTA[[#This Row],[JUMLAH]]="","",(NOTA[[#This Row],[JUMLAH]]-NOTA[[#This Row],[DISC 1-]])*NOTA[[#This Row],[Column7]])</f>
        <v/>
      </c>
      <c r="Y969" s="42" t="str">
        <f>IF(NOTA[[#This Row],[JUMLAH]]="","",(NOTA[[#This Row],[JUMLAH]]-NOTA[[#This Row],[DISC 1-]]-NOTA[[#This Row],[DISC 2-]])*NOTA[[#This Row],[Column8]])</f>
        <v/>
      </c>
      <c r="Z969" s="42" t="str">
        <f>IF(NOTA[[#This Row],[JUMLAH]]="","",NOTA[[#This Row],[DISC 1-]]+NOTA[[#This Row],[DISC 2-]]+NOTA[[#This Row],[DISC 3-]])</f>
        <v/>
      </c>
      <c r="AA969" s="42" t="str">
        <f>IF(NOTA[[#This Row],[JUMLAH]]="","",NOTA[[#This Row],[JUMLAH]]-NOTA[[#This Row],[DISC]])</f>
        <v/>
      </c>
      <c r="AB969" s="42"/>
      <c r="AC9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6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6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42" t="str">
        <f>IF(OR(NOTA[[#This Row],[QTY]]="",NOTA[[#This Row],[HARGA SATUAN]]="",),"",NOTA[[#This Row],[QTY]]*NOTA[[#This Row],[HARGA SATUAN]])</f>
        <v/>
      </c>
      <c r="AG969" s="36" t="str">
        <f ca="1">IF(NOTA[[#This Row],[ID_H]]="","",INDEX(NOTA[TANGGAL],MATCH(,INDIRECT(ADDRESS(ROW(NOTA[TANGGAL]),COLUMN(NOTA[TANGGAL]))&amp;":"&amp;ADDRESS(ROW(),COLUMN(NOTA[TANGGAL]))),-1)))</f>
        <v/>
      </c>
      <c r="AH969" s="36" t="str">
        <f ca="1">IF(NOTA[[#This Row],[ID_H]]="","",INDEX(NOTA[TGL.NOTA],MATCH(,INDIRECT(ADDRESS(ROW(NOTA[TGL.NOTA]),COLUMN(NOTA[TGL.NOTA]))&amp;":"&amp;ADDRESS(ROW(),COLUMN(NOTA[TGL.NOTA]))),-1)))</f>
        <v/>
      </c>
      <c r="AI969" s="36" t="str">
        <f ca="1">IF(NOTA[[#This Row],[ID_H]]="","",INDEX(NOTA[NO.NOTA],MATCH(NOTA[[#This Row],[ID_H]],NOTA[ID_H],0)))</f>
        <v/>
      </c>
      <c r="AJ969" s="38" t="str">
        <f ca="1">IF(NOTA[[#This Row],[NAMA BARANG]]="","",INDEX(NOTA[SUPPLIER],MATCH(,INDIRECT(ADDRESS(ROW(NOTA[ID]),COLUMN(NOTA[ID]))&amp;":"&amp;ADDRESS(ROW(),COLUMN(NOTA[ID]))),-1)))</f>
        <v/>
      </c>
      <c r="AK969" s="38" t="str">
        <f ca="1">IF(NOTA[[#This Row],[ID_H]]="","",IF(NOTA[[#This Row],[FAKTUR]]="",INDIRECT(ADDRESS(ROW()-1,COLUMN())),NOTA[[#This Row],[FAKTUR]]))</f>
        <v/>
      </c>
      <c r="AL969" s="35" t="str">
        <f ca="1">IF(NOTA[[#This Row],[ID]]="","",COUNTIF(NOTA[ID_H],NOTA[[#This Row],[ID_H]]))</f>
        <v/>
      </c>
      <c r="AM969" s="35" t="str">
        <f ca="1">IF(NOTA[[#This Row],[TGL.NOTA]]="",IF(NOTA[[#This Row],[SUPPLIER_H]]="","",AM968),MONTH(NOTA[[#This Row],[TGL.NOTA]]))</f>
        <v/>
      </c>
      <c r="AN96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6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6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6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9" s="35" t="str">
        <f>IF(NOTA[[#This Row],[CONCAT1]]="","",MATCH(NOTA[[#This Row],[CONCAT1]],[3]!db[NB NOTA_C],0))</f>
        <v/>
      </c>
      <c r="AS969" s="35" t="str">
        <f>IF(NOTA[[#This Row],[Column5]]="","",TRUE)</f>
        <v/>
      </c>
      <c r="AT969" s="35" t="str">
        <f ca="1">IF(NOTA[[#This Row],[ID_H]]="","",IF(NOTA[[#This Row],[Column3]]=TRUE,NOTA[[#This Row],[Column5]],INDEX([3]!db[QTY/ CTN],NOTA[[#This Row],[//DB]])))</f>
        <v/>
      </c>
      <c r="AU96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69" s="35" t="str">
        <f ca="1">IF(NOTA[[#This Row],[ID_H]]="","",MATCH(NOTA[[#This Row],[NB NOTA_C_QTY]],[3]!db[NB NOTA_C_QTY+F],0))</f>
        <v/>
      </c>
      <c r="AW969" s="43" t="str">
        <f ca="1">IF(NOTA[[#This Row],[NB NOTA_C_QTY]]="","",ROW()-2)</f>
        <v/>
      </c>
    </row>
    <row r="970" spans="1:49" ht="20.100000000000001" customHeight="1">
      <c r="A97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5" t="str">
        <f ca="1">IF(NOTA[[#This Row],[NAMA BARANG]]="","",INDEX(NOTA[ID],MATCH(,INDIRECT(ADDRESS(ROW(NOTA[ID]),COLUMN(NOTA[ID]))&amp;":"&amp;ADDRESS(ROW(),COLUMN(NOTA[ID]))),-1)))</f>
        <v/>
      </c>
      <c r="C970" s="45"/>
      <c r="F970" s="46"/>
      <c r="G970" s="35"/>
      <c r="H970" s="36"/>
      <c r="I970" s="35"/>
      <c r="K970" s="37"/>
      <c r="L970" s="35"/>
      <c r="N970" s="38"/>
      <c r="O970" s="39"/>
      <c r="P970" s="47"/>
      <c r="Q970" s="48"/>
      <c r="R970" s="41"/>
      <c r="T970" s="42"/>
      <c r="U970" s="44"/>
      <c r="V970" s="42" t="str">
        <f>IF(NOTA[[#This Row],[HARGA/ CTN]]="",NOTA[[#This Row],[JUMLAH_H]],NOTA[[#This Row],[HARGA/ CTN]]*IF(NOTA[[#This Row],[C]]="",0,NOTA[[#This Row],[C]]))</f>
        <v/>
      </c>
      <c r="W970" s="42" t="str">
        <f>IF(NOTA[[#This Row],[JUMLAH]]="","",NOTA[[#This Row],[JUMLAH]]*NOTA[[#This Row],[Column6]])</f>
        <v/>
      </c>
      <c r="X970" s="42" t="str">
        <f>IF(NOTA[[#This Row],[JUMLAH]]="","",(NOTA[[#This Row],[JUMLAH]]-NOTA[[#This Row],[DISC 1-]])*NOTA[[#This Row],[Column7]])</f>
        <v/>
      </c>
      <c r="Y970" s="42" t="str">
        <f>IF(NOTA[[#This Row],[JUMLAH]]="","",(NOTA[[#This Row],[JUMLAH]]-NOTA[[#This Row],[DISC 1-]]-NOTA[[#This Row],[DISC 2-]])*NOTA[[#This Row],[Column8]])</f>
        <v/>
      </c>
      <c r="Z970" s="42" t="str">
        <f>IF(NOTA[[#This Row],[JUMLAH]]="","",NOTA[[#This Row],[DISC 1-]]+NOTA[[#This Row],[DISC 2-]]+NOTA[[#This Row],[DISC 3-]])</f>
        <v/>
      </c>
      <c r="AA970" s="42" t="str">
        <f>IF(NOTA[[#This Row],[JUMLAH]]="","",NOTA[[#This Row],[JUMLAH]]-NOTA[[#This Row],[DISC]])</f>
        <v/>
      </c>
      <c r="AB970" s="42"/>
      <c r="AC9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42" t="str">
        <f>IF(OR(NOTA[[#This Row],[QTY]]="",NOTA[[#This Row],[HARGA SATUAN]]="",),"",NOTA[[#This Row],[QTY]]*NOTA[[#This Row],[HARGA SATUAN]])</f>
        <v/>
      </c>
      <c r="AG970" s="36" t="str">
        <f ca="1">IF(NOTA[[#This Row],[ID_H]]="","",INDEX(NOTA[TANGGAL],MATCH(,INDIRECT(ADDRESS(ROW(NOTA[TANGGAL]),COLUMN(NOTA[TANGGAL]))&amp;":"&amp;ADDRESS(ROW(),COLUMN(NOTA[TANGGAL]))),-1)))</f>
        <v/>
      </c>
      <c r="AH970" s="36" t="str">
        <f ca="1">IF(NOTA[[#This Row],[ID_H]]="","",INDEX(NOTA[TGL.NOTA],MATCH(,INDIRECT(ADDRESS(ROW(NOTA[TGL.NOTA]),COLUMN(NOTA[TGL.NOTA]))&amp;":"&amp;ADDRESS(ROW(),COLUMN(NOTA[TGL.NOTA]))),-1)))</f>
        <v/>
      </c>
      <c r="AI970" s="36" t="str">
        <f ca="1">IF(NOTA[[#This Row],[ID_H]]="","",INDEX(NOTA[NO.NOTA],MATCH(NOTA[[#This Row],[ID_H]],NOTA[ID_H],0)))</f>
        <v/>
      </c>
      <c r="AJ970" s="38" t="str">
        <f ca="1">IF(NOTA[[#This Row],[NAMA BARANG]]="","",INDEX(NOTA[SUPPLIER],MATCH(,INDIRECT(ADDRESS(ROW(NOTA[ID]),COLUMN(NOTA[ID]))&amp;":"&amp;ADDRESS(ROW(),COLUMN(NOTA[ID]))),-1)))</f>
        <v/>
      </c>
      <c r="AK970" s="38" t="str">
        <f ca="1">IF(NOTA[[#This Row],[ID_H]]="","",IF(NOTA[[#This Row],[FAKTUR]]="",INDIRECT(ADDRESS(ROW()-1,COLUMN())),NOTA[[#This Row],[FAKTUR]]))</f>
        <v/>
      </c>
      <c r="AL970" s="35" t="str">
        <f ca="1">IF(NOTA[[#This Row],[ID]]="","",COUNTIF(NOTA[ID_H],NOTA[[#This Row],[ID_H]]))</f>
        <v/>
      </c>
      <c r="AM970" s="35" t="str">
        <f ca="1">IF(NOTA[[#This Row],[TGL.NOTA]]="",IF(NOTA[[#This Row],[SUPPLIER_H]]="","",AM969),MONTH(NOTA[[#This Row],[TGL.NOTA]]))</f>
        <v/>
      </c>
      <c r="AN97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0" s="35" t="str">
        <f>IF(NOTA[[#This Row],[CONCAT1]]="","",MATCH(NOTA[[#This Row],[CONCAT1]],[3]!db[NB NOTA_C],0))</f>
        <v/>
      </c>
      <c r="AS970" s="35" t="str">
        <f>IF(NOTA[[#This Row],[Column5]]="","",TRUE)</f>
        <v/>
      </c>
      <c r="AT970" s="35" t="str">
        <f ca="1">IF(NOTA[[#This Row],[ID_H]]="","",IF(NOTA[[#This Row],[Column3]]=TRUE,NOTA[[#This Row],[Column5]],INDEX([3]!db[QTY/ CTN],NOTA[[#This Row],[//DB]])))</f>
        <v/>
      </c>
      <c r="AU97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0" s="35" t="str">
        <f ca="1">IF(NOTA[[#This Row],[ID_H]]="","",MATCH(NOTA[[#This Row],[NB NOTA_C_QTY]],[3]!db[NB NOTA_C_QTY+F],0))</f>
        <v/>
      </c>
      <c r="AW970" s="43" t="str">
        <f ca="1">IF(NOTA[[#This Row],[NB NOTA_C_QTY]]="","",ROW()-2)</f>
        <v/>
      </c>
    </row>
    <row r="971" spans="1:49" ht="20.100000000000001" customHeight="1">
      <c r="A97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5" t="str">
        <f ca="1">IF(NOTA[[#This Row],[NAMA BARANG]]="","",INDEX(NOTA[ID],MATCH(,INDIRECT(ADDRESS(ROW(NOTA[ID]),COLUMN(NOTA[ID]))&amp;":"&amp;ADDRESS(ROW(),COLUMN(NOTA[ID]))),-1)))</f>
        <v/>
      </c>
      <c r="C971" s="45"/>
      <c r="F971" s="46"/>
      <c r="G971" s="35"/>
      <c r="H971" s="36"/>
      <c r="I971" s="35"/>
      <c r="K971" s="37"/>
      <c r="L971" s="35"/>
      <c r="N971" s="38"/>
      <c r="O971" s="39"/>
      <c r="P971" s="47"/>
      <c r="Q971" s="48"/>
      <c r="R971" s="41"/>
      <c r="T971" s="42"/>
      <c r="U971" s="44"/>
      <c r="V971" s="42" t="str">
        <f>IF(NOTA[[#This Row],[HARGA/ CTN]]="",NOTA[[#This Row],[JUMLAH_H]],NOTA[[#This Row],[HARGA/ CTN]]*IF(NOTA[[#This Row],[C]]="",0,NOTA[[#This Row],[C]]))</f>
        <v/>
      </c>
      <c r="W971" s="42" t="str">
        <f>IF(NOTA[[#This Row],[JUMLAH]]="","",NOTA[[#This Row],[JUMLAH]]*NOTA[[#This Row],[Column6]])</f>
        <v/>
      </c>
      <c r="X971" s="42" t="str">
        <f>IF(NOTA[[#This Row],[JUMLAH]]="","",(NOTA[[#This Row],[JUMLAH]]-NOTA[[#This Row],[DISC 1-]])*NOTA[[#This Row],[Column7]])</f>
        <v/>
      </c>
      <c r="Y971" s="42" t="str">
        <f>IF(NOTA[[#This Row],[JUMLAH]]="","",(NOTA[[#This Row],[JUMLAH]]-NOTA[[#This Row],[DISC 1-]]-NOTA[[#This Row],[DISC 2-]])*NOTA[[#This Row],[Column8]])</f>
        <v/>
      </c>
      <c r="Z971" s="42" t="str">
        <f>IF(NOTA[[#This Row],[JUMLAH]]="","",NOTA[[#This Row],[DISC 1-]]+NOTA[[#This Row],[DISC 2-]]+NOTA[[#This Row],[DISC 3-]])</f>
        <v/>
      </c>
      <c r="AA971" s="42" t="str">
        <f>IF(NOTA[[#This Row],[JUMLAH]]="","",NOTA[[#This Row],[JUMLAH]]-NOTA[[#This Row],[DISC]])</f>
        <v/>
      </c>
      <c r="AB971" s="42"/>
      <c r="AC9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42" t="str">
        <f>IF(OR(NOTA[[#This Row],[QTY]]="",NOTA[[#This Row],[HARGA SATUAN]]="",),"",NOTA[[#This Row],[QTY]]*NOTA[[#This Row],[HARGA SATUAN]])</f>
        <v/>
      </c>
      <c r="AG971" s="36" t="str">
        <f ca="1">IF(NOTA[[#This Row],[ID_H]]="","",INDEX(NOTA[TANGGAL],MATCH(,INDIRECT(ADDRESS(ROW(NOTA[TANGGAL]),COLUMN(NOTA[TANGGAL]))&amp;":"&amp;ADDRESS(ROW(),COLUMN(NOTA[TANGGAL]))),-1)))</f>
        <v/>
      </c>
      <c r="AH971" s="36" t="str">
        <f ca="1">IF(NOTA[[#This Row],[ID_H]]="","",INDEX(NOTA[TGL.NOTA],MATCH(,INDIRECT(ADDRESS(ROW(NOTA[TGL.NOTA]),COLUMN(NOTA[TGL.NOTA]))&amp;":"&amp;ADDRESS(ROW(),COLUMN(NOTA[TGL.NOTA]))),-1)))</f>
        <v/>
      </c>
      <c r="AI971" s="36" t="str">
        <f ca="1">IF(NOTA[[#This Row],[ID_H]]="","",INDEX(NOTA[NO.NOTA],MATCH(NOTA[[#This Row],[ID_H]],NOTA[ID_H],0)))</f>
        <v/>
      </c>
      <c r="AJ971" s="38" t="str">
        <f ca="1">IF(NOTA[[#This Row],[NAMA BARANG]]="","",INDEX(NOTA[SUPPLIER],MATCH(,INDIRECT(ADDRESS(ROW(NOTA[ID]),COLUMN(NOTA[ID]))&amp;":"&amp;ADDRESS(ROW(),COLUMN(NOTA[ID]))),-1)))</f>
        <v/>
      </c>
      <c r="AK971" s="38" t="str">
        <f ca="1">IF(NOTA[[#This Row],[ID_H]]="","",IF(NOTA[[#This Row],[FAKTUR]]="",INDIRECT(ADDRESS(ROW()-1,COLUMN())),NOTA[[#This Row],[FAKTUR]]))</f>
        <v/>
      </c>
      <c r="AL971" s="35" t="str">
        <f ca="1">IF(NOTA[[#This Row],[ID]]="","",COUNTIF(NOTA[ID_H],NOTA[[#This Row],[ID_H]]))</f>
        <v/>
      </c>
      <c r="AM971" s="35" t="str">
        <f ca="1">IF(NOTA[[#This Row],[TGL.NOTA]]="",IF(NOTA[[#This Row],[SUPPLIER_H]]="","",AM970),MONTH(NOTA[[#This Row],[TGL.NOTA]]))</f>
        <v/>
      </c>
      <c r="AN97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1" s="35" t="str">
        <f>IF(NOTA[[#This Row],[CONCAT1]]="","",MATCH(NOTA[[#This Row],[CONCAT1]],[3]!db[NB NOTA_C],0))</f>
        <v/>
      </c>
      <c r="AS971" s="35" t="str">
        <f>IF(NOTA[[#This Row],[Column5]]="","",TRUE)</f>
        <v/>
      </c>
      <c r="AT971" s="35" t="str">
        <f ca="1">IF(NOTA[[#This Row],[ID_H]]="","",IF(NOTA[[#This Row],[Column3]]=TRUE,NOTA[[#This Row],[Column5]],INDEX([3]!db[QTY/ CTN],NOTA[[#This Row],[//DB]])))</f>
        <v/>
      </c>
      <c r="AU97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1" s="35" t="str">
        <f ca="1">IF(NOTA[[#This Row],[ID_H]]="","",MATCH(NOTA[[#This Row],[NB NOTA_C_QTY]],[3]!db[NB NOTA_C_QTY+F],0))</f>
        <v/>
      </c>
      <c r="AW971" s="43" t="str">
        <f ca="1">IF(NOTA[[#This Row],[NB NOTA_C_QTY]]="","",ROW()-2)</f>
        <v/>
      </c>
    </row>
    <row r="972" spans="1:49" ht="20.100000000000001" customHeight="1">
      <c r="A97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5" t="str">
        <f ca="1">IF(NOTA[[#This Row],[NAMA BARANG]]="","",INDEX(NOTA[ID],MATCH(,INDIRECT(ADDRESS(ROW(NOTA[ID]),COLUMN(NOTA[ID]))&amp;":"&amp;ADDRESS(ROW(),COLUMN(NOTA[ID]))),-1)))</f>
        <v/>
      </c>
      <c r="C972" s="45"/>
      <c r="F972" s="46"/>
      <c r="G972" s="35"/>
      <c r="H972" s="36"/>
      <c r="I972" s="35"/>
      <c r="K972" s="37"/>
      <c r="L972" s="35"/>
      <c r="N972" s="38"/>
      <c r="O972" s="39"/>
      <c r="P972" s="47"/>
      <c r="Q972" s="48"/>
      <c r="R972" s="41"/>
      <c r="T972" s="42"/>
      <c r="U972" s="44"/>
      <c r="V972" s="42" t="str">
        <f>IF(NOTA[[#This Row],[HARGA/ CTN]]="",NOTA[[#This Row],[JUMLAH_H]],NOTA[[#This Row],[HARGA/ CTN]]*IF(NOTA[[#This Row],[C]]="",0,NOTA[[#This Row],[C]]))</f>
        <v/>
      </c>
      <c r="W972" s="42" t="str">
        <f>IF(NOTA[[#This Row],[JUMLAH]]="","",NOTA[[#This Row],[JUMLAH]]*NOTA[[#This Row],[Column6]])</f>
        <v/>
      </c>
      <c r="X972" s="42" t="str">
        <f>IF(NOTA[[#This Row],[JUMLAH]]="","",(NOTA[[#This Row],[JUMLAH]]-NOTA[[#This Row],[DISC 1-]])*NOTA[[#This Row],[Column7]])</f>
        <v/>
      </c>
      <c r="Y972" s="42" t="str">
        <f>IF(NOTA[[#This Row],[JUMLAH]]="","",(NOTA[[#This Row],[JUMLAH]]-NOTA[[#This Row],[DISC 1-]]-NOTA[[#This Row],[DISC 2-]])*NOTA[[#This Row],[Column8]])</f>
        <v/>
      </c>
      <c r="Z972" s="42" t="str">
        <f>IF(NOTA[[#This Row],[JUMLAH]]="","",NOTA[[#This Row],[DISC 1-]]+NOTA[[#This Row],[DISC 2-]]+NOTA[[#This Row],[DISC 3-]])</f>
        <v/>
      </c>
      <c r="AA972" s="42" t="str">
        <f>IF(NOTA[[#This Row],[JUMLAH]]="","",NOTA[[#This Row],[JUMLAH]]-NOTA[[#This Row],[DISC]])</f>
        <v/>
      </c>
      <c r="AB972" s="42"/>
      <c r="AC9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42" t="str">
        <f>IF(OR(NOTA[[#This Row],[QTY]]="",NOTA[[#This Row],[HARGA SATUAN]]="",),"",NOTA[[#This Row],[QTY]]*NOTA[[#This Row],[HARGA SATUAN]])</f>
        <v/>
      </c>
      <c r="AG972" s="36" t="str">
        <f ca="1">IF(NOTA[[#This Row],[ID_H]]="","",INDEX(NOTA[TANGGAL],MATCH(,INDIRECT(ADDRESS(ROW(NOTA[TANGGAL]),COLUMN(NOTA[TANGGAL]))&amp;":"&amp;ADDRESS(ROW(),COLUMN(NOTA[TANGGAL]))),-1)))</f>
        <v/>
      </c>
      <c r="AH972" s="36" t="str">
        <f ca="1">IF(NOTA[[#This Row],[ID_H]]="","",INDEX(NOTA[TGL.NOTA],MATCH(,INDIRECT(ADDRESS(ROW(NOTA[TGL.NOTA]),COLUMN(NOTA[TGL.NOTA]))&amp;":"&amp;ADDRESS(ROW(),COLUMN(NOTA[TGL.NOTA]))),-1)))</f>
        <v/>
      </c>
      <c r="AI972" s="36" t="str">
        <f ca="1">IF(NOTA[[#This Row],[ID_H]]="","",INDEX(NOTA[NO.NOTA],MATCH(NOTA[[#This Row],[ID_H]],NOTA[ID_H],0)))</f>
        <v/>
      </c>
      <c r="AJ972" s="38" t="str">
        <f ca="1">IF(NOTA[[#This Row],[NAMA BARANG]]="","",INDEX(NOTA[SUPPLIER],MATCH(,INDIRECT(ADDRESS(ROW(NOTA[ID]),COLUMN(NOTA[ID]))&amp;":"&amp;ADDRESS(ROW(),COLUMN(NOTA[ID]))),-1)))</f>
        <v/>
      </c>
      <c r="AK972" s="38" t="str">
        <f ca="1">IF(NOTA[[#This Row],[ID_H]]="","",IF(NOTA[[#This Row],[FAKTUR]]="",INDIRECT(ADDRESS(ROW()-1,COLUMN())),NOTA[[#This Row],[FAKTUR]]))</f>
        <v/>
      </c>
      <c r="AL972" s="35" t="str">
        <f ca="1">IF(NOTA[[#This Row],[ID]]="","",COUNTIF(NOTA[ID_H],NOTA[[#This Row],[ID_H]]))</f>
        <v/>
      </c>
      <c r="AM972" s="35" t="str">
        <f ca="1">IF(NOTA[[#This Row],[TGL.NOTA]]="",IF(NOTA[[#This Row],[SUPPLIER_H]]="","",AM971),MONTH(NOTA[[#This Row],[TGL.NOTA]]))</f>
        <v/>
      </c>
      <c r="AN97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2" s="35" t="str">
        <f>IF(NOTA[[#This Row],[CONCAT1]]="","",MATCH(NOTA[[#This Row],[CONCAT1]],[3]!db[NB NOTA_C],0))</f>
        <v/>
      </c>
      <c r="AS972" s="35" t="str">
        <f>IF(NOTA[[#This Row],[Column5]]="","",TRUE)</f>
        <v/>
      </c>
      <c r="AT972" s="35" t="str">
        <f ca="1">IF(NOTA[[#This Row],[ID_H]]="","",IF(NOTA[[#This Row],[Column3]]=TRUE,NOTA[[#This Row],[Column5]],INDEX([3]!db[QTY/ CTN],NOTA[[#This Row],[//DB]])))</f>
        <v/>
      </c>
      <c r="AU97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2" s="35" t="str">
        <f ca="1">IF(NOTA[[#This Row],[ID_H]]="","",MATCH(NOTA[[#This Row],[NB NOTA_C_QTY]],[3]!db[NB NOTA_C_QTY+F],0))</f>
        <v/>
      </c>
      <c r="AW972" s="43" t="str">
        <f ca="1">IF(NOTA[[#This Row],[NB NOTA_C_QTY]]="","",ROW()-2)</f>
        <v/>
      </c>
    </row>
    <row r="973" spans="1:49" ht="20.100000000000001" customHeight="1">
      <c r="A97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5" t="str">
        <f ca="1">IF(NOTA[[#This Row],[NAMA BARANG]]="","",INDEX(NOTA[ID],MATCH(,INDIRECT(ADDRESS(ROW(NOTA[ID]),COLUMN(NOTA[ID]))&amp;":"&amp;ADDRESS(ROW(),COLUMN(NOTA[ID]))),-1)))</f>
        <v/>
      </c>
      <c r="C973" s="45"/>
      <c r="F973" s="46"/>
      <c r="G973" s="35"/>
      <c r="H973" s="36"/>
      <c r="I973" s="35"/>
      <c r="K973" s="37"/>
      <c r="L973" s="35"/>
      <c r="N973" s="38"/>
      <c r="O973" s="39"/>
      <c r="P973" s="47"/>
      <c r="Q973" s="48"/>
      <c r="R973" s="41"/>
      <c r="T973" s="42"/>
      <c r="U973" s="44"/>
      <c r="V973" s="42" t="str">
        <f>IF(NOTA[[#This Row],[HARGA/ CTN]]="",NOTA[[#This Row],[JUMLAH_H]],NOTA[[#This Row],[HARGA/ CTN]]*IF(NOTA[[#This Row],[C]]="",0,NOTA[[#This Row],[C]]))</f>
        <v/>
      </c>
      <c r="W973" s="42" t="str">
        <f>IF(NOTA[[#This Row],[JUMLAH]]="","",NOTA[[#This Row],[JUMLAH]]*NOTA[[#This Row],[Column6]])</f>
        <v/>
      </c>
      <c r="X973" s="42" t="str">
        <f>IF(NOTA[[#This Row],[JUMLAH]]="","",(NOTA[[#This Row],[JUMLAH]]-NOTA[[#This Row],[DISC 1-]])*NOTA[[#This Row],[Column7]])</f>
        <v/>
      </c>
      <c r="Y973" s="42" t="str">
        <f>IF(NOTA[[#This Row],[JUMLAH]]="","",(NOTA[[#This Row],[JUMLAH]]-NOTA[[#This Row],[DISC 1-]]-NOTA[[#This Row],[DISC 2-]])*NOTA[[#This Row],[Column8]])</f>
        <v/>
      </c>
      <c r="Z973" s="42" t="str">
        <f>IF(NOTA[[#This Row],[JUMLAH]]="","",NOTA[[#This Row],[DISC 1-]]+NOTA[[#This Row],[DISC 2-]]+NOTA[[#This Row],[DISC 3-]])</f>
        <v/>
      </c>
      <c r="AA973" s="42" t="str">
        <f>IF(NOTA[[#This Row],[JUMLAH]]="","",NOTA[[#This Row],[JUMLAH]]-NOTA[[#This Row],[DISC]])</f>
        <v/>
      </c>
      <c r="AB973" s="42"/>
      <c r="AC9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42" t="str">
        <f>IF(OR(NOTA[[#This Row],[QTY]]="",NOTA[[#This Row],[HARGA SATUAN]]="",),"",NOTA[[#This Row],[QTY]]*NOTA[[#This Row],[HARGA SATUAN]])</f>
        <v/>
      </c>
      <c r="AG973" s="36" t="str">
        <f ca="1">IF(NOTA[[#This Row],[ID_H]]="","",INDEX(NOTA[TANGGAL],MATCH(,INDIRECT(ADDRESS(ROW(NOTA[TANGGAL]),COLUMN(NOTA[TANGGAL]))&amp;":"&amp;ADDRESS(ROW(),COLUMN(NOTA[TANGGAL]))),-1)))</f>
        <v/>
      </c>
      <c r="AH973" s="36" t="str">
        <f ca="1">IF(NOTA[[#This Row],[ID_H]]="","",INDEX(NOTA[TGL.NOTA],MATCH(,INDIRECT(ADDRESS(ROW(NOTA[TGL.NOTA]),COLUMN(NOTA[TGL.NOTA]))&amp;":"&amp;ADDRESS(ROW(),COLUMN(NOTA[TGL.NOTA]))),-1)))</f>
        <v/>
      </c>
      <c r="AI973" s="36" t="str">
        <f ca="1">IF(NOTA[[#This Row],[ID_H]]="","",INDEX(NOTA[NO.NOTA],MATCH(NOTA[[#This Row],[ID_H]],NOTA[ID_H],0)))</f>
        <v/>
      </c>
      <c r="AJ973" s="38" t="str">
        <f ca="1">IF(NOTA[[#This Row],[NAMA BARANG]]="","",INDEX(NOTA[SUPPLIER],MATCH(,INDIRECT(ADDRESS(ROW(NOTA[ID]),COLUMN(NOTA[ID]))&amp;":"&amp;ADDRESS(ROW(),COLUMN(NOTA[ID]))),-1)))</f>
        <v/>
      </c>
      <c r="AK973" s="38" t="str">
        <f ca="1">IF(NOTA[[#This Row],[ID_H]]="","",IF(NOTA[[#This Row],[FAKTUR]]="",INDIRECT(ADDRESS(ROW()-1,COLUMN())),NOTA[[#This Row],[FAKTUR]]))</f>
        <v/>
      </c>
      <c r="AL973" s="35" t="str">
        <f ca="1">IF(NOTA[[#This Row],[ID]]="","",COUNTIF(NOTA[ID_H],NOTA[[#This Row],[ID_H]]))</f>
        <v/>
      </c>
      <c r="AM973" s="35" t="str">
        <f ca="1">IF(NOTA[[#This Row],[TGL.NOTA]]="",IF(NOTA[[#This Row],[SUPPLIER_H]]="","",AM972),MONTH(NOTA[[#This Row],[TGL.NOTA]]))</f>
        <v/>
      </c>
      <c r="AN97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3" s="35" t="str">
        <f>IF(NOTA[[#This Row],[CONCAT1]]="","",MATCH(NOTA[[#This Row],[CONCAT1]],[3]!db[NB NOTA_C],0))</f>
        <v/>
      </c>
      <c r="AS973" s="35" t="str">
        <f>IF(NOTA[[#This Row],[Column5]]="","",TRUE)</f>
        <v/>
      </c>
      <c r="AT973" s="35" t="str">
        <f ca="1">IF(NOTA[[#This Row],[ID_H]]="","",IF(NOTA[[#This Row],[Column3]]=TRUE,NOTA[[#This Row],[Column5]],INDEX([3]!db[QTY/ CTN],NOTA[[#This Row],[//DB]])))</f>
        <v/>
      </c>
      <c r="AU97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3" s="35" t="str">
        <f ca="1">IF(NOTA[[#This Row],[ID_H]]="","",MATCH(NOTA[[#This Row],[NB NOTA_C_QTY]],[3]!db[NB NOTA_C_QTY+F],0))</f>
        <v/>
      </c>
      <c r="AW973" s="43" t="str">
        <f ca="1">IF(NOTA[[#This Row],[NB NOTA_C_QTY]]="","",ROW()-2)</f>
        <v/>
      </c>
    </row>
    <row r="974" spans="1:49" ht="20.100000000000001" customHeight="1">
      <c r="A97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5" t="str">
        <f ca="1">IF(NOTA[[#This Row],[NAMA BARANG]]="","",INDEX(NOTA[ID],MATCH(,INDIRECT(ADDRESS(ROW(NOTA[ID]),COLUMN(NOTA[ID]))&amp;":"&amp;ADDRESS(ROW(),COLUMN(NOTA[ID]))),-1)))</f>
        <v/>
      </c>
      <c r="C974" s="45"/>
      <c r="F974" s="46"/>
      <c r="G974" s="35"/>
      <c r="H974" s="36"/>
      <c r="I974" s="35"/>
      <c r="K974" s="37"/>
      <c r="L974" s="35"/>
      <c r="N974" s="38"/>
      <c r="O974" s="39"/>
      <c r="P974" s="47"/>
      <c r="Q974" s="48"/>
      <c r="R974" s="41"/>
      <c r="T974" s="42"/>
      <c r="U974" s="44"/>
      <c r="V974" s="42" t="str">
        <f>IF(NOTA[[#This Row],[HARGA/ CTN]]="",NOTA[[#This Row],[JUMLAH_H]],NOTA[[#This Row],[HARGA/ CTN]]*IF(NOTA[[#This Row],[C]]="",0,NOTA[[#This Row],[C]]))</f>
        <v/>
      </c>
      <c r="W974" s="42" t="str">
        <f>IF(NOTA[[#This Row],[JUMLAH]]="","",NOTA[[#This Row],[JUMLAH]]*NOTA[[#This Row],[Column6]])</f>
        <v/>
      </c>
      <c r="X974" s="42" t="str">
        <f>IF(NOTA[[#This Row],[JUMLAH]]="","",(NOTA[[#This Row],[JUMLAH]]-NOTA[[#This Row],[DISC 1-]])*NOTA[[#This Row],[Column7]])</f>
        <v/>
      </c>
      <c r="Y974" s="42" t="str">
        <f>IF(NOTA[[#This Row],[JUMLAH]]="","",(NOTA[[#This Row],[JUMLAH]]-NOTA[[#This Row],[DISC 1-]]-NOTA[[#This Row],[DISC 2-]])*NOTA[[#This Row],[Column8]])</f>
        <v/>
      </c>
      <c r="Z974" s="42" t="str">
        <f>IF(NOTA[[#This Row],[JUMLAH]]="","",NOTA[[#This Row],[DISC 1-]]+NOTA[[#This Row],[DISC 2-]]+NOTA[[#This Row],[DISC 3-]])</f>
        <v/>
      </c>
      <c r="AA974" s="42" t="str">
        <f>IF(NOTA[[#This Row],[JUMLAH]]="","",NOTA[[#This Row],[JUMLAH]]-NOTA[[#This Row],[DISC]])</f>
        <v/>
      </c>
      <c r="AB974" s="42"/>
      <c r="AC9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42" t="str">
        <f>IF(OR(NOTA[[#This Row],[QTY]]="",NOTA[[#This Row],[HARGA SATUAN]]="",),"",NOTA[[#This Row],[QTY]]*NOTA[[#This Row],[HARGA SATUAN]])</f>
        <v/>
      </c>
      <c r="AG974" s="36" t="str">
        <f ca="1">IF(NOTA[[#This Row],[ID_H]]="","",INDEX(NOTA[TANGGAL],MATCH(,INDIRECT(ADDRESS(ROW(NOTA[TANGGAL]),COLUMN(NOTA[TANGGAL]))&amp;":"&amp;ADDRESS(ROW(),COLUMN(NOTA[TANGGAL]))),-1)))</f>
        <v/>
      </c>
      <c r="AH974" s="36" t="str">
        <f ca="1">IF(NOTA[[#This Row],[ID_H]]="","",INDEX(NOTA[TGL.NOTA],MATCH(,INDIRECT(ADDRESS(ROW(NOTA[TGL.NOTA]),COLUMN(NOTA[TGL.NOTA]))&amp;":"&amp;ADDRESS(ROW(),COLUMN(NOTA[TGL.NOTA]))),-1)))</f>
        <v/>
      </c>
      <c r="AI974" s="36" t="str">
        <f ca="1">IF(NOTA[[#This Row],[ID_H]]="","",INDEX(NOTA[NO.NOTA],MATCH(NOTA[[#This Row],[ID_H]],NOTA[ID_H],0)))</f>
        <v/>
      </c>
      <c r="AJ974" s="38" t="str">
        <f ca="1">IF(NOTA[[#This Row],[NAMA BARANG]]="","",INDEX(NOTA[SUPPLIER],MATCH(,INDIRECT(ADDRESS(ROW(NOTA[ID]),COLUMN(NOTA[ID]))&amp;":"&amp;ADDRESS(ROW(),COLUMN(NOTA[ID]))),-1)))</f>
        <v/>
      </c>
      <c r="AK974" s="38" t="str">
        <f ca="1">IF(NOTA[[#This Row],[ID_H]]="","",IF(NOTA[[#This Row],[FAKTUR]]="",INDIRECT(ADDRESS(ROW()-1,COLUMN())),NOTA[[#This Row],[FAKTUR]]))</f>
        <v/>
      </c>
      <c r="AL974" s="35" t="str">
        <f ca="1">IF(NOTA[[#This Row],[ID]]="","",COUNTIF(NOTA[ID_H],NOTA[[#This Row],[ID_H]]))</f>
        <v/>
      </c>
      <c r="AM974" s="35" t="str">
        <f ca="1">IF(NOTA[[#This Row],[TGL.NOTA]]="",IF(NOTA[[#This Row],[SUPPLIER_H]]="","",AM973),MONTH(NOTA[[#This Row],[TGL.NOTA]]))</f>
        <v/>
      </c>
      <c r="AN97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4" s="35" t="str">
        <f>IF(NOTA[[#This Row],[CONCAT1]]="","",MATCH(NOTA[[#This Row],[CONCAT1]],[3]!db[NB NOTA_C],0))</f>
        <v/>
      </c>
      <c r="AS974" s="35" t="str">
        <f>IF(NOTA[[#This Row],[Column5]]="","",TRUE)</f>
        <v/>
      </c>
      <c r="AT974" s="35" t="str">
        <f ca="1">IF(NOTA[[#This Row],[ID_H]]="","",IF(NOTA[[#This Row],[Column3]]=TRUE,NOTA[[#This Row],[Column5]],INDEX([3]!db[QTY/ CTN],NOTA[[#This Row],[//DB]])))</f>
        <v/>
      </c>
      <c r="AU97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4" s="35" t="str">
        <f ca="1">IF(NOTA[[#This Row],[ID_H]]="","",MATCH(NOTA[[#This Row],[NB NOTA_C_QTY]],[3]!db[NB NOTA_C_QTY+F],0))</f>
        <v/>
      </c>
      <c r="AW974" s="43" t="str">
        <f ca="1">IF(NOTA[[#This Row],[NB NOTA_C_QTY]]="","",ROW()-2)</f>
        <v/>
      </c>
    </row>
    <row r="975" spans="1:49" ht="20.100000000000001" customHeight="1">
      <c r="A97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5" t="str">
        <f ca="1">IF(NOTA[[#This Row],[NAMA BARANG]]="","",INDEX(NOTA[ID],MATCH(,INDIRECT(ADDRESS(ROW(NOTA[ID]),COLUMN(NOTA[ID]))&amp;":"&amp;ADDRESS(ROW(),COLUMN(NOTA[ID]))),-1)))</f>
        <v/>
      </c>
      <c r="C975" s="45"/>
      <c r="F975" s="46"/>
      <c r="G975" s="35"/>
      <c r="H975" s="36"/>
      <c r="I975" s="35"/>
      <c r="K975" s="37"/>
      <c r="L975" s="35"/>
      <c r="N975" s="38"/>
      <c r="O975" s="39"/>
      <c r="P975" s="47"/>
      <c r="Q975" s="48"/>
      <c r="R975" s="41"/>
      <c r="T975" s="42"/>
      <c r="U975" s="44"/>
      <c r="V975" s="42" t="str">
        <f>IF(NOTA[[#This Row],[HARGA/ CTN]]="",NOTA[[#This Row],[JUMLAH_H]],NOTA[[#This Row],[HARGA/ CTN]]*IF(NOTA[[#This Row],[C]]="",0,NOTA[[#This Row],[C]]))</f>
        <v/>
      </c>
      <c r="W975" s="42" t="str">
        <f>IF(NOTA[[#This Row],[JUMLAH]]="","",NOTA[[#This Row],[JUMLAH]]*NOTA[[#This Row],[Column6]])</f>
        <v/>
      </c>
      <c r="X975" s="42" t="str">
        <f>IF(NOTA[[#This Row],[JUMLAH]]="","",(NOTA[[#This Row],[JUMLAH]]-NOTA[[#This Row],[DISC 1-]])*NOTA[[#This Row],[Column7]])</f>
        <v/>
      </c>
      <c r="Y975" s="42" t="str">
        <f>IF(NOTA[[#This Row],[JUMLAH]]="","",(NOTA[[#This Row],[JUMLAH]]-NOTA[[#This Row],[DISC 1-]]-NOTA[[#This Row],[DISC 2-]])*NOTA[[#This Row],[Column8]])</f>
        <v/>
      </c>
      <c r="Z975" s="42" t="str">
        <f>IF(NOTA[[#This Row],[JUMLAH]]="","",NOTA[[#This Row],[DISC 1-]]+NOTA[[#This Row],[DISC 2-]]+NOTA[[#This Row],[DISC 3-]])</f>
        <v/>
      </c>
      <c r="AA975" s="42" t="str">
        <f>IF(NOTA[[#This Row],[JUMLAH]]="","",NOTA[[#This Row],[JUMLAH]]-NOTA[[#This Row],[DISC]])</f>
        <v/>
      </c>
      <c r="AB975" s="42"/>
      <c r="AC9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42" t="str">
        <f>IF(OR(NOTA[[#This Row],[QTY]]="",NOTA[[#This Row],[HARGA SATUAN]]="",),"",NOTA[[#This Row],[QTY]]*NOTA[[#This Row],[HARGA SATUAN]])</f>
        <v/>
      </c>
      <c r="AG975" s="36" t="str">
        <f ca="1">IF(NOTA[[#This Row],[ID_H]]="","",INDEX(NOTA[TANGGAL],MATCH(,INDIRECT(ADDRESS(ROW(NOTA[TANGGAL]),COLUMN(NOTA[TANGGAL]))&amp;":"&amp;ADDRESS(ROW(),COLUMN(NOTA[TANGGAL]))),-1)))</f>
        <v/>
      </c>
      <c r="AH975" s="36" t="str">
        <f ca="1">IF(NOTA[[#This Row],[ID_H]]="","",INDEX(NOTA[TGL.NOTA],MATCH(,INDIRECT(ADDRESS(ROW(NOTA[TGL.NOTA]),COLUMN(NOTA[TGL.NOTA]))&amp;":"&amp;ADDRESS(ROW(),COLUMN(NOTA[TGL.NOTA]))),-1)))</f>
        <v/>
      </c>
      <c r="AI975" s="36" t="str">
        <f ca="1">IF(NOTA[[#This Row],[ID_H]]="","",INDEX(NOTA[NO.NOTA],MATCH(NOTA[[#This Row],[ID_H]],NOTA[ID_H],0)))</f>
        <v/>
      </c>
      <c r="AJ975" s="38" t="str">
        <f ca="1">IF(NOTA[[#This Row],[NAMA BARANG]]="","",INDEX(NOTA[SUPPLIER],MATCH(,INDIRECT(ADDRESS(ROW(NOTA[ID]),COLUMN(NOTA[ID]))&amp;":"&amp;ADDRESS(ROW(),COLUMN(NOTA[ID]))),-1)))</f>
        <v/>
      </c>
      <c r="AK975" s="38" t="str">
        <f ca="1">IF(NOTA[[#This Row],[ID_H]]="","",IF(NOTA[[#This Row],[FAKTUR]]="",INDIRECT(ADDRESS(ROW()-1,COLUMN())),NOTA[[#This Row],[FAKTUR]]))</f>
        <v/>
      </c>
      <c r="AL975" s="35" t="str">
        <f ca="1">IF(NOTA[[#This Row],[ID]]="","",COUNTIF(NOTA[ID_H],NOTA[[#This Row],[ID_H]]))</f>
        <v/>
      </c>
      <c r="AM975" s="35" t="str">
        <f ca="1">IF(NOTA[[#This Row],[TGL.NOTA]]="",IF(NOTA[[#This Row],[SUPPLIER_H]]="","",AM974),MONTH(NOTA[[#This Row],[TGL.NOTA]]))</f>
        <v/>
      </c>
      <c r="AN97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5" s="35" t="str">
        <f>IF(NOTA[[#This Row],[CONCAT1]]="","",MATCH(NOTA[[#This Row],[CONCAT1]],[3]!db[NB NOTA_C],0))</f>
        <v/>
      </c>
      <c r="AS975" s="35" t="str">
        <f>IF(NOTA[[#This Row],[Column5]]="","",TRUE)</f>
        <v/>
      </c>
      <c r="AT975" s="35" t="str">
        <f ca="1">IF(NOTA[[#This Row],[ID_H]]="","",IF(NOTA[[#This Row],[Column3]]=TRUE,NOTA[[#This Row],[Column5]],INDEX([3]!db[QTY/ CTN],NOTA[[#This Row],[//DB]])))</f>
        <v/>
      </c>
      <c r="AU97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5" s="35" t="str">
        <f ca="1">IF(NOTA[[#This Row],[ID_H]]="","",MATCH(NOTA[[#This Row],[NB NOTA_C_QTY]],[3]!db[NB NOTA_C_QTY+F],0))</f>
        <v/>
      </c>
      <c r="AW975" s="43" t="str">
        <f ca="1">IF(NOTA[[#This Row],[NB NOTA_C_QTY]]="","",ROW()-2)</f>
        <v/>
      </c>
    </row>
    <row r="976" spans="1:49" ht="20.100000000000001" customHeight="1">
      <c r="A97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5" t="str">
        <f ca="1">IF(NOTA[[#This Row],[NAMA BARANG]]="","",INDEX(NOTA[ID],MATCH(,INDIRECT(ADDRESS(ROW(NOTA[ID]),COLUMN(NOTA[ID]))&amp;":"&amp;ADDRESS(ROW(),COLUMN(NOTA[ID]))),-1)))</f>
        <v/>
      </c>
      <c r="C976" s="45"/>
      <c r="F976" s="46"/>
      <c r="G976" s="35"/>
      <c r="H976" s="36"/>
      <c r="I976" s="35"/>
      <c r="K976" s="37"/>
      <c r="L976" s="35"/>
      <c r="N976" s="38"/>
      <c r="O976" s="39"/>
      <c r="P976" s="47"/>
      <c r="Q976" s="48"/>
      <c r="R976" s="41"/>
      <c r="T976" s="42"/>
      <c r="U976" s="44"/>
      <c r="V976" s="42" t="str">
        <f>IF(NOTA[[#This Row],[HARGA/ CTN]]="",NOTA[[#This Row],[JUMLAH_H]],NOTA[[#This Row],[HARGA/ CTN]]*IF(NOTA[[#This Row],[C]]="",0,NOTA[[#This Row],[C]]))</f>
        <v/>
      </c>
      <c r="W976" s="42" t="str">
        <f>IF(NOTA[[#This Row],[JUMLAH]]="","",NOTA[[#This Row],[JUMLAH]]*NOTA[[#This Row],[Column6]])</f>
        <v/>
      </c>
      <c r="X976" s="42" t="str">
        <f>IF(NOTA[[#This Row],[JUMLAH]]="","",(NOTA[[#This Row],[JUMLAH]]-NOTA[[#This Row],[DISC 1-]])*NOTA[[#This Row],[Column7]])</f>
        <v/>
      </c>
      <c r="Y976" s="42" t="str">
        <f>IF(NOTA[[#This Row],[JUMLAH]]="","",(NOTA[[#This Row],[JUMLAH]]-NOTA[[#This Row],[DISC 1-]]-NOTA[[#This Row],[DISC 2-]])*NOTA[[#This Row],[Column8]])</f>
        <v/>
      </c>
      <c r="Z976" s="42" t="str">
        <f>IF(NOTA[[#This Row],[JUMLAH]]="","",NOTA[[#This Row],[DISC 1-]]+NOTA[[#This Row],[DISC 2-]]+NOTA[[#This Row],[DISC 3-]])</f>
        <v/>
      </c>
      <c r="AA976" s="42" t="str">
        <f>IF(NOTA[[#This Row],[JUMLAH]]="","",NOTA[[#This Row],[JUMLAH]]-NOTA[[#This Row],[DISC]])</f>
        <v/>
      </c>
      <c r="AB976" s="42"/>
      <c r="AC9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42" t="str">
        <f>IF(OR(NOTA[[#This Row],[QTY]]="",NOTA[[#This Row],[HARGA SATUAN]]="",),"",NOTA[[#This Row],[QTY]]*NOTA[[#This Row],[HARGA SATUAN]])</f>
        <v/>
      </c>
      <c r="AG976" s="36" t="str">
        <f ca="1">IF(NOTA[[#This Row],[ID_H]]="","",INDEX(NOTA[TANGGAL],MATCH(,INDIRECT(ADDRESS(ROW(NOTA[TANGGAL]),COLUMN(NOTA[TANGGAL]))&amp;":"&amp;ADDRESS(ROW(),COLUMN(NOTA[TANGGAL]))),-1)))</f>
        <v/>
      </c>
      <c r="AH976" s="36" t="str">
        <f ca="1">IF(NOTA[[#This Row],[ID_H]]="","",INDEX(NOTA[TGL.NOTA],MATCH(,INDIRECT(ADDRESS(ROW(NOTA[TGL.NOTA]),COLUMN(NOTA[TGL.NOTA]))&amp;":"&amp;ADDRESS(ROW(),COLUMN(NOTA[TGL.NOTA]))),-1)))</f>
        <v/>
      </c>
      <c r="AI976" s="36" t="str">
        <f ca="1">IF(NOTA[[#This Row],[ID_H]]="","",INDEX(NOTA[NO.NOTA],MATCH(NOTA[[#This Row],[ID_H]],NOTA[ID_H],0)))</f>
        <v/>
      </c>
      <c r="AJ976" s="38" t="str">
        <f ca="1">IF(NOTA[[#This Row],[NAMA BARANG]]="","",INDEX(NOTA[SUPPLIER],MATCH(,INDIRECT(ADDRESS(ROW(NOTA[ID]),COLUMN(NOTA[ID]))&amp;":"&amp;ADDRESS(ROW(),COLUMN(NOTA[ID]))),-1)))</f>
        <v/>
      </c>
      <c r="AK976" s="38" t="str">
        <f ca="1">IF(NOTA[[#This Row],[ID_H]]="","",IF(NOTA[[#This Row],[FAKTUR]]="",INDIRECT(ADDRESS(ROW()-1,COLUMN())),NOTA[[#This Row],[FAKTUR]]))</f>
        <v/>
      </c>
      <c r="AL976" s="35" t="str">
        <f ca="1">IF(NOTA[[#This Row],[ID]]="","",COUNTIF(NOTA[ID_H],NOTA[[#This Row],[ID_H]]))</f>
        <v/>
      </c>
      <c r="AM976" s="35" t="str">
        <f ca="1">IF(NOTA[[#This Row],[TGL.NOTA]]="",IF(NOTA[[#This Row],[SUPPLIER_H]]="","",AM975),MONTH(NOTA[[#This Row],[TGL.NOTA]]))</f>
        <v/>
      </c>
      <c r="AN97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6" s="35" t="str">
        <f>IF(NOTA[[#This Row],[CONCAT1]]="","",MATCH(NOTA[[#This Row],[CONCAT1]],[3]!db[NB NOTA_C],0))</f>
        <v/>
      </c>
      <c r="AS976" s="35" t="str">
        <f>IF(NOTA[[#This Row],[Column5]]="","",TRUE)</f>
        <v/>
      </c>
      <c r="AT976" s="35" t="str">
        <f ca="1">IF(NOTA[[#This Row],[ID_H]]="","",IF(NOTA[[#This Row],[Column3]]=TRUE,NOTA[[#This Row],[Column5]],INDEX([3]!db[QTY/ CTN],NOTA[[#This Row],[//DB]])))</f>
        <v/>
      </c>
      <c r="AU97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6" s="35" t="str">
        <f ca="1">IF(NOTA[[#This Row],[ID_H]]="","",MATCH(NOTA[[#This Row],[NB NOTA_C_QTY]],[3]!db[NB NOTA_C_QTY+F],0))</f>
        <v/>
      </c>
      <c r="AW976" s="43" t="str">
        <f ca="1">IF(NOTA[[#This Row],[NB NOTA_C_QTY]]="","",ROW()-2)</f>
        <v/>
      </c>
    </row>
    <row r="977" spans="1:49" ht="20.100000000000001" customHeight="1">
      <c r="A97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5" t="str">
        <f ca="1">IF(NOTA[[#This Row],[NAMA BARANG]]="","",INDEX(NOTA[ID],MATCH(,INDIRECT(ADDRESS(ROW(NOTA[ID]),COLUMN(NOTA[ID]))&amp;":"&amp;ADDRESS(ROW(),COLUMN(NOTA[ID]))),-1)))</f>
        <v/>
      </c>
      <c r="C977" s="45"/>
      <c r="F977" s="46"/>
      <c r="G977" s="35"/>
      <c r="H977" s="36"/>
      <c r="I977" s="35"/>
      <c r="K977" s="37"/>
      <c r="L977" s="35"/>
      <c r="N977" s="38"/>
      <c r="O977" s="39"/>
      <c r="P977" s="47"/>
      <c r="Q977" s="48"/>
      <c r="R977" s="41"/>
      <c r="T977" s="42"/>
      <c r="U977" s="44"/>
      <c r="V977" s="42" t="str">
        <f>IF(NOTA[[#This Row],[HARGA/ CTN]]="",NOTA[[#This Row],[JUMLAH_H]],NOTA[[#This Row],[HARGA/ CTN]]*IF(NOTA[[#This Row],[C]]="",0,NOTA[[#This Row],[C]]))</f>
        <v/>
      </c>
      <c r="W977" s="42" t="str">
        <f>IF(NOTA[[#This Row],[JUMLAH]]="","",NOTA[[#This Row],[JUMLAH]]*NOTA[[#This Row],[Column6]])</f>
        <v/>
      </c>
      <c r="X977" s="42" t="str">
        <f>IF(NOTA[[#This Row],[JUMLAH]]="","",(NOTA[[#This Row],[JUMLAH]]-NOTA[[#This Row],[DISC 1-]])*NOTA[[#This Row],[Column7]])</f>
        <v/>
      </c>
      <c r="Y977" s="42" t="str">
        <f>IF(NOTA[[#This Row],[JUMLAH]]="","",(NOTA[[#This Row],[JUMLAH]]-NOTA[[#This Row],[DISC 1-]]-NOTA[[#This Row],[DISC 2-]])*NOTA[[#This Row],[Column8]])</f>
        <v/>
      </c>
      <c r="Z977" s="42" t="str">
        <f>IF(NOTA[[#This Row],[JUMLAH]]="","",NOTA[[#This Row],[DISC 1-]]+NOTA[[#This Row],[DISC 2-]]+NOTA[[#This Row],[DISC 3-]])</f>
        <v/>
      </c>
      <c r="AA977" s="42" t="str">
        <f>IF(NOTA[[#This Row],[JUMLAH]]="","",NOTA[[#This Row],[JUMLAH]]-NOTA[[#This Row],[DISC]])</f>
        <v/>
      </c>
      <c r="AB977" s="42"/>
      <c r="AC9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42" t="str">
        <f>IF(OR(NOTA[[#This Row],[QTY]]="",NOTA[[#This Row],[HARGA SATUAN]]="",),"",NOTA[[#This Row],[QTY]]*NOTA[[#This Row],[HARGA SATUAN]])</f>
        <v/>
      </c>
      <c r="AG977" s="36" t="str">
        <f ca="1">IF(NOTA[[#This Row],[ID_H]]="","",INDEX(NOTA[TANGGAL],MATCH(,INDIRECT(ADDRESS(ROW(NOTA[TANGGAL]),COLUMN(NOTA[TANGGAL]))&amp;":"&amp;ADDRESS(ROW(),COLUMN(NOTA[TANGGAL]))),-1)))</f>
        <v/>
      </c>
      <c r="AH977" s="36" t="str">
        <f ca="1">IF(NOTA[[#This Row],[ID_H]]="","",INDEX(NOTA[TGL.NOTA],MATCH(,INDIRECT(ADDRESS(ROW(NOTA[TGL.NOTA]),COLUMN(NOTA[TGL.NOTA]))&amp;":"&amp;ADDRESS(ROW(),COLUMN(NOTA[TGL.NOTA]))),-1)))</f>
        <v/>
      </c>
      <c r="AI977" s="36" t="str">
        <f ca="1">IF(NOTA[[#This Row],[ID_H]]="","",INDEX(NOTA[NO.NOTA],MATCH(NOTA[[#This Row],[ID_H]],NOTA[ID_H],0)))</f>
        <v/>
      </c>
      <c r="AJ977" s="38" t="str">
        <f ca="1">IF(NOTA[[#This Row],[NAMA BARANG]]="","",INDEX(NOTA[SUPPLIER],MATCH(,INDIRECT(ADDRESS(ROW(NOTA[ID]),COLUMN(NOTA[ID]))&amp;":"&amp;ADDRESS(ROW(),COLUMN(NOTA[ID]))),-1)))</f>
        <v/>
      </c>
      <c r="AK977" s="38" t="str">
        <f ca="1">IF(NOTA[[#This Row],[ID_H]]="","",IF(NOTA[[#This Row],[FAKTUR]]="",INDIRECT(ADDRESS(ROW()-1,COLUMN())),NOTA[[#This Row],[FAKTUR]]))</f>
        <v/>
      </c>
      <c r="AL977" s="35" t="str">
        <f ca="1">IF(NOTA[[#This Row],[ID]]="","",COUNTIF(NOTA[ID_H],NOTA[[#This Row],[ID_H]]))</f>
        <v/>
      </c>
      <c r="AM977" s="35" t="str">
        <f ca="1">IF(NOTA[[#This Row],[TGL.NOTA]]="",IF(NOTA[[#This Row],[SUPPLIER_H]]="","",AM976),MONTH(NOTA[[#This Row],[TGL.NOTA]]))</f>
        <v/>
      </c>
      <c r="AN97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7" s="35" t="str">
        <f>IF(NOTA[[#This Row],[CONCAT1]]="","",MATCH(NOTA[[#This Row],[CONCAT1]],[3]!db[NB NOTA_C],0))</f>
        <v/>
      </c>
      <c r="AS977" s="35" t="str">
        <f>IF(NOTA[[#This Row],[Column5]]="","",TRUE)</f>
        <v/>
      </c>
      <c r="AT977" s="35" t="str">
        <f ca="1">IF(NOTA[[#This Row],[ID_H]]="","",IF(NOTA[[#This Row],[Column3]]=TRUE,NOTA[[#This Row],[Column5]],INDEX([3]!db[QTY/ CTN],NOTA[[#This Row],[//DB]])))</f>
        <v/>
      </c>
      <c r="AU97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7" s="35" t="str">
        <f ca="1">IF(NOTA[[#This Row],[ID_H]]="","",MATCH(NOTA[[#This Row],[NB NOTA_C_QTY]],[3]!db[NB NOTA_C_QTY+F],0))</f>
        <v/>
      </c>
      <c r="AW977" s="43" t="str">
        <f ca="1">IF(NOTA[[#This Row],[NB NOTA_C_QTY]]="","",ROW()-2)</f>
        <v/>
      </c>
    </row>
    <row r="978" spans="1:49" ht="20.100000000000001" customHeight="1">
      <c r="A97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5" t="str">
        <f ca="1">IF(NOTA[[#This Row],[NAMA BARANG]]="","",INDEX(NOTA[ID],MATCH(,INDIRECT(ADDRESS(ROW(NOTA[ID]),COLUMN(NOTA[ID]))&amp;":"&amp;ADDRESS(ROW(),COLUMN(NOTA[ID]))),-1)))</f>
        <v/>
      </c>
      <c r="C978" s="45"/>
      <c r="F978" s="46"/>
      <c r="G978" s="35"/>
      <c r="H978" s="36"/>
      <c r="I978" s="35"/>
      <c r="K978" s="37"/>
      <c r="L978" s="35"/>
      <c r="N978" s="38"/>
      <c r="O978" s="39"/>
      <c r="P978" s="47"/>
      <c r="Q978" s="48"/>
      <c r="R978" s="41"/>
      <c r="T978" s="42"/>
      <c r="U978" s="44"/>
      <c r="V978" s="42" t="str">
        <f>IF(NOTA[[#This Row],[HARGA/ CTN]]="",NOTA[[#This Row],[JUMLAH_H]],NOTA[[#This Row],[HARGA/ CTN]]*IF(NOTA[[#This Row],[C]]="",0,NOTA[[#This Row],[C]]))</f>
        <v/>
      </c>
      <c r="W978" s="42" t="str">
        <f>IF(NOTA[[#This Row],[JUMLAH]]="","",NOTA[[#This Row],[JUMLAH]]*NOTA[[#This Row],[Column6]])</f>
        <v/>
      </c>
      <c r="X978" s="42" t="str">
        <f>IF(NOTA[[#This Row],[JUMLAH]]="","",(NOTA[[#This Row],[JUMLAH]]-NOTA[[#This Row],[DISC 1-]])*NOTA[[#This Row],[Column7]])</f>
        <v/>
      </c>
      <c r="Y978" s="42" t="str">
        <f>IF(NOTA[[#This Row],[JUMLAH]]="","",(NOTA[[#This Row],[JUMLAH]]-NOTA[[#This Row],[DISC 1-]]-NOTA[[#This Row],[DISC 2-]])*NOTA[[#This Row],[Column8]])</f>
        <v/>
      </c>
      <c r="Z978" s="42" t="str">
        <f>IF(NOTA[[#This Row],[JUMLAH]]="","",NOTA[[#This Row],[DISC 1-]]+NOTA[[#This Row],[DISC 2-]]+NOTA[[#This Row],[DISC 3-]])</f>
        <v/>
      </c>
      <c r="AA978" s="42" t="str">
        <f>IF(NOTA[[#This Row],[JUMLAH]]="","",NOTA[[#This Row],[JUMLAH]]-NOTA[[#This Row],[DISC]])</f>
        <v/>
      </c>
      <c r="AB978" s="42"/>
      <c r="AC9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42" t="str">
        <f>IF(OR(NOTA[[#This Row],[QTY]]="",NOTA[[#This Row],[HARGA SATUAN]]="",),"",NOTA[[#This Row],[QTY]]*NOTA[[#This Row],[HARGA SATUAN]])</f>
        <v/>
      </c>
      <c r="AG978" s="36" t="str">
        <f ca="1">IF(NOTA[[#This Row],[ID_H]]="","",INDEX(NOTA[TANGGAL],MATCH(,INDIRECT(ADDRESS(ROW(NOTA[TANGGAL]),COLUMN(NOTA[TANGGAL]))&amp;":"&amp;ADDRESS(ROW(),COLUMN(NOTA[TANGGAL]))),-1)))</f>
        <v/>
      </c>
      <c r="AH978" s="36" t="str">
        <f ca="1">IF(NOTA[[#This Row],[ID_H]]="","",INDEX(NOTA[TGL.NOTA],MATCH(,INDIRECT(ADDRESS(ROW(NOTA[TGL.NOTA]),COLUMN(NOTA[TGL.NOTA]))&amp;":"&amp;ADDRESS(ROW(),COLUMN(NOTA[TGL.NOTA]))),-1)))</f>
        <v/>
      </c>
      <c r="AI978" s="36" t="str">
        <f ca="1">IF(NOTA[[#This Row],[ID_H]]="","",INDEX(NOTA[NO.NOTA],MATCH(NOTA[[#This Row],[ID_H]],NOTA[ID_H],0)))</f>
        <v/>
      </c>
      <c r="AJ978" s="38" t="str">
        <f ca="1">IF(NOTA[[#This Row],[NAMA BARANG]]="","",INDEX(NOTA[SUPPLIER],MATCH(,INDIRECT(ADDRESS(ROW(NOTA[ID]),COLUMN(NOTA[ID]))&amp;":"&amp;ADDRESS(ROW(),COLUMN(NOTA[ID]))),-1)))</f>
        <v/>
      </c>
      <c r="AK978" s="38" t="str">
        <f ca="1">IF(NOTA[[#This Row],[ID_H]]="","",IF(NOTA[[#This Row],[FAKTUR]]="",INDIRECT(ADDRESS(ROW()-1,COLUMN())),NOTA[[#This Row],[FAKTUR]]))</f>
        <v/>
      </c>
      <c r="AL978" s="35" t="str">
        <f ca="1">IF(NOTA[[#This Row],[ID]]="","",COUNTIF(NOTA[ID_H],NOTA[[#This Row],[ID_H]]))</f>
        <v/>
      </c>
      <c r="AM978" s="35" t="str">
        <f ca="1">IF(NOTA[[#This Row],[TGL.NOTA]]="",IF(NOTA[[#This Row],[SUPPLIER_H]]="","",AM977),MONTH(NOTA[[#This Row],[TGL.NOTA]]))</f>
        <v/>
      </c>
      <c r="AN97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8" s="35" t="str">
        <f>IF(NOTA[[#This Row],[CONCAT1]]="","",MATCH(NOTA[[#This Row],[CONCAT1]],[3]!db[NB NOTA_C],0))</f>
        <v/>
      </c>
      <c r="AS978" s="35" t="str">
        <f>IF(NOTA[[#This Row],[Column5]]="","",TRUE)</f>
        <v/>
      </c>
      <c r="AT978" s="35" t="str">
        <f ca="1">IF(NOTA[[#This Row],[ID_H]]="","",IF(NOTA[[#This Row],[Column3]]=TRUE,NOTA[[#This Row],[Column5]],INDEX([3]!db[QTY/ CTN],NOTA[[#This Row],[//DB]])))</f>
        <v/>
      </c>
      <c r="AU97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8" s="35" t="str">
        <f ca="1">IF(NOTA[[#This Row],[ID_H]]="","",MATCH(NOTA[[#This Row],[NB NOTA_C_QTY]],[3]!db[NB NOTA_C_QTY+F],0))</f>
        <v/>
      </c>
      <c r="AW978" s="43" t="str">
        <f ca="1">IF(NOTA[[#This Row],[NB NOTA_C_QTY]]="","",ROW()-2)</f>
        <v/>
      </c>
    </row>
    <row r="979" spans="1:49" ht="20.100000000000001" customHeight="1">
      <c r="A97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5" t="str">
        <f ca="1">IF(NOTA[[#This Row],[NAMA BARANG]]="","",INDEX(NOTA[ID],MATCH(,INDIRECT(ADDRESS(ROW(NOTA[ID]),COLUMN(NOTA[ID]))&amp;":"&amp;ADDRESS(ROW(),COLUMN(NOTA[ID]))),-1)))</f>
        <v/>
      </c>
      <c r="C979" s="45"/>
      <c r="F979" s="46"/>
      <c r="G979" s="35"/>
      <c r="H979" s="36"/>
      <c r="I979" s="35"/>
      <c r="K979" s="37"/>
      <c r="L979" s="35"/>
      <c r="N979" s="38"/>
      <c r="O979" s="39"/>
      <c r="P979" s="47"/>
      <c r="Q979" s="48"/>
      <c r="R979" s="41"/>
      <c r="T979" s="42"/>
      <c r="U979" s="44"/>
      <c r="V979" s="42" t="str">
        <f>IF(NOTA[[#This Row],[HARGA/ CTN]]="",NOTA[[#This Row],[JUMLAH_H]],NOTA[[#This Row],[HARGA/ CTN]]*IF(NOTA[[#This Row],[C]]="",0,NOTA[[#This Row],[C]]))</f>
        <v/>
      </c>
      <c r="W979" s="42" t="str">
        <f>IF(NOTA[[#This Row],[JUMLAH]]="","",NOTA[[#This Row],[JUMLAH]]*NOTA[[#This Row],[Column6]])</f>
        <v/>
      </c>
      <c r="X979" s="42" t="str">
        <f>IF(NOTA[[#This Row],[JUMLAH]]="","",(NOTA[[#This Row],[JUMLAH]]-NOTA[[#This Row],[DISC 1-]])*NOTA[[#This Row],[Column7]])</f>
        <v/>
      </c>
      <c r="Y979" s="42" t="str">
        <f>IF(NOTA[[#This Row],[JUMLAH]]="","",(NOTA[[#This Row],[JUMLAH]]-NOTA[[#This Row],[DISC 1-]]-NOTA[[#This Row],[DISC 2-]])*NOTA[[#This Row],[Column8]])</f>
        <v/>
      </c>
      <c r="Z979" s="42" t="str">
        <f>IF(NOTA[[#This Row],[JUMLAH]]="","",NOTA[[#This Row],[DISC 1-]]+NOTA[[#This Row],[DISC 2-]]+NOTA[[#This Row],[DISC 3-]])</f>
        <v/>
      </c>
      <c r="AA979" s="42" t="str">
        <f>IF(NOTA[[#This Row],[JUMLAH]]="","",NOTA[[#This Row],[JUMLAH]]-NOTA[[#This Row],[DISC]])</f>
        <v/>
      </c>
      <c r="AB979" s="42"/>
      <c r="AC9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7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7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42" t="str">
        <f>IF(OR(NOTA[[#This Row],[QTY]]="",NOTA[[#This Row],[HARGA SATUAN]]="",),"",NOTA[[#This Row],[QTY]]*NOTA[[#This Row],[HARGA SATUAN]])</f>
        <v/>
      </c>
      <c r="AG979" s="36" t="str">
        <f ca="1">IF(NOTA[[#This Row],[ID_H]]="","",INDEX(NOTA[TANGGAL],MATCH(,INDIRECT(ADDRESS(ROW(NOTA[TANGGAL]),COLUMN(NOTA[TANGGAL]))&amp;":"&amp;ADDRESS(ROW(),COLUMN(NOTA[TANGGAL]))),-1)))</f>
        <v/>
      </c>
      <c r="AH979" s="36" t="str">
        <f ca="1">IF(NOTA[[#This Row],[ID_H]]="","",INDEX(NOTA[TGL.NOTA],MATCH(,INDIRECT(ADDRESS(ROW(NOTA[TGL.NOTA]),COLUMN(NOTA[TGL.NOTA]))&amp;":"&amp;ADDRESS(ROW(),COLUMN(NOTA[TGL.NOTA]))),-1)))</f>
        <v/>
      </c>
      <c r="AI979" s="36" t="str">
        <f ca="1">IF(NOTA[[#This Row],[ID_H]]="","",INDEX(NOTA[NO.NOTA],MATCH(NOTA[[#This Row],[ID_H]],NOTA[ID_H],0)))</f>
        <v/>
      </c>
      <c r="AJ979" s="38" t="str">
        <f ca="1">IF(NOTA[[#This Row],[NAMA BARANG]]="","",INDEX(NOTA[SUPPLIER],MATCH(,INDIRECT(ADDRESS(ROW(NOTA[ID]),COLUMN(NOTA[ID]))&amp;":"&amp;ADDRESS(ROW(),COLUMN(NOTA[ID]))),-1)))</f>
        <v/>
      </c>
      <c r="AK979" s="38" t="str">
        <f ca="1">IF(NOTA[[#This Row],[ID_H]]="","",IF(NOTA[[#This Row],[FAKTUR]]="",INDIRECT(ADDRESS(ROW()-1,COLUMN())),NOTA[[#This Row],[FAKTUR]]))</f>
        <v/>
      </c>
      <c r="AL979" s="35" t="str">
        <f ca="1">IF(NOTA[[#This Row],[ID]]="","",COUNTIF(NOTA[ID_H],NOTA[[#This Row],[ID_H]]))</f>
        <v/>
      </c>
      <c r="AM979" s="35" t="str">
        <f ca="1">IF(NOTA[[#This Row],[TGL.NOTA]]="",IF(NOTA[[#This Row],[SUPPLIER_H]]="","",AM978),MONTH(NOTA[[#This Row],[TGL.NOTA]]))</f>
        <v/>
      </c>
      <c r="AN97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7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7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7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9" s="35" t="str">
        <f>IF(NOTA[[#This Row],[CONCAT1]]="","",MATCH(NOTA[[#This Row],[CONCAT1]],[3]!db[NB NOTA_C],0))</f>
        <v/>
      </c>
      <c r="AS979" s="35" t="str">
        <f>IF(NOTA[[#This Row],[Column5]]="","",TRUE)</f>
        <v/>
      </c>
      <c r="AT979" s="35" t="str">
        <f ca="1">IF(NOTA[[#This Row],[ID_H]]="","",IF(NOTA[[#This Row],[Column3]]=TRUE,NOTA[[#This Row],[Column5]],INDEX([3]!db[QTY/ CTN],NOTA[[#This Row],[//DB]])))</f>
        <v/>
      </c>
      <c r="AU97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79" s="35" t="str">
        <f ca="1">IF(NOTA[[#This Row],[ID_H]]="","",MATCH(NOTA[[#This Row],[NB NOTA_C_QTY]],[3]!db[NB NOTA_C_QTY+F],0))</f>
        <v/>
      </c>
      <c r="AW979" s="43" t="str">
        <f ca="1">IF(NOTA[[#This Row],[NB NOTA_C_QTY]]="","",ROW()-2)</f>
        <v/>
      </c>
    </row>
    <row r="980" spans="1:49" ht="20.100000000000001" customHeight="1">
      <c r="A98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5" t="str">
        <f ca="1">IF(NOTA[[#This Row],[NAMA BARANG]]="","",INDEX(NOTA[ID],MATCH(,INDIRECT(ADDRESS(ROW(NOTA[ID]),COLUMN(NOTA[ID]))&amp;":"&amp;ADDRESS(ROW(),COLUMN(NOTA[ID]))),-1)))</f>
        <v/>
      </c>
      <c r="C980" s="45"/>
      <c r="F980" s="46"/>
      <c r="G980" s="35"/>
      <c r="H980" s="36"/>
      <c r="I980" s="35"/>
      <c r="K980" s="37"/>
      <c r="L980" s="35"/>
      <c r="N980" s="38"/>
      <c r="O980" s="39"/>
      <c r="P980" s="47"/>
      <c r="Q980" s="48"/>
      <c r="R980" s="41"/>
      <c r="T980" s="42"/>
      <c r="U980" s="44"/>
      <c r="V980" s="42" t="str">
        <f>IF(NOTA[[#This Row],[HARGA/ CTN]]="",NOTA[[#This Row],[JUMLAH_H]],NOTA[[#This Row],[HARGA/ CTN]]*IF(NOTA[[#This Row],[C]]="",0,NOTA[[#This Row],[C]]))</f>
        <v/>
      </c>
      <c r="W980" s="42" t="str">
        <f>IF(NOTA[[#This Row],[JUMLAH]]="","",NOTA[[#This Row],[JUMLAH]]*NOTA[[#This Row],[Column6]])</f>
        <v/>
      </c>
      <c r="X980" s="42" t="str">
        <f>IF(NOTA[[#This Row],[JUMLAH]]="","",(NOTA[[#This Row],[JUMLAH]]-NOTA[[#This Row],[DISC 1-]])*NOTA[[#This Row],[Column7]])</f>
        <v/>
      </c>
      <c r="Y980" s="42" t="str">
        <f>IF(NOTA[[#This Row],[JUMLAH]]="","",(NOTA[[#This Row],[JUMLAH]]-NOTA[[#This Row],[DISC 1-]]-NOTA[[#This Row],[DISC 2-]])*NOTA[[#This Row],[Column8]])</f>
        <v/>
      </c>
      <c r="Z980" s="42" t="str">
        <f>IF(NOTA[[#This Row],[JUMLAH]]="","",NOTA[[#This Row],[DISC 1-]]+NOTA[[#This Row],[DISC 2-]]+NOTA[[#This Row],[DISC 3-]])</f>
        <v/>
      </c>
      <c r="AA980" s="42" t="str">
        <f>IF(NOTA[[#This Row],[JUMLAH]]="","",NOTA[[#This Row],[JUMLAH]]-NOTA[[#This Row],[DISC]])</f>
        <v/>
      </c>
      <c r="AB980" s="42"/>
      <c r="AC9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42" t="str">
        <f>IF(OR(NOTA[[#This Row],[QTY]]="",NOTA[[#This Row],[HARGA SATUAN]]="",),"",NOTA[[#This Row],[QTY]]*NOTA[[#This Row],[HARGA SATUAN]])</f>
        <v/>
      </c>
      <c r="AG980" s="36" t="str">
        <f ca="1">IF(NOTA[[#This Row],[ID_H]]="","",INDEX(NOTA[TANGGAL],MATCH(,INDIRECT(ADDRESS(ROW(NOTA[TANGGAL]),COLUMN(NOTA[TANGGAL]))&amp;":"&amp;ADDRESS(ROW(),COLUMN(NOTA[TANGGAL]))),-1)))</f>
        <v/>
      </c>
      <c r="AH980" s="36" t="str">
        <f ca="1">IF(NOTA[[#This Row],[ID_H]]="","",INDEX(NOTA[TGL.NOTA],MATCH(,INDIRECT(ADDRESS(ROW(NOTA[TGL.NOTA]),COLUMN(NOTA[TGL.NOTA]))&amp;":"&amp;ADDRESS(ROW(),COLUMN(NOTA[TGL.NOTA]))),-1)))</f>
        <v/>
      </c>
      <c r="AI980" s="36" t="str">
        <f ca="1">IF(NOTA[[#This Row],[ID_H]]="","",INDEX(NOTA[NO.NOTA],MATCH(NOTA[[#This Row],[ID_H]],NOTA[ID_H],0)))</f>
        <v/>
      </c>
      <c r="AJ980" s="38" t="str">
        <f ca="1">IF(NOTA[[#This Row],[NAMA BARANG]]="","",INDEX(NOTA[SUPPLIER],MATCH(,INDIRECT(ADDRESS(ROW(NOTA[ID]),COLUMN(NOTA[ID]))&amp;":"&amp;ADDRESS(ROW(),COLUMN(NOTA[ID]))),-1)))</f>
        <v/>
      </c>
      <c r="AK980" s="38" t="str">
        <f ca="1">IF(NOTA[[#This Row],[ID_H]]="","",IF(NOTA[[#This Row],[FAKTUR]]="",INDIRECT(ADDRESS(ROW()-1,COLUMN())),NOTA[[#This Row],[FAKTUR]]))</f>
        <v/>
      </c>
      <c r="AL980" s="35" t="str">
        <f ca="1">IF(NOTA[[#This Row],[ID]]="","",COUNTIF(NOTA[ID_H],NOTA[[#This Row],[ID_H]]))</f>
        <v/>
      </c>
      <c r="AM980" s="35" t="str">
        <f ca="1">IF(NOTA[[#This Row],[TGL.NOTA]]="",IF(NOTA[[#This Row],[SUPPLIER_H]]="","",AM979),MONTH(NOTA[[#This Row],[TGL.NOTA]]))</f>
        <v/>
      </c>
      <c r="AN98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0" s="35" t="str">
        <f>IF(NOTA[[#This Row],[CONCAT1]]="","",MATCH(NOTA[[#This Row],[CONCAT1]],[3]!db[NB NOTA_C],0))</f>
        <v/>
      </c>
      <c r="AS980" s="35" t="str">
        <f>IF(NOTA[[#This Row],[Column5]]="","",TRUE)</f>
        <v/>
      </c>
      <c r="AT980" s="35" t="str">
        <f ca="1">IF(NOTA[[#This Row],[ID_H]]="","",IF(NOTA[[#This Row],[Column3]]=TRUE,NOTA[[#This Row],[Column5]],INDEX([3]!db[QTY/ CTN],NOTA[[#This Row],[//DB]])))</f>
        <v/>
      </c>
      <c r="AU98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0" s="35" t="str">
        <f ca="1">IF(NOTA[[#This Row],[ID_H]]="","",MATCH(NOTA[[#This Row],[NB NOTA_C_QTY]],[3]!db[NB NOTA_C_QTY+F],0))</f>
        <v/>
      </c>
      <c r="AW980" s="43" t="str">
        <f ca="1">IF(NOTA[[#This Row],[NB NOTA_C_QTY]]="","",ROW()-2)</f>
        <v/>
      </c>
    </row>
    <row r="981" spans="1:49" ht="20.100000000000001" customHeight="1">
      <c r="A98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5" t="str">
        <f ca="1">IF(NOTA[[#This Row],[NAMA BARANG]]="","",INDEX(NOTA[ID],MATCH(,INDIRECT(ADDRESS(ROW(NOTA[ID]),COLUMN(NOTA[ID]))&amp;":"&amp;ADDRESS(ROW(),COLUMN(NOTA[ID]))),-1)))</f>
        <v/>
      </c>
      <c r="C981" s="45"/>
      <c r="F981" s="46"/>
      <c r="G981" s="35"/>
      <c r="H981" s="36"/>
      <c r="I981" s="35"/>
      <c r="K981" s="37"/>
      <c r="L981" s="35"/>
      <c r="N981" s="38"/>
      <c r="O981" s="39"/>
      <c r="P981" s="47"/>
      <c r="Q981" s="48"/>
      <c r="R981" s="41"/>
      <c r="T981" s="42"/>
      <c r="U981" s="44"/>
      <c r="V981" s="42" t="str">
        <f>IF(NOTA[[#This Row],[HARGA/ CTN]]="",NOTA[[#This Row],[JUMLAH_H]],NOTA[[#This Row],[HARGA/ CTN]]*IF(NOTA[[#This Row],[C]]="",0,NOTA[[#This Row],[C]]))</f>
        <v/>
      </c>
      <c r="W981" s="42" t="str">
        <f>IF(NOTA[[#This Row],[JUMLAH]]="","",NOTA[[#This Row],[JUMLAH]]*NOTA[[#This Row],[Column6]])</f>
        <v/>
      </c>
      <c r="X981" s="42" t="str">
        <f>IF(NOTA[[#This Row],[JUMLAH]]="","",(NOTA[[#This Row],[JUMLAH]]-NOTA[[#This Row],[DISC 1-]])*NOTA[[#This Row],[Column7]])</f>
        <v/>
      </c>
      <c r="Y981" s="42" t="str">
        <f>IF(NOTA[[#This Row],[JUMLAH]]="","",(NOTA[[#This Row],[JUMLAH]]-NOTA[[#This Row],[DISC 1-]]-NOTA[[#This Row],[DISC 2-]])*NOTA[[#This Row],[Column8]])</f>
        <v/>
      </c>
      <c r="Z981" s="42" t="str">
        <f>IF(NOTA[[#This Row],[JUMLAH]]="","",NOTA[[#This Row],[DISC 1-]]+NOTA[[#This Row],[DISC 2-]]+NOTA[[#This Row],[DISC 3-]])</f>
        <v/>
      </c>
      <c r="AA981" s="42" t="str">
        <f>IF(NOTA[[#This Row],[JUMLAH]]="","",NOTA[[#This Row],[JUMLAH]]-NOTA[[#This Row],[DISC]])</f>
        <v/>
      </c>
      <c r="AB981" s="42"/>
      <c r="AC9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42" t="str">
        <f>IF(OR(NOTA[[#This Row],[QTY]]="",NOTA[[#This Row],[HARGA SATUAN]]="",),"",NOTA[[#This Row],[QTY]]*NOTA[[#This Row],[HARGA SATUAN]])</f>
        <v/>
      </c>
      <c r="AG981" s="36" t="str">
        <f ca="1">IF(NOTA[[#This Row],[ID_H]]="","",INDEX(NOTA[TANGGAL],MATCH(,INDIRECT(ADDRESS(ROW(NOTA[TANGGAL]),COLUMN(NOTA[TANGGAL]))&amp;":"&amp;ADDRESS(ROW(),COLUMN(NOTA[TANGGAL]))),-1)))</f>
        <v/>
      </c>
      <c r="AH981" s="36" t="str">
        <f ca="1">IF(NOTA[[#This Row],[ID_H]]="","",INDEX(NOTA[TGL.NOTA],MATCH(,INDIRECT(ADDRESS(ROW(NOTA[TGL.NOTA]),COLUMN(NOTA[TGL.NOTA]))&amp;":"&amp;ADDRESS(ROW(),COLUMN(NOTA[TGL.NOTA]))),-1)))</f>
        <v/>
      </c>
      <c r="AI981" s="36" t="str">
        <f ca="1">IF(NOTA[[#This Row],[ID_H]]="","",INDEX(NOTA[NO.NOTA],MATCH(NOTA[[#This Row],[ID_H]],NOTA[ID_H],0)))</f>
        <v/>
      </c>
      <c r="AJ981" s="38" t="str">
        <f ca="1">IF(NOTA[[#This Row],[NAMA BARANG]]="","",INDEX(NOTA[SUPPLIER],MATCH(,INDIRECT(ADDRESS(ROW(NOTA[ID]),COLUMN(NOTA[ID]))&amp;":"&amp;ADDRESS(ROW(),COLUMN(NOTA[ID]))),-1)))</f>
        <v/>
      </c>
      <c r="AK981" s="38" t="str">
        <f ca="1">IF(NOTA[[#This Row],[ID_H]]="","",IF(NOTA[[#This Row],[FAKTUR]]="",INDIRECT(ADDRESS(ROW()-1,COLUMN())),NOTA[[#This Row],[FAKTUR]]))</f>
        <v/>
      </c>
      <c r="AL981" s="35" t="str">
        <f ca="1">IF(NOTA[[#This Row],[ID]]="","",COUNTIF(NOTA[ID_H],NOTA[[#This Row],[ID_H]]))</f>
        <v/>
      </c>
      <c r="AM981" s="35" t="str">
        <f ca="1">IF(NOTA[[#This Row],[TGL.NOTA]]="",IF(NOTA[[#This Row],[SUPPLIER_H]]="","",AM980),MONTH(NOTA[[#This Row],[TGL.NOTA]]))</f>
        <v/>
      </c>
      <c r="AN98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1" s="35" t="str">
        <f>IF(NOTA[[#This Row],[CONCAT1]]="","",MATCH(NOTA[[#This Row],[CONCAT1]],[3]!db[NB NOTA_C],0))</f>
        <v/>
      </c>
      <c r="AS981" s="35" t="str">
        <f>IF(NOTA[[#This Row],[Column5]]="","",TRUE)</f>
        <v/>
      </c>
      <c r="AT981" s="35" t="str">
        <f ca="1">IF(NOTA[[#This Row],[ID_H]]="","",IF(NOTA[[#This Row],[Column3]]=TRUE,NOTA[[#This Row],[Column5]],INDEX([3]!db[QTY/ CTN],NOTA[[#This Row],[//DB]])))</f>
        <v/>
      </c>
      <c r="AU98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1" s="35" t="str">
        <f ca="1">IF(NOTA[[#This Row],[ID_H]]="","",MATCH(NOTA[[#This Row],[NB NOTA_C_QTY]],[3]!db[NB NOTA_C_QTY+F],0))</f>
        <v/>
      </c>
      <c r="AW981" s="43" t="str">
        <f ca="1">IF(NOTA[[#This Row],[NB NOTA_C_QTY]]="","",ROW()-2)</f>
        <v/>
      </c>
    </row>
    <row r="982" spans="1:49" ht="20.100000000000001" customHeight="1">
      <c r="A98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5" t="str">
        <f ca="1">IF(NOTA[[#This Row],[NAMA BARANG]]="","",INDEX(NOTA[ID],MATCH(,INDIRECT(ADDRESS(ROW(NOTA[ID]),COLUMN(NOTA[ID]))&amp;":"&amp;ADDRESS(ROW(),COLUMN(NOTA[ID]))),-1)))</f>
        <v/>
      </c>
      <c r="C982" s="45"/>
      <c r="F982" s="46"/>
      <c r="G982" s="35"/>
      <c r="H982" s="36"/>
      <c r="I982" s="35"/>
      <c r="K982" s="37"/>
      <c r="L982" s="35"/>
      <c r="N982" s="38"/>
      <c r="O982" s="39"/>
      <c r="P982" s="47"/>
      <c r="Q982" s="48"/>
      <c r="R982" s="41"/>
      <c r="T982" s="42"/>
      <c r="U982" s="44"/>
      <c r="V982" s="42" t="str">
        <f>IF(NOTA[[#This Row],[HARGA/ CTN]]="",NOTA[[#This Row],[JUMLAH_H]],NOTA[[#This Row],[HARGA/ CTN]]*IF(NOTA[[#This Row],[C]]="",0,NOTA[[#This Row],[C]]))</f>
        <v/>
      </c>
      <c r="W982" s="42" t="str">
        <f>IF(NOTA[[#This Row],[JUMLAH]]="","",NOTA[[#This Row],[JUMLAH]]*NOTA[[#This Row],[Column6]])</f>
        <v/>
      </c>
      <c r="X982" s="42" t="str">
        <f>IF(NOTA[[#This Row],[JUMLAH]]="","",(NOTA[[#This Row],[JUMLAH]]-NOTA[[#This Row],[DISC 1-]])*NOTA[[#This Row],[Column7]])</f>
        <v/>
      </c>
      <c r="Y982" s="42" t="str">
        <f>IF(NOTA[[#This Row],[JUMLAH]]="","",(NOTA[[#This Row],[JUMLAH]]-NOTA[[#This Row],[DISC 1-]]-NOTA[[#This Row],[DISC 2-]])*NOTA[[#This Row],[Column8]])</f>
        <v/>
      </c>
      <c r="Z982" s="42" t="str">
        <f>IF(NOTA[[#This Row],[JUMLAH]]="","",NOTA[[#This Row],[DISC 1-]]+NOTA[[#This Row],[DISC 2-]]+NOTA[[#This Row],[DISC 3-]])</f>
        <v/>
      </c>
      <c r="AA982" s="42" t="str">
        <f>IF(NOTA[[#This Row],[JUMLAH]]="","",NOTA[[#This Row],[JUMLAH]]-NOTA[[#This Row],[DISC]])</f>
        <v/>
      </c>
      <c r="AB982" s="42"/>
      <c r="AC9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42" t="str">
        <f>IF(OR(NOTA[[#This Row],[QTY]]="",NOTA[[#This Row],[HARGA SATUAN]]="",),"",NOTA[[#This Row],[QTY]]*NOTA[[#This Row],[HARGA SATUAN]])</f>
        <v/>
      </c>
      <c r="AG982" s="36" t="str">
        <f ca="1">IF(NOTA[[#This Row],[ID_H]]="","",INDEX(NOTA[TANGGAL],MATCH(,INDIRECT(ADDRESS(ROW(NOTA[TANGGAL]),COLUMN(NOTA[TANGGAL]))&amp;":"&amp;ADDRESS(ROW(),COLUMN(NOTA[TANGGAL]))),-1)))</f>
        <v/>
      </c>
      <c r="AH982" s="36" t="str">
        <f ca="1">IF(NOTA[[#This Row],[ID_H]]="","",INDEX(NOTA[TGL.NOTA],MATCH(,INDIRECT(ADDRESS(ROW(NOTA[TGL.NOTA]),COLUMN(NOTA[TGL.NOTA]))&amp;":"&amp;ADDRESS(ROW(),COLUMN(NOTA[TGL.NOTA]))),-1)))</f>
        <v/>
      </c>
      <c r="AI982" s="36" t="str">
        <f ca="1">IF(NOTA[[#This Row],[ID_H]]="","",INDEX(NOTA[NO.NOTA],MATCH(NOTA[[#This Row],[ID_H]],NOTA[ID_H],0)))</f>
        <v/>
      </c>
      <c r="AJ982" s="38" t="str">
        <f ca="1">IF(NOTA[[#This Row],[NAMA BARANG]]="","",INDEX(NOTA[SUPPLIER],MATCH(,INDIRECT(ADDRESS(ROW(NOTA[ID]),COLUMN(NOTA[ID]))&amp;":"&amp;ADDRESS(ROW(),COLUMN(NOTA[ID]))),-1)))</f>
        <v/>
      </c>
      <c r="AK982" s="38" t="str">
        <f ca="1">IF(NOTA[[#This Row],[ID_H]]="","",IF(NOTA[[#This Row],[FAKTUR]]="",INDIRECT(ADDRESS(ROW()-1,COLUMN())),NOTA[[#This Row],[FAKTUR]]))</f>
        <v/>
      </c>
      <c r="AL982" s="35" t="str">
        <f ca="1">IF(NOTA[[#This Row],[ID]]="","",COUNTIF(NOTA[ID_H],NOTA[[#This Row],[ID_H]]))</f>
        <v/>
      </c>
      <c r="AM982" s="35" t="str">
        <f ca="1">IF(NOTA[[#This Row],[TGL.NOTA]]="",IF(NOTA[[#This Row],[SUPPLIER_H]]="","",AM981),MONTH(NOTA[[#This Row],[TGL.NOTA]]))</f>
        <v/>
      </c>
      <c r="AN98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2" s="35" t="str">
        <f>IF(NOTA[[#This Row],[CONCAT1]]="","",MATCH(NOTA[[#This Row],[CONCAT1]],[3]!db[NB NOTA_C],0))</f>
        <v/>
      </c>
      <c r="AS982" s="35" t="str">
        <f>IF(NOTA[[#This Row],[Column5]]="","",TRUE)</f>
        <v/>
      </c>
      <c r="AT982" s="35" t="str">
        <f ca="1">IF(NOTA[[#This Row],[ID_H]]="","",IF(NOTA[[#This Row],[Column3]]=TRUE,NOTA[[#This Row],[Column5]],INDEX([3]!db[QTY/ CTN],NOTA[[#This Row],[//DB]])))</f>
        <v/>
      </c>
      <c r="AU98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2" s="35" t="str">
        <f ca="1">IF(NOTA[[#This Row],[ID_H]]="","",MATCH(NOTA[[#This Row],[NB NOTA_C_QTY]],[3]!db[NB NOTA_C_QTY+F],0))</f>
        <v/>
      </c>
      <c r="AW982" s="43" t="str">
        <f ca="1">IF(NOTA[[#This Row],[NB NOTA_C_QTY]]="","",ROW()-2)</f>
        <v/>
      </c>
    </row>
    <row r="983" spans="1:49" ht="20.100000000000001" customHeight="1">
      <c r="A98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5" t="str">
        <f ca="1">IF(NOTA[[#This Row],[NAMA BARANG]]="","",INDEX(NOTA[ID],MATCH(,INDIRECT(ADDRESS(ROW(NOTA[ID]),COLUMN(NOTA[ID]))&amp;":"&amp;ADDRESS(ROW(),COLUMN(NOTA[ID]))),-1)))</f>
        <v/>
      </c>
      <c r="C983" s="45"/>
      <c r="F983" s="46"/>
      <c r="G983" s="35"/>
      <c r="H983" s="36"/>
      <c r="I983" s="35"/>
      <c r="K983" s="37"/>
      <c r="L983" s="35"/>
      <c r="N983" s="38"/>
      <c r="O983" s="39"/>
      <c r="P983" s="47"/>
      <c r="Q983" s="48"/>
      <c r="R983" s="41"/>
      <c r="T983" s="42"/>
      <c r="U983" s="44"/>
      <c r="V983" s="42" t="str">
        <f>IF(NOTA[[#This Row],[HARGA/ CTN]]="",NOTA[[#This Row],[JUMLAH_H]],NOTA[[#This Row],[HARGA/ CTN]]*IF(NOTA[[#This Row],[C]]="",0,NOTA[[#This Row],[C]]))</f>
        <v/>
      </c>
      <c r="W983" s="42" t="str">
        <f>IF(NOTA[[#This Row],[JUMLAH]]="","",NOTA[[#This Row],[JUMLAH]]*NOTA[[#This Row],[Column6]])</f>
        <v/>
      </c>
      <c r="X983" s="42" t="str">
        <f>IF(NOTA[[#This Row],[JUMLAH]]="","",(NOTA[[#This Row],[JUMLAH]]-NOTA[[#This Row],[DISC 1-]])*NOTA[[#This Row],[Column7]])</f>
        <v/>
      </c>
      <c r="Y983" s="42" t="str">
        <f>IF(NOTA[[#This Row],[JUMLAH]]="","",(NOTA[[#This Row],[JUMLAH]]-NOTA[[#This Row],[DISC 1-]]-NOTA[[#This Row],[DISC 2-]])*NOTA[[#This Row],[Column8]])</f>
        <v/>
      </c>
      <c r="Z983" s="42" t="str">
        <f>IF(NOTA[[#This Row],[JUMLAH]]="","",NOTA[[#This Row],[DISC 1-]]+NOTA[[#This Row],[DISC 2-]]+NOTA[[#This Row],[DISC 3-]])</f>
        <v/>
      </c>
      <c r="AA983" s="42" t="str">
        <f>IF(NOTA[[#This Row],[JUMLAH]]="","",NOTA[[#This Row],[JUMLAH]]-NOTA[[#This Row],[DISC]])</f>
        <v/>
      </c>
      <c r="AB983" s="42"/>
      <c r="AC9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42" t="str">
        <f>IF(OR(NOTA[[#This Row],[QTY]]="",NOTA[[#This Row],[HARGA SATUAN]]="",),"",NOTA[[#This Row],[QTY]]*NOTA[[#This Row],[HARGA SATUAN]])</f>
        <v/>
      </c>
      <c r="AG983" s="36" t="str">
        <f ca="1">IF(NOTA[[#This Row],[ID_H]]="","",INDEX(NOTA[TANGGAL],MATCH(,INDIRECT(ADDRESS(ROW(NOTA[TANGGAL]),COLUMN(NOTA[TANGGAL]))&amp;":"&amp;ADDRESS(ROW(),COLUMN(NOTA[TANGGAL]))),-1)))</f>
        <v/>
      </c>
      <c r="AH983" s="36" t="str">
        <f ca="1">IF(NOTA[[#This Row],[ID_H]]="","",INDEX(NOTA[TGL.NOTA],MATCH(,INDIRECT(ADDRESS(ROW(NOTA[TGL.NOTA]),COLUMN(NOTA[TGL.NOTA]))&amp;":"&amp;ADDRESS(ROW(),COLUMN(NOTA[TGL.NOTA]))),-1)))</f>
        <v/>
      </c>
      <c r="AI983" s="36" t="str">
        <f ca="1">IF(NOTA[[#This Row],[ID_H]]="","",INDEX(NOTA[NO.NOTA],MATCH(NOTA[[#This Row],[ID_H]],NOTA[ID_H],0)))</f>
        <v/>
      </c>
      <c r="AJ983" s="38" t="str">
        <f ca="1">IF(NOTA[[#This Row],[NAMA BARANG]]="","",INDEX(NOTA[SUPPLIER],MATCH(,INDIRECT(ADDRESS(ROW(NOTA[ID]),COLUMN(NOTA[ID]))&amp;":"&amp;ADDRESS(ROW(),COLUMN(NOTA[ID]))),-1)))</f>
        <v/>
      </c>
      <c r="AK983" s="38" t="str">
        <f ca="1">IF(NOTA[[#This Row],[ID_H]]="","",IF(NOTA[[#This Row],[FAKTUR]]="",INDIRECT(ADDRESS(ROW()-1,COLUMN())),NOTA[[#This Row],[FAKTUR]]))</f>
        <v/>
      </c>
      <c r="AL983" s="35" t="str">
        <f ca="1">IF(NOTA[[#This Row],[ID]]="","",COUNTIF(NOTA[ID_H],NOTA[[#This Row],[ID_H]]))</f>
        <v/>
      </c>
      <c r="AM983" s="35" t="str">
        <f ca="1">IF(NOTA[[#This Row],[TGL.NOTA]]="",IF(NOTA[[#This Row],[SUPPLIER_H]]="","",AM982),MONTH(NOTA[[#This Row],[TGL.NOTA]]))</f>
        <v/>
      </c>
      <c r="AN98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3" s="35" t="str">
        <f>IF(NOTA[[#This Row],[CONCAT1]]="","",MATCH(NOTA[[#This Row],[CONCAT1]],[3]!db[NB NOTA_C],0))</f>
        <v/>
      </c>
      <c r="AS983" s="35" t="str">
        <f>IF(NOTA[[#This Row],[Column5]]="","",TRUE)</f>
        <v/>
      </c>
      <c r="AT983" s="35" t="str">
        <f ca="1">IF(NOTA[[#This Row],[ID_H]]="","",IF(NOTA[[#This Row],[Column3]]=TRUE,NOTA[[#This Row],[Column5]],INDEX([3]!db[QTY/ CTN],NOTA[[#This Row],[//DB]])))</f>
        <v/>
      </c>
      <c r="AU98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3" s="35" t="str">
        <f ca="1">IF(NOTA[[#This Row],[ID_H]]="","",MATCH(NOTA[[#This Row],[NB NOTA_C_QTY]],[3]!db[NB NOTA_C_QTY+F],0))</f>
        <v/>
      </c>
      <c r="AW983" s="43" t="str">
        <f ca="1">IF(NOTA[[#This Row],[NB NOTA_C_QTY]]="","",ROW()-2)</f>
        <v/>
      </c>
    </row>
    <row r="984" spans="1:49" ht="20.100000000000001" customHeight="1">
      <c r="A98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5" t="str">
        <f ca="1">IF(NOTA[[#This Row],[NAMA BARANG]]="","",INDEX(NOTA[ID],MATCH(,INDIRECT(ADDRESS(ROW(NOTA[ID]),COLUMN(NOTA[ID]))&amp;":"&amp;ADDRESS(ROW(),COLUMN(NOTA[ID]))),-1)))</f>
        <v/>
      </c>
      <c r="C984" s="45"/>
      <c r="F984" s="46"/>
      <c r="G984" s="35"/>
      <c r="H984" s="36"/>
      <c r="I984" s="35"/>
      <c r="K984" s="37"/>
      <c r="L984" s="35"/>
      <c r="N984" s="38"/>
      <c r="O984" s="39"/>
      <c r="P984" s="47"/>
      <c r="Q984" s="48"/>
      <c r="R984" s="41"/>
      <c r="T984" s="42"/>
      <c r="U984" s="44"/>
      <c r="V984" s="42" t="str">
        <f>IF(NOTA[[#This Row],[HARGA/ CTN]]="",NOTA[[#This Row],[JUMLAH_H]],NOTA[[#This Row],[HARGA/ CTN]]*IF(NOTA[[#This Row],[C]]="",0,NOTA[[#This Row],[C]]))</f>
        <v/>
      </c>
      <c r="W984" s="42" t="str">
        <f>IF(NOTA[[#This Row],[JUMLAH]]="","",NOTA[[#This Row],[JUMLAH]]*NOTA[[#This Row],[Column6]])</f>
        <v/>
      </c>
      <c r="X984" s="42" t="str">
        <f>IF(NOTA[[#This Row],[JUMLAH]]="","",(NOTA[[#This Row],[JUMLAH]]-NOTA[[#This Row],[DISC 1-]])*NOTA[[#This Row],[Column7]])</f>
        <v/>
      </c>
      <c r="Y984" s="42" t="str">
        <f>IF(NOTA[[#This Row],[JUMLAH]]="","",(NOTA[[#This Row],[JUMLAH]]-NOTA[[#This Row],[DISC 1-]]-NOTA[[#This Row],[DISC 2-]])*NOTA[[#This Row],[Column8]])</f>
        <v/>
      </c>
      <c r="Z984" s="42" t="str">
        <f>IF(NOTA[[#This Row],[JUMLAH]]="","",NOTA[[#This Row],[DISC 1-]]+NOTA[[#This Row],[DISC 2-]]+NOTA[[#This Row],[DISC 3-]])</f>
        <v/>
      </c>
      <c r="AA984" s="42" t="str">
        <f>IF(NOTA[[#This Row],[JUMLAH]]="","",NOTA[[#This Row],[JUMLAH]]-NOTA[[#This Row],[DISC]])</f>
        <v/>
      </c>
      <c r="AB984" s="42"/>
      <c r="AC9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42" t="str">
        <f>IF(OR(NOTA[[#This Row],[QTY]]="",NOTA[[#This Row],[HARGA SATUAN]]="",),"",NOTA[[#This Row],[QTY]]*NOTA[[#This Row],[HARGA SATUAN]])</f>
        <v/>
      </c>
      <c r="AG984" s="36" t="str">
        <f ca="1">IF(NOTA[[#This Row],[ID_H]]="","",INDEX(NOTA[TANGGAL],MATCH(,INDIRECT(ADDRESS(ROW(NOTA[TANGGAL]),COLUMN(NOTA[TANGGAL]))&amp;":"&amp;ADDRESS(ROW(),COLUMN(NOTA[TANGGAL]))),-1)))</f>
        <v/>
      </c>
      <c r="AH984" s="36" t="str">
        <f ca="1">IF(NOTA[[#This Row],[ID_H]]="","",INDEX(NOTA[TGL.NOTA],MATCH(,INDIRECT(ADDRESS(ROW(NOTA[TGL.NOTA]),COLUMN(NOTA[TGL.NOTA]))&amp;":"&amp;ADDRESS(ROW(),COLUMN(NOTA[TGL.NOTA]))),-1)))</f>
        <v/>
      </c>
      <c r="AI984" s="36" t="str">
        <f ca="1">IF(NOTA[[#This Row],[ID_H]]="","",INDEX(NOTA[NO.NOTA],MATCH(NOTA[[#This Row],[ID_H]],NOTA[ID_H],0)))</f>
        <v/>
      </c>
      <c r="AJ984" s="38" t="str">
        <f ca="1">IF(NOTA[[#This Row],[NAMA BARANG]]="","",INDEX(NOTA[SUPPLIER],MATCH(,INDIRECT(ADDRESS(ROW(NOTA[ID]),COLUMN(NOTA[ID]))&amp;":"&amp;ADDRESS(ROW(),COLUMN(NOTA[ID]))),-1)))</f>
        <v/>
      </c>
      <c r="AK984" s="38" t="str">
        <f ca="1">IF(NOTA[[#This Row],[ID_H]]="","",IF(NOTA[[#This Row],[FAKTUR]]="",INDIRECT(ADDRESS(ROW()-1,COLUMN())),NOTA[[#This Row],[FAKTUR]]))</f>
        <v/>
      </c>
      <c r="AL984" s="35" t="str">
        <f ca="1">IF(NOTA[[#This Row],[ID]]="","",COUNTIF(NOTA[ID_H],NOTA[[#This Row],[ID_H]]))</f>
        <v/>
      </c>
      <c r="AM984" s="35" t="str">
        <f ca="1">IF(NOTA[[#This Row],[TGL.NOTA]]="",IF(NOTA[[#This Row],[SUPPLIER_H]]="","",AM983),MONTH(NOTA[[#This Row],[TGL.NOTA]]))</f>
        <v/>
      </c>
      <c r="AN98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4" s="35" t="str">
        <f>IF(NOTA[[#This Row],[CONCAT1]]="","",MATCH(NOTA[[#This Row],[CONCAT1]],[3]!db[NB NOTA_C],0))</f>
        <v/>
      </c>
      <c r="AS984" s="35" t="str">
        <f>IF(NOTA[[#This Row],[Column5]]="","",TRUE)</f>
        <v/>
      </c>
      <c r="AT984" s="35" t="str">
        <f ca="1">IF(NOTA[[#This Row],[ID_H]]="","",IF(NOTA[[#This Row],[Column3]]=TRUE,NOTA[[#This Row],[Column5]],INDEX([3]!db[QTY/ CTN],NOTA[[#This Row],[//DB]])))</f>
        <v/>
      </c>
      <c r="AU98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4" s="35" t="str">
        <f ca="1">IF(NOTA[[#This Row],[ID_H]]="","",MATCH(NOTA[[#This Row],[NB NOTA_C_QTY]],[3]!db[NB NOTA_C_QTY+F],0))</f>
        <v/>
      </c>
      <c r="AW984" s="43" t="str">
        <f ca="1">IF(NOTA[[#This Row],[NB NOTA_C_QTY]]="","",ROW()-2)</f>
        <v/>
      </c>
    </row>
    <row r="985" spans="1:49" ht="20.100000000000001" customHeight="1">
      <c r="A98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5" t="str">
        <f ca="1">IF(NOTA[[#This Row],[NAMA BARANG]]="","",INDEX(NOTA[ID],MATCH(,INDIRECT(ADDRESS(ROW(NOTA[ID]),COLUMN(NOTA[ID]))&amp;":"&amp;ADDRESS(ROW(),COLUMN(NOTA[ID]))),-1)))</f>
        <v/>
      </c>
      <c r="C985" s="45"/>
      <c r="F985" s="46"/>
      <c r="G985" s="35"/>
      <c r="H985" s="36"/>
      <c r="I985" s="35"/>
      <c r="K985" s="37"/>
      <c r="L985" s="35"/>
      <c r="N985" s="38"/>
      <c r="O985" s="39"/>
      <c r="P985" s="47"/>
      <c r="Q985" s="48"/>
      <c r="R985" s="41"/>
      <c r="T985" s="42"/>
      <c r="U985" s="44"/>
      <c r="V985" s="42" t="str">
        <f>IF(NOTA[[#This Row],[HARGA/ CTN]]="",NOTA[[#This Row],[JUMLAH_H]],NOTA[[#This Row],[HARGA/ CTN]]*IF(NOTA[[#This Row],[C]]="",0,NOTA[[#This Row],[C]]))</f>
        <v/>
      </c>
      <c r="W985" s="42" t="str">
        <f>IF(NOTA[[#This Row],[JUMLAH]]="","",NOTA[[#This Row],[JUMLAH]]*NOTA[[#This Row],[Column6]])</f>
        <v/>
      </c>
      <c r="X985" s="42" t="str">
        <f>IF(NOTA[[#This Row],[JUMLAH]]="","",(NOTA[[#This Row],[JUMLAH]]-NOTA[[#This Row],[DISC 1-]])*NOTA[[#This Row],[Column7]])</f>
        <v/>
      </c>
      <c r="Y985" s="42" t="str">
        <f>IF(NOTA[[#This Row],[JUMLAH]]="","",(NOTA[[#This Row],[JUMLAH]]-NOTA[[#This Row],[DISC 1-]]-NOTA[[#This Row],[DISC 2-]])*NOTA[[#This Row],[Column8]])</f>
        <v/>
      </c>
      <c r="Z985" s="42" t="str">
        <f>IF(NOTA[[#This Row],[JUMLAH]]="","",NOTA[[#This Row],[DISC 1-]]+NOTA[[#This Row],[DISC 2-]]+NOTA[[#This Row],[DISC 3-]])</f>
        <v/>
      </c>
      <c r="AA985" s="42" t="str">
        <f>IF(NOTA[[#This Row],[JUMLAH]]="","",NOTA[[#This Row],[JUMLAH]]-NOTA[[#This Row],[DISC]])</f>
        <v/>
      </c>
      <c r="AB985" s="42"/>
      <c r="AC9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42" t="str">
        <f>IF(OR(NOTA[[#This Row],[QTY]]="",NOTA[[#This Row],[HARGA SATUAN]]="",),"",NOTA[[#This Row],[QTY]]*NOTA[[#This Row],[HARGA SATUAN]])</f>
        <v/>
      </c>
      <c r="AG985" s="36" t="str">
        <f ca="1">IF(NOTA[[#This Row],[ID_H]]="","",INDEX(NOTA[TANGGAL],MATCH(,INDIRECT(ADDRESS(ROW(NOTA[TANGGAL]),COLUMN(NOTA[TANGGAL]))&amp;":"&amp;ADDRESS(ROW(),COLUMN(NOTA[TANGGAL]))),-1)))</f>
        <v/>
      </c>
      <c r="AH985" s="36" t="str">
        <f ca="1">IF(NOTA[[#This Row],[ID_H]]="","",INDEX(NOTA[TGL.NOTA],MATCH(,INDIRECT(ADDRESS(ROW(NOTA[TGL.NOTA]),COLUMN(NOTA[TGL.NOTA]))&amp;":"&amp;ADDRESS(ROW(),COLUMN(NOTA[TGL.NOTA]))),-1)))</f>
        <v/>
      </c>
      <c r="AI985" s="36" t="str">
        <f ca="1">IF(NOTA[[#This Row],[ID_H]]="","",INDEX(NOTA[NO.NOTA],MATCH(NOTA[[#This Row],[ID_H]],NOTA[ID_H],0)))</f>
        <v/>
      </c>
      <c r="AJ985" s="38" t="str">
        <f ca="1">IF(NOTA[[#This Row],[NAMA BARANG]]="","",INDEX(NOTA[SUPPLIER],MATCH(,INDIRECT(ADDRESS(ROW(NOTA[ID]),COLUMN(NOTA[ID]))&amp;":"&amp;ADDRESS(ROW(),COLUMN(NOTA[ID]))),-1)))</f>
        <v/>
      </c>
      <c r="AK985" s="38" t="str">
        <f ca="1">IF(NOTA[[#This Row],[ID_H]]="","",IF(NOTA[[#This Row],[FAKTUR]]="",INDIRECT(ADDRESS(ROW()-1,COLUMN())),NOTA[[#This Row],[FAKTUR]]))</f>
        <v/>
      </c>
      <c r="AL985" s="35" t="str">
        <f ca="1">IF(NOTA[[#This Row],[ID]]="","",COUNTIF(NOTA[ID_H],NOTA[[#This Row],[ID_H]]))</f>
        <v/>
      </c>
      <c r="AM985" s="35" t="str">
        <f ca="1">IF(NOTA[[#This Row],[TGL.NOTA]]="",IF(NOTA[[#This Row],[SUPPLIER_H]]="","",AM984),MONTH(NOTA[[#This Row],[TGL.NOTA]]))</f>
        <v/>
      </c>
      <c r="AN98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5" s="35" t="str">
        <f>IF(NOTA[[#This Row],[CONCAT1]]="","",MATCH(NOTA[[#This Row],[CONCAT1]],[3]!db[NB NOTA_C],0))</f>
        <v/>
      </c>
      <c r="AS985" s="35" t="str">
        <f>IF(NOTA[[#This Row],[Column5]]="","",TRUE)</f>
        <v/>
      </c>
      <c r="AT985" s="35" t="str">
        <f ca="1">IF(NOTA[[#This Row],[ID_H]]="","",IF(NOTA[[#This Row],[Column3]]=TRUE,NOTA[[#This Row],[Column5]],INDEX([3]!db[QTY/ CTN],NOTA[[#This Row],[//DB]])))</f>
        <v/>
      </c>
      <c r="AU98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5" s="35" t="str">
        <f ca="1">IF(NOTA[[#This Row],[ID_H]]="","",MATCH(NOTA[[#This Row],[NB NOTA_C_QTY]],[3]!db[NB NOTA_C_QTY+F],0))</f>
        <v/>
      </c>
      <c r="AW985" s="43" t="str">
        <f ca="1">IF(NOTA[[#This Row],[NB NOTA_C_QTY]]="","",ROW()-2)</f>
        <v/>
      </c>
    </row>
    <row r="986" spans="1:49" ht="20.100000000000001" customHeight="1">
      <c r="A98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5" t="str">
        <f ca="1">IF(NOTA[[#This Row],[NAMA BARANG]]="","",INDEX(NOTA[ID],MATCH(,INDIRECT(ADDRESS(ROW(NOTA[ID]),COLUMN(NOTA[ID]))&amp;":"&amp;ADDRESS(ROW(),COLUMN(NOTA[ID]))),-1)))</f>
        <v/>
      </c>
      <c r="C986" s="45"/>
      <c r="F986" s="46"/>
      <c r="G986" s="35"/>
      <c r="H986" s="36"/>
      <c r="I986" s="35"/>
      <c r="K986" s="37"/>
      <c r="L986" s="35"/>
      <c r="N986" s="38"/>
      <c r="O986" s="39"/>
      <c r="P986" s="47"/>
      <c r="Q986" s="48"/>
      <c r="R986" s="41"/>
      <c r="T986" s="42"/>
      <c r="U986" s="44"/>
      <c r="V986" s="42" t="str">
        <f>IF(NOTA[[#This Row],[HARGA/ CTN]]="",NOTA[[#This Row],[JUMLAH_H]],NOTA[[#This Row],[HARGA/ CTN]]*IF(NOTA[[#This Row],[C]]="",0,NOTA[[#This Row],[C]]))</f>
        <v/>
      </c>
      <c r="W986" s="42" t="str">
        <f>IF(NOTA[[#This Row],[JUMLAH]]="","",NOTA[[#This Row],[JUMLAH]]*NOTA[[#This Row],[Column6]])</f>
        <v/>
      </c>
      <c r="X986" s="42" t="str">
        <f>IF(NOTA[[#This Row],[JUMLAH]]="","",(NOTA[[#This Row],[JUMLAH]]-NOTA[[#This Row],[DISC 1-]])*NOTA[[#This Row],[Column7]])</f>
        <v/>
      </c>
      <c r="Y986" s="42" t="str">
        <f>IF(NOTA[[#This Row],[JUMLAH]]="","",(NOTA[[#This Row],[JUMLAH]]-NOTA[[#This Row],[DISC 1-]]-NOTA[[#This Row],[DISC 2-]])*NOTA[[#This Row],[Column8]])</f>
        <v/>
      </c>
      <c r="Z986" s="42" t="str">
        <f>IF(NOTA[[#This Row],[JUMLAH]]="","",NOTA[[#This Row],[DISC 1-]]+NOTA[[#This Row],[DISC 2-]]+NOTA[[#This Row],[DISC 3-]])</f>
        <v/>
      </c>
      <c r="AA986" s="42" t="str">
        <f>IF(NOTA[[#This Row],[JUMLAH]]="","",NOTA[[#This Row],[JUMLAH]]-NOTA[[#This Row],[DISC]])</f>
        <v/>
      </c>
      <c r="AB986" s="42"/>
      <c r="AC9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42" t="str">
        <f>IF(OR(NOTA[[#This Row],[QTY]]="",NOTA[[#This Row],[HARGA SATUAN]]="",),"",NOTA[[#This Row],[QTY]]*NOTA[[#This Row],[HARGA SATUAN]])</f>
        <v/>
      </c>
      <c r="AG986" s="36" t="str">
        <f ca="1">IF(NOTA[[#This Row],[ID_H]]="","",INDEX(NOTA[TANGGAL],MATCH(,INDIRECT(ADDRESS(ROW(NOTA[TANGGAL]),COLUMN(NOTA[TANGGAL]))&amp;":"&amp;ADDRESS(ROW(),COLUMN(NOTA[TANGGAL]))),-1)))</f>
        <v/>
      </c>
      <c r="AH986" s="36" t="str">
        <f ca="1">IF(NOTA[[#This Row],[ID_H]]="","",INDEX(NOTA[TGL.NOTA],MATCH(,INDIRECT(ADDRESS(ROW(NOTA[TGL.NOTA]),COLUMN(NOTA[TGL.NOTA]))&amp;":"&amp;ADDRESS(ROW(),COLUMN(NOTA[TGL.NOTA]))),-1)))</f>
        <v/>
      </c>
      <c r="AI986" s="36" t="str">
        <f ca="1">IF(NOTA[[#This Row],[ID_H]]="","",INDEX(NOTA[NO.NOTA],MATCH(NOTA[[#This Row],[ID_H]],NOTA[ID_H],0)))</f>
        <v/>
      </c>
      <c r="AJ986" s="38" t="str">
        <f ca="1">IF(NOTA[[#This Row],[NAMA BARANG]]="","",INDEX(NOTA[SUPPLIER],MATCH(,INDIRECT(ADDRESS(ROW(NOTA[ID]),COLUMN(NOTA[ID]))&amp;":"&amp;ADDRESS(ROW(),COLUMN(NOTA[ID]))),-1)))</f>
        <v/>
      </c>
      <c r="AK986" s="38" t="str">
        <f ca="1">IF(NOTA[[#This Row],[ID_H]]="","",IF(NOTA[[#This Row],[FAKTUR]]="",INDIRECT(ADDRESS(ROW()-1,COLUMN())),NOTA[[#This Row],[FAKTUR]]))</f>
        <v/>
      </c>
      <c r="AL986" s="35" t="str">
        <f ca="1">IF(NOTA[[#This Row],[ID]]="","",COUNTIF(NOTA[ID_H],NOTA[[#This Row],[ID_H]]))</f>
        <v/>
      </c>
      <c r="AM986" s="35" t="str">
        <f ca="1">IF(NOTA[[#This Row],[TGL.NOTA]]="",IF(NOTA[[#This Row],[SUPPLIER_H]]="","",AM985),MONTH(NOTA[[#This Row],[TGL.NOTA]]))</f>
        <v/>
      </c>
      <c r="AN98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6" s="35" t="str">
        <f>IF(NOTA[[#This Row],[CONCAT1]]="","",MATCH(NOTA[[#This Row],[CONCAT1]],[3]!db[NB NOTA_C],0))</f>
        <v/>
      </c>
      <c r="AS986" s="35" t="str">
        <f>IF(NOTA[[#This Row],[Column5]]="","",TRUE)</f>
        <v/>
      </c>
      <c r="AT986" s="35" t="str">
        <f ca="1">IF(NOTA[[#This Row],[ID_H]]="","",IF(NOTA[[#This Row],[Column3]]=TRUE,NOTA[[#This Row],[Column5]],INDEX([3]!db[QTY/ CTN],NOTA[[#This Row],[//DB]])))</f>
        <v/>
      </c>
      <c r="AU98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6" s="35" t="str">
        <f ca="1">IF(NOTA[[#This Row],[ID_H]]="","",MATCH(NOTA[[#This Row],[NB NOTA_C_QTY]],[3]!db[NB NOTA_C_QTY+F],0))</f>
        <v/>
      </c>
      <c r="AW986" s="43" t="str">
        <f ca="1">IF(NOTA[[#This Row],[NB NOTA_C_QTY]]="","",ROW()-2)</f>
        <v/>
      </c>
    </row>
    <row r="987" spans="1:49" ht="20.100000000000001" customHeight="1">
      <c r="A98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5" t="str">
        <f ca="1">IF(NOTA[[#This Row],[NAMA BARANG]]="","",INDEX(NOTA[ID],MATCH(,INDIRECT(ADDRESS(ROW(NOTA[ID]),COLUMN(NOTA[ID]))&amp;":"&amp;ADDRESS(ROW(),COLUMN(NOTA[ID]))),-1)))</f>
        <v/>
      </c>
      <c r="C987" s="45"/>
      <c r="F987" s="46"/>
      <c r="G987" s="35"/>
      <c r="H987" s="36"/>
      <c r="I987" s="35"/>
      <c r="K987" s="37"/>
      <c r="L987" s="35"/>
      <c r="N987" s="38"/>
      <c r="O987" s="39"/>
      <c r="P987" s="47"/>
      <c r="Q987" s="48"/>
      <c r="R987" s="41"/>
      <c r="T987" s="42"/>
      <c r="U987" s="44"/>
      <c r="V987" s="42" t="str">
        <f>IF(NOTA[[#This Row],[HARGA/ CTN]]="",NOTA[[#This Row],[JUMLAH_H]],NOTA[[#This Row],[HARGA/ CTN]]*IF(NOTA[[#This Row],[C]]="",0,NOTA[[#This Row],[C]]))</f>
        <v/>
      </c>
      <c r="W987" s="42" t="str">
        <f>IF(NOTA[[#This Row],[JUMLAH]]="","",NOTA[[#This Row],[JUMLAH]]*NOTA[[#This Row],[Column6]])</f>
        <v/>
      </c>
      <c r="X987" s="42" t="str">
        <f>IF(NOTA[[#This Row],[JUMLAH]]="","",(NOTA[[#This Row],[JUMLAH]]-NOTA[[#This Row],[DISC 1-]])*NOTA[[#This Row],[Column7]])</f>
        <v/>
      </c>
      <c r="Y987" s="42" t="str">
        <f>IF(NOTA[[#This Row],[JUMLAH]]="","",(NOTA[[#This Row],[JUMLAH]]-NOTA[[#This Row],[DISC 1-]]-NOTA[[#This Row],[DISC 2-]])*NOTA[[#This Row],[Column8]])</f>
        <v/>
      </c>
      <c r="Z987" s="42" t="str">
        <f>IF(NOTA[[#This Row],[JUMLAH]]="","",NOTA[[#This Row],[DISC 1-]]+NOTA[[#This Row],[DISC 2-]]+NOTA[[#This Row],[DISC 3-]])</f>
        <v/>
      </c>
      <c r="AA987" s="42" t="str">
        <f>IF(NOTA[[#This Row],[JUMLAH]]="","",NOTA[[#This Row],[JUMLAH]]-NOTA[[#This Row],[DISC]])</f>
        <v/>
      </c>
      <c r="AB987" s="42"/>
      <c r="AC9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42" t="str">
        <f>IF(OR(NOTA[[#This Row],[QTY]]="",NOTA[[#This Row],[HARGA SATUAN]]="",),"",NOTA[[#This Row],[QTY]]*NOTA[[#This Row],[HARGA SATUAN]])</f>
        <v/>
      </c>
      <c r="AG987" s="36" t="str">
        <f ca="1">IF(NOTA[[#This Row],[ID_H]]="","",INDEX(NOTA[TANGGAL],MATCH(,INDIRECT(ADDRESS(ROW(NOTA[TANGGAL]),COLUMN(NOTA[TANGGAL]))&amp;":"&amp;ADDRESS(ROW(),COLUMN(NOTA[TANGGAL]))),-1)))</f>
        <v/>
      </c>
      <c r="AH987" s="36" t="str">
        <f ca="1">IF(NOTA[[#This Row],[ID_H]]="","",INDEX(NOTA[TGL.NOTA],MATCH(,INDIRECT(ADDRESS(ROW(NOTA[TGL.NOTA]),COLUMN(NOTA[TGL.NOTA]))&amp;":"&amp;ADDRESS(ROW(),COLUMN(NOTA[TGL.NOTA]))),-1)))</f>
        <v/>
      </c>
      <c r="AI987" s="36" t="str">
        <f ca="1">IF(NOTA[[#This Row],[ID_H]]="","",INDEX(NOTA[NO.NOTA],MATCH(NOTA[[#This Row],[ID_H]],NOTA[ID_H],0)))</f>
        <v/>
      </c>
      <c r="AJ987" s="38" t="str">
        <f ca="1">IF(NOTA[[#This Row],[NAMA BARANG]]="","",INDEX(NOTA[SUPPLIER],MATCH(,INDIRECT(ADDRESS(ROW(NOTA[ID]),COLUMN(NOTA[ID]))&amp;":"&amp;ADDRESS(ROW(),COLUMN(NOTA[ID]))),-1)))</f>
        <v/>
      </c>
      <c r="AK987" s="38" t="str">
        <f ca="1">IF(NOTA[[#This Row],[ID_H]]="","",IF(NOTA[[#This Row],[FAKTUR]]="",INDIRECT(ADDRESS(ROW()-1,COLUMN())),NOTA[[#This Row],[FAKTUR]]))</f>
        <v/>
      </c>
      <c r="AL987" s="35" t="str">
        <f ca="1">IF(NOTA[[#This Row],[ID]]="","",COUNTIF(NOTA[ID_H],NOTA[[#This Row],[ID_H]]))</f>
        <v/>
      </c>
      <c r="AM987" s="35" t="str">
        <f ca="1">IF(NOTA[[#This Row],[TGL.NOTA]]="",IF(NOTA[[#This Row],[SUPPLIER_H]]="","",AM986),MONTH(NOTA[[#This Row],[TGL.NOTA]]))</f>
        <v/>
      </c>
      <c r="AN98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7" s="35" t="str">
        <f>IF(NOTA[[#This Row],[CONCAT1]]="","",MATCH(NOTA[[#This Row],[CONCAT1]],[3]!db[NB NOTA_C],0))</f>
        <v/>
      </c>
      <c r="AS987" s="35" t="str">
        <f>IF(NOTA[[#This Row],[Column5]]="","",TRUE)</f>
        <v/>
      </c>
      <c r="AT987" s="35" t="str">
        <f ca="1">IF(NOTA[[#This Row],[ID_H]]="","",IF(NOTA[[#This Row],[Column3]]=TRUE,NOTA[[#This Row],[Column5]],INDEX([3]!db[QTY/ CTN],NOTA[[#This Row],[//DB]])))</f>
        <v/>
      </c>
      <c r="AU98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7" s="35" t="str">
        <f ca="1">IF(NOTA[[#This Row],[ID_H]]="","",MATCH(NOTA[[#This Row],[NB NOTA_C_QTY]],[3]!db[NB NOTA_C_QTY+F],0))</f>
        <v/>
      </c>
      <c r="AW987" s="43" t="str">
        <f ca="1">IF(NOTA[[#This Row],[NB NOTA_C_QTY]]="","",ROW()-2)</f>
        <v/>
      </c>
    </row>
    <row r="988" spans="1:49" ht="20.100000000000001" customHeight="1">
      <c r="A98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5" t="str">
        <f ca="1">IF(NOTA[[#This Row],[NAMA BARANG]]="","",INDEX(NOTA[ID],MATCH(,INDIRECT(ADDRESS(ROW(NOTA[ID]),COLUMN(NOTA[ID]))&amp;":"&amp;ADDRESS(ROW(),COLUMN(NOTA[ID]))),-1)))</f>
        <v/>
      </c>
      <c r="C988" s="45"/>
      <c r="F988" s="46"/>
      <c r="G988" s="35"/>
      <c r="H988" s="36"/>
      <c r="I988" s="35"/>
      <c r="K988" s="37"/>
      <c r="L988" s="35"/>
      <c r="N988" s="38"/>
      <c r="O988" s="39"/>
      <c r="P988" s="47"/>
      <c r="Q988" s="48"/>
      <c r="R988" s="41"/>
      <c r="T988" s="42"/>
      <c r="U988" s="44"/>
      <c r="V988" s="42" t="str">
        <f>IF(NOTA[[#This Row],[HARGA/ CTN]]="",NOTA[[#This Row],[JUMLAH_H]],NOTA[[#This Row],[HARGA/ CTN]]*IF(NOTA[[#This Row],[C]]="",0,NOTA[[#This Row],[C]]))</f>
        <v/>
      </c>
      <c r="W988" s="42" t="str">
        <f>IF(NOTA[[#This Row],[JUMLAH]]="","",NOTA[[#This Row],[JUMLAH]]*NOTA[[#This Row],[Column6]])</f>
        <v/>
      </c>
      <c r="X988" s="42" t="str">
        <f>IF(NOTA[[#This Row],[JUMLAH]]="","",(NOTA[[#This Row],[JUMLAH]]-NOTA[[#This Row],[DISC 1-]])*NOTA[[#This Row],[Column7]])</f>
        <v/>
      </c>
      <c r="Y988" s="42" t="str">
        <f>IF(NOTA[[#This Row],[JUMLAH]]="","",(NOTA[[#This Row],[JUMLAH]]-NOTA[[#This Row],[DISC 1-]]-NOTA[[#This Row],[DISC 2-]])*NOTA[[#This Row],[Column8]])</f>
        <v/>
      </c>
      <c r="Z988" s="42" t="str">
        <f>IF(NOTA[[#This Row],[JUMLAH]]="","",NOTA[[#This Row],[DISC 1-]]+NOTA[[#This Row],[DISC 2-]]+NOTA[[#This Row],[DISC 3-]])</f>
        <v/>
      </c>
      <c r="AA988" s="42" t="str">
        <f>IF(NOTA[[#This Row],[JUMLAH]]="","",NOTA[[#This Row],[JUMLAH]]-NOTA[[#This Row],[DISC]])</f>
        <v/>
      </c>
      <c r="AB988" s="42"/>
      <c r="AC9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42" t="str">
        <f>IF(OR(NOTA[[#This Row],[QTY]]="",NOTA[[#This Row],[HARGA SATUAN]]="",),"",NOTA[[#This Row],[QTY]]*NOTA[[#This Row],[HARGA SATUAN]])</f>
        <v/>
      </c>
      <c r="AG988" s="36" t="str">
        <f ca="1">IF(NOTA[[#This Row],[ID_H]]="","",INDEX(NOTA[TANGGAL],MATCH(,INDIRECT(ADDRESS(ROW(NOTA[TANGGAL]),COLUMN(NOTA[TANGGAL]))&amp;":"&amp;ADDRESS(ROW(),COLUMN(NOTA[TANGGAL]))),-1)))</f>
        <v/>
      </c>
      <c r="AH988" s="36" t="str">
        <f ca="1">IF(NOTA[[#This Row],[ID_H]]="","",INDEX(NOTA[TGL.NOTA],MATCH(,INDIRECT(ADDRESS(ROW(NOTA[TGL.NOTA]),COLUMN(NOTA[TGL.NOTA]))&amp;":"&amp;ADDRESS(ROW(),COLUMN(NOTA[TGL.NOTA]))),-1)))</f>
        <v/>
      </c>
      <c r="AI988" s="36" t="str">
        <f ca="1">IF(NOTA[[#This Row],[ID_H]]="","",INDEX(NOTA[NO.NOTA],MATCH(NOTA[[#This Row],[ID_H]],NOTA[ID_H],0)))</f>
        <v/>
      </c>
      <c r="AJ988" s="38" t="str">
        <f ca="1">IF(NOTA[[#This Row],[NAMA BARANG]]="","",INDEX(NOTA[SUPPLIER],MATCH(,INDIRECT(ADDRESS(ROW(NOTA[ID]),COLUMN(NOTA[ID]))&amp;":"&amp;ADDRESS(ROW(),COLUMN(NOTA[ID]))),-1)))</f>
        <v/>
      </c>
      <c r="AK988" s="38" t="str">
        <f ca="1">IF(NOTA[[#This Row],[ID_H]]="","",IF(NOTA[[#This Row],[FAKTUR]]="",INDIRECT(ADDRESS(ROW()-1,COLUMN())),NOTA[[#This Row],[FAKTUR]]))</f>
        <v/>
      </c>
      <c r="AL988" s="35" t="str">
        <f ca="1">IF(NOTA[[#This Row],[ID]]="","",COUNTIF(NOTA[ID_H],NOTA[[#This Row],[ID_H]]))</f>
        <v/>
      </c>
      <c r="AM988" s="35" t="str">
        <f ca="1">IF(NOTA[[#This Row],[TGL.NOTA]]="",IF(NOTA[[#This Row],[SUPPLIER_H]]="","",AM987),MONTH(NOTA[[#This Row],[TGL.NOTA]]))</f>
        <v/>
      </c>
      <c r="AN98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8" s="35" t="str">
        <f>IF(NOTA[[#This Row],[CONCAT1]]="","",MATCH(NOTA[[#This Row],[CONCAT1]],[3]!db[NB NOTA_C],0))</f>
        <v/>
      </c>
      <c r="AS988" s="35" t="str">
        <f>IF(NOTA[[#This Row],[Column5]]="","",TRUE)</f>
        <v/>
      </c>
      <c r="AT988" s="35" t="str">
        <f ca="1">IF(NOTA[[#This Row],[ID_H]]="","",IF(NOTA[[#This Row],[Column3]]=TRUE,NOTA[[#This Row],[Column5]],INDEX([3]!db[QTY/ CTN],NOTA[[#This Row],[//DB]])))</f>
        <v/>
      </c>
      <c r="AU98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8" s="35" t="str">
        <f ca="1">IF(NOTA[[#This Row],[ID_H]]="","",MATCH(NOTA[[#This Row],[NB NOTA_C_QTY]],[3]!db[NB NOTA_C_QTY+F],0))</f>
        <v/>
      </c>
      <c r="AW988" s="43" t="str">
        <f ca="1">IF(NOTA[[#This Row],[NB NOTA_C_QTY]]="","",ROW()-2)</f>
        <v/>
      </c>
    </row>
    <row r="989" spans="1:49" ht="20.100000000000001" customHeight="1">
      <c r="A98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5" t="str">
        <f ca="1">IF(NOTA[[#This Row],[NAMA BARANG]]="","",INDEX(NOTA[ID],MATCH(,INDIRECT(ADDRESS(ROW(NOTA[ID]),COLUMN(NOTA[ID]))&amp;":"&amp;ADDRESS(ROW(),COLUMN(NOTA[ID]))),-1)))</f>
        <v/>
      </c>
      <c r="C989" s="45"/>
      <c r="F989" s="46"/>
      <c r="G989" s="35"/>
      <c r="H989" s="36"/>
      <c r="I989" s="35"/>
      <c r="K989" s="37"/>
      <c r="L989" s="35"/>
      <c r="N989" s="38"/>
      <c r="O989" s="39"/>
      <c r="P989" s="47"/>
      <c r="Q989" s="48"/>
      <c r="R989" s="41"/>
      <c r="T989" s="42"/>
      <c r="U989" s="44"/>
      <c r="V989" s="42" t="str">
        <f>IF(NOTA[[#This Row],[HARGA/ CTN]]="",NOTA[[#This Row],[JUMLAH_H]],NOTA[[#This Row],[HARGA/ CTN]]*IF(NOTA[[#This Row],[C]]="",0,NOTA[[#This Row],[C]]))</f>
        <v/>
      </c>
      <c r="W989" s="42" t="str">
        <f>IF(NOTA[[#This Row],[JUMLAH]]="","",NOTA[[#This Row],[JUMLAH]]*NOTA[[#This Row],[Column6]])</f>
        <v/>
      </c>
      <c r="X989" s="42" t="str">
        <f>IF(NOTA[[#This Row],[JUMLAH]]="","",(NOTA[[#This Row],[JUMLAH]]-NOTA[[#This Row],[DISC 1-]])*NOTA[[#This Row],[Column7]])</f>
        <v/>
      </c>
      <c r="Y989" s="42" t="str">
        <f>IF(NOTA[[#This Row],[JUMLAH]]="","",(NOTA[[#This Row],[JUMLAH]]-NOTA[[#This Row],[DISC 1-]]-NOTA[[#This Row],[DISC 2-]])*NOTA[[#This Row],[Column8]])</f>
        <v/>
      </c>
      <c r="Z989" s="42" t="str">
        <f>IF(NOTA[[#This Row],[JUMLAH]]="","",NOTA[[#This Row],[DISC 1-]]+NOTA[[#This Row],[DISC 2-]]+NOTA[[#This Row],[DISC 3-]])</f>
        <v/>
      </c>
      <c r="AA989" s="42" t="str">
        <f>IF(NOTA[[#This Row],[JUMLAH]]="","",NOTA[[#This Row],[JUMLAH]]-NOTA[[#This Row],[DISC]])</f>
        <v/>
      </c>
      <c r="AB989" s="42"/>
      <c r="AC9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8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8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42" t="str">
        <f>IF(OR(NOTA[[#This Row],[QTY]]="",NOTA[[#This Row],[HARGA SATUAN]]="",),"",NOTA[[#This Row],[QTY]]*NOTA[[#This Row],[HARGA SATUAN]])</f>
        <v/>
      </c>
      <c r="AG989" s="36" t="str">
        <f ca="1">IF(NOTA[[#This Row],[ID_H]]="","",INDEX(NOTA[TANGGAL],MATCH(,INDIRECT(ADDRESS(ROW(NOTA[TANGGAL]),COLUMN(NOTA[TANGGAL]))&amp;":"&amp;ADDRESS(ROW(),COLUMN(NOTA[TANGGAL]))),-1)))</f>
        <v/>
      </c>
      <c r="AH989" s="36" t="str">
        <f ca="1">IF(NOTA[[#This Row],[ID_H]]="","",INDEX(NOTA[TGL.NOTA],MATCH(,INDIRECT(ADDRESS(ROW(NOTA[TGL.NOTA]),COLUMN(NOTA[TGL.NOTA]))&amp;":"&amp;ADDRESS(ROW(),COLUMN(NOTA[TGL.NOTA]))),-1)))</f>
        <v/>
      </c>
      <c r="AI989" s="36" t="str">
        <f ca="1">IF(NOTA[[#This Row],[ID_H]]="","",INDEX(NOTA[NO.NOTA],MATCH(NOTA[[#This Row],[ID_H]],NOTA[ID_H],0)))</f>
        <v/>
      </c>
      <c r="AJ989" s="38" t="str">
        <f ca="1">IF(NOTA[[#This Row],[NAMA BARANG]]="","",INDEX(NOTA[SUPPLIER],MATCH(,INDIRECT(ADDRESS(ROW(NOTA[ID]),COLUMN(NOTA[ID]))&amp;":"&amp;ADDRESS(ROW(),COLUMN(NOTA[ID]))),-1)))</f>
        <v/>
      </c>
      <c r="AK989" s="38" t="str">
        <f ca="1">IF(NOTA[[#This Row],[ID_H]]="","",IF(NOTA[[#This Row],[FAKTUR]]="",INDIRECT(ADDRESS(ROW()-1,COLUMN())),NOTA[[#This Row],[FAKTUR]]))</f>
        <v/>
      </c>
      <c r="AL989" s="35" t="str">
        <f ca="1">IF(NOTA[[#This Row],[ID]]="","",COUNTIF(NOTA[ID_H],NOTA[[#This Row],[ID_H]]))</f>
        <v/>
      </c>
      <c r="AM989" s="35" t="str">
        <f ca="1">IF(NOTA[[#This Row],[TGL.NOTA]]="",IF(NOTA[[#This Row],[SUPPLIER_H]]="","",AM988),MONTH(NOTA[[#This Row],[TGL.NOTA]]))</f>
        <v/>
      </c>
      <c r="AN98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8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8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8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89" s="35" t="str">
        <f>IF(NOTA[[#This Row],[CONCAT1]]="","",MATCH(NOTA[[#This Row],[CONCAT1]],[3]!db[NB NOTA_C],0))</f>
        <v/>
      </c>
      <c r="AS989" s="35" t="str">
        <f>IF(NOTA[[#This Row],[Column5]]="","",TRUE)</f>
        <v/>
      </c>
      <c r="AT989" s="35" t="str">
        <f ca="1">IF(NOTA[[#This Row],[ID_H]]="","",IF(NOTA[[#This Row],[Column3]]=TRUE,NOTA[[#This Row],[Column5]],INDEX([3]!db[QTY/ CTN],NOTA[[#This Row],[//DB]])))</f>
        <v/>
      </c>
      <c r="AU98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89" s="35" t="str">
        <f ca="1">IF(NOTA[[#This Row],[ID_H]]="","",MATCH(NOTA[[#This Row],[NB NOTA_C_QTY]],[3]!db[NB NOTA_C_QTY+F],0))</f>
        <v/>
      </c>
      <c r="AW989" s="43" t="str">
        <f ca="1">IF(NOTA[[#This Row],[NB NOTA_C_QTY]]="","",ROW()-2)</f>
        <v/>
      </c>
    </row>
    <row r="990" spans="1:49" ht="20.100000000000001" customHeight="1">
      <c r="A99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5" t="str">
        <f ca="1">IF(NOTA[[#This Row],[NAMA BARANG]]="","",INDEX(NOTA[ID],MATCH(,INDIRECT(ADDRESS(ROW(NOTA[ID]),COLUMN(NOTA[ID]))&amp;":"&amp;ADDRESS(ROW(),COLUMN(NOTA[ID]))),-1)))</f>
        <v/>
      </c>
      <c r="C990" s="45"/>
      <c r="F990" s="46"/>
      <c r="G990" s="35"/>
      <c r="H990" s="36"/>
      <c r="I990" s="35"/>
      <c r="K990" s="37"/>
      <c r="L990" s="35"/>
      <c r="N990" s="38"/>
      <c r="O990" s="39"/>
      <c r="P990" s="47"/>
      <c r="Q990" s="48"/>
      <c r="R990" s="41"/>
      <c r="T990" s="42"/>
      <c r="U990" s="44"/>
      <c r="V990" s="42" t="str">
        <f>IF(NOTA[[#This Row],[HARGA/ CTN]]="",NOTA[[#This Row],[JUMLAH_H]],NOTA[[#This Row],[HARGA/ CTN]]*IF(NOTA[[#This Row],[C]]="",0,NOTA[[#This Row],[C]]))</f>
        <v/>
      </c>
      <c r="W990" s="42" t="str">
        <f>IF(NOTA[[#This Row],[JUMLAH]]="","",NOTA[[#This Row],[JUMLAH]]*NOTA[[#This Row],[Column6]])</f>
        <v/>
      </c>
      <c r="X990" s="42" t="str">
        <f>IF(NOTA[[#This Row],[JUMLAH]]="","",(NOTA[[#This Row],[JUMLAH]]-NOTA[[#This Row],[DISC 1-]])*NOTA[[#This Row],[Column7]])</f>
        <v/>
      </c>
      <c r="Y990" s="42" t="str">
        <f>IF(NOTA[[#This Row],[JUMLAH]]="","",(NOTA[[#This Row],[JUMLAH]]-NOTA[[#This Row],[DISC 1-]]-NOTA[[#This Row],[DISC 2-]])*NOTA[[#This Row],[Column8]])</f>
        <v/>
      </c>
      <c r="Z990" s="42" t="str">
        <f>IF(NOTA[[#This Row],[JUMLAH]]="","",NOTA[[#This Row],[DISC 1-]]+NOTA[[#This Row],[DISC 2-]]+NOTA[[#This Row],[DISC 3-]])</f>
        <v/>
      </c>
      <c r="AA990" s="42" t="str">
        <f>IF(NOTA[[#This Row],[JUMLAH]]="","",NOTA[[#This Row],[JUMLAH]]-NOTA[[#This Row],[DISC]])</f>
        <v/>
      </c>
      <c r="AB990" s="42"/>
      <c r="AC9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42" t="str">
        <f>IF(OR(NOTA[[#This Row],[QTY]]="",NOTA[[#This Row],[HARGA SATUAN]]="",),"",NOTA[[#This Row],[QTY]]*NOTA[[#This Row],[HARGA SATUAN]])</f>
        <v/>
      </c>
      <c r="AG990" s="36" t="str">
        <f ca="1">IF(NOTA[[#This Row],[ID_H]]="","",INDEX(NOTA[TANGGAL],MATCH(,INDIRECT(ADDRESS(ROW(NOTA[TANGGAL]),COLUMN(NOTA[TANGGAL]))&amp;":"&amp;ADDRESS(ROW(),COLUMN(NOTA[TANGGAL]))),-1)))</f>
        <v/>
      </c>
      <c r="AH990" s="36" t="str">
        <f ca="1">IF(NOTA[[#This Row],[ID_H]]="","",INDEX(NOTA[TGL.NOTA],MATCH(,INDIRECT(ADDRESS(ROW(NOTA[TGL.NOTA]),COLUMN(NOTA[TGL.NOTA]))&amp;":"&amp;ADDRESS(ROW(),COLUMN(NOTA[TGL.NOTA]))),-1)))</f>
        <v/>
      </c>
      <c r="AI990" s="36" t="str">
        <f ca="1">IF(NOTA[[#This Row],[ID_H]]="","",INDEX(NOTA[NO.NOTA],MATCH(NOTA[[#This Row],[ID_H]],NOTA[ID_H],0)))</f>
        <v/>
      </c>
      <c r="AJ990" s="38" t="str">
        <f ca="1">IF(NOTA[[#This Row],[NAMA BARANG]]="","",INDEX(NOTA[SUPPLIER],MATCH(,INDIRECT(ADDRESS(ROW(NOTA[ID]),COLUMN(NOTA[ID]))&amp;":"&amp;ADDRESS(ROW(),COLUMN(NOTA[ID]))),-1)))</f>
        <v/>
      </c>
      <c r="AK990" s="38" t="str">
        <f ca="1">IF(NOTA[[#This Row],[ID_H]]="","",IF(NOTA[[#This Row],[FAKTUR]]="",INDIRECT(ADDRESS(ROW()-1,COLUMN())),NOTA[[#This Row],[FAKTUR]]))</f>
        <v/>
      </c>
      <c r="AL990" s="35" t="str">
        <f ca="1">IF(NOTA[[#This Row],[ID]]="","",COUNTIF(NOTA[ID_H],NOTA[[#This Row],[ID_H]]))</f>
        <v/>
      </c>
      <c r="AM990" s="35" t="str">
        <f ca="1">IF(NOTA[[#This Row],[TGL.NOTA]]="",IF(NOTA[[#This Row],[SUPPLIER_H]]="","",AM989),MONTH(NOTA[[#This Row],[TGL.NOTA]]))</f>
        <v/>
      </c>
      <c r="AN99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0" s="35" t="str">
        <f>IF(NOTA[[#This Row],[CONCAT1]]="","",MATCH(NOTA[[#This Row],[CONCAT1]],[3]!db[NB NOTA_C],0))</f>
        <v/>
      </c>
      <c r="AS990" s="35" t="str">
        <f>IF(NOTA[[#This Row],[Column5]]="","",TRUE)</f>
        <v/>
      </c>
      <c r="AT990" s="35" t="str">
        <f ca="1">IF(NOTA[[#This Row],[ID_H]]="","",IF(NOTA[[#This Row],[Column3]]=TRUE,NOTA[[#This Row],[Column5]],INDEX([3]!db[QTY/ CTN],NOTA[[#This Row],[//DB]])))</f>
        <v/>
      </c>
      <c r="AU99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0" s="35" t="str">
        <f ca="1">IF(NOTA[[#This Row],[ID_H]]="","",MATCH(NOTA[[#This Row],[NB NOTA_C_QTY]],[3]!db[NB NOTA_C_QTY+F],0))</f>
        <v/>
      </c>
      <c r="AW990" s="43" t="str">
        <f ca="1">IF(NOTA[[#This Row],[NB NOTA_C_QTY]]="","",ROW()-2)</f>
        <v/>
      </c>
    </row>
    <row r="991" spans="1:49" ht="20.100000000000001" customHeight="1">
      <c r="A99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5" t="str">
        <f ca="1">IF(NOTA[[#This Row],[NAMA BARANG]]="","",INDEX(NOTA[ID],MATCH(,INDIRECT(ADDRESS(ROW(NOTA[ID]),COLUMN(NOTA[ID]))&amp;":"&amp;ADDRESS(ROW(),COLUMN(NOTA[ID]))),-1)))</f>
        <v/>
      </c>
      <c r="C991" s="45"/>
      <c r="F991" s="46"/>
      <c r="G991" s="35"/>
      <c r="H991" s="36"/>
      <c r="I991" s="35"/>
      <c r="K991" s="37"/>
      <c r="L991" s="35"/>
      <c r="N991" s="38"/>
      <c r="O991" s="39"/>
      <c r="P991" s="47"/>
      <c r="Q991" s="48"/>
      <c r="R991" s="41"/>
      <c r="T991" s="42"/>
      <c r="U991" s="44"/>
      <c r="V991" s="42" t="str">
        <f>IF(NOTA[[#This Row],[HARGA/ CTN]]="",NOTA[[#This Row],[JUMLAH_H]],NOTA[[#This Row],[HARGA/ CTN]]*IF(NOTA[[#This Row],[C]]="",0,NOTA[[#This Row],[C]]))</f>
        <v/>
      </c>
      <c r="W991" s="42" t="str">
        <f>IF(NOTA[[#This Row],[JUMLAH]]="","",NOTA[[#This Row],[JUMLAH]]*NOTA[[#This Row],[Column6]])</f>
        <v/>
      </c>
      <c r="X991" s="42" t="str">
        <f>IF(NOTA[[#This Row],[JUMLAH]]="","",(NOTA[[#This Row],[JUMLAH]]-NOTA[[#This Row],[DISC 1-]])*NOTA[[#This Row],[Column7]])</f>
        <v/>
      </c>
      <c r="Y991" s="42" t="str">
        <f>IF(NOTA[[#This Row],[JUMLAH]]="","",(NOTA[[#This Row],[JUMLAH]]-NOTA[[#This Row],[DISC 1-]]-NOTA[[#This Row],[DISC 2-]])*NOTA[[#This Row],[Column8]])</f>
        <v/>
      </c>
      <c r="Z991" s="42" t="str">
        <f>IF(NOTA[[#This Row],[JUMLAH]]="","",NOTA[[#This Row],[DISC 1-]]+NOTA[[#This Row],[DISC 2-]]+NOTA[[#This Row],[DISC 3-]])</f>
        <v/>
      </c>
      <c r="AA991" s="42" t="str">
        <f>IF(NOTA[[#This Row],[JUMLAH]]="","",NOTA[[#This Row],[JUMLAH]]-NOTA[[#This Row],[DISC]])</f>
        <v/>
      </c>
      <c r="AB991" s="42"/>
      <c r="AC9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42" t="str">
        <f>IF(OR(NOTA[[#This Row],[QTY]]="",NOTA[[#This Row],[HARGA SATUAN]]="",),"",NOTA[[#This Row],[QTY]]*NOTA[[#This Row],[HARGA SATUAN]])</f>
        <v/>
      </c>
      <c r="AG991" s="36" t="str">
        <f ca="1">IF(NOTA[[#This Row],[ID_H]]="","",INDEX(NOTA[TANGGAL],MATCH(,INDIRECT(ADDRESS(ROW(NOTA[TANGGAL]),COLUMN(NOTA[TANGGAL]))&amp;":"&amp;ADDRESS(ROW(),COLUMN(NOTA[TANGGAL]))),-1)))</f>
        <v/>
      </c>
      <c r="AH991" s="36" t="str">
        <f ca="1">IF(NOTA[[#This Row],[ID_H]]="","",INDEX(NOTA[TGL.NOTA],MATCH(,INDIRECT(ADDRESS(ROW(NOTA[TGL.NOTA]),COLUMN(NOTA[TGL.NOTA]))&amp;":"&amp;ADDRESS(ROW(),COLUMN(NOTA[TGL.NOTA]))),-1)))</f>
        <v/>
      </c>
      <c r="AI991" s="36" t="str">
        <f ca="1">IF(NOTA[[#This Row],[ID_H]]="","",INDEX(NOTA[NO.NOTA],MATCH(NOTA[[#This Row],[ID_H]],NOTA[ID_H],0)))</f>
        <v/>
      </c>
      <c r="AJ991" s="38" t="str">
        <f ca="1">IF(NOTA[[#This Row],[NAMA BARANG]]="","",INDEX(NOTA[SUPPLIER],MATCH(,INDIRECT(ADDRESS(ROW(NOTA[ID]),COLUMN(NOTA[ID]))&amp;":"&amp;ADDRESS(ROW(),COLUMN(NOTA[ID]))),-1)))</f>
        <v/>
      </c>
      <c r="AK991" s="38" t="str">
        <f ca="1">IF(NOTA[[#This Row],[ID_H]]="","",IF(NOTA[[#This Row],[FAKTUR]]="",INDIRECT(ADDRESS(ROW()-1,COLUMN())),NOTA[[#This Row],[FAKTUR]]))</f>
        <v/>
      </c>
      <c r="AL991" s="35" t="str">
        <f ca="1">IF(NOTA[[#This Row],[ID]]="","",COUNTIF(NOTA[ID_H],NOTA[[#This Row],[ID_H]]))</f>
        <v/>
      </c>
      <c r="AM991" s="35" t="str">
        <f ca="1">IF(NOTA[[#This Row],[TGL.NOTA]]="",IF(NOTA[[#This Row],[SUPPLIER_H]]="","",AM990),MONTH(NOTA[[#This Row],[TGL.NOTA]]))</f>
        <v/>
      </c>
      <c r="AN99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1" s="35" t="str">
        <f>IF(NOTA[[#This Row],[CONCAT1]]="","",MATCH(NOTA[[#This Row],[CONCAT1]],[3]!db[NB NOTA_C],0))</f>
        <v/>
      </c>
      <c r="AS991" s="35" t="str">
        <f>IF(NOTA[[#This Row],[Column5]]="","",TRUE)</f>
        <v/>
      </c>
      <c r="AT991" s="35" t="str">
        <f ca="1">IF(NOTA[[#This Row],[ID_H]]="","",IF(NOTA[[#This Row],[Column3]]=TRUE,NOTA[[#This Row],[Column5]],INDEX([3]!db[QTY/ CTN],NOTA[[#This Row],[//DB]])))</f>
        <v/>
      </c>
      <c r="AU99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1" s="35" t="str">
        <f ca="1">IF(NOTA[[#This Row],[ID_H]]="","",MATCH(NOTA[[#This Row],[NB NOTA_C_QTY]],[3]!db[NB NOTA_C_QTY+F],0))</f>
        <v/>
      </c>
      <c r="AW991" s="43" t="str">
        <f ca="1">IF(NOTA[[#This Row],[NB NOTA_C_QTY]]="","",ROW()-2)</f>
        <v/>
      </c>
    </row>
    <row r="992" spans="1:49" ht="20.100000000000001" customHeight="1">
      <c r="A99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5" t="str">
        <f ca="1">IF(NOTA[[#This Row],[NAMA BARANG]]="","",INDEX(NOTA[ID],MATCH(,INDIRECT(ADDRESS(ROW(NOTA[ID]),COLUMN(NOTA[ID]))&amp;":"&amp;ADDRESS(ROW(),COLUMN(NOTA[ID]))),-1)))</f>
        <v/>
      </c>
      <c r="C992" s="45"/>
      <c r="F992" s="46"/>
      <c r="G992" s="35"/>
      <c r="H992" s="36"/>
      <c r="I992" s="35"/>
      <c r="K992" s="37"/>
      <c r="L992" s="35"/>
      <c r="N992" s="38"/>
      <c r="O992" s="39"/>
      <c r="P992" s="47"/>
      <c r="Q992" s="48"/>
      <c r="R992" s="41"/>
      <c r="T992" s="42"/>
      <c r="U992" s="44"/>
      <c r="V992" s="42" t="str">
        <f>IF(NOTA[[#This Row],[HARGA/ CTN]]="",NOTA[[#This Row],[JUMLAH_H]],NOTA[[#This Row],[HARGA/ CTN]]*IF(NOTA[[#This Row],[C]]="",0,NOTA[[#This Row],[C]]))</f>
        <v/>
      </c>
      <c r="W992" s="42" t="str">
        <f>IF(NOTA[[#This Row],[JUMLAH]]="","",NOTA[[#This Row],[JUMLAH]]*NOTA[[#This Row],[Column6]])</f>
        <v/>
      </c>
      <c r="X992" s="42" t="str">
        <f>IF(NOTA[[#This Row],[JUMLAH]]="","",(NOTA[[#This Row],[JUMLAH]]-NOTA[[#This Row],[DISC 1-]])*NOTA[[#This Row],[Column7]])</f>
        <v/>
      </c>
      <c r="Y992" s="42" t="str">
        <f>IF(NOTA[[#This Row],[JUMLAH]]="","",(NOTA[[#This Row],[JUMLAH]]-NOTA[[#This Row],[DISC 1-]]-NOTA[[#This Row],[DISC 2-]])*NOTA[[#This Row],[Column8]])</f>
        <v/>
      </c>
      <c r="Z992" s="42" t="str">
        <f>IF(NOTA[[#This Row],[JUMLAH]]="","",NOTA[[#This Row],[DISC 1-]]+NOTA[[#This Row],[DISC 2-]]+NOTA[[#This Row],[DISC 3-]])</f>
        <v/>
      </c>
      <c r="AA992" s="42" t="str">
        <f>IF(NOTA[[#This Row],[JUMLAH]]="","",NOTA[[#This Row],[JUMLAH]]-NOTA[[#This Row],[DISC]])</f>
        <v/>
      </c>
      <c r="AB992" s="42"/>
      <c r="AC9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42" t="str">
        <f>IF(OR(NOTA[[#This Row],[QTY]]="",NOTA[[#This Row],[HARGA SATUAN]]="",),"",NOTA[[#This Row],[QTY]]*NOTA[[#This Row],[HARGA SATUAN]])</f>
        <v/>
      </c>
      <c r="AG992" s="36" t="str">
        <f ca="1">IF(NOTA[[#This Row],[ID_H]]="","",INDEX(NOTA[TANGGAL],MATCH(,INDIRECT(ADDRESS(ROW(NOTA[TANGGAL]),COLUMN(NOTA[TANGGAL]))&amp;":"&amp;ADDRESS(ROW(),COLUMN(NOTA[TANGGAL]))),-1)))</f>
        <v/>
      </c>
      <c r="AH992" s="36" t="str">
        <f ca="1">IF(NOTA[[#This Row],[ID_H]]="","",INDEX(NOTA[TGL.NOTA],MATCH(,INDIRECT(ADDRESS(ROW(NOTA[TGL.NOTA]),COLUMN(NOTA[TGL.NOTA]))&amp;":"&amp;ADDRESS(ROW(),COLUMN(NOTA[TGL.NOTA]))),-1)))</f>
        <v/>
      </c>
      <c r="AI992" s="36" t="str">
        <f ca="1">IF(NOTA[[#This Row],[ID_H]]="","",INDEX(NOTA[NO.NOTA],MATCH(NOTA[[#This Row],[ID_H]],NOTA[ID_H],0)))</f>
        <v/>
      </c>
      <c r="AJ992" s="38" t="str">
        <f ca="1">IF(NOTA[[#This Row],[NAMA BARANG]]="","",INDEX(NOTA[SUPPLIER],MATCH(,INDIRECT(ADDRESS(ROW(NOTA[ID]),COLUMN(NOTA[ID]))&amp;":"&amp;ADDRESS(ROW(),COLUMN(NOTA[ID]))),-1)))</f>
        <v/>
      </c>
      <c r="AK992" s="38" t="str">
        <f ca="1">IF(NOTA[[#This Row],[ID_H]]="","",IF(NOTA[[#This Row],[FAKTUR]]="",INDIRECT(ADDRESS(ROW()-1,COLUMN())),NOTA[[#This Row],[FAKTUR]]))</f>
        <v/>
      </c>
      <c r="AL992" s="35" t="str">
        <f ca="1">IF(NOTA[[#This Row],[ID]]="","",COUNTIF(NOTA[ID_H],NOTA[[#This Row],[ID_H]]))</f>
        <v/>
      </c>
      <c r="AM992" s="35" t="str">
        <f ca="1">IF(NOTA[[#This Row],[TGL.NOTA]]="",IF(NOTA[[#This Row],[SUPPLIER_H]]="","",AM991),MONTH(NOTA[[#This Row],[TGL.NOTA]]))</f>
        <v/>
      </c>
      <c r="AN99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2" s="35" t="str">
        <f>IF(NOTA[[#This Row],[CONCAT1]]="","",MATCH(NOTA[[#This Row],[CONCAT1]],[3]!db[NB NOTA_C],0))</f>
        <v/>
      </c>
      <c r="AS992" s="35" t="str">
        <f>IF(NOTA[[#This Row],[Column5]]="","",TRUE)</f>
        <v/>
      </c>
      <c r="AT992" s="35" t="str">
        <f ca="1">IF(NOTA[[#This Row],[ID_H]]="","",IF(NOTA[[#This Row],[Column3]]=TRUE,NOTA[[#This Row],[Column5]],INDEX([3]!db[QTY/ CTN],NOTA[[#This Row],[//DB]])))</f>
        <v/>
      </c>
      <c r="AU99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2" s="35" t="str">
        <f ca="1">IF(NOTA[[#This Row],[ID_H]]="","",MATCH(NOTA[[#This Row],[NB NOTA_C_QTY]],[3]!db[NB NOTA_C_QTY+F],0))</f>
        <v/>
      </c>
      <c r="AW992" s="43" t="str">
        <f ca="1">IF(NOTA[[#This Row],[NB NOTA_C_QTY]]="","",ROW()-2)</f>
        <v/>
      </c>
    </row>
    <row r="993" spans="1:49" ht="20.100000000000001" customHeight="1">
      <c r="A99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5" t="str">
        <f ca="1">IF(NOTA[[#This Row],[NAMA BARANG]]="","",INDEX(NOTA[ID],MATCH(,INDIRECT(ADDRESS(ROW(NOTA[ID]),COLUMN(NOTA[ID]))&amp;":"&amp;ADDRESS(ROW(),COLUMN(NOTA[ID]))),-1)))</f>
        <v/>
      </c>
      <c r="C993" s="45"/>
      <c r="F993" s="46"/>
      <c r="G993" s="35"/>
      <c r="H993" s="36"/>
      <c r="I993" s="35"/>
      <c r="K993" s="37"/>
      <c r="L993" s="35"/>
      <c r="N993" s="38"/>
      <c r="O993" s="39"/>
      <c r="P993" s="47"/>
      <c r="Q993" s="48"/>
      <c r="R993" s="41"/>
      <c r="T993" s="42"/>
      <c r="U993" s="44"/>
      <c r="V993" s="42" t="str">
        <f>IF(NOTA[[#This Row],[HARGA/ CTN]]="",NOTA[[#This Row],[JUMLAH_H]],NOTA[[#This Row],[HARGA/ CTN]]*IF(NOTA[[#This Row],[C]]="",0,NOTA[[#This Row],[C]]))</f>
        <v/>
      </c>
      <c r="W993" s="42" t="str">
        <f>IF(NOTA[[#This Row],[JUMLAH]]="","",NOTA[[#This Row],[JUMLAH]]*NOTA[[#This Row],[Column6]])</f>
        <v/>
      </c>
      <c r="X993" s="42" t="str">
        <f>IF(NOTA[[#This Row],[JUMLAH]]="","",(NOTA[[#This Row],[JUMLAH]]-NOTA[[#This Row],[DISC 1-]])*NOTA[[#This Row],[Column7]])</f>
        <v/>
      </c>
      <c r="Y993" s="42" t="str">
        <f>IF(NOTA[[#This Row],[JUMLAH]]="","",(NOTA[[#This Row],[JUMLAH]]-NOTA[[#This Row],[DISC 1-]]-NOTA[[#This Row],[DISC 2-]])*NOTA[[#This Row],[Column8]])</f>
        <v/>
      </c>
      <c r="Z993" s="42" t="str">
        <f>IF(NOTA[[#This Row],[JUMLAH]]="","",NOTA[[#This Row],[DISC 1-]]+NOTA[[#This Row],[DISC 2-]]+NOTA[[#This Row],[DISC 3-]])</f>
        <v/>
      </c>
      <c r="AA993" s="42" t="str">
        <f>IF(NOTA[[#This Row],[JUMLAH]]="","",NOTA[[#This Row],[JUMLAH]]-NOTA[[#This Row],[DISC]])</f>
        <v/>
      </c>
      <c r="AB993" s="42"/>
      <c r="AC9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42" t="str">
        <f>IF(OR(NOTA[[#This Row],[QTY]]="",NOTA[[#This Row],[HARGA SATUAN]]="",),"",NOTA[[#This Row],[QTY]]*NOTA[[#This Row],[HARGA SATUAN]])</f>
        <v/>
      </c>
      <c r="AG993" s="36" t="str">
        <f ca="1">IF(NOTA[[#This Row],[ID_H]]="","",INDEX(NOTA[TANGGAL],MATCH(,INDIRECT(ADDRESS(ROW(NOTA[TANGGAL]),COLUMN(NOTA[TANGGAL]))&amp;":"&amp;ADDRESS(ROW(),COLUMN(NOTA[TANGGAL]))),-1)))</f>
        <v/>
      </c>
      <c r="AH993" s="36" t="str">
        <f ca="1">IF(NOTA[[#This Row],[ID_H]]="","",INDEX(NOTA[TGL.NOTA],MATCH(,INDIRECT(ADDRESS(ROW(NOTA[TGL.NOTA]),COLUMN(NOTA[TGL.NOTA]))&amp;":"&amp;ADDRESS(ROW(),COLUMN(NOTA[TGL.NOTA]))),-1)))</f>
        <v/>
      </c>
      <c r="AI993" s="36" t="str">
        <f ca="1">IF(NOTA[[#This Row],[ID_H]]="","",INDEX(NOTA[NO.NOTA],MATCH(NOTA[[#This Row],[ID_H]],NOTA[ID_H],0)))</f>
        <v/>
      </c>
      <c r="AJ993" s="38" t="str">
        <f ca="1">IF(NOTA[[#This Row],[NAMA BARANG]]="","",INDEX(NOTA[SUPPLIER],MATCH(,INDIRECT(ADDRESS(ROW(NOTA[ID]),COLUMN(NOTA[ID]))&amp;":"&amp;ADDRESS(ROW(),COLUMN(NOTA[ID]))),-1)))</f>
        <v/>
      </c>
      <c r="AK993" s="38" t="str">
        <f ca="1">IF(NOTA[[#This Row],[ID_H]]="","",IF(NOTA[[#This Row],[FAKTUR]]="",INDIRECT(ADDRESS(ROW()-1,COLUMN())),NOTA[[#This Row],[FAKTUR]]))</f>
        <v/>
      </c>
      <c r="AL993" s="35" t="str">
        <f ca="1">IF(NOTA[[#This Row],[ID]]="","",COUNTIF(NOTA[ID_H],NOTA[[#This Row],[ID_H]]))</f>
        <v/>
      </c>
      <c r="AM993" s="35" t="str">
        <f ca="1">IF(NOTA[[#This Row],[TGL.NOTA]]="",IF(NOTA[[#This Row],[SUPPLIER_H]]="","",AM992),MONTH(NOTA[[#This Row],[TGL.NOTA]]))</f>
        <v/>
      </c>
      <c r="AN99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3" s="35" t="str">
        <f>IF(NOTA[[#This Row],[CONCAT1]]="","",MATCH(NOTA[[#This Row],[CONCAT1]],[3]!db[NB NOTA_C],0))</f>
        <v/>
      </c>
      <c r="AS993" s="35" t="str">
        <f>IF(NOTA[[#This Row],[Column5]]="","",TRUE)</f>
        <v/>
      </c>
      <c r="AT993" s="35" t="str">
        <f ca="1">IF(NOTA[[#This Row],[ID_H]]="","",IF(NOTA[[#This Row],[Column3]]=TRUE,NOTA[[#This Row],[Column5]],INDEX([3]!db[QTY/ CTN],NOTA[[#This Row],[//DB]])))</f>
        <v/>
      </c>
      <c r="AU99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3" s="35" t="str">
        <f ca="1">IF(NOTA[[#This Row],[ID_H]]="","",MATCH(NOTA[[#This Row],[NB NOTA_C_QTY]],[3]!db[NB NOTA_C_QTY+F],0))</f>
        <v/>
      </c>
      <c r="AW993" s="43" t="str">
        <f ca="1">IF(NOTA[[#This Row],[NB NOTA_C_QTY]]="","",ROW()-2)</f>
        <v/>
      </c>
    </row>
    <row r="994" spans="1:49" ht="20.100000000000001" customHeight="1">
      <c r="A99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5" t="str">
        <f ca="1">IF(NOTA[[#This Row],[NAMA BARANG]]="","",INDEX(NOTA[ID],MATCH(,INDIRECT(ADDRESS(ROW(NOTA[ID]),COLUMN(NOTA[ID]))&amp;":"&amp;ADDRESS(ROW(),COLUMN(NOTA[ID]))),-1)))</f>
        <v/>
      </c>
      <c r="C994" s="45"/>
      <c r="F994" s="46"/>
      <c r="G994" s="35"/>
      <c r="H994" s="36"/>
      <c r="I994" s="35"/>
      <c r="K994" s="37"/>
      <c r="L994" s="35"/>
      <c r="N994" s="38"/>
      <c r="O994" s="39"/>
      <c r="P994" s="47"/>
      <c r="Q994" s="48"/>
      <c r="R994" s="41"/>
      <c r="T994" s="42"/>
      <c r="U994" s="44"/>
      <c r="V994" s="42" t="str">
        <f>IF(NOTA[[#This Row],[HARGA/ CTN]]="",NOTA[[#This Row],[JUMLAH_H]],NOTA[[#This Row],[HARGA/ CTN]]*IF(NOTA[[#This Row],[C]]="",0,NOTA[[#This Row],[C]]))</f>
        <v/>
      </c>
      <c r="W994" s="42" t="str">
        <f>IF(NOTA[[#This Row],[JUMLAH]]="","",NOTA[[#This Row],[JUMLAH]]*NOTA[[#This Row],[Column6]])</f>
        <v/>
      </c>
      <c r="X994" s="42" t="str">
        <f>IF(NOTA[[#This Row],[JUMLAH]]="","",(NOTA[[#This Row],[JUMLAH]]-NOTA[[#This Row],[DISC 1-]])*NOTA[[#This Row],[Column7]])</f>
        <v/>
      </c>
      <c r="Y994" s="42" t="str">
        <f>IF(NOTA[[#This Row],[JUMLAH]]="","",(NOTA[[#This Row],[JUMLAH]]-NOTA[[#This Row],[DISC 1-]]-NOTA[[#This Row],[DISC 2-]])*NOTA[[#This Row],[Column8]])</f>
        <v/>
      </c>
      <c r="Z994" s="42" t="str">
        <f>IF(NOTA[[#This Row],[JUMLAH]]="","",NOTA[[#This Row],[DISC 1-]]+NOTA[[#This Row],[DISC 2-]]+NOTA[[#This Row],[DISC 3-]])</f>
        <v/>
      </c>
      <c r="AA994" s="42" t="str">
        <f>IF(NOTA[[#This Row],[JUMLAH]]="","",NOTA[[#This Row],[JUMLAH]]-NOTA[[#This Row],[DISC]])</f>
        <v/>
      </c>
      <c r="AB994" s="42"/>
      <c r="AC9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42" t="str">
        <f>IF(OR(NOTA[[#This Row],[QTY]]="",NOTA[[#This Row],[HARGA SATUAN]]="",),"",NOTA[[#This Row],[QTY]]*NOTA[[#This Row],[HARGA SATUAN]])</f>
        <v/>
      </c>
      <c r="AG994" s="36" t="str">
        <f ca="1">IF(NOTA[[#This Row],[ID_H]]="","",INDEX(NOTA[TANGGAL],MATCH(,INDIRECT(ADDRESS(ROW(NOTA[TANGGAL]),COLUMN(NOTA[TANGGAL]))&amp;":"&amp;ADDRESS(ROW(),COLUMN(NOTA[TANGGAL]))),-1)))</f>
        <v/>
      </c>
      <c r="AH994" s="36" t="str">
        <f ca="1">IF(NOTA[[#This Row],[ID_H]]="","",INDEX(NOTA[TGL.NOTA],MATCH(,INDIRECT(ADDRESS(ROW(NOTA[TGL.NOTA]),COLUMN(NOTA[TGL.NOTA]))&amp;":"&amp;ADDRESS(ROW(),COLUMN(NOTA[TGL.NOTA]))),-1)))</f>
        <v/>
      </c>
      <c r="AI994" s="36" t="str">
        <f ca="1">IF(NOTA[[#This Row],[ID_H]]="","",INDEX(NOTA[NO.NOTA],MATCH(NOTA[[#This Row],[ID_H]],NOTA[ID_H],0)))</f>
        <v/>
      </c>
      <c r="AJ994" s="38" t="str">
        <f ca="1">IF(NOTA[[#This Row],[NAMA BARANG]]="","",INDEX(NOTA[SUPPLIER],MATCH(,INDIRECT(ADDRESS(ROW(NOTA[ID]),COLUMN(NOTA[ID]))&amp;":"&amp;ADDRESS(ROW(),COLUMN(NOTA[ID]))),-1)))</f>
        <v/>
      </c>
      <c r="AK994" s="38" t="str">
        <f ca="1">IF(NOTA[[#This Row],[ID_H]]="","",IF(NOTA[[#This Row],[FAKTUR]]="",INDIRECT(ADDRESS(ROW()-1,COLUMN())),NOTA[[#This Row],[FAKTUR]]))</f>
        <v/>
      </c>
      <c r="AL994" s="35" t="str">
        <f ca="1">IF(NOTA[[#This Row],[ID]]="","",COUNTIF(NOTA[ID_H],NOTA[[#This Row],[ID_H]]))</f>
        <v/>
      </c>
      <c r="AM994" s="35" t="str">
        <f ca="1">IF(NOTA[[#This Row],[TGL.NOTA]]="",IF(NOTA[[#This Row],[SUPPLIER_H]]="","",AM993),MONTH(NOTA[[#This Row],[TGL.NOTA]]))</f>
        <v/>
      </c>
      <c r="AN99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4" s="35" t="str">
        <f>IF(NOTA[[#This Row],[CONCAT1]]="","",MATCH(NOTA[[#This Row],[CONCAT1]],[3]!db[NB NOTA_C],0))</f>
        <v/>
      </c>
      <c r="AS994" s="35" t="str">
        <f>IF(NOTA[[#This Row],[Column5]]="","",TRUE)</f>
        <v/>
      </c>
      <c r="AT994" s="35" t="str">
        <f ca="1">IF(NOTA[[#This Row],[ID_H]]="","",IF(NOTA[[#This Row],[Column3]]=TRUE,NOTA[[#This Row],[Column5]],INDEX([3]!db[QTY/ CTN],NOTA[[#This Row],[//DB]])))</f>
        <v/>
      </c>
      <c r="AU99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4" s="35" t="str">
        <f ca="1">IF(NOTA[[#This Row],[ID_H]]="","",MATCH(NOTA[[#This Row],[NB NOTA_C_QTY]],[3]!db[NB NOTA_C_QTY+F],0))</f>
        <v/>
      </c>
      <c r="AW994" s="43" t="str">
        <f ca="1">IF(NOTA[[#This Row],[NB NOTA_C_QTY]]="","",ROW()-2)</f>
        <v/>
      </c>
    </row>
    <row r="995" spans="1:49" ht="20.100000000000001" customHeight="1">
      <c r="A99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5" t="str">
        <f ca="1">IF(NOTA[[#This Row],[NAMA BARANG]]="","",INDEX(NOTA[ID],MATCH(,INDIRECT(ADDRESS(ROW(NOTA[ID]),COLUMN(NOTA[ID]))&amp;":"&amp;ADDRESS(ROW(),COLUMN(NOTA[ID]))),-1)))</f>
        <v/>
      </c>
      <c r="C995" s="45"/>
      <c r="F995" s="46"/>
      <c r="G995" s="35"/>
      <c r="H995" s="36"/>
      <c r="I995" s="35"/>
      <c r="K995" s="37"/>
      <c r="L995" s="35"/>
      <c r="N995" s="38"/>
      <c r="O995" s="39"/>
      <c r="P995" s="47"/>
      <c r="Q995" s="48"/>
      <c r="R995" s="41"/>
      <c r="T995" s="42"/>
      <c r="U995" s="44"/>
      <c r="V995" s="42" t="str">
        <f>IF(NOTA[[#This Row],[HARGA/ CTN]]="",NOTA[[#This Row],[JUMLAH_H]],NOTA[[#This Row],[HARGA/ CTN]]*IF(NOTA[[#This Row],[C]]="",0,NOTA[[#This Row],[C]]))</f>
        <v/>
      </c>
      <c r="W995" s="42" t="str">
        <f>IF(NOTA[[#This Row],[JUMLAH]]="","",NOTA[[#This Row],[JUMLAH]]*NOTA[[#This Row],[Column6]])</f>
        <v/>
      </c>
      <c r="X995" s="42" t="str">
        <f>IF(NOTA[[#This Row],[JUMLAH]]="","",(NOTA[[#This Row],[JUMLAH]]-NOTA[[#This Row],[DISC 1-]])*NOTA[[#This Row],[Column7]])</f>
        <v/>
      </c>
      <c r="Y995" s="42" t="str">
        <f>IF(NOTA[[#This Row],[JUMLAH]]="","",(NOTA[[#This Row],[JUMLAH]]-NOTA[[#This Row],[DISC 1-]]-NOTA[[#This Row],[DISC 2-]])*NOTA[[#This Row],[Column8]])</f>
        <v/>
      </c>
      <c r="Z995" s="42" t="str">
        <f>IF(NOTA[[#This Row],[JUMLAH]]="","",NOTA[[#This Row],[DISC 1-]]+NOTA[[#This Row],[DISC 2-]]+NOTA[[#This Row],[DISC 3-]])</f>
        <v/>
      </c>
      <c r="AA995" s="42" t="str">
        <f>IF(NOTA[[#This Row],[JUMLAH]]="","",NOTA[[#This Row],[JUMLAH]]-NOTA[[#This Row],[DISC]])</f>
        <v/>
      </c>
      <c r="AB995" s="42"/>
      <c r="AC9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42" t="str">
        <f>IF(OR(NOTA[[#This Row],[QTY]]="",NOTA[[#This Row],[HARGA SATUAN]]="",),"",NOTA[[#This Row],[QTY]]*NOTA[[#This Row],[HARGA SATUAN]])</f>
        <v/>
      </c>
      <c r="AG995" s="36" t="str">
        <f ca="1">IF(NOTA[[#This Row],[ID_H]]="","",INDEX(NOTA[TANGGAL],MATCH(,INDIRECT(ADDRESS(ROW(NOTA[TANGGAL]),COLUMN(NOTA[TANGGAL]))&amp;":"&amp;ADDRESS(ROW(),COLUMN(NOTA[TANGGAL]))),-1)))</f>
        <v/>
      </c>
      <c r="AH995" s="36" t="str">
        <f ca="1">IF(NOTA[[#This Row],[ID_H]]="","",INDEX(NOTA[TGL.NOTA],MATCH(,INDIRECT(ADDRESS(ROW(NOTA[TGL.NOTA]),COLUMN(NOTA[TGL.NOTA]))&amp;":"&amp;ADDRESS(ROW(),COLUMN(NOTA[TGL.NOTA]))),-1)))</f>
        <v/>
      </c>
      <c r="AI995" s="36" t="str">
        <f ca="1">IF(NOTA[[#This Row],[ID_H]]="","",INDEX(NOTA[NO.NOTA],MATCH(NOTA[[#This Row],[ID_H]],NOTA[ID_H],0)))</f>
        <v/>
      </c>
      <c r="AJ995" s="38" t="str">
        <f ca="1">IF(NOTA[[#This Row],[NAMA BARANG]]="","",INDEX(NOTA[SUPPLIER],MATCH(,INDIRECT(ADDRESS(ROW(NOTA[ID]),COLUMN(NOTA[ID]))&amp;":"&amp;ADDRESS(ROW(),COLUMN(NOTA[ID]))),-1)))</f>
        <v/>
      </c>
      <c r="AK995" s="38" t="str">
        <f ca="1">IF(NOTA[[#This Row],[ID_H]]="","",IF(NOTA[[#This Row],[FAKTUR]]="",INDIRECT(ADDRESS(ROW()-1,COLUMN())),NOTA[[#This Row],[FAKTUR]]))</f>
        <v/>
      </c>
      <c r="AL995" s="35" t="str">
        <f ca="1">IF(NOTA[[#This Row],[ID]]="","",COUNTIF(NOTA[ID_H],NOTA[[#This Row],[ID_H]]))</f>
        <v/>
      </c>
      <c r="AM995" s="35" t="str">
        <f ca="1">IF(NOTA[[#This Row],[TGL.NOTA]]="",IF(NOTA[[#This Row],[SUPPLIER_H]]="","",AM994),MONTH(NOTA[[#This Row],[TGL.NOTA]]))</f>
        <v/>
      </c>
      <c r="AN99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5" s="35" t="str">
        <f>IF(NOTA[[#This Row],[CONCAT1]]="","",MATCH(NOTA[[#This Row],[CONCAT1]],[3]!db[NB NOTA_C],0))</f>
        <v/>
      </c>
      <c r="AS995" s="35" t="str">
        <f>IF(NOTA[[#This Row],[Column5]]="","",TRUE)</f>
        <v/>
      </c>
      <c r="AT995" s="35" t="str">
        <f ca="1">IF(NOTA[[#This Row],[ID_H]]="","",IF(NOTA[[#This Row],[Column3]]=TRUE,NOTA[[#This Row],[Column5]],INDEX([3]!db[QTY/ CTN],NOTA[[#This Row],[//DB]])))</f>
        <v/>
      </c>
      <c r="AU99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5" s="35" t="str">
        <f ca="1">IF(NOTA[[#This Row],[ID_H]]="","",MATCH(NOTA[[#This Row],[NB NOTA_C_QTY]],[3]!db[NB NOTA_C_QTY+F],0))</f>
        <v/>
      </c>
      <c r="AW995" s="43" t="str">
        <f ca="1">IF(NOTA[[#This Row],[NB NOTA_C_QTY]]="","",ROW()-2)</f>
        <v/>
      </c>
    </row>
    <row r="996" spans="1:49" ht="20.100000000000001" customHeight="1">
      <c r="A99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5" t="str">
        <f ca="1">IF(NOTA[[#This Row],[NAMA BARANG]]="","",INDEX(NOTA[ID],MATCH(,INDIRECT(ADDRESS(ROW(NOTA[ID]),COLUMN(NOTA[ID]))&amp;":"&amp;ADDRESS(ROW(),COLUMN(NOTA[ID]))),-1)))</f>
        <v/>
      </c>
      <c r="C996" s="45"/>
      <c r="F996" s="46"/>
      <c r="G996" s="35"/>
      <c r="H996" s="36"/>
      <c r="I996" s="35"/>
      <c r="K996" s="37"/>
      <c r="L996" s="35"/>
      <c r="N996" s="38"/>
      <c r="O996" s="39"/>
      <c r="P996" s="47"/>
      <c r="Q996" s="48"/>
      <c r="R996" s="41"/>
      <c r="T996" s="42"/>
      <c r="U996" s="44"/>
      <c r="V996" s="42" t="str">
        <f>IF(NOTA[[#This Row],[HARGA/ CTN]]="",NOTA[[#This Row],[JUMLAH_H]],NOTA[[#This Row],[HARGA/ CTN]]*IF(NOTA[[#This Row],[C]]="",0,NOTA[[#This Row],[C]]))</f>
        <v/>
      </c>
      <c r="W996" s="42" t="str">
        <f>IF(NOTA[[#This Row],[JUMLAH]]="","",NOTA[[#This Row],[JUMLAH]]*NOTA[[#This Row],[Column6]])</f>
        <v/>
      </c>
      <c r="X996" s="42" t="str">
        <f>IF(NOTA[[#This Row],[JUMLAH]]="","",(NOTA[[#This Row],[JUMLAH]]-NOTA[[#This Row],[DISC 1-]])*NOTA[[#This Row],[Column7]])</f>
        <v/>
      </c>
      <c r="Y996" s="42" t="str">
        <f>IF(NOTA[[#This Row],[JUMLAH]]="","",(NOTA[[#This Row],[JUMLAH]]-NOTA[[#This Row],[DISC 1-]]-NOTA[[#This Row],[DISC 2-]])*NOTA[[#This Row],[Column8]])</f>
        <v/>
      </c>
      <c r="Z996" s="42" t="str">
        <f>IF(NOTA[[#This Row],[JUMLAH]]="","",NOTA[[#This Row],[DISC 1-]]+NOTA[[#This Row],[DISC 2-]]+NOTA[[#This Row],[DISC 3-]])</f>
        <v/>
      </c>
      <c r="AA996" s="42" t="str">
        <f>IF(NOTA[[#This Row],[JUMLAH]]="","",NOTA[[#This Row],[JUMLAH]]-NOTA[[#This Row],[DISC]])</f>
        <v/>
      </c>
      <c r="AB996" s="42"/>
      <c r="AC9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42" t="str">
        <f>IF(OR(NOTA[[#This Row],[QTY]]="",NOTA[[#This Row],[HARGA SATUAN]]="",),"",NOTA[[#This Row],[QTY]]*NOTA[[#This Row],[HARGA SATUAN]])</f>
        <v/>
      </c>
      <c r="AG996" s="36" t="str">
        <f ca="1">IF(NOTA[[#This Row],[ID_H]]="","",INDEX(NOTA[TANGGAL],MATCH(,INDIRECT(ADDRESS(ROW(NOTA[TANGGAL]),COLUMN(NOTA[TANGGAL]))&amp;":"&amp;ADDRESS(ROW(),COLUMN(NOTA[TANGGAL]))),-1)))</f>
        <v/>
      </c>
      <c r="AH996" s="36" t="str">
        <f ca="1">IF(NOTA[[#This Row],[ID_H]]="","",INDEX(NOTA[TGL.NOTA],MATCH(,INDIRECT(ADDRESS(ROW(NOTA[TGL.NOTA]),COLUMN(NOTA[TGL.NOTA]))&amp;":"&amp;ADDRESS(ROW(),COLUMN(NOTA[TGL.NOTA]))),-1)))</f>
        <v/>
      </c>
      <c r="AI996" s="36" t="str">
        <f ca="1">IF(NOTA[[#This Row],[ID_H]]="","",INDEX(NOTA[NO.NOTA],MATCH(NOTA[[#This Row],[ID_H]],NOTA[ID_H],0)))</f>
        <v/>
      </c>
      <c r="AJ996" s="38" t="str">
        <f ca="1">IF(NOTA[[#This Row],[NAMA BARANG]]="","",INDEX(NOTA[SUPPLIER],MATCH(,INDIRECT(ADDRESS(ROW(NOTA[ID]),COLUMN(NOTA[ID]))&amp;":"&amp;ADDRESS(ROW(),COLUMN(NOTA[ID]))),-1)))</f>
        <v/>
      </c>
      <c r="AK996" s="38" t="str">
        <f ca="1">IF(NOTA[[#This Row],[ID_H]]="","",IF(NOTA[[#This Row],[FAKTUR]]="",INDIRECT(ADDRESS(ROW()-1,COLUMN())),NOTA[[#This Row],[FAKTUR]]))</f>
        <v/>
      </c>
      <c r="AL996" s="35" t="str">
        <f ca="1">IF(NOTA[[#This Row],[ID]]="","",COUNTIF(NOTA[ID_H],NOTA[[#This Row],[ID_H]]))</f>
        <v/>
      </c>
      <c r="AM996" s="35" t="str">
        <f ca="1">IF(NOTA[[#This Row],[TGL.NOTA]]="",IF(NOTA[[#This Row],[SUPPLIER_H]]="","",AM995),MONTH(NOTA[[#This Row],[TGL.NOTA]]))</f>
        <v/>
      </c>
      <c r="AN99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6" s="35" t="str">
        <f>IF(NOTA[[#This Row],[CONCAT1]]="","",MATCH(NOTA[[#This Row],[CONCAT1]],[3]!db[NB NOTA_C],0))</f>
        <v/>
      </c>
      <c r="AS996" s="35" t="str">
        <f>IF(NOTA[[#This Row],[Column5]]="","",TRUE)</f>
        <v/>
      </c>
      <c r="AT996" s="35" t="str">
        <f ca="1">IF(NOTA[[#This Row],[ID_H]]="","",IF(NOTA[[#This Row],[Column3]]=TRUE,NOTA[[#This Row],[Column5]],INDEX([3]!db[QTY/ CTN],NOTA[[#This Row],[//DB]])))</f>
        <v/>
      </c>
      <c r="AU99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6" s="35" t="str">
        <f ca="1">IF(NOTA[[#This Row],[ID_H]]="","",MATCH(NOTA[[#This Row],[NB NOTA_C_QTY]],[3]!db[NB NOTA_C_QTY+F],0))</f>
        <v/>
      </c>
      <c r="AW996" s="43" t="str">
        <f ca="1">IF(NOTA[[#This Row],[NB NOTA_C_QTY]]="","",ROW()-2)</f>
        <v/>
      </c>
    </row>
    <row r="997" spans="1:49" ht="20.100000000000001" customHeight="1">
      <c r="A99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5" t="str">
        <f ca="1">IF(NOTA[[#This Row],[NAMA BARANG]]="","",INDEX(NOTA[ID],MATCH(,INDIRECT(ADDRESS(ROW(NOTA[ID]),COLUMN(NOTA[ID]))&amp;":"&amp;ADDRESS(ROW(),COLUMN(NOTA[ID]))),-1)))</f>
        <v/>
      </c>
      <c r="C997" s="45"/>
      <c r="F997" s="46"/>
      <c r="G997" s="35"/>
      <c r="H997" s="36"/>
      <c r="I997" s="35"/>
      <c r="K997" s="37"/>
      <c r="L997" s="35"/>
      <c r="N997" s="38"/>
      <c r="O997" s="39"/>
      <c r="P997" s="47"/>
      <c r="Q997" s="48"/>
      <c r="R997" s="41"/>
      <c r="T997" s="42"/>
      <c r="U997" s="44"/>
      <c r="V997" s="42" t="str">
        <f>IF(NOTA[[#This Row],[HARGA/ CTN]]="",NOTA[[#This Row],[JUMLAH_H]],NOTA[[#This Row],[HARGA/ CTN]]*IF(NOTA[[#This Row],[C]]="",0,NOTA[[#This Row],[C]]))</f>
        <v/>
      </c>
      <c r="W997" s="42" t="str">
        <f>IF(NOTA[[#This Row],[JUMLAH]]="","",NOTA[[#This Row],[JUMLAH]]*NOTA[[#This Row],[Column6]])</f>
        <v/>
      </c>
      <c r="X997" s="42" t="str">
        <f>IF(NOTA[[#This Row],[JUMLAH]]="","",(NOTA[[#This Row],[JUMLAH]]-NOTA[[#This Row],[DISC 1-]])*NOTA[[#This Row],[Column7]])</f>
        <v/>
      </c>
      <c r="Y997" s="42" t="str">
        <f>IF(NOTA[[#This Row],[JUMLAH]]="","",(NOTA[[#This Row],[JUMLAH]]-NOTA[[#This Row],[DISC 1-]]-NOTA[[#This Row],[DISC 2-]])*NOTA[[#This Row],[Column8]])</f>
        <v/>
      </c>
      <c r="Z997" s="42" t="str">
        <f>IF(NOTA[[#This Row],[JUMLAH]]="","",NOTA[[#This Row],[DISC 1-]]+NOTA[[#This Row],[DISC 2-]]+NOTA[[#This Row],[DISC 3-]])</f>
        <v/>
      </c>
      <c r="AA997" s="42" t="str">
        <f>IF(NOTA[[#This Row],[JUMLAH]]="","",NOTA[[#This Row],[JUMLAH]]-NOTA[[#This Row],[DISC]])</f>
        <v/>
      </c>
      <c r="AB997" s="42"/>
      <c r="AC9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42" t="str">
        <f>IF(OR(NOTA[[#This Row],[QTY]]="",NOTA[[#This Row],[HARGA SATUAN]]="",),"",NOTA[[#This Row],[QTY]]*NOTA[[#This Row],[HARGA SATUAN]])</f>
        <v/>
      </c>
      <c r="AG997" s="36" t="str">
        <f ca="1">IF(NOTA[[#This Row],[ID_H]]="","",INDEX(NOTA[TANGGAL],MATCH(,INDIRECT(ADDRESS(ROW(NOTA[TANGGAL]),COLUMN(NOTA[TANGGAL]))&amp;":"&amp;ADDRESS(ROW(),COLUMN(NOTA[TANGGAL]))),-1)))</f>
        <v/>
      </c>
      <c r="AH997" s="36" t="str">
        <f ca="1">IF(NOTA[[#This Row],[ID_H]]="","",INDEX(NOTA[TGL.NOTA],MATCH(,INDIRECT(ADDRESS(ROW(NOTA[TGL.NOTA]),COLUMN(NOTA[TGL.NOTA]))&amp;":"&amp;ADDRESS(ROW(),COLUMN(NOTA[TGL.NOTA]))),-1)))</f>
        <v/>
      </c>
      <c r="AI997" s="36" t="str">
        <f ca="1">IF(NOTA[[#This Row],[ID_H]]="","",INDEX(NOTA[NO.NOTA],MATCH(NOTA[[#This Row],[ID_H]],NOTA[ID_H],0)))</f>
        <v/>
      </c>
      <c r="AJ997" s="38" t="str">
        <f ca="1">IF(NOTA[[#This Row],[NAMA BARANG]]="","",INDEX(NOTA[SUPPLIER],MATCH(,INDIRECT(ADDRESS(ROW(NOTA[ID]),COLUMN(NOTA[ID]))&amp;":"&amp;ADDRESS(ROW(),COLUMN(NOTA[ID]))),-1)))</f>
        <v/>
      </c>
      <c r="AK997" s="38" t="str">
        <f ca="1">IF(NOTA[[#This Row],[ID_H]]="","",IF(NOTA[[#This Row],[FAKTUR]]="",INDIRECT(ADDRESS(ROW()-1,COLUMN())),NOTA[[#This Row],[FAKTUR]]))</f>
        <v/>
      </c>
      <c r="AL997" s="35" t="str">
        <f ca="1">IF(NOTA[[#This Row],[ID]]="","",COUNTIF(NOTA[ID_H],NOTA[[#This Row],[ID_H]]))</f>
        <v/>
      </c>
      <c r="AM997" s="35" t="str">
        <f ca="1">IF(NOTA[[#This Row],[TGL.NOTA]]="",IF(NOTA[[#This Row],[SUPPLIER_H]]="","",AM996),MONTH(NOTA[[#This Row],[TGL.NOTA]]))</f>
        <v/>
      </c>
      <c r="AN99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7" s="35" t="str">
        <f>IF(NOTA[[#This Row],[CONCAT1]]="","",MATCH(NOTA[[#This Row],[CONCAT1]],[3]!db[NB NOTA_C],0))</f>
        <v/>
      </c>
      <c r="AS997" s="35" t="str">
        <f>IF(NOTA[[#This Row],[Column5]]="","",TRUE)</f>
        <v/>
      </c>
      <c r="AT997" s="35" t="str">
        <f ca="1">IF(NOTA[[#This Row],[ID_H]]="","",IF(NOTA[[#This Row],[Column3]]=TRUE,NOTA[[#This Row],[Column5]],INDEX([3]!db[QTY/ CTN],NOTA[[#This Row],[//DB]])))</f>
        <v/>
      </c>
      <c r="AU99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7" s="35" t="str">
        <f ca="1">IF(NOTA[[#This Row],[ID_H]]="","",MATCH(NOTA[[#This Row],[NB NOTA_C_QTY]],[3]!db[NB NOTA_C_QTY+F],0))</f>
        <v/>
      </c>
      <c r="AW997" s="43" t="str">
        <f ca="1">IF(NOTA[[#This Row],[NB NOTA_C_QTY]]="","",ROW()-2)</f>
        <v/>
      </c>
    </row>
    <row r="998" spans="1:49" ht="20.100000000000001" customHeight="1">
      <c r="A99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5" t="str">
        <f ca="1">IF(NOTA[[#This Row],[NAMA BARANG]]="","",INDEX(NOTA[ID],MATCH(,INDIRECT(ADDRESS(ROW(NOTA[ID]),COLUMN(NOTA[ID]))&amp;":"&amp;ADDRESS(ROW(),COLUMN(NOTA[ID]))),-1)))</f>
        <v/>
      </c>
      <c r="C998" s="45"/>
      <c r="F998" s="46"/>
      <c r="G998" s="35"/>
      <c r="H998" s="36"/>
      <c r="I998" s="35"/>
      <c r="K998" s="37"/>
      <c r="L998" s="35"/>
      <c r="N998" s="38"/>
      <c r="O998" s="39"/>
      <c r="P998" s="47"/>
      <c r="Q998" s="48"/>
      <c r="R998" s="41"/>
      <c r="T998" s="42"/>
      <c r="U998" s="44"/>
      <c r="V998" s="42" t="str">
        <f>IF(NOTA[[#This Row],[HARGA/ CTN]]="",NOTA[[#This Row],[JUMLAH_H]],NOTA[[#This Row],[HARGA/ CTN]]*IF(NOTA[[#This Row],[C]]="",0,NOTA[[#This Row],[C]]))</f>
        <v/>
      </c>
      <c r="W998" s="42" t="str">
        <f>IF(NOTA[[#This Row],[JUMLAH]]="","",NOTA[[#This Row],[JUMLAH]]*NOTA[[#This Row],[Column6]])</f>
        <v/>
      </c>
      <c r="X998" s="42" t="str">
        <f>IF(NOTA[[#This Row],[JUMLAH]]="","",(NOTA[[#This Row],[JUMLAH]]-NOTA[[#This Row],[DISC 1-]])*NOTA[[#This Row],[Column7]])</f>
        <v/>
      </c>
      <c r="Y998" s="42" t="str">
        <f>IF(NOTA[[#This Row],[JUMLAH]]="","",(NOTA[[#This Row],[JUMLAH]]-NOTA[[#This Row],[DISC 1-]]-NOTA[[#This Row],[DISC 2-]])*NOTA[[#This Row],[Column8]])</f>
        <v/>
      </c>
      <c r="Z998" s="42" t="str">
        <f>IF(NOTA[[#This Row],[JUMLAH]]="","",NOTA[[#This Row],[DISC 1-]]+NOTA[[#This Row],[DISC 2-]]+NOTA[[#This Row],[DISC 3-]])</f>
        <v/>
      </c>
      <c r="AA998" s="42" t="str">
        <f>IF(NOTA[[#This Row],[JUMLAH]]="","",NOTA[[#This Row],[JUMLAH]]-NOTA[[#This Row],[DISC]])</f>
        <v/>
      </c>
      <c r="AB998" s="42"/>
      <c r="AC9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42" t="str">
        <f>IF(OR(NOTA[[#This Row],[QTY]]="",NOTA[[#This Row],[HARGA SATUAN]]="",),"",NOTA[[#This Row],[QTY]]*NOTA[[#This Row],[HARGA SATUAN]])</f>
        <v/>
      </c>
      <c r="AG998" s="36" t="str">
        <f ca="1">IF(NOTA[[#This Row],[ID_H]]="","",INDEX(NOTA[TANGGAL],MATCH(,INDIRECT(ADDRESS(ROW(NOTA[TANGGAL]),COLUMN(NOTA[TANGGAL]))&amp;":"&amp;ADDRESS(ROW(),COLUMN(NOTA[TANGGAL]))),-1)))</f>
        <v/>
      </c>
      <c r="AH998" s="36" t="str">
        <f ca="1">IF(NOTA[[#This Row],[ID_H]]="","",INDEX(NOTA[TGL.NOTA],MATCH(,INDIRECT(ADDRESS(ROW(NOTA[TGL.NOTA]),COLUMN(NOTA[TGL.NOTA]))&amp;":"&amp;ADDRESS(ROW(),COLUMN(NOTA[TGL.NOTA]))),-1)))</f>
        <v/>
      </c>
      <c r="AI998" s="36" t="str">
        <f ca="1">IF(NOTA[[#This Row],[ID_H]]="","",INDEX(NOTA[NO.NOTA],MATCH(NOTA[[#This Row],[ID_H]],NOTA[ID_H],0)))</f>
        <v/>
      </c>
      <c r="AJ998" s="38" t="str">
        <f ca="1">IF(NOTA[[#This Row],[NAMA BARANG]]="","",INDEX(NOTA[SUPPLIER],MATCH(,INDIRECT(ADDRESS(ROW(NOTA[ID]),COLUMN(NOTA[ID]))&amp;":"&amp;ADDRESS(ROW(),COLUMN(NOTA[ID]))),-1)))</f>
        <v/>
      </c>
      <c r="AK998" s="38" t="str">
        <f ca="1">IF(NOTA[[#This Row],[ID_H]]="","",IF(NOTA[[#This Row],[FAKTUR]]="",INDIRECT(ADDRESS(ROW()-1,COLUMN())),NOTA[[#This Row],[FAKTUR]]))</f>
        <v/>
      </c>
      <c r="AL998" s="35" t="str">
        <f ca="1">IF(NOTA[[#This Row],[ID]]="","",COUNTIF(NOTA[ID_H],NOTA[[#This Row],[ID_H]]))</f>
        <v/>
      </c>
      <c r="AM998" s="35" t="str">
        <f ca="1">IF(NOTA[[#This Row],[TGL.NOTA]]="",IF(NOTA[[#This Row],[SUPPLIER_H]]="","",AM997),MONTH(NOTA[[#This Row],[TGL.NOTA]]))</f>
        <v/>
      </c>
      <c r="AN99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8" s="35" t="str">
        <f>IF(NOTA[[#This Row],[CONCAT1]]="","",MATCH(NOTA[[#This Row],[CONCAT1]],[3]!db[NB NOTA_C],0))</f>
        <v/>
      </c>
      <c r="AS998" s="35" t="str">
        <f>IF(NOTA[[#This Row],[Column5]]="","",TRUE)</f>
        <v/>
      </c>
      <c r="AT998" s="35" t="str">
        <f ca="1">IF(NOTA[[#This Row],[ID_H]]="","",IF(NOTA[[#This Row],[Column3]]=TRUE,NOTA[[#This Row],[Column5]],INDEX([3]!db[QTY/ CTN],NOTA[[#This Row],[//DB]])))</f>
        <v/>
      </c>
      <c r="AU99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8" s="35" t="str">
        <f ca="1">IF(NOTA[[#This Row],[ID_H]]="","",MATCH(NOTA[[#This Row],[NB NOTA_C_QTY]],[3]!db[NB NOTA_C_QTY+F],0))</f>
        <v/>
      </c>
      <c r="AW998" s="43" t="str">
        <f ca="1">IF(NOTA[[#This Row],[NB NOTA_C_QTY]]="","",ROW()-2)</f>
        <v/>
      </c>
    </row>
    <row r="999" spans="1:49" ht="20.100000000000001" customHeight="1">
      <c r="A99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5" t="str">
        <f ca="1">IF(NOTA[[#This Row],[NAMA BARANG]]="","",INDEX(NOTA[ID],MATCH(,INDIRECT(ADDRESS(ROW(NOTA[ID]),COLUMN(NOTA[ID]))&amp;":"&amp;ADDRESS(ROW(),COLUMN(NOTA[ID]))),-1)))</f>
        <v/>
      </c>
      <c r="C999" s="45"/>
      <c r="F999" s="46"/>
      <c r="G999" s="35"/>
      <c r="H999" s="36"/>
      <c r="I999" s="35"/>
      <c r="K999" s="37"/>
      <c r="L999" s="35"/>
      <c r="N999" s="38"/>
      <c r="O999" s="39"/>
      <c r="P999" s="47"/>
      <c r="Q999" s="48"/>
      <c r="R999" s="41"/>
      <c r="T999" s="42"/>
      <c r="U999" s="44"/>
      <c r="V999" s="42" t="str">
        <f>IF(NOTA[[#This Row],[HARGA/ CTN]]="",NOTA[[#This Row],[JUMLAH_H]],NOTA[[#This Row],[HARGA/ CTN]]*IF(NOTA[[#This Row],[C]]="",0,NOTA[[#This Row],[C]]))</f>
        <v/>
      </c>
      <c r="W999" s="42" t="str">
        <f>IF(NOTA[[#This Row],[JUMLAH]]="","",NOTA[[#This Row],[JUMLAH]]*NOTA[[#This Row],[Column6]])</f>
        <v/>
      </c>
      <c r="X999" s="42" t="str">
        <f>IF(NOTA[[#This Row],[JUMLAH]]="","",(NOTA[[#This Row],[JUMLAH]]-NOTA[[#This Row],[DISC 1-]])*NOTA[[#This Row],[Column7]])</f>
        <v/>
      </c>
      <c r="Y999" s="42" t="str">
        <f>IF(NOTA[[#This Row],[JUMLAH]]="","",(NOTA[[#This Row],[JUMLAH]]-NOTA[[#This Row],[DISC 1-]]-NOTA[[#This Row],[DISC 2-]])*NOTA[[#This Row],[Column8]])</f>
        <v/>
      </c>
      <c r="Z999" s="42" t="str">
        <f>IF(NOTA[[#This Row],[JUMLAH]]="","",NOTA[[#This Row],[DISC 1-]]+NOTA[[#This Row],[DISC 2-]]+NOTA[[#This Row],[DISC 3-]])</f>
        <v/>
      </c>
      <c r="AA999" s="42" t="str">
        <f>IF(NOTA[[#This Row],[JUMLAH]]="","",NOTA[[#This Row],[JUMLAH]]-NOTA[[#This Row],[DISC]])</f>
        <v/>
      </c>
      <c r="AB999" s="42"/>
      <c r="AC9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99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99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42" t="str">
        <f>IF(OR(NOTA[[#This Row],[QTY]]="",NOTA[[#This Row],[HARGA SATUAN]]="",),"",NOTA[[#This Row],[QTY]]*NOTA[[#This Row],[HARGA SATUAN]])</f>
        <v/>
      </c>
      <c r="AG999" s="36" t="str">
        <f ca="1">IF(NOTA[[#This Row],[ID_H]]="","",INDEX(NOTA[TANGGAL],MATCH(,INDIRECT(ADDRESS(ROW(NOTA[TANGGAL]),COLUMN(NOTA[TANGGAL]))&amp;":"&amp;ADDRESS(ROW(),COLUMN(NOTA[TANGGAL]))),-1)))</f>
        <v/>
      </c>
      <c r="AH999" s="36" t="str">
        <f ca="1">IF(NOTA[[#This Row],[ID_H]]="","",INDEX(NOTA[TGL.NOTA],MATCH(,INDIRECT(ADDRESS(ROW(NOTA[TGL.NOTA]),COLUMN(NOTA[TGL.NOTA]))&amp;":"&amp;ADDRESS(ROW(),COLUMN(NOTA[TGL.NOTA]))),-1)))</f>
        <v/>
      </c>
      <c r="AI999" s="36" t="str">
        <f ca="1">IF(NOTA[[#This Row],[ID_H]]="","",INDEX(NOTA[NO.NOTA],MATCH(NOTA[[#This Row],[ID_H]],NOTA[ID_H],0)))</f>
        <v/>
      </c>
      <c r="AJ999" s="38" t="str">
        <f ca="1">IF(NOTA[[#This Row],[NAMA BARANG]]="","",INDEX(NOTA[SUPPLIER],MATCH(,INDIRECT(ADDRESS(ROW(NOTA[ID]),COLUMN(NOTA[ID]))&amp;":"&amp;ADDRESS(ROW(),COLUMN(NOTA[ID]))),-1)))</f>
        <v/>
      </c>
      <c r="AK999" s="38" t="str">
        <f ca="1">IF(NOTA[[#This Row],[ID_H]]="","",IF(NOTA[[#This Row],[FAKTUR]]="",INDIRECT(ADDRESS(ROW()-1,COLUMN())),NOTA[[#This Row],[FAKTUR]]))</f>
        <v/>
      </c>
      <c r="AL999" s="35" t="str">
        <f ca="1">IF(NOTA[[#This Row],[ID]]="","",COUNTIF(NOTA[ID_H],NOTA[[#This Row],[ID_H]]))</f>
        <v/>
      </c>
      <c r="AM999" s="35" t="str">
        <f ca="1">IF(NOTA[[#This Row],[TGL.NOTA]]="",IF(NOTA[[#This Row],[SUPPLIER_H]]="","",AM998),MONTH(NOTA[[#This Row],[TGL.NOTA]]))</f>
        <v/>
      </c>
      <c r="AN99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99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99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99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9" s="35" t="str">
        <f>IF(NOTA[[#This Row],[CONCAT1]]="","",MATCH(NOTA[[#This Row],[CONCAT1]],[3]!db[NB NOTA_C],0))</f>
        <v/>
      </c>
      <c r="AS999" s="35" t="str">
        <f>IF(NOTA[[#This Row],[Column5]]="","",TRUE)</f>
        <v/>
      </c>
      <c r="AT999" s="35" t="str">
        <f ca="1">IF(NOTA[[#This Row],[ID_H]]="","",IF(NOTA[[#This Row],[Column3]]=TRUE,NOTA[[#This Row],[Column5]],INDEX([3]!db[QTY/ CTN],NOTA[[#This Row],[//DB]])))</f>
        <v/>
      </c>
      <c r="AU99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999" s="35" t="str">
        <f ca="1">IF(NOTA[[#This Row],[ID_H]]="","",MATCH(NOTA[[#This Row],[NB NOTA_C_QTY]],[3]!db[NB NOTA_C_QTY+F],0))</f>
        <v/>
      </c>
      <c r="AW999" s="43" t="str">
        <f ca="1">IF(NOTA[[#This Row],[NB NOTA_C_QTY]]="","",ROW()-2)</f>
        <v/>
      </c>
    </row>
    <row r="1000" spans="1:49" ht="20.100000000000001" customHeight="1">
      <c r="A100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5" t="str">
        <f ca="1">IF(NOTA[[#This Row],[NAMA BARANG]]="","",INDEX(NOTA[ID],MATCH(,INDIRECT(ADDRESS(ROW(NOTA[ID]),COLUMN(NOTA[ID]))&amp;":"&amp;ADDRESS(ROW(),COLUMN(NOTA[ID]))),-1)))</f>
        <v/>
      </c>
      <c r="C1000" s="45"/>
      <c r="F1000" s="46"/>
      <c r="G1000" s="35"/>
      <c r="H1000" s="36"/>
      <c r="I1000" s="35"/>
      <c r="K1000" s="37"/>
      <c r="L1000" s="35"/>
      <c r="N1000" s="38"/>
      <c r="O1000" s="39"/>
      <c r="P1000" s="47"/>
      <c r="Q1000" s="48"/>
      <c r="R1000" s="41"/>
      <c r="T1000" s="42"/>
      <c r="U1000" s="44"/>
      <c r="V1000" s="42" t="str">
        <f>IF(NOTA[[#This Row],[HARGA/ CTN]]="",NOTA[[#This Row],[JUMLAH_H]],NOTA[[#This Row],[HARGA/ CTN]]*IF(NOTA[[#This Row],[C]]="",0,NOTA[[#This Row],[C]]))</f>
        <v/>
      </c>
      <c r="W1000" s="42" t="str">
        <f>IF(NOTA[[#This Row],[JUMLAH]]="","",NOTA[[#This Row],[JUMLAH]]*NOTA[[#This Row],[Column6]])</f>
        <v/>
      </c>
      <c r="X1000" s="42" t="str">
        <f>IF(NOTA[[#This Row],[JUMLAH]]="","",(NOTA[[#This Row],[JUMLAH]]-NOTA[[#This Row],[DISC 1-]])*NOTA[[#This Row],[Column7]])</f>
        <v/>
      </c>
      <c r="Y1000" s="42" t="str">
        <f>IF(NOTA[[#This Row],[JUMLAH]]="","",(NOTA[[#This Row],[JUMLAH]]-NOTA[[#This Row],[DISC 1-]]-NOTA[[#This Row],[DISC 2-]])*NOTA[[#This Row],[Column8]])</f>
        <v/>
      </c>
      <c r="Z1000" s="42" t="str">
        <f>IF(NOTA[[#This Row],[JUMLAH]]="","",NOTA[[#This Row],[DISC 1-]]+NOTA[[#This Row],[DISC 2-]]+NOTA[[#This Row],[DISC 3-]])</f>
        <v/>
      </c>
      <c r="AA1000" s="42" t="str">
        <f>IF(NOTA[[#This Row],[JUMLAH]]="","",NOTA[[#This Row],[JUMLAH]]-NOTA[[#This Row],[DISC]])</f>
        <v/>
      </c>
      <c r="AB1000" s="42"/>
      <c r="AC10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42" t="str">
        <f>IF(OR(NOTA[[#This Row],[QTY]]="",NOTA[[#This Row],[HARGA SATUAN]]="",),"",NOTA[[#This Row],[QTY]]*NOTA[[#This Row],[HARGA SATUAN]])</f>
        <v/>
      </c>
      <c r="AG1000" s="36" t="str">
        <f ca="1">IF(NOTA[[#This Row],[ID_H]]="","",INDEX(NOTA[TANGGAL],MATCH(,INDIRECT(ADDRESS(ROW(NOTA[TANGGAL]),COLUMN(NOTA[TANGGAL]))&amp;":"&amp;ADDRESS(ROW(),COLUMN(NOTA[TANGGAL]))),-1)))</f>
        <v/>
      </c>
      <c r="AH1000" s="36" t="str">
        <f ca="1">IF(NOTA[[#This Row],[ID_H]]="","",INDEX(NOTA[TGL.NOTA],MATCH(,INDIRECT(ADDRESS(ROW(NOTA[TGL.NOTA]),COLUMN(NOTA[TGL.NOTA]))&amp;":"&amp;ADDRESS(ROW(),COLUMN(NOTA[TGL.NOTA]))),-1)))</f>
        <v/>
      </c>
      <c r="AI1000" s="36" t="str">
        <f ca="1">IF(NOTA[[#This Row],[ID_H]]="","",INDEX(NOTA[NO.NOTA],MATCH(NOTA[[#This Row],[ID_H]],NOTA[ID_H],0)))</f>
        <v/>
      </c>
      <c r="AJ1000" s="38" t="str">
        <f ca="1">IF(NOTA[[#This Row],[NAMA BARANG]]="","",INDEX(NOTA[SUPPLIER],MATCH(,INDIRECT(ADDRESS(ROW(NOTA[ID]),COLUMN(NOTA[ID]))&amp;":"&amp;ADDRESS(ROW(),COLUMN(NOTA[ID]))),-1)))</f>
        <v/>
      </c>
      <c r="AK1000" s="38" t="str">
        <f ca="1">IF(NOTA[[#This Row],[ID_H]]="","",IF(NOTA[[#This Row],[FAKTUR]]="",INDIRECT(ADDRESS(ROW()-1,COLUMN())),NOTA[[#This Row],[FAKTUR]]))</f>
        <v/>
      </c>
      <c r="AL1000" s="35" t="str">
        <f ca="1">IF(NOTA[[#This Row],[ID]]="","",COUNTIF(NOTA[ID_H],NOTA[[#This Row],[ID_H]]))</f>
        <v/>
      </c>
      <c r="AM1000" s="35" t="str">
        <f ca="1">IF(NOTA[[#This Row],[TGL.NOTA]]="",IF(NOTA[[#This Row],[SUPPLIER_H]]="","",AM999),MONTH(NOTA[[#This Row],[TGL.NOTA]]))</f>
        <v/>
      </c>
      <c r="AN100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0" s="35" t="str">
        <f>IF(NOTA[[#This Row],[CONCAT1]]="","",MATCH(NOTA[[#This Row],[CONCAT1]],[3]!db[NB NOTA_C],0))</f>
        <v/>
      </c>
      <c r="AS1000" s="35" t="str">
        <f>IF(NOTA[[#This Row],[Column5]]="","",TRUE)</f>
        <v/>
      </c>
      <c r="AT1000" s="35" t="str">
        <f ca="1">IF(NOTA[[#This Row],[ID_H]]="","",IF(NOTA[[#This Row],[Column3]]=TRUE,NOTA[[#This Row],[Column5]],INDEX([3]!db[QTY/ CTN],NOTA[[#This Row],[//DB]])))</f>
        <v/>
      </c>
      <c r="AU100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0" s="35" t="str">
        <f ca="1">IF(NOTA[[#This Row],[ID_H]]="","",MATCH(NOTA[[#This Row],[NB NOTA_C_QTY]],[3]!db[NB NOTA_C_QTY+F],0))</f>
        <v/>
      </c>
      <c r="AW1000" s="43" t="str">
        <f ca="1">IF(NOTA[[#This Row],[NB NOTA_C_QTY]]="","",ROW()-2)</f>
        <v/>
      </c>
    </row>
    <row r="1001" spans="1:49" ht="20.100000000000001" customHeight="1">
      <c r="A100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5" t="str">
        <f ca="1">IF(NOTA[[#This Row],[NAMA BARANG]]="","",INDEX(NOTA[ID],MATCH(,INDIRECT(ADDRESS(ROW(NOTA[ID]),COLUMN(NOTA[ID]))&amp;":"&amp;ADDRESS(ROW(),COLUMN(NOTA[ID]))),-1)))</f>
        <v/>
      </c>
      <c r="C1001" s="45"/>
      <c r="F1001" s="46"/>
      <c r="G1001" s="35"/>
      <c r="H1001" s="36"/>
      <c r="I1001" s="35"/>
      <c r="K1001" s="37"/>
      <c r="L1001" s="35"/>
      <c r="N1001" s="38"/>
      <c r="O1001" s="39"/>
      <c r="P1001" s="47"/>
      <c r="Q1001" s="48"/>
      <c r="R1001" s="41"/>
      <c r="T1001" s="42"/>
      <c r="U1001" s="44"/>
      <c r="V1001" s="42" t="str">
        <f>IF(NOTA[[#This Row],[HARGA/ CTN]]="",NOTA[[#This Row],[JUMLAH_H]],NOTA[[#This Row],[HARGA/ CTN]]*IF(NOTA[[#This Row],[C]]="",0,NOTA[[#This Row],[C]]))</f>
        <v/>
      </c>
      <c r="W1001" s="42" t="str">
        <f>IF(NOTA[[#This Row],[JUMLAH]]="","",NOTA[[#This Row],[JUMLAH]]*NOTA[[#This Row],[Column6]])</f>
        <v/>
      </c>
      <c r="X1001" s="42" t="str">
        <f>IF(NOTA[[#This Row],[JUMLAH]]="","",(NOTA[[#This Row],[JUMLAH]]-NOTA[[#This Row],[DISC 1-]])*NOTA[[#This Row],[Column7]])</f>
        <v/>
      </c>
      <c r="Y1001" s="42" t="str">
        <f>IF(NOTA[[#This Row],[JUMLAH]]="","",(NOTA[[#This Row],[JUMLAH]]-NOTA[[#This Row],[DISC 1-]]-NOTA[[#This Row],[DISC 2-]])*NOTA[[#This Row],[Column8]])</f>
        <v/>
      </c>
      <c r="Z1001" s="42" t="str">
        <f>IF(NOTA[[#This Row],[JUMLAH]]="","",NOTA[[#This Row],[DISC 1-]]+NOTA[[#This Row],[DISC 2-]]+NOTA[[#This Row],[DISC 3-]])</f>
        <v/>
      </c>
      <c r="AA1001" s="42" t="str">
        <f>IF(NOTA[[#This Row],[JUMLAH]]="","",NOTA[[#This Row],[JUMLAH]]-NOTA[[#This Row],[DISC]])</f>
        <v/>
      </c>
      <c r="AB1001" s="42"/>
      <c r="AC10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42" t="str">
        <f>IF(OR(NOTA[[#This Row],[QTY]]="",NOTA[[#This Row],[HARGA SATUAN]]="",),"",NOTA[[#This Row],[QTY]]*NOTA[[#This Row],[HARGA SATUAN]])</f>
        <v/>
      </c>
      <c r="AG1001" s="36" t="str">
        <f ca="1">IF(NOTA[[#This Row],[ID_H]]="","",INDEX(NOTA[TANGGAL],MATCH(,INDIRECT(ADDRESS(ROW(NOTA[TANGGAL]),COLUMN(NOTA[TANGGAL]))&amp;":"&amp;ADDRESS(ROW(),COLUMN(NOTA[TANGGAL]))),-1)))</f>
        <v/>
      </c>
      <c r="AH1001" s="36" t="str">
        <f ca="1">IF(NOTA[[#This Row],[ID_H]]="","",INDEX(NOTA[TGL.NOTA],MATCH(,INDIRECT(ADDRESS(ROW(NOTA[TGL.NOTA]),COLUMN(NOTA[TGL.NOTA]))&amp;":"&amp;ADDRESS(ROW(),COLUMN(NOTA[TGL.NOTA]))),-1)))</f>
        <v/>
      </c>
      <c r="AI1001" s="36" t="str">
        <f ca="1">IF(NOTA[[#This Row],[ID_H]]="","",INDEX(NOTA[NO.NOTA],MATCH(NOTA[[#This Row],[ID_H]],NOTA[ID_H],0)))</f>
        <v/>
      </c>
      <c r="AJ1001" s="38" t="str">
        <f ca="1">IF(NOTA[[#This Row],[NAMA BARANG]]="","",INDEX(NOTA[SUPPLIER],MATCH(,INDIRECT(ADDRESS(ROW(NOTA[ID]),COLUMN(NOTA[ID]))&amp;":"&amp;ADDRESS(ROW(),COLUMN(NOTA[ID]))),-1)))</f>
        <v/>
      </c>
      <c r="AK1001" s="38" t="str">
        <f ca="1">IF(NOTA[[#This Row],[ID_H]]="","",IF(NOTA[[#This Row],[FAKTUR]]="",INDIRECT(ADDRESS(ROW()-1,COLUMN())),NOTA[[#This Row],[FAKTUR]]))</f>
        <v/>
      </c>
      <c r="AL1001" s="35" t="str">
        <f ca="1">IF(NOTA[[#This Row],[ID]]="","",COUNTIF(NOTA[ID_H],NOTA[[#This Row],[ID_H]]))</f>
        <v/>
      </c>
      <c r="AM1001" s="35" t="str">
        <f ca="1">IF(NOTA[[#This Row],[TGL.NOTA]]="",IF(NOTA[[#This Row],[SUPPLIER_H]]="","",AM1000),MONTH(NOTA[[#This Row],[TGL.NOTA]]))</f>
        <v/>
      </c>
      <c r="AN100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1" s="35" t="str">
        <f>IF(NOTA[[#This Row],[CONCAT1]]="","",MATCH(NOTA[[#This Row],[CONCAT1]],[3]!db[NB NOTA_C],0))</f>
        <v/>
      </c>
      <c r="AS1001" s="35" t="str">
        <f>IF(NOTA[[#This Row],[Column5]]="","",TRUE)</f>
        <v/>
      </c>
      <c r="AT1001" s="35" t="str">
        <f ca="1">IF(NOTA[[#This Row],[ID_H]]="","",IF(NOTA[[#This Row],[Column3]]=TRUE,NOTA[[#This Row],[Column5]],INDEX([3]!db[QTY/ CTN],NOTA[[#This Row],[//DB]])))</f>
        <v/>
      </c>
      <c r="AU100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1" s="35" t="str">
        <f ca="1">IF(NOTA[[#This Row],[ID_H]]="","",MATCH(NOTA[[#This Row],[NB NOTA_C_QTY]],[3]!db[NB NOTA_C_QTY+F],0))</f>
        <v/>
      </c>
      <c r="AW1001" s="43" t="str">
        <f ca="1">IF(NOTA[[#This Row],[NB NOTA_C_QTY]]="","",ROW()-2)</f>
        <v/>
      </c>
    </row>
    <row r="1002" spans="1:49" ht="20.100000000000001" customHeight="1">
      <c r="A100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5" t="str">
        <f ca="1">IF(NOTA[[#This Row],[NAMA BARANG]]="","",INDEX(NOTA[ID],MATCH(,INDIRECT(ADDRESS(ROW(NOTA[ID]),COLUMN(NOTA[ID]))&amp;":"&amp;ADDRESS(ROW(),COLUMN(NOTA[ID]))),-1)))</f>
        <v/>
      </c>
      <c r="C1002" s="45"/>
      <c r="F1002" s="46"/>
      <c r="G1002" s="35"/>
      <c r="H1002" s="36"/>
      <c r="I1002" s="35"/>
      <c r="K1002" s="37"/>
      <c r="L1002" s="35"/>
      <c r="N1002" s="38"/>
      <c r="O1002" s="39"/>
      <c r="P1002" s="47"/>
      <c r="Q1002" s="48"/>
      <c r="R1002" s="41"/>
      <c r="T1002" s="42"/>
      <c r="U1002" s="44"/>
      <c r="V1002" s="42" t="str">
        <f>IF(NOTA[[#This Row],[HARGA/ CTN]]="",NOTA[[#This Row],[JUMLAH_H]],NOTA[[#This Row],[HARGA/ CTN]]*IF(NOTA[[#This Row],[C]]="",0,NOTA[[#This Row],[C]]))</f>
        <v/>
      </c>
      <c r="W1002" s="42" t="str">
        <f>IF(NOTA[[#This Row],[JUMLAH]]="","",NOTA[[#This Row],[JUMLAH]]*NOTA[[#This Row],[Column6]])</f>
        <v/>
      </c>
      <c r="X1002" s="42" t="str">
        <f>IF(NOTA[[#This Row],[JUMLAH]]="","",(NOTA[[#This Row],[JUMLAH]]-NOTA[[#This Row],[DISC 1-]])*NOTA[[#This Row],[Column7]])</f>
        <v/>
      </c>
      <c r="Y1002" s="42" t="str">
        <f>IF(NOTA[[#This Row],[JUMLAH]]="","",(NOTA[[#This Row],[JUMLAH]]-NOTA[[#This Row],[DISC 1-]]-NOTA[[#This Row],[DISC 2-]])*NOTA[[#This Row],[Column8]])</f>
        <v/>
      </c>
      <c r="Z1002" s="42" t="str">
        <f>IF(NOTA[[#This Row],[JUMLAH]]="","",NOTA[[#This Row],[DISC 1-]]+NOTA[[#This Row],[DISC 2-]]+NOTA[[#This Row],[DISC 3-]])</f>
        <v/>
      </c>
      <c r="AA1002" s="42" t="str">
        <f>IF(NOTA[[#This Row],[JUMLAH]]="","",NOTA[[#This Row],[JUMLAH]]-NOTA[[#This Row],[DISC]])</f>
        <v/>
      </c>
      <c r="AB1002" s="42"/>
      <c r="AC10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42" t="str">
        <f>IF(OR(NOTA[[#This Row],[QTY]]="",NOTA[[#This Row],[HARGA SATUAN]]="",),"",NOTA[[#This Row],[QTY]]*NOTA[[#This Row],[HARGA SATUAN]])</f>
        <v/>
      </c>
      <c r="AG1002" s="36" t="str">
        <f ca="1">IF(NOTA[[#This Row],[ID_H]]="","",INDEX(NOTA[TANGGAL],MATCH(,INDIRECT(ADDRESS(ROW(NOTA[TANGGAL]),COLUMN(NOTA[TANGGAL]))&amp;":"&amp;ADDRESS(ROW(),COLUMN(NOTA[TANGGAL]))),-1)))</f>
        <v/>
      </c>
      <c r="AH1002" s="36" t="str">
        <f ca="1">IF(NOTA[[#This Row],[ID_H]]="","",INDEX(NOTA[TGL.NOTA],MATCH(,INDIRECT(ADDRESS(ROW(NOTA[TGL.NOTA]),COLUMN(NOTA[TGL.NOTA]))&amp;":"&amp;ADDRESS(ROW(),COLUMN(NOTA[TGL.NOTA]))),-1)))</f>
        <v/>
      </c>
      <c r="AI1002" s="36" t="str">
        <f ca="1">IF(NOTA[[#This Row],[ID_H]]="","",INDEX(NOTA[NO.NOTA],MATCH(NOTA[[#This Row],[ID_H]],NOTA[ID_H],0)))</f>
        <v/>
      </c>
      <c r="AJ1002" s="38" t="str">
        <f ca="1">IF(NOTA[[#This Row],[NAMA BARANG]]="","",INDEX(NOTA[SUPPLIER],MATCH(,INDIRECT(ADDRESS(ROW(NOTA[ID]),COLUMN(NOTA[ID]))&amp;":"&amp;ADDRESS(ROW(),COLUMN(NOTA[ID]))),-1)))</f>
        <v/>
      </c>
      <c r="AK1002" s="38" t="str">
        <f ca="1">IF(NOTA[[#This Row],[ID_H]]="","",IF(NOTA[[#This Row],[FAKTUR]]="",INDIRECT(ADDRESS(ROW()-1,COLUMN())),NOTA[[#This Row],[FAKTUR]]))</f>
        <v/>
      </c>
      <c r="AL1002" s="35" t="str">
        <f ca="1">IF(NOTA[[#This Row],[ID]]="","",COUNTIF(NOTA[ID_H],NOTA[[#This Row],[ID_H]]))</f>
        <v/>
      </c>
      <c r="AM1002" s="35" t="str">
        <f ca="1">IF(NOTA[[#This Row],[TGL.NOTA]]="",IF(NOTA[[#This Row],[SUPPLIER_H]]="","",AM1001),MONTH(NOTA[[#This Row],[TGL.NOTA]]))</f>
        <v/>
      </c>
      <c r="AN100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2" s="35" t="str">
        <f>IF(NOTA[[#This Row],[CONCAT1]]="","",MATCH(NOTA[[#This Row],[CONCAT1]],[3]!db[NB NOTA_C],0))</f>
        <v/>
      </c>
      <c r="AS1002" s="35" t="str">
        <f>IF(NOTA[[#This Row],[Column5]]="","",TRUE)</f>
        <v/>
      </c>
      <c r="AT1002" s="35" t="str">
        <f ca="1">IF(NOTA[[#This Row],[ID_H]]="","",IF(NOTA[[#This Row],[Column3]]=TRUE,NOTA[[#This Row],[Column5]],INDEX([3]!db[QTY/ CTN],NOTA[[#This Row],[//DB]])))</f>
        <v/>
      </c>
      <c r="AU100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2" s="35" t="str">
        <f ca="1">IF(NOTA[[#This Row],[ID_H]]="","",MATCH(NOTA[[#This Row],[NB NOTA_C_QTY]],[3]!db[NB NOTA_C_QTY+F],0))</f>
        <v/>
      </c>
      <c r="AW1002" s="43" t="str">
        <f ca="1">IF(NOTA[[#This Row],[NB NOTA_C_QTY]]="","",ROW()-2)</f>
        <v/>
      </c>
    </row>
    <row r="1003" spans="1:49" ht="20.100000000000001" customHeight="1">
      <c r="A1003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5" t="str">
        <f ca="1">IF(NOTA[[#This Row],[NAMA BARANG]]="","",INDEX(NOTA[ID],MATCH(,INDIRECT(ADDRESS(ROW(NOTA[ID]),COLUMN(NOTA[ID]))&amp;":"&amp;ADDRESS(ROW(),COLUMN(NOTA[ID]))),-1)))</f>
        <v/>
      </c>
      <c r="C1003" s="45"/>
      <c r="F1003" s="46"/>
      <c r="G1003" s="35"/>
      <c r="H1003" s="36"/>
      <c r="I1003" s="35"/>
      <c r="K1003" s="37"/>
      <c r="L1003" s="35"/>
      <c r="N1003" s="38"/>
      <c r="O1003" s="39"/>
      <c r="P1003" s="47"/>
      <c r="Q1003" s="48"/>
      <c r="R1003" s="41"/>
      <c r="T1003" s="42"/>
      <c r="U1003" s="44"/>
      <c r="V1003" s="42" t="str">
        <f>IF(NOTA[[#This Row],[HARGA/ CTN]]="",NOTA[[#This Row],[JUMLAH_H]],NOTA[[#This Row],[HARGA/ CTN]]*IF(NOTA[[#This Row],[C]]="",0,NOTA[[#This Row],[C]]))</f>
        <v/>
      </c>
      <c r="W1003" s="42" t="str">
        <f>IF(NOTA[[#This Row],[JUMLAH]]="","",NOTA[[#This Row],[JUMLAH]]*NOTA[[#This Row],[Column6]])</f>
        <v/>
      </c>
      <c r="X1003" s="42" t="str">
        <f>IF(NOTA[[#This Row],[JUMLAH]]="","",(NOTA[[#This Row],[JUMLAH]]-NOTA[[#This Row],[DISC 1-]])*NOTA[[#This Row],[Column7]])</f>
        <v/>
      </c>
      <c r="Y1003" s="42" t="str">
        <f>IF(NOTA[[#This Row],[JUMLAH]]="","",(NOTA[[#This Row],[JUMLAH]]-NOTA[[#This Row],[DISC 1-]]-NOTA[[#This Row],[DISC 2-]])*NOTA[[#This Row],[Column8]])</f>
        <v/>
      </c>
      <c r="Z1003" s="42" t="str">
        <f>IF(NOTA[[#This Row],[JUMLAH]]="","",NOTA[[#This Row],[DISC 1-]]+NOTA[[#This Row],[DISC 2-]]+NOTA[[#This Row],[DISC 3-]])</f>
        <v/>
      </c>
      <c r="AA1003" s="42" t="str">
        <f>IF(NOTA[[#This Row],[JUMLAH]]="","",NOTA[[#This Row],[JUMLAH]]-NOTA[[#This Row],[DISC]])</f>
        <v/>
      </c>
      <c r="AB1003" s="42"/>
      <c r="AC10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3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3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42" t="str">
        <f>IF(OR(NOTA[[#This Row],[QTY]]="",NOTA[[#This Row],[HARGA SATUAN]]="",),"",NOTA[[#This Row],[QTY]]*NOTA[[#This Row],[HARGA SATUAN]])</f>
        <v/>
      </c>
      <c r="AG1003" s="36" t="str">
        <f ca="1">IF(NOTA[[#This Row],[ID_H]]="","",INDEX(NOTA[TANGGAL],MATCH(,INDIRECT(ADDRESS(ROW(NOTA[TANGGAL]),COLUMN(NOTA[TANGGAL]))&amp;":"&amp;ADDRESS(ROW(),COLUMN(NOTA[TANGGAL]))),-1)))</f>
        <v/>
      </c>
      <c r="AH1003" s="36" t="str">
        <f ca="1">IF(NOTA[[#This Row],[ID_H]]="","",INDEX(NOTA[TGL.NOTA],MATCH(,INDIRECT(ADDRESS(ROW(NOTA[TGL.NOTA]),COLUMN(NOTA[TGL.NOTA]))&amp;":"&amp;ADDRESS(ROW(),COLUMN(NOTA[TGL.NOTA]))),-1)))</f>
        <v/>
      </c>
      <c r="AI1003" s="36" t="str">
        <f ca="1">IF(NOTA[[#This Row],[ID_H]]="","",INDEX(NOTA[NO.NOTA],MATCH(NOTA[[#This Row],[ID_H]],NOTA[ID_H],0)))</f>
        <v/>
      </c>
      <c r="AJ1003" s="38" t="str">
        <f ca="1">IF(NOTA[[#This Row],[NAMA BARANG]]="","",INDEX(NOTA[SUPPLIER],MATCH(,INDIRECT(ADDRESS(ROW(NOTA[ID]),COLUMN(NOTA[ID]))&amp;":"&amp;ADDRESS(ROW(),COLUMN(NOTA[ID]))),-1)))</f>
        <v/>
      </c>
      <c r="AK1003" s="38" t="str">
        <f ca="1">IF(NOTA[[#This Row],[ID_H]]="","",IF(NOTA[[#This Row],[FAKTUR]]="",INDIRECT(ADDRESS(ROW()-1,COLUMN())),NOTA[[#This Row],[FAKTUR]]))</f>
        <v/>
      </c>
      <c r="AL1003" s="35" t="str">
        <f ca="1">IF(NOTA[[#This Row],[ID]]="","",COUNTIF(NOTA[ID_H],NOTA[[#This Row],[ID_H]]))</f>
        <v/>
      </c>
      <c r="AM1003" s="35" t="str">
        <f ca="1">IF(NOTA[[#This Row],[TGL.NOTA]]="",IF(NOTA[[#This Row],[SUPPLIER_H]]="","",AM1002),MONTH(NOTA[[#This Row],[TGL.NOTA]]))</f>
        <v/>
      </c>
      <c r="AN1003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3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3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3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3" s="35" t="str">
        <f>IF(NOTA[[#This Row],[CONCAT1]]="","",MATCH(NOTA[[#This Row],[CONCAT1]],[3]!db[NB NOTA_C],0))</f>
        <v/>
      </c>
      <c r="AS1003" s="35" t="str">
        <f>IF(NOTA[[#This Row],[Column5]]="","",TRUE)</f>
        <v/>
      </c>
      <c r="AT1003" s="35" t="str">
        <f ca="1">IF(NOTA[[#This Row],[ID_H]]="","",IF(NOTA[[#This Row],[Column3]]=TRUE,NOTA[[#This Row],[Column5]],INDEX([3]!db[QTY/ CTN],NOTA[[#This Row],[//DB]])))</f>
        <v/>
      </c>
      <c r="AU1003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3" s="35" t="str">
        <f ca="1">IF(NOTA[[#This Row],[ID_H]]="","",MATCH(NOTA[[#This Row],[NB NOTA_C_QTY]],[3]!db[NB NOTA_C_QTY+F],0))</f>
        <v/>
      </c>
      <c r="AW1003" s="43" t="str">
        <f ca="1">IF(NOTA[[#This Row],[NB NOTA_C_QTY]]="","",ROW()-2)</f>
        <v/>
      </c>
    </row>
    <row r="1004" spans="1:49" ht="20.100000000000001" customHeight="1">
      <c r="A1004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5" t="str">
        <f ca="1">IF(NOTA[[#This Row],[NAMA BARANG]]="","",INDEX(NOTA[ID],MATCH(,INDIRECT(ADDRESS(ROW(NOTA[ID]),COLUMN(NOTA[ID]))&amp;":"&amp;ADDRESS(ROW(),COLUMN(NOTA[ID]))),-1)))</f>
        <v/>
      </c>
      <c r="C1004" s="45"/>
      <c r="F1004" s="46"/>
      <c r="G1004" s="35"/>
      <c r="H1004" s="36"/>
      <c r="I1004" s="35"/>
      <c r="K1004" s="37"/>
      <c r="L1004" s="35"/>
      <c r="N1004" s="38"/>
      <c r="O1004" s="39"/>
      <c r="P1004" s="47"/>
      <c r="Q1004" s="48"/>
      <c r="R1004" s="41"/>
      <c r="T1004" s="42"/>
      <c r="U1004" s="44"/>
      <c r="V1004" s="42" t="str">
        <f>IF(NOTA[[#This Row],[HARGA/ CTN]]="",NOTA[[#This Row],[JUMLAH_H]],NOTA[[#This Row],[HARGA/ CTN]]*IF(NOTA[[#This Row],[C]]="",0,NOTA[[#This Row],[C]]))</f>
        <v/>
      </c>
      <c r="W1004" s="42" t="str">
        <f>IF(NOTA[[#This Row],[JUMLAH]]="","",NOTA[[#This Row],[JUMLAH]]*NOTA[[#This Row],[Column6]])</f>
        <v/>
      </c>
      <c r="X1004" s="42" t="str">
        <f>IF(NOTA[[#This Row],[JUMLAH]]="","",(NOTA[[#This Row],[JUMLAH]]-NOTA[[#This Row],[DISC 1-]])*NOTA[[#This Row],[Column7]])</f>
        <v/>
      </c>
      <c r="Y1004" s="42" t="str">
        <f>IF(NOTA[[#This Row],[JUMLAH]]="","",(NOTA[[#This Row],[JUMLAH]]-NOTA[[#This Row],[DISC 1-]]-NOTA[[#This Row],[DISC 2-]])*NOTA[[#This Row],[Column8]])</f>
        <v/>
      </c>
      <c r="Z1004" s="42" t="str">
        <f>IF(NOTA[[#This Row],[JUMLAH]]="","",NOTA[[#This Row],[DISC 1-]]+NOTA[[#This Row],[DISC 2-]]+NOTA[[#This Row],[DISC 3-]])</f>
        <v/>
      </c>
      <c r="AA1004" s="42" t="str">
        <f>IF(NOTA[[#This Row],[JUMLAH]]="","",NOTA[[#This Row],[JUMLAH]]-NOTA[[#This Row],[DISC]])</f>
        <v/>
      </c>
      <c r="AB1004" s="42"/>
      <c r="AC10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4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4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42" t="str">
        <f>IF(OR(NOTA[[#This Row],[QTY]]="",NOTA[[#This Row],[HARGA SATUAN]]="",),"",NOTA[[#This Row],[QTY]]*NOTA[[#This Row],[HARGA SATUAN]])</f>
        <v/>
      </c>
      <c r="AG1004" s="36" t="str">
        <f ca="1">IF(NOTA[[#This Row],[ID_H]]="","",INDEX(NOTA[TANGGAL],MATCH(,INDIRECT(ADDRESS(ROW(NOTA[TANGGAL]),COLUMN(NOTA[TANGGAL]))&amp;":"&amp;ADDRESS(ROW(),COLUMN(NOTA[TANGGAL]))),-1)))</f>
        <v/>
      </c>
      <c r="AH1004" s="36" t="str">
        <f ca="1">IF(NOTA[[#This Row],[ID_H]]="","",INDEX(NOTA[TGL.NOTA],MATCH(,INDIRECT(ADDRESS(ROW(NOTA[TGL.NOTA]),COLUMN(NOTA[TGL.NOTA]))&amp;":"&amp;ADDRESS(ROW(),COLUMN(NOTA[TGL.NOTA]))),-1)))</f>
        <v/>
      </c>
      <c r="AI1004" s="36" t="str">
        <f ca="1">IF(NOTA[[#This Row],[ID_H]]="","",INDEX(NOTA[NO.NOTA],MATCH(NOTA[[#This Row],[ID_H]],NOTA[ID_H],0)))</f>
        <v/>
      </c>
      <c r="AJ1004" s="38" t="str">
        <f ca="1">IF(NOTA[[#This Row],[NAMA BARANG]]="","",INDEX(NOTA[SUPPLIER],MATCH(,INDIRECT(ADDRESS(ROW(NOTA[ID]),COLUMN(NOTA[ID]))&amp;":"&amp;ADDRESS(ROW(),COLUMN(NOTA[ID]))),-1)))</f>
        <v/>
      </c>
      <c r="AK1004" s="38" t="str">
        <f ca="1">IF(NOTA[[#This Row],[ID_H]]="","",IF(NOTA[[#This Row],[FAKTUR]]="",INDIRECT(ADDRESS(ROW()-1,COLUMN())),NOTA[[#This Row],[FAKTUR]]))</f>
        <v/>
      </c>
      <c r="AL1004" s="35" t="str">
        <f ca="1">IF(NOTA[[#This Row],[ID]]="","",COUNTIF(NOTA[ID_H],NOTA[[#This Row],[ID_H]]))</f>
        <v/>
      </c>
      <c r="AM1004" s="35" t="str">
        <f ca="1">IF(NOTA[[#This Row],[TGL.NOTA]]="",IF(NOTA[[#This Row],[SUPPLIER_H]]="","",AM1003),MONTH(NOTA[[#This Row],[TGL.NOTA]]))</f>
        <v/>
      </c>
      <c r="AN1004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4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4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4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4" s="35" t="str">
        <f>IF(NOTA[[#This Row],[CONCAT1]]="","",MATCH(NOTA[[#This Row],[CONCAT1]],[3]!db[NB NOTA_C],0))</f>
        <v/>
      </c>
      <c r="AS1004" s="35" t="str">
        <f>IF(NOTA[[#This Row],[Column5]]="","",TRUE)</f>
        <v/>
      </c>
      <c r="AT1004" s="35" t="str">
        <f ca="1">IF(NOTA[[#This Row],[ID_H]]="","",IF(NOTA[[#This Row],[Column3]]=TRUE,NOTA[[#This Row],[Column5]],INDEX([3]!db[QTY/ CTN],NOTA[[#This Row],[//DB]])))</f>
        <v/>
      </c>
      <c r="AU1004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4" s="35" t="str">
        <f ca="1">IF(NOTA[[#This Row],[ID_H]]="","",MATCH(NOTA[[#This Row],[NB NOTA_C_QTY]],[3]!db[NB NOTA_C_QTY+F],0))</f>
        <v/>
      </c>
      <c r="AW1004" s="43" t="str">
        <f ca="1">IF(NOTA[[#This Row],[NB NOTA_C_QTY]]="","",ROW()-2)</f>
        <v/>
      </c>
    </row>
    <row r="1005" spans="1:49" ht="20.100000000000001" customHeight="1">
      <c r="A1005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5" t="str">
        <f ca="1">IF(NOTA[[#This Row],[NAMA BARANG]]="","",INDEX(NOTA[ID],MATCH(,INDIRECT(ADDRESS(ROW(NOTA[ID]),COLUMN(NOTA[ID]))&amp;":"&amp;ADDRESS(ROW(),COLUMN(NOTA[ID]))),-1)))</f>
        <v/>
      </c>
      <c r="C1005" s="45"/>
      <c r="F1005" s="46"/>
      <c r="G1005" s="35"/>
      <c r="H1005" s="36"/>
      <c r="I1005" s="35"/>
      <c r="K1005" s="37"/>
      <c r="L1005" s="35"/>
      <c r="N1005" s="38"/>
      <c r="O1005" s="39"/>
      <c r="P1005" s="47"/>
      <c r="Q1005" s="48"/>
      <c r="R1005" s="41"/>
      <c r="T1005" s="42"/>
      <c r="U1005" s="44"/>
      <c r="V1005" s="42" t="str">
        <f>IF(NOTA[[#This Row],[HARGA/ CTN]]="",NOTA[[#This Row],[JUMLAH_H]],NOTA[[#This Row],[HARGA/ CTN]]*IF(NOTA[[#This Row],[C]]="",0,NOTA[[#This Row],[C]]))</f>
        <v/>
      </c>
      <c r="W1005" s="42" t="str">
        <f>IF(NOTA[[#This Row],[JUMLAH]]="","",NOTA[[#This Row],[JUMLAH]]*NOTA[[#This Row],[Column6]])</f>
        <v/>
      </c>
      <c r="X1005" s="42" t="str">
        <f>IF(NOTA[[#This Row],[JUMLAH]]="","",(NOTA[[#This Row],[JUMLAH]]-NOTA[[#This Row],[DISC 1-]])*NOTA[[#This Row],[Column7]])</f>
        <v/>
      </c>
      <c r="Y1005" s="42" t="str">
        <f>IF(NOTA[[#This Row],[JUMLAH]]="","",(NOTA[[#This Row],[JUMLAH]]-NOTA[[#This Row],[DISC 1-]]-NOTA[[#This Row],[DISC 2-]])*NOTA[[#This Row],[Column8]])</f>
        <v/>
      </c>
      <c r="Z1005" s="42" t="str">
        <f>IF(NOTA[[#This Row],[JUMLAH]]="","",NOTA[[#This Row],[DISC 1-]]+NOTA[[#This Row],[DISC 2-]]+NOTA[[#This Row],[DISC 3-]])</f>
        <v/>
      </c>
      <c r="AA1005" s="42" t="str">
        <f>IF(NOTA[[#This Row],[JUMLAH]]="","",NOTA[[#This Row],[JUMLAH]]-NOTA[[#This Row],[DISC]])</f>
        <v/>
      </c>
      <c r="AB1005" s="42"/>
      <c r="AC10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5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5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42" t="str">
        <f>IF(OR(NOTA[[#This Row],[QTY]]="",NOTA[[#This Row],[HARGA SATUAN]]="",),"",NOTA[[#This Row],[QTY]]*NOTA[[#This Row],[HARGA SATUAN]])</f>
        <v/>
      </c>
      <c r="AG1005" s="36" t="str">
        <f ca="1">IF(NOTA[[#This Row],[ID_H]]="","",INDEX(NOTA[TANGGAL],MATCH(,INDIRECT(ADDRESS(ROW(NOTA[TANGGAL]),COLUMN(NOTA[TANGGAL]))&amp;":"&amp;ADDRESS(ROW(),COLUMN(NOTA[TANGGAL]))),-1)))</f>
        <v/>
      </c>
      <c r="AH1005" s="36" t="str">
        <f ca="1">IF(NOTA[[#This Row],[ID_H]]="","",INDEX(NOTA[TGL.NOTA],MATCH(,INDIRECT(ADDRESS(ROW(NOTA[TGL.NOTA]),COLUMN(NOTA[TGL.NOTA]))&amp;":"&amp;ADDRESS(ROW(),COLUMN(NOTA[TGL.NOTA]))),-1)))</f>
        <v/>
      </c>
      <c r="AI1005" s="36" t="str">
        <f ca="1">IF(NOTA[[#This Row],[ID_H]]="","",INDEX(NOTA[NO.NOTA],MATCH(NOTA[[#This Row],[ID_H]],NOTA[ID_H],0)))</f>
        <v/>
      </c>
      <c r="AJ1005" s="38" t="str">
        <f ca="1">IF(NOTA[[#This Row],[NAMA BARANG]]="","",INDEX(NOTA[SUPPLIER],MATCH(,INDIRECT(ADDRESS(ROW(NOTA[ID]),COLUMN(NOTA[ID]))&amp;":"&amp;ADDRESS(ROW(),COLUMN(NOTA[ID]))),-1)))</f>
        <v/>
      </c>
      <c r="AK1005" s="38" t="str">
        <f ca="1">IF(NOTA[[#This Row],[ID_H]]="","",IF(NOTA[[#This Row],[FAKTUR]]="",INDIRECT(ADDRESS(ROW()-1,COLUMN())),NOTA[[#This Row],[FAKTUR]]))</f>
        <v/>
      </c>
      <c r="AL1005" s="35" t="str">
        <f ca="1">IF(NOTA[[#This Row],[ID]]="","",COUNTIF(NOTA[ID_H],NOTA[[#This Row],[ID_H]]))</f>
        <v/>
      </c>
      <c r="AM1005" s="35" t="str">
        <f ca="1">IF(NOTA[[#This Row],[TGL.NOTA]]="",IF(NOTA[[#This Row],[SUPPLIER_H]]="","",AM1004),MONTH(NOTA[[#This Row],[TGL.NOTA]]))</f>
        <v/>
      </c>
      <c r="AN1005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5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5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5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5" s="35" t="str">
        <f>IF(NOTA[[#This Row],[CONCAT1]]="","",MATCH(NOTA[[#This Row],[CONCAT1]],[3]!db[NB NOTA_C],0))</f>
        <v/>
      </c>
      <c r="AS1005" s="35" t="str">
        <f>IF(NOTA[[#This Row],[Column5]]="","",TRUE)</f>
        <v/>
      </c>
      <c r="AT1005" s="35" t="str">
        <f ca="1">IF(NOTA[[#This Row],[ID_H]]="","",IF(NOTA[[#This Row],[Column3]]=TRUE,NOTA[[#This Row],[Column5]],INDEX([3]!db[QTY/ CTN],NOTA[[#This Row],[//DB]])))</f>
        <v/>
      </c>
      <c r="AU1005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5" s="35" t="str">
        <f ca="1">IF(NOTA[[#This Row],[ID_H]]="","",MATCH(NOTA[[#This Row],[NB NOTA_C_QTY]],[3]!db[NB NOTA_C_QTY+F],0))</f>
        <v/>
      </c>
      <c r="AW1005" s="43" t="str">
        <f ca="1">IF(NOTA[[#This Row],[NB NOTA_C_QTY]]="","",ROW()-2)</f>
        <v/>
      </c>
    </row>
    <row r="1006" spans="1:49" ht="20.100000000000001" customHeight="1">
      <c r="A1006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5" t="str">
        <f ca="1">IF(NOTA[[#This Row],[NAMA BARANG]]="","",INDEX(NOTA[ID],MATCH(,INDIRECT(ADDRESS(ROW(NOTA[ID]),COLUMN(NOTA[ID]))&amp;":"&amp;ADDRESS(ROW(),COLUMN(NOTA[ID]))),-1)))</f>
        <v/>
      </c>
      <c r="C1006" s="45"/>
      <c r="F1006" s="46"/>
      <c r="G1006" s="35"/>
      <c r="H1006" s="36"/>
      <c r="I1006" s="35"/>
      <c r="K1006" s="37"/>
      <c r="L1006" s="35"/>
      <c r="N1006" s="38"/>
      <c r="O1006" s="39"/>
      <c r="P1006" s="47"/>
      <c r="Q1006" s="48"/>
      <c r="R1006" s="41"/>
      <c r="T1006" s="42"/>
      <c r="U1006" s="44"/>
      <c r="V1006" s="42" t="str">
        <f>IF(NOTA[[#This Row],[HARGA/ CTN]]="",NOTA[[#This Row],[JUMLAH_H]],NOTA[[#This Row],[HARGA/ CTN]]*IF(NOTA[[#This Row],[C]]="",0,NOTA[[#This Row],[C]]))</f>
        <v/>
      </c>
      <c r="W1006" s="42" t="str">
        <f>IF(NOTA[[#This Row],[JUMLAH]]="","",NOTA[[#This Row],[JUMLAH]]*NOTA[[#This Row],[Column6]])</f>
        <v/>
      </c>
      <c r="X1006" s="42" t="str">
        <f>IF(NOTA[[#This Row],[JUMLAH]]="","",(NOTA[[#This Row],[JUMLAH]]-NOTA[[#This Row],[DISC 1-]])*NOTA[[#This Row],[Column7]])</f>
        <v/>
      </c>
      <c r="Y1006" s="42" t="str">
        <f>IF(NOTA[[#This Row],[JUMLAH]]="","",(NOTA[[#This Row],[JUMLAH]]-NOTA[[#This Row],[DISC 1-]]-NOTA[[#This Row],[DISC 2-]])*NOTA[[#This Row],[Column8]])</f>
        <v/>
      </c>
      <c r="Z1006" s="42" t="str">
        <f>IF(NOTA[[#This Row],[JUMLAH]]="","",NOTA[[#This Row],[DISC 1-]]+NOTA[[#This Row],[DISC 2-]]+NOTA[[#This Row],[DISC 3-]])</f>
        <v/>
      </c>
      <c r="AA1006" s="42" t="str">
        <f>IF(NOTA[[#This Row],[JUMLAH]]="","",NOTA[[#This Row],[JUMLAH]]-NOTA[[#This Row],[DISC]])</f>
        <v/>
      </c>
      <c r="AB1006" s="42"/>
      <c r="AC10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6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6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42" t="str">
        <f>IF(OR(NOTA[[#This Row],[QTY]]="",NOTA[[#This Row],[HARGA SATUAN]]="",),"",NOTA[[#This Row],[QTY]]*NOTA[[#This Row],[HARGA SATUAN]])</f>
        <v/>
      </c>
      <c r="AG1006" s="36" t="str">
        <f ca="1">IF(NOTA[[#This Row],[ID_H]]="","",INDEX(NOTA[TANGGAL],MATCH(,INDIRECT(ADDRESS(ROW(NOTA[TANGGAL]),COLUMN(NOTA[TANGGAL]))&amp;":"&amp;ADDRESS(ROW(),COLUMN(NOTA[TANGGAL]))),-1)))</f>
        <v/>
      </c>
      <c r="AH1006" s="36" t="str">
        <f ca="1">IF(NOTA[[#This Row],[ID_H]]="","",INDEX(NOTA[TGL.NOTA],MATCH(,INDIRECT(ADDRESS(ROW(NOTA[TGL.NOTA]),COLUMN(NOTA[TGL.NOTA]))&amp;":"&amp;ADDRESS(ROW(),COLUMN(NOTA[TGL.NOTA]))),-1)))</f>
        <v/>
      </c>
      <c r="AI1006" s="36" t="str">
        <f ca="1">IF(NOTA[[#This Row],[ID_H]]="","",INDEX(NOTA[NO.NOTA],MATCH(NOTA[[#This Row],[ID_H]],NOTA[ID_H],0)))</f>
        <v/>
      </c>
      <c r="AJ1006" s="38" t="str">
        <f ca="1">IF(NOTA[[#This Row],[NAMA BARANG]]="","",INDEX(NOTA[SUPPLIER],MATCH(,INDIRECT(ADDRESS(ROW(NOTA[ID]),COLUMN(NOTA[ID]))&amp;":"&amp;ADDRESS(ROW(),COLUMN(NOTA[ID]))),-1)))</f>
        <v/>
      </c>
      <c r="AK1006" s="38" t="str">
        <f ca="1">IF(NOTA[[#This Row],[ID_H]]="","",IF(NOTA[[#This Row],[FAKTUR]]="",INDIRECT(ADDRESS(ROW()-1,COLUMN())),NOTA[[#This Row],[FAKTUR]]))</f>
        <v/>
      </c>
      <c r="AL1006" s="35" t="str">
        <f ca="1">IF(NOTA[[#This Row],[ID]]="","",COUNTIF(NOTA[ID_H],NOTA[[#This Row],[ID_H]]))</f>
        <v/>
      </c>
      <c r="AM1006" s="35" t="str">
        <f ca="1">IF(NOTA[[#This Row],[TGL.NOTA]]="",IF(NOTA[[#This Row],[SUPPLIER_H]]="","",AM1005),MONTH(NOTA[[#This Row],[TGL.NOTA]]))</f>
        <v/>
      </c>
      <c r="AN1006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6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6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6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6" s="35" t="str">
        <f>IF(NOTA[[#This Row],[CONCAT1]]="","",MATCH(NOTA[[#This Row],[CONCAT1]],[3]!db[NB NOTA_C],0))</f>
        <v/>
      </c>
      <c r="AS1006" s="35" t="str">
        <f>IF(NOTA[[#This Row],[Column5]]="","",TRUE)</f>
        <v/>
      </c>
      <c r="AT1006" s="35" t="str">
        <f ca="1">IF(NOTA[[#This Row],[ID_H]]="","",IF(NOTA[[#This Row],[Column3]]=TRUE,NOTA[[#This Row],[Column5]],INDEX([3]!db[QTY/ CTN],NOTA[[#This Row],[//DB]])))</f>
        <v/>
      </c>
      <c r="AU1006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6" s="35" t="str">
        <f ca="1">IF(NOTA[[#This Row],[ID_H]]="","",MATCH(NOTA[[#This Row],[NB NOTA_C_QTY]],[3]!db[NB NOTA_C_QTY+F],0))</f>
        <v/>
      </c>
      <c r="AW1006" s="43" t="str">
        <f ca="1">IF(NOTA[[#This Row],[NB NOTA_C_QTY]]="","",ROW()-2)</f>
        <v/>
      </c>
    </row>
    <row r="1007" spans="1:49" ht="20.100000000000001" customHeight="1">
      <c r="A1007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5" t="str">
        <f ca="1">IF(NOTA[[#This Row],[NAMA BARANG]]="","",INDEX(NOTA[ID],MATCH(,INDIRECT(ADDRESS(ROW(NOTA[ID]),COLUMN(NOTA[ID]))&amp;":"&amp;ADDRESS(ROW(),COLUMN(NOTA[ID]))),-1)))</f>
        <v/>
      </c>
      <c r="C1007" s="45"/>
      <c r="F1007" s="46"/>
      <c r="G1007" s="35"/>
      <c r="H1007" s="36"/>
      <c r="I1007" s="35"/>
      <c r="K1007" s="37"/>
      <c r="L1007" s="35"/>
      <c r="N1007" s="38"/>
      <c r="O1007" s="39"/>
      <c r="P1007" s="47"/>
      <c r="Q1007" s="48"/>
      <c r="R1007" s="41"/>
      <c r="T1007" s="42"/>
      <c r="U1007" s="44"/>
      <c r="V1007" s="42" t="str">
        <f>IF(NOTA[[#This Row],[HARGA/ CTN]]="",NOTA[[#This Row],[JUMLAH_H]],NOTA[[#This Row],[HARGA/ CTN]]*IF(NOTA[[#This Row],[C]]="",0,NOTA[[#This Row],[C]]))</f>
        <v/>
      </c>
      <c r="W1007" s="42" t="str">
        <f>IF(NOTA[[#This Row],[JUMLAH]]="","",NOTA[[#This Row],[JUMLAH]]*NOTA[[#This Row],[Column6]])</f>
        <v/>
      </c>
      <c r="X1007" s="42" t="str">
        <f>IF(NOTA[[#This Row],[JUMLAH]]="","",(NOTA[[#This Row],[JUMLAH]]-NOTA[[#This Row],[DISC 1-]])*NOTA[[#This Row],[Column7]])</f>
        <v/>
      </c>
      <c r="Y1007" s="42" t="str">
        <f>IF(NOTA[[#This Row],[JUMLAH]]="","",(NOTA[[#This Row],[JUMLAH]]-NOTA[[#This Row],[DISC 1-]]-NOTA[[#This Row],[DISC 2-]])*NOTA[[#This Row],[Column8]])</f>
        <v/>
      </c>
      <c r="Z1007" s="42" t="str">
        <f>IF(NOTA[[#This Row],[JUMLAH]]="","",NOTA[[#This Row],[DISC 1-]]+NOTA[[#This Row],[DISC 2-]]+NOTA[[#This Row],[DISC 3-]])</f>
        <v/>
      </c>
      <c r="AA1007" s="42" t="str">
        <f>IF(NOTA[[#This Row],[JUMLAH]]="","",NOTA[[#This Row],[JUMLAH]]-NOTA[[#This Row],[DISC]])</f>
        <v/>
      </c>
      <c r="AB1007" s="42"/>
      <c r="AC10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7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7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42" t="str">
        <f>IF(OR(NOTA[[#This Row],[QTY]]="",NOTA[[#This Row],[HARGA SATUAN]]="",),"",NOTA[[#This Row],[QTY]]*NOTA[[#This Row],[HARGA SATUAN]])</f>
        <v/>
      </c>
      <c r="AG1007" s="36" t="str">
        <f ca="1">IF(NOTA[[#This Row],[ID_H]]="","",INDEX(NOTA[TANGGAL],MATCH(,INDIRECT(ADDRESS(ROW(NOTA[TANGGAL]),COLUMN(NOTA[TANGGAL]))&amp;":"&amp;ADDRESS(ROW(),COLUMN(NOTA[TANGGAL]))),-1)))</f>
        <v/>
      </c>
      <c r="AH1007" s="36" t="str">
        <f ca="1">IF(NOTA[[#This Row],[ID_H]]="","",INDEX(NOTA[TGL.NOTA],MATCH(,INDIRECT(ADDRESS(ROW(NOTA[TGL.NOTA]),COLUMN(NOTA[TGL.NOTA]))&amp;":"&amp;ADDRESS(ROW(),COLUMN(NOTA[TGL.NOTA]))),-1)))</f>
        <v/>
      </c>
      <c r="AI1007" s="36" t="str">
        <f ca="1">IF(NOTA[[#This Row],[ID_H]]="","",INDEX(NOTA[NO.NOTA],MATCH(NOTA[[#This Row],[ID_H]],NOTA[ID_H],0)))</f>
        <v/>
      </c>
      <c r="AJ1007" s="38" t="str">
        <f ca="1">IF(NOTA[[#This Row],[NAMA BARANG]]="","",INDEX(NOTA[SUPPLIER],MATCH(,INDIRECT(ADDRESS(ROW(NOTA[ID]),COLUMN(NOTA[ID]))&amp;":"&amp;ADDRESS(ROW(),COLUMN(NOTA[ID]))),-1)))</f>
        <v/>
      </c>
      <c r="AK1007" s="38" t="str">
        <f ca="1">IF(NOTA[[#This Row],[ID_H]]="","",IF(NOTA[[#This Row],[FAKTUR]]="",INDIRECT(ADDRESS(ROW()-1,COLUMN())),NOTA[[#This Row],[FAKTUR]]))</f>
        <v/>
      </c>
      <c r="AL1007" s="35" t="str">
        <f ca="1">IF(NOTA[[#This Row],[ID]]="","",COUNTIF(NOTA[ID_H],NOTA[[#This Row],[ID_H]]))</f>
        <v/>
      </c>
      <c r="AM1007" s="35" t="str">
        <f ca="1">IF(NOTA[[#This Row],[TGL.NOTA]]="",IF(NOTA[[#This Row],[SUPPLIER_H]]="","",AM1006),MONTH(NOTA[[#This Row],[TGL.NOTA]]))</f>
        <v/>
      </c>
      <c r="AN1007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7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7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7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7" s="35" t="str">
        <f>IF(NOTA[[#This Row],[CONCAT1]]="","",MATCH(NOTA[[#This Row],[CONCAT1]],[3]!db[NB NOTA_C],0))</f>
        <v/>
      </c>
      <c r="AS1007" s="35" t="str">
        <f>IF(NOTA[[#This Row],[Column5]]="","",TRUE)</f>
        <v/>
      </c>
      <c r="AT1007" s="35" t="str">
        <f ca="1">IF(NOTA[[#This Row],[ID_H]]="","",IF(NOTA[[#This Row],[Column3]]=TRUE,NOTA[[#This Row],[Column5]],INDEX([3]!db[QTY/ CTN],NOTA[[#This Row],[//DB]])))</f>
        <v/>
      </c>
      <c r="AU1007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7" s="35" t="str">
        <f ca="1">IF(NOTA[[#This Row],[ID_H]]="","",MATCH(NOTA[[#This Row],[NB NOTA_C_QTY]],[3]!db[NB NOTA_C_QTY+F],0))</f>
        <v/>
      </c>
      <c r="AW1007" s="43" t="str">
        <f ca="1">IF(NOTA[[#This Row],[NB NOTA_C_QTY]]="","",ROW()-2)</f>
        <v/>
      </c>
    </row>
    <row r="1008" spans="1:49" ht="20.100000000000001" customHeight="1">
      <c r="A1008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5" t="str">
        <f ca="1">IF(NOTA[[#This Row],[NAMA BARANG]]="","",INDEX(NOTA[ID],MATCH(,INDIRECT(ADDRESS(ROW(NOTA[ID]),COLUMN(NOTA[ID]))&amp;":"&amp;ADDRESS(ROW(),COLUMN(NOTA[ID]))),-1)))</f>
        <v/>
      </c>
      <c r="C1008" s="45"/>
      <c r="F1008" s="46"/>
      <c r="G1008" s="35"/>
      <c r="H1008" s="36"/>
      <c r="I1008" s="35"/>
      <c r="K1008" s="37"/>
      <c r="L1008" s="35"/>
      <c r="N1008" s="38"/>
      <c r="O1008" s="39"/>
      <c r="P1008" s="47"/>
      <c r="Q1008" s="48"/>
      <c r="R1008" s="41"/>
      <c r="T1008" s="42"/>
      <c r="U1008" s="44"/>
      <c r="V1008" s="42" t="str">
        <f>IF(NOTA[[#This Row],[HARGA/ CTN]]="",NOTA[[#This Row],[JUMLAH_H]],NOTA[[#This Row],[HARGA/ CTN]]*IF(NOTA[[#This Row],[C]]="",0,NOTA[[#This Row],[C]]))</f>
        <v/>
      </c>
      <c r="W1008" s="42" t="str">
        <f>IF(NOTA[[#This Row],[JUMLAH]]="","",NOTA[[#This Row],[JUMLAH]]*NOTA[[#This Row],[Column6]])</f>
        <v/>
      </c>
      <c r="X1008" s="42" t="str">
        <f>IF(NOTA[[#This Row],[JUMLAH]]="","",(NOTA[[#This Row],[JUMLAH]]-NOTA[[#This Row],[DISC 1-]])*NOTA[[#This Row],[Column7]])</f>
        <v/>
      </c>
      <c r="Y1008" s="42" t="str">
        <f>IF(NOTA[[#This Row],[JUMLAH]]="","",(NOTA[[#This Row],[JUMLAH]]-NOTA[[#This Row],[DISC 1-]]-NOTA[[#This Row],[DISC 2-]])*NOTA[[#This Row],[Column8]])</f>
        <v/>
      </c>
      <c r="Z1008" s="42" t="str">
        <f>IF(NOTA[[#This Row],[JUMLAH]]="","",NOTA[[#This Row],[DISC 1-]]+NOTA[[#This Row],[DISC 2-]]+NOTA[[#This Row],[DISC 3-]])</f>
        <v/>
      </c>
      <c r="AA1008" s="42" t="str">
        <f>IF(NOTA[[#This Row],[JUMLAH]]="","",NOTA[[#This Row],[JUMLAH]]-NOTA[[#This Row],[DISC]])</f>
        <v/>
      </c>
      <c r="AB1008" s="42"/>
      <c r="AC10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8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8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42" t="str">
        <f>IF(OR(NOTA[[#This Row],[QTY]]="",NOTA[[#This Row],[HARGA SATUAN]]="",),"",NOTA[[#This Row],[QTY]]*NOTA[[#This Row],[HARGA SATUAN]])</f>
        <v/>
      </c>
      <c r="AG1008" s="36" t="str">
        <f ca="1">IF(NOTA[[#This Row],[ID_H]]="","",INDEX(NOTA[TANGGAL],MATCH(,INDIRECT(ADDRESS(ROW(NOTA[TANGGAL]),COLUMN(NOTA[TANGGAL]))&amp;":"&amp;ADDRESS(ROW(),COLUMN(NOTA[TANGGAL]))),-1)))</f>
        <v/>
      </c>
      <c r="AH1008" s="36" t="str">
        <f ca="1">IF(NOTA[[#This Row],[ID_H]]="","",INDEX(NOTA[TGL.NOTA],MATCH(,INDIRECT(ADDRESS(ROW(NOTA[TGL.NOTA]),COLUMN(NOTA[TGL.NOTA]))&amp;":"&amp;ADDRESS(ROW(),COLUMN(NOTA[TGL.NOTA]))),-1)))</f>
        <v/>
      </c>
      <c r="AI1008" s="36" t="str">
        <f ca="1">IF(NOTA[[#This Row],[ID_H]]="","",INDEX(NOTA[NO.NOTA],MATCH(NOTA[[#This Row],[ID_H]],NOTA[ID_H],0)))</f>
        <v/>
      </c>
      <c r="AJ1008" s="38" t="str">
        <f ca="1">IF(NOTA[[#This Row],[NAMA BARANG]]="","",INDEX(NOTA[SUPPLIER],MATCH(,INDIRECT(ADDRESS(ROW(NOTA[ID]),COLUMN(NOTA[ID]))&amp;":"&amp;ADDRESS(ROW(),COLUMN(NOTA[ID]))),-1)))</f>
        <v/>
      </c>
      <c r="AK1008" s="38" t="str">
        <f ca="1">IF(NOTA[[#This Row],[ID_H]]="","",IF(NOTA[[#This Row],[FAKTUR]]="",INDIRECT(ADDRESS(ROW()-1,COLUMN())),NOTA[[#This Row],[FAKTUR]]))</f>
        <v/>
      </c>
      <c r="AL1008" s="35" t="str">
        <f ca="1">IF(NOTA[[#This Row],[ID]]="","",COUNTIF(NOTA[ID_H],NOTA[[#This Row],[ID_H]]))</f>
        <v/>
      </c>
      <c r="AM1008" s="35" t="str">
        <f ca="1">IF(NOTA[[#This Row],[TGL.NOTA]]="",IF(NOTA[[#This Row],[SUPPLIER_H]]="","",AM1007),MONTH(NOTA[[#This Row],[TGL.NOTA]]))</f>
        <v/>
      </c>
      <c r="AN1008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8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8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8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8" s="35" t="str">
        <f>IF(NOTA[[#This Row],[CONCAT1]]="","",MATCH(NOTA[[#This Row],[CONCAT1]],[3]!db[NB NOTA_C],0))</f>
        <v/>
      </c>
      <c r="AS1008" s="35" t="str">
        <f>IF(NOTA[[#This Row],[Column5]]="","",TRUE)</f>
        <v/>
      </c>
      <c r="AT1008" s="35" t="str">
        <f ca="1">IF(NOTA[[#This Row],[ID_H]]="","",IF(NOTA[[#This Row],[Column3]]=TRUE,NOTA[[#This Row],[Column5]],INDEX([3]!db[QTY/ CTN],NOTA[[#This Row],[//DB]])))</f>
        <v/>
      </c>
      <c r="AU1008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8" s="35" t="str">
        <f ca="1">IF(NOTA[[#This Row],[ID_H]]="","",MATCH(NOTA[[#This Row],[NB NOTA_C_QTY]],[3]!db[NB NOTA_C_QTY+F],0))</f>
        <v/>
      </c>
      <c r="AW1008" s="43" t="str">
        <f ca="1">IF(NOTA[[#This Row],[NB NOTA_C_QTY]]="","",ROW()-2)</f>
        <v/>
      </c>
    </row>
    <row r="1009" spans="1:49" ht="20.100000000000001" customHeight="1">
      <c r="A1009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5" t="str">
        <f ca="1">IF(NOTA[[#This Row],[NAMA BARANG]]="","",INDEX(NOTA[ID],MATCH(,INDIRECT(ADDRESS(ROW(NOTA[ID]),COLUMN(NOTA[ID]))&amp;":"&amp;ADDRESS(ROW(),COLUMN(NOTA[ID]))),-1)))</f>
        <v/>
      </c>
      <c r="C1009" s="45"/>
      <c r="F1009" s="46"/>
      <c r="G1009" s="35"/>
      <c r="H1009" s="36"/>
      <c r="I1009" s="35"/>
      <c r="K1009" s="37"/>
      <c r="L1009" s="35"/>
      <c r="N1009" s="38"/>
      <c r="O1009" s="39"/>
      <c r="P1009" s="47"/>
      <c r="Q1009" s="48"/>
      <c r="R1009" s="41"/>
      <c r="T1009" s="42"/>
      <c r="U1009" s="44"/>
      <c r="V1009" s="42" t="str">
        <f>IF(NOTA[[#This Row],[HARGA/ CTN]]="",NOTA[[#This Row],[JUMLAH_H]],NOTA[[#This Row],[HARGA/ CTN]]*IF(NOTA[[#This Row],[C]]="",0,NOTA[[#This Row],[C]]))</f>
        <v/>
      </c>
      <c r="W1009" s="42" t="str">
        <f>IF(NOTA[[#This Row],[JUMLAH]]="","",NOTA[[#This Row],[JUMLAH]]*NOTA[[#This Row],[Column6]])</f>
        <v/>
      </c>
      <c r="X1009" s="42" t="str">
        <f>IF(NOTA[[#This Row],[JUMLAH]]="","",(NOTA[[#This Row],[JUMLAH]]-NOTA[[#This Row],[DISC 1-]])*NOTA[[#This Row],[Column7]])</f>
        <v/>
      </c>
      <c r="Y1009" s="42" t="str">
        <f>IF(NOTA[[#This Row],[JUMLAH]]="","",(NOTA[[#This Row],[JUMLAH]]-NOTA[[#This Row],[DISC 1-]]-NOTA[[#This Row],[DISC 2-]])*NOTA[[#This Row],[Column8]])</f>
        <v/>
      </c>
      <c r="Z1009" s="42" t="str">
        <f>IF(NOTA[[#This Row],[JUMLAH]]="","",NOTA[[#This Row],[DISC 1-]]+NOTA[[#This Row],[DISC 2-]]+NOTA[[#This Row],[DISC 3-]])</f>
        <v/>
      </c>
      <c r="AA1009" s="42" t="str">
        <f>IF(NOTA[[#This Row],[JUMLAH]]="","",NOTA[[#This Row],[JUMLAH]]-NOTA[[#This Row],[DISC]])</f>
        <v/>
      </c>
      <c r="AB1009" s="42"/>
      <c r="AC10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0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09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42" t="str">
        <f>IF(OR(NOTA[[#This Row],[QTY]]="",NOTA[[#This Row],[HARGA SATUAN]]="",),"",NOTA[[#This Row],[QTY]]*NOTA[[#This Row],[HARGA SATUAN]])</f>
        <v/>
      </c>
      <c r="AG1009" s="36" t="str">
        <f ca="1">IF(NOTA[[#This Row],[ID_H]]="","",INDEX(NOTA[TANGGAL],MATCH(,INDIRECT(ADDRESS(ROW(NOTA[TANGGAL]),COLUMN(NOTA[TANGGAL]))&amp;":"&amp;ADDRESS(ROW(),COLUMN(NOTA[TANGGAL]))),-1)))</f>
        <v/>
      </c>
      <c r="AH1009" s="36" t="str">
        <f ca="1">IF(NOTA[[#This Row],[ID_H]]="","",INDEX(NOTA[TGL.NOTA],MATCH(,INDIRECT(ADDRESS(ROW(NOTA[TGL.NOTA]),COLUMN(NOTA[TGL.NOTA]))&amp;":"&amp;ADDRESS(ROW(),COLUMN(NOTA[TGL.NOTA]))),-1)))</f>
        <v/>
      </c>
      <c r="AI1009" s="36" t="str">
        <f ca="1">IF(NOTA[[#This Row],[ID_H]]="","",INDEX(NOTA[NO.NOTA],MATCH(NOTA[[#This Row],[ID_H]],NOTA[ID_H],0)))</f>
        <v/>
      </c>
      <c r="AJ1009" s="38" t="str">
        <f ca="1">IF(NOTA[[#This Row],[NAMA BARANG]]="","",INDEX(NOTA[SUPPLIER],MATCH(,INDIRECT(ADDRESS(ROW(NOTA[ID]),COLUMN(NOTA[ID]))&amp;":"&amp;ADDRESS(ROW(),COLUMN(NOTA[ID]))),-1)))</f>
        <v/>
      </c>
      <c r="AK1009" s="38" t="str">
        <f ca="1">IF(NOTA[[#This Row],[ID_H]]="","",IF(NOTA[[#This Row],[FAKTUR]]="",INDIRECT(ADDRESS(ROW()-1,COLUMN())),NOTA[[#This Row],[FAKTUR]]))</f>
        <v/>
      </c>
      <c r="AL1009" s="35" t="str">
        <f ca="1">IF(NOTA[[#This Row],[ID]]="","",COUNTIF(NOTA[ID_H],NOTA[[#This Row],[ID_H]]))</f>
        <v/>
      </c>
      <c r="AM1009" s="35" t="str">
        <f ca="1">IF(NOTA[[#This Row],[TGL.NOTA]]="",IF(NOTA[[#This Row],[SUPPLIER_H]]="","",AM1008),MONTH(NOTA[[#This Row],[TGL.NOTA]]))</f>
        <v/>
      </c>
      <c r="AN1009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09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09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09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9" s="35" t="str">
        <f>IF(NOTA[[#This Row],[CONCAT1]]="","",MATCH(NOTA[[#This Row],[CONCAT1]],[3]!db[NB NOTA_C],0))</f>
        <v/>
      </c>
      <c r="AS1009" s="35" t="str">
        <f>IF(NOTA[[#This Row],[Column5]]="","",TRUE)</f>
        <v/>
      </c>
      <c r="AT1009" s="35" t="str">
        <f ca="1">IF(NOTA[[#This Row],[ID_H]]="","",IF(NOTA[[#This Row],[Column3]]=TRUE,NOTA[[#This Row],[Column5]],INDEX([3]!db[QTY/ CTN],NOTA[[#This Row],[//DB]])))</f>
        <v/>
      </c>
      <c r="AU1009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09" s="35" t="str">
        <f ca="1">IF(NOTA[[#This Row],[ID_H]]="","",MATCH(NOTA[[#This Row],[NB NOTA_C_QTY]],[3]!db[NB NOTA_C_QTY+F],0))</f>
        <v/>
      </c>
      <c r="AW1009" s="43" t="str">
        <f ca="1">IF(NOTA[[#This Row],[NB NOTA_C_QTY]]="","",ROW()-2)</f>
        <v/>
      </c>
    </row>
    <row r="1010" spans="1:49" ht="20.100000000000001" customHeight="1">
      <c r="A1010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5" t="str">
        <f ca="1">IF(NOTA[[#This Row],[NAMA BARANG]]="","",INDEX(NOTA[ID],MATCH(,INDIRECT(ADDRESS(ROW(NOTA[ID]),COLUMN(NOTA[ID]))&amp;":"&amp;ADDRESS(ROW(),COLUMN(NOTA[ID]))),-1)))</f>
        <v/>
      </c>
      <c r="C1010" s="45"/>
      <c r="F1010" s="46"/>
      <c r="G1010" s="35"/>
      <c r="H1010" s="36"/>
      <c r="I1010" s="35"/>
      <c r="K1010" s="37"/>
      <c r="L1010" s="35"/>
      <c r="N1010" s="38"/>
      <c r="O1010" s="39"/>
      <c r="P1010" s="47"/>
      <c r="Q1010" s="48"/>
      <c r="R1010" s="41"/>
      <c r="T1010" s="42"/>
      <c r="U1010" s="44"/>
      <c r="V1010" s="42" t="str">
        <f>IF(NOTA[[#This Row],[HARGA/ CTN]]="",NOTA[[#This Row],[JUMLAH_H]],NOTA[[#This Row],[HARGA/ CTN]]*IF(NOTA[[#This Row],[C]]="",0,NOTA[[#This Row],[C]]))</f>
        <v/>
      </c>
      <c r="W1010" s="42" t="str">
        <f>IF(NOTA[[#This Row],[JUMLAH]]="","",NOTA[[#This Row],[JUMLAH]]*NOTA[[#This Row],[Column6]])</f>
        <v/>
      </c>
      <c r="X1010" s="42" t="str">
        <f>IF(NOTA[[#This Row],[JUMLAH]]="","",(NOTA[[#This Row],[JUMLAH]]-NOTA[[#This Row],[DISC 1-]])*NOTA[[#This Row],[Column7]])</f>
        <v/>
      </c>
      <c r="Y1010" s="42" t="str">
        <f>IF(NOTA[[#This Row],[JUMLAH]]="","",(NOTA[[#This Row],[JUMLAH]]-NOTA[[#This Row],[DISC 1-]]-NOTA[[#This Row],[DISC 2-]])*NOTA[[#This Row],[Column8]])</f>
        <v/>
      </c>
      <c r="Z1010" s="42" t="str">
        <f>IF(NOTA[[#This Row],[JUMLAH]]="","",NOTA[[#This Row],[DISC 1-]]+NOTA[[#This Row],[DISC 2-]]+NOTA[[#This Row],[DISC 3-]])</f>
        <v/>
      </c>
      <c r="AA1010" s="42" t="str">
        <f>IF(NOTA[[#This Row],[JUMLAH]]="","",NOTA[[#This Row],[JUMLAH]]-NOTA[[#This Row],[DISC]])</f>
        <v/>
      </c>
      <c r="AB1010" s="42"/>
      <c r="AC10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0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0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42" t="str">
        <f>IF(OR(NOTA[[#This Row],[QTY]]="",NOTA[[#This Row],[HARGA SATUAN]]="",),"",NOTA[[#This Row],[QTY]]*NOTA[[#This Row],[HARGA SATUAN]])</f>
        <v/>
      </c>
      <c r="AG1010" s="36" t="str">
        <f ca="1">IF(NOTA[[#This Row],[ID_H]]="","",INDEX(NOTA[TANGGAL],MATCH(,INDIRECT(ADDRESS(ROW(NOTA[TANGGAL]),COLUMN(NOTA[TANGGAL]))&amp;":"&amp;ADDRESS(ROW(),COLUMN(NOTA[TANGGAL]))),-1)))</f>
        <v/>
      </c>
      <c r="AH1010" s="36" t="str">
        <f ca="1">IF(NOTA[[#This Row],[ID_H]]="","",INDEX(NOTA[TGL.NOTA],MATCH(,INDIRECT(ADDRESS(ROW(NOTA[TGL.NOTA]),COLUMN(NOTA[TGL.NOTA]))&amp;":"&amp;ADDRESS(ROW(),COLUMN(NOTA[TGL.NOTA]))),-1)))</f>
        <v/>
      </c>
      <c r="AI1010" s="36" t="str">
        <f ca="1">IF(NOTA[[#This Row],[ID_H]]="","",INDEX(NOTA[NO.NOTA],MATCH(NOTA[[#This Row],[ID_H]],NOTA[ID_H],0)))</f>
        <v/>
      </c>
      <c r="AJ1010" s="38" t="str">
        <f ca="1">IF(NOTA[[#This Row],[NAMA BARANG]]="","",INDEX(NOTA[SUPPLIER],MATCH(,INDIRECT(ADDRESS(ROW(NOTA[ID]),COLUMN(NOTA[ID]))&amp;":"&amp;ADDRESS(ROW(),COLUMN(NOTA[ID]))),-1)))</f>
        <v/>
      </c>
      <c r="AK1010" s="38" t="str">
        <f ca="1">IF(NOTA[[#This Row],[ID_H]]="","",IF(NOTA[[#This Row],[FAKTUR]]="",INDIRECT(ADDRESS(ROW()-1,COLUMN())),NOTA[[#This Row],[FAKTUR]]))</f>
        <v/>
      </c>
      <c r="AL1010" s="35" t="str">
        <f ca="1">IF(NOTA[[#This Row],[ID]]="","",COUNTIF(NOTA[ID_H],NOTA[[#This Row],[ID_H]]))</f>
        <v/>
      </c>
      <c r="AM1010" s="35" t="str">
        <f ca="1">IF(NOTA[[#This Row],[TGL.NOTA]]="",IF(NOTA[[#This Row],[SUPPLIER_H]]="","",AM1009),MONTH(NOTA[[#This Row],[TGL.NOTA]]))</f>
        <v/>
      </c>
      <c r="AN1010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10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0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0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0" s="35" t="str">
        <f>IF(NOTA[[#This Row],[CONCAT1]]="","",MATCH(NOTA[[#This Row],[CONCAT1]],[3]!db[NB NOTA_C],0))</f>
        <v/>
      </c>
      <c r="AS1010" s="35" t="str">
        <f>IF(NOTA[[#This Row],[Column5]]="","",TRUE)</f>
        <v/>
      </c>
      <c r="AT1010" s="35" t="str">
        <f ca="1">IF(NOTA[[#This Row],[ID_H]]="","",IF(NOTA[[#This Row],[Column3]]=TRUE,NOTA[[#This Row],[Column5]],INDEX([3]!db[QTY/ CTN],NOTA[[#This Row],[//DB]])))</f>
        <v/>
      </c>
      <c r="AU1010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0" s="35" t="str">
        <f ca="1">IF(NOTA[[#This Row],[ID_H]]="","",MATCH(NOTA[[#This Row],[NB NOTA_C_QTY]],[3]!db[NB NOTA_C_QTY+F],0))</f>
        <v/>
      </c>
      <c r="AW1010" s="43" t="str">
        <f ca="1">IF(NOTA[[#This Row],[NB NOTA_C_QTY]]="","",ROW()-2)</f>
        <v/>
      </c>
    </row>
    <row r="1011" spans="1:49" ht="20.100000000000001" customHeight="1">
      <c r="A1011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5" t="str">
        <f ca="1">IF(NOTA[[#This Row],[NAMA BARANG]]="","",INDEX(NOTA[ID],MATCH(,INDIRECT(ADDRESS(ROW(NOTA[ID]),COLUMN(NOTA[ID]))&amp;":"&amp;ADDRESS(ROW(),COLUMN(NOTA[ID]))),-1)))</f>
        <v/>
      </c>
      <c r="C1011" s="45"/>
      <c r="F1011" s="46"/>
      <c r="G1011" s="35"/>
      <c r="H1011" s="36"/>
      <c r="I1011" s="35"/>
      <c r="K1011" s="37"/>
      <c r="L1011" s="35"/>
      <c r="N1011" s="38"/>
      <c r="O1011" s="39"/>
      <c r="P1011" s="47"/>
      <c r="Q1011" s="48"/>
      <c r="R1011" s="41"/>
      <c r="T1011" s="42"/>
      <c r="U1011" s="44"/>
      <c r="V1011" s="42" t="str">
        <f>IF(NOTA[[#This Row],[HARGA/ CTN]]="",NOTA[[#This Row],[JUMLAH_H]],NOTA[[#This Row],[HARGA/ CTN]]*IF(NOTA[[#This Row],[C]]="",0,NOTA[[#This Row],[C]]))</f>
        <v/>
      </c>
      <c r="W1011" s="42" t="str">
        <f>IF(NOTA[[#This Row],[JUMLAH]]="","",NOTA[[#This Row],[JUMLAH]]*NOTA[[#This Row],[Column6]])</f>
        <v/>
      </c>
      <c r="X1011" s="42" t="str">
        <f>IF(NOTA[[#This Row],[JUMLAH]]="","",(NOTA[[#This Row],[JUMLAH]]-NOTA[[#This Row],[DISC 1-]])*NOTA[[#This Row],[Column7]])</f>
        <v/>
      </c>
      <c r="Y1011" s="42" t="str">
        <f>IF(NOTA[[#This Row],[JUMLAH]]="","",(NOTA[[#This Row],[JUMLAH]]-NOTA[[#This Row],[DISC 1-]]-NOTA[[#This Row],[DISC 2-]])*NOTA[[#This Row],[Column8]])</f>
        <v/>
      </c>
      <c r="Z1011" s="42" t="str">
        <f>IF(NOTA[[#This Row],[JUMLAH]]="","",NOTA[[#This Row],[DISC 1-]]+NOTA[[#This Row],[DISC 2-]]+NOTA[[#This Row],[DISC 3-]])</f>
        <v/>
      </c>
      <c r="AA1011" s="42" t="str">
        <f>IF(NOTA[[#This Row],[JUMLAH]]="","",NOTA[[#This Row],[JUMLAH]]-NOTA[[#This Row],[DISC]])</f>
        <v/>
      </c>
      <c r="AB1011" s="42"/>
      <c r="AC10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1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1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42" t="str">
        <f>IF(OR(NOTA[[#This Row],[QTY]]="",NOTA[[#This Row],[HARGA SATUAN]]="",),"",NOTA[[#This Row],[QTY]]*NOTA[[#This Row],[HARGA SATUAN]])</f>
        <v/>
      </c>
      <c r="AG1011" s="36" t="str">
        <f ca="1">IF(NOTA[[#This Row],[ID_H]]="","",INDEX(NOTA[TANGGAL],MATCH(,INDIRECT(ADDRESS(ROW(NOTA[TANGGAL]),COLUMN(NOTA[TANGGAL]))&amp;":"&amp;ADDRESS(ROW(),COLUMN(NOTA[TANGGAL]))),-1)))</f>
        <v/>
      </c>
      <c r="AH1011" s="36" t="str">
        <f ca="1">IF(NOTA[[#This Row],[ID_H]]="","",INDEX(NOTA[TGL.NOTA],MATCH(,INDIRECT(ADDRESS(ROW(NOTA[TGL.NOTA]),COLUMN(NOTA[TGL.NOTA]))&amp;":"&amp;ADDRESS(ROW(),COLUMN(NOTA[TGL.NOTA]))),-1)))</f>
        <v/>
      </c>
      <c r="AI1011" s="36" t="str">
        <f ca="1">IF(NOTA[[#This Row],[ID_H]]="","",INDEX(NOTA[NO.NOTA],MATCH(NOTA[[#This Row],[ID_H]],NOTA[ID_H],0)))</f>
        <v/>
      </c>
      <c r="AJ1011" s="38" t="str">
        <f ca="1">IF(NOTA[[#This Row],[NAMA BARANG]]="","",INDEX(NOTA[SUPPLIER],MATCH(,INDIRECT(ADDRESS(ROW(NOTA[ID]),COLUMN(NOTA[ID]))&amp;":"&amp;ADDRESS(ROW(),COLUMN(NOTA[ID]))),-1)))</f>
        <v/>
      </c>
      <c r="AK1011" s="38" t="str">
        <f ca="1">IF(NOTA[[#This Row],[ID_H]]="","",IF(NOTA[[#This Row],[FAKTUR]]="",INDIRECT(ADDRESS(ROW()-1,COLUMN())),NOTA[[#This Row],[FAKTUR]]))</f>
        <v/>
      </c>
      <c r="AL1011" s="35" t="str">
        <f ca="1">IF(NOTA[[#This Row],[ID]]="","",COUNTIF(NOTA[ID_H],NOTA[[#This Row],[ID_H]]))</f>
        <v/>
      </c>
      <c r="AM1011" s="35" t="str">
        <f ca="1">IF(NOTA[[#This Row],[TGL.NOTA]]="",IF(NOTA[[#This Row],[SUPPLIER_H]]="","",AM1010),MONTH(NOTA[[#This Row],[TGL.NOTA]]))</f>
        <v/>
      </c>
      <c r="AN1011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11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1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1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1" s="35" t="str">
        <f>IF(NOTA[[#This Row],[CONCAT1]]="","",MATCH(NOTA[[#This Row],[CONCAT1]],[3]!db[NB NOTA_C],0))</f>
        <v/>
      </c>
      <c r="AS1011" s="35" t="str">
        <f>IF(NOTA[[#This Row],[Column5]]="","",TRUE)</f>
        <v/>
      </c>
      <c r="AT1011" s="35" t="str">
        <f ca="1">IF(NOTA[[#This Row],[ID_H]]="","",IF(NOTA[[#This Row],[Column3]]=TRUE,NOTA[[#This Row],[Column5]],INDEX([3]!db[QTY/ CTN],NOTA[[#This Row],[//DB]])))</f>
        <v/>
      </c>
      <c r="AU1011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1" s="35" t="str">
        <f ca="1">IF(NOTA[[#This Row],[ID_H]]="","",MATCH(NOTA[[#This Row],[NB NOTA_C_QTY]],[3]!db[NB NOTA_C_QTY+F],0))</f>
        <v/>
      </c>
      <c r="AW1011" s="43" t="str">
        <f ca="1">IF(NOTA[[#This Row],[NB NOTA_C_QTY]]="","",ROW()-2)</f>
        <v/>
      </c>
    </row>
    <row r="1012" spans="1:49" ht="20.100000000000001" customHeight="1">
      <c r="A1012" s="3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5" t="str">
        <f ca="1">IF(NOTA[[#This Row],[NAMA BARANG]]="","",INDEX(NOTA[ID],MATCH(,INDIRECT(ADDRESS(ROW(NOTA[ID]),COLUMN(NOTA[ID]))&amp;":"&amp;ADDRESS(ROW(),COLUMN(NOTA[ID]))),-1)))</f>
        <v/>
      </c>
      <c r="C1012" s="45"/>
      <c r="F1012" s="46"/>
      <c r="G1012" s="35"/>
      <c r="H1012" s="36"/>
      <c r="I1012" s="35"/>
      <c r="K1012" s="37"/>
      <c r="L1012" s="35"/>
      <c r="N1012" s="38"/>
      <c r="O1012" s="39"/>
      <c r="P1012" s="47"/>
      <c r="Q1012" s="48"/>
      <c r="R1012" s="41"/>
      <c r="T1012" s="42"/>
      <c r="U1012" s="44"/>
      <c r="V1012" s="42" t="str">
        <f>IF(NOTA[[#This Row],[HARGA/ CTN]]="",NOTA[[#This Row],[JUMLAH_H]],NOTA[[#This Row],[HARGA/ CTN]]*IF(NOTA[[#This Row],[C]]="",0,NOTA[[#This Row],[C]]))</f>
        <v/>
      </c>
      <c r="W1012" s="42" t="str">
        <f>IF(NOTA[[#This Row],[JUMLAH]]="","",NOTA[[#This Row],[JUMLAH]]*NOTA[[#This Row],[Column6]])</f>
        <v/>
      </c>
      <c r="X1012" s="42" t="str">
        <f>IF(NOTA[[#This Row],[JUMLAH]]="","",(NOTA[[#This Row],[JUMLAH]]-NOTA[[#This Row],[DISC 1-]])*NOTA[[#This Row],[Column7]])</f>
        <v/>
      </c>
      <c r="Y1012" s="42" t="str">
        <f>IF(NOTA[[#This Row],[JUMLAH]]="","",(NOTA[[#This Row],[JUMLAH]]-NOTA[[#This Row],[DISC 1-]]-NOTA[[#This Row],[DISC 2-]])*NOTA[[#This Row],[Column8]])</f>
        <v/>
      </c>
      <c r="Z1012" s="42" t="str">
        <f>IF(NOTA[[#This Row],[JUMLAH]]="","",NOTA[[#This Row],[DISC 1-]]+NOTA[[#This Row],[DISC 2-]]+NOTA[[#This Row],[DISC 3-]])</f>
        <v/>
      </c>
      <c r="AA1012" s="42" t="str">
        <f>IF(NOTA[[#This Row],[JUMLAH]]="","",NOTA[[#This Row],[JUMLAH]]-NOTA[[#This Row],[DISC]])</f>
        <v/>
      </c>
      <c r="AB1012" s="42"/>
      <c r="AC10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Row],[Column9]],""))</f>
        <v/>
      </c>
      <c r="AD1012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Row],[Column9]],""))</f>
        <v/>
      </c>
      <c r="AE1012" s="3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42" t="str">
        <f>IF(OR(NOTA[[#This Row],[QTY]]="",NOTA[[#This Row],[HARGA SATUAN]]="",),"",NOTA[[#This Row],[QTY]]*NOTA[[#This Row],[HARGA SATUAN]])</f>
        <v/>
      </c>
      <c r="AG1012" s="36" t="str">
        <f ca="1">IF(NOTA[[#This Row],[ID_H]]="","",INDEX(NOTA[TANGGAL],MATCH(,INDIRECT(ADDRESS(ROW(NOTA[TANGGAL]),COLUMN(NOTA[TANGGAL]))&amp;":"&amp;ADDRESS(ROW(),COLUMN(NOTA[TANGGAL]))),-1)))</f>
        <v/>
      </c>
      <c r="AH1012" s="36" t="str">
        <f ca="1">IF(NOTA[[#This Row],[ID_H]]="","",INDEX(NOTA[TGL.NOTA],MATCH(,INDIRECT(ADDRESS(ROW(NOTA[TGL.NOTA]),COLUMN(NOTA[TGL.NOTA]))&amp;":"&amp;ADDRESS(ROW(),COLUMN(NOTA[TGL.NOTA]))),-1)))</f>
        <v/>
      </c>
      <c r="AI1012" s="36" t="str">
        <f ca="1">IF(NOTA[[#This Row],[ID_H]]="","",INDEX(NOTA[NO.NOTA],MATCH(NOTA[[#This Row],[ID_H]],NOTA[ID_H],0)))</f>
        <v/>
      </c>
      <c r="AJ1012" s="38" t="str">
        <f ca="1">IF(NOTA[[#This Row],[NAMA BARANG]]="","",INDEX(NOTA[SUPPLIER],MATCH(,INDIRECT(ADDRESS(ROW(NOTA[ID]),COLUMN(NOTA[ID]))&amp;":"&amp;ADDRESS(ROW(),COLUMN(NOTA[ID]))),-1)))</f>
        <v/>
      </c>
      <c r="AK1012" s="38" t="str">
        <f ca="1">IF(NOTA[[#This Row],[ID_H]]="","",IF(NOTA[[#This Row],[FAKTUR]]="",INDIRECT(ADDRESS(ROW()-1,COLUMN())),NOTA[[#This Row],[FAKTUR]]))</f>
        <v/>
      </c>
      <c r="AL1012" s="35" t="str">
        <f ca="1">IF(NOTA[[#This Row],[ID]]="","",COUNTIF(NOTA[ID_H],NOTA[[#This Row],[ID_H]]))</f>
        <v/>
      </c>
      <c r="AM1012" s="35" t="str">
        <f ca="1">IF(NOTA[[#This Row],[TGL.NOTA]]="",IF(NOTA[[#This Row],[SUPPLIER_H]]="","",AM1011),MONTH(NOTA[[#This Row],[TGL.NOTA]]))</f>
        <v/>
      </c>
      <c r="AN1012" s="35" t="str">
        <f>LOWER(SUBSTITUTE(SUBSTITUTE(SUBSTITUTE(SUBSTITUTE(SUBSTITUTE(SUBSTITUTE(SUBSTITUTE(SUBSTITUTE(SUBSTITUTE(NOTA[[#This Row],[NAMA BARANG]]," ",),".",""),"-",""),"(",""),")",""),",",""),"/",""),"""",""),"+",""))</f>
        <v/>
      </c>
      <c r="AO1012" s="35" t="str">
        <f>IF(NOTA[[#This Row],[CONCAT1]]="","",IF(NOTA[[#This Row],[C]]="",NOTA[[#This Row],[CONCAT1]]&amp;NOTA[[#This Row],[HARGA/ CTN_H]]&amp;NOTA[[#This Row],[Column6]]&amp;NOTA[[#This Row],[Column7]],NOTA[[#This Row],[CONCAT1]]&amp;NOTA[[#This Row],[HARGA/ CTN_H]]&amp;NOTA[[#This Row],[Column6]]&amp;NOTA[[#This Row],[Column7]]))</f>
        <v/>
      </c>
      <c r="AP1012" s="35" t="str">
        <f>IF(NOTA[[#This Row],[CONCAT1]]="","",IF(NOTA[[#This Row],[C]]="",NOTA[[#This Row],[CONCAT1]]&amp;NOTA[[#This Row],[HARGA/ CTN_H]]/NOTA[[#This Row],[QTY]]&amp;NOTA[[#This Row],[Column6]]&amp;NOTA[[#This Row],[Column7]],NOTA[[#This Row],[CONCAT1]]&amp;NOTA[[#This Row],[HARGA/ CTN_H]]&amp;NOTA[[#This Row],[Column6]]&amp;NOTA[[#This Row],[Column7]]))</f>
        <v/>
      </c>
      <c r="AQ1012" s="3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2" s="35" t="str">
        <f>IF(NOTA[[#This Row],[CONCAT1]]="","",MATCH(NOTA[[#This Row],[CONCAT1]],[3]!db[NB NOTA_C],0))</f>
        <v/>
      </c>
      <c r="AS1012" s="35" t="str">
        <f>IF(NOTA[[#This Row],[Column5]]="","",TRUE)</f>
        <v/>
      </c>
      <c r="AT1012" s="35" t="str">
        <f ca="1">IF(NOTA[[#This Row],[ID_H]]="","",IF(NOTA[[#This Row],[Column3]]=TRUE,NOTA[[#This Row],[Column5]],INDEX([3]!db[QTY/ CTN],NOTA[[#This Row],[//DB]])))</f>
        <v/>
      </c>
      <c r="AU1012" s="3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V1012" s="35" t="str">
        <f ca="1">IF(NOTA[[#This Row],[ID_H]]="","",MATCH(NOTA[[#This Row],[NB NOTA_C_QTY]],[3]!db[NB NOTA_C_QTY+F],0))</f>
        <v/>
      </c>
      <c r="AW1012" s="43" t="str">
        <f ca="1">IF(NOTA[[#This Row],[NB NOTA_C_QTY]]="","",ROW()-2)</f>
        <v/>
      </c>
    </row>
  </sheetData>
  <conditionalFormatting sqref="B1013:B1048576 B1">
    <cfRule type="duplicateValues" dxfId="270" priority="2267"/>
    <cfRule type="duplicateValues" dxfId="269" priority="2268"/>
  </conditionalFormatting>
  <conditionalFormatting sqref="G1013:G1048576 F42:F106 G1 F108:F176 F178:F1012 F2:F40">
    <cfRule type="duplicateValues" dxfId="268" priority="2229"/>
  </conditionalFormatting>
  <conditionalFormatting sqref="J4">
    <cfRule type="duplicateValues" dxfId="267" priority="209"/>
    <cfRule type="duplicateValues" dxfId="266" priority="210"/>
  </conditionalFormatting>
  <conditionalFormatting sqref="J6">
    <cfRule type="duplicateValues" dxfId="265" priority="207"/>
    <cfRule type="duplicateValues" dxfId="264" priority="208"/>
  </conditionalFormatting>
  <conditionalFormatting sqref="J15">
    <cfRule type="duplicateValues" dxfId="263" priority="157"/>
    <cfRule type="duplicateValues" dxfId="262" priority="158"/>
  </conditionalFormatting>
  <conditionalFormatting sqref="J30">
    <cfRule type="duplicateValues" dxfId="261" priority="205"/>
    <cfRule type="duplicateValues" dxfId="260" priority="206"/>
  </conditionalFormatting>
  <conditionalFormatting sqref="J31">
    <cfRule type="duplicateValues" dxfId="259" priority="203"/>
    <cfRule type="duplicateValues" dxfId="258" priority="204"/>
  </conditionalFormatting>
  <conditionalFormatting sqref="J41">
    <cfRule type="duplicateValues" dxfId="257" priority="155"/>
    <cfRule type="duplicateValues" dxfId="256" priority="156"/>
  </conditionalFormatting>
  <conditionalFormatting sqref="J44">
    <cfRule type="duplicateValues" dxfId="255" priority="201"/>
    <cfRule type="duplicateValues" dxfId="254" priority="202"/>
  </conditionalFormatting>
  <conditionalFormatting sqref="J45">
    <cfRule type="duplicateValues" dxfId="253" priority="153"/>
    <cfRule type="duplicateValues" dxfId="252" priority="154"/>
  </conditionalFormatting>
  <conditionalFormatting sqref="J46">
    <cfRule type="duplicateValues" dxfId="251" priority="200"/>
  </conditionalFormatting>
  <conditionalFormatting sqref="J47">
    <cfRule type="duplicateValues" dxfId="250" priority="151"/>
    <cfRule type="duplicateValues" dxfId="249" priority="152"/>
  </conditionalFormatting>
  <conditionalFormatting sqref="J49">
    <cfRule type="duplicateValues" dxfId="248" priority="149"/>
    <cfRule type="duplicateValues" dxfId="247" priority="150"/>
  </conditionalFormatting>
  <conditionalFormatting sqref="J62">
    <cfRule type="duplicateValues" dxfId="246" priority="140"/>
    <cfRule type="duplicateValues" dxfId="245" priority="141"/>
  </conditionalFormatting>
  <conditionalFormatting sqref="J63">
    <cfRule type="duplicateValues" dxfId="244" priority="142"/>
    <cfRule type="duplicateValues" dxfId="243" priority="143"/>
  </conditionalFormatting>
  <conditionalFormatting sqref="J65">
    <cfRule type="duplicateValues" dxfId="242" priority="81"/>
    <cfRule type="duplicateValues" dxfId="241" priority="82"/>
  </conditionalFormatting>
  <conditionalFormatting sqref="J66">
    <cfRule type="duplicateValues" dxfId="240" priority="135"/>
    <cfRule type="duplicateValues" dxfId="239" priority="136"/>
  </conditionalFormatting>
  <conditionalFormatting sqref="J67">
    <cfRule type="duplicateValues" dxfId="238" priority="133"/>
    <cfRule type="duplicateValues" dxfId="237" priority="134"/>
  </conditionalFormatting>
  <conditionalFormatting sqref="J68">
    <cfRule type="duplicateValues" dxfId="236" priority="131"/>
    <cfRule type="duplicateValues" dxfId="235" priority="132"/>
  </conditionalFormatting>
  <conditionalFormatting sqref="J69">
    <cfRule type="duplicateValues" dxfId="234" priority="79"/>
    <cfRule type="duplicateValues" dxfId="233" priority="80"/>
  </conditionalFormatting>
  <conditionalFormatting sqref="J75">
    <cfRule type="duplicateValues" dxfId="232" priority="129"/>
    <cfRule type="duplicateValues" dxfId="231" priority="130"/>
  </conditionalFormatting>
  <conditionalFormatting sqref="J77">
    <cfRule type="duplicateValues" dxfId="230" priority="75"/>
    <cfRule type="duplicateValues" dxfId="229" priority="76"/>
  </conditionalFormatting>
  <conditionalFormatting sqref="J83">
    <cfRule type="duplicateValues" dxfId="228" priority="198"/>
    <cfRule type="duplicateValues" dxfId="227" priority="199"/>
  </conditionalFormatting>
  <conditionalFormatting sqref="J84">
    <cfRule type="duplicateValues" dxfId="226" priority="196"/>
    <cfRule type="duplicateValues" dxfId="225" priority="197"/>
  </conditionalFormatting>
  <conditionalFormatting sqref="J85">
    <cfRule type="duplicateValues" dxfId="224" priority="125"/>
    <cfRule type="duplicateValues" dxfId="223" priority="126"/>
  </conditionalFormatting>
  <conditionalFormatting sqref="J86 J90:J91">
    <cfRule type="duplicateValues" dxfId="222" priority="194"/>
    <cfRule type="duplicateValues" dxfId="221" priority="195"/>
  </conditionalFormatting>
  <conditionalFormatting sqref="J87">
    <cfRule type="duplicateValues" dxfId="220" priority="123"/>
    <cfRule type="duplicateValues" dxfId="219" priority="124"/>
  </conditionalFormatting>
  <conditionalFormatting sqref="J88">
    <cfRule type="duplicateValues" dxfId="218" priority="121"/>
    <cfRule type="duplicateValues" dxfId="217" priority="122"/>
  </conditionalFormatting>
  <conditionalFormatting sqref="J89">
    <cfRule type="duplicateValues" dxfId="216" priority="119"/>
    <cfRule type="duplicateValues" dxfId="215" priority="120"/>
  </conditionalFormatting>
  <conditionalFormatting sqref="J92:J94">
    <cfRule type="duplicateValues" dxfId="214" priority="192"/>
    <cfRule type="duplicateValues" dxfId="213" priority="193"/>
  </conditionalFormatting>
  <conditionalFormatting sqref="J95">
    <cfRule type="duplicateValues" dxfId="212" priority="117"/>
    <cfRule type="duplicateValues" dxfId="211" priority="118"/>
  </conditionalFormatting>
  <conditionalFormatting sqref="J96:J97">
    <cfRule type="duplicateValues" dxfId="210" priority="115"/>
    <cfRule type="duplicateValues" dxfId="209" priority="116"/>
  </conditionalFormatting>
  <conditionalFormatting sqref="J98">
    <cfRule type="duplicateValues" dxfId="208" priority="190"/>
    <cfRule type="duplicateValues" dxfId="207" priority="191"/>
  </conditionalFormatting>
  <conditionalFormatting sqref="J99:J100">
    <cfRule type="duplicateValues" dxfId="206" priority="113"/>
    <cfRule type="duplicateValues" dxfId="205" priority="114"/>
  </conditionalFormatting>
  <conditionalFormatting sqref="J101:J102">
    <cfRule type="duplicateValues" dxfId="204" priority="180"/>
    <cfRule type="duplicateValues" dxfId="203" priority="181"/>
  </conditionalFormatting>
  <conditionalFormatting sqref="J104">
    <cfRule type="duplicateValues" dxfId="202" priority="73"/>
    <cfRule type="duplicateValues" dxfId="201" priority="74"/>
  </conditionalFormatting>
  <conditionalFormatting sqref="J106">
    <cfRule type="duplicateValues" dxfId="200" priority="111"/>
    <cfRule type="duplicateValues" dxfId="199" priority="112"/>
  </conditionalFormatting>
  <conditionalFormatting sqref="J107">
    <cfRule type="duplicateValues" dxfId="198" priority="109"/>
    <cfRule type="duplicateValues" dxfId="197" priority="110"/>
  </conditionalFormatting>
  <conditionalFormatting sqref="J108">
    <cfRule type="duplicateValues" dxfId="196" priority="107"/>
    <cfRule type="duplicateValues" dxfId="195" priority="108"/>
  </conditionalFormatting>
  <conditionalFormatting sqref="J109">
    <cfRule type="duplicateValues" dxfId="194" priority="105"/>
    <cfRule type="duplicateValues" dxfId="193" priority="106"/>
  </conditionalFormatting>
  <conditionalFormatting sqref="J116">
    <cfRule type="duplicateValues" dxfId="192" priority="103"/>
    <cfRule type="duplicateValues" dxfId="191" priority="104"/>
  </conditionalFormatting>
  <conditionalFormatting sqref="J117">
    <cfRule type="duplicateValues" dxfId="190" priority="101"/>
    <cfRule type="duplicateValues" dxfId="189" priority="102"/>
  </conditionalFormatting>
  <conditionalFormatting sqref="J118">
    <cfRule type="duplicateValues" dxfId="188" priority="99"/>
    <cfRule type="duplicateValues" dxfId="187" priority="100"/>
  </conditionalFormatting>
  <conditionalFormatting sqref="J119">
    <cfRule type="duplicateValues" dxfId="186" priority="70"/>
    <cfRule type="duplicateValues" dxfId="185" priority="71"/>
  </conditionalFormatting>
  <conditionalFormatting sqref="J120">
    <cfRule type="duplicateValues" dxfId="184" priority="95"/>
    <cfRule type="duplicateValues" dxfId="183" priority="96"/>
  </conditionalFormatting>
  <conditionalFormatting sqref="J122">
    <cfRule type="duplicateValues" dxfId="182" priority="93"/>
    <cfRule type="duplicateValues" dxfId="181" priority="94"/>
  </conditionalFormatting>
  <conditionalFormatting sqref="J123">
    <cfRule type="duplicateValues" dxfId="180" priority="91"/>
    <cfRule type="duplicateValues" dxfId="179" priority="92"/>
  </conditionalFormatting>
  <conditionalFormatting sqref="J124">
    <cfRule type="duplicateValues" dxfId="178" priority="89"/>
    <cfRule type="duplicateValues" dxfId="177" priority="90"/>
  </conditionalFormatting>
  <conditionalFormatting sqref="J125">
    <cfRule type="duplicateValues" dxfId="176" priority="87"/>
    <cfRule type="duplicateValues" dxfId="175" priority="88"/>
  </conditionalFormatting>
  <conditionalFormatting sqref="J126">
    <cfRule type="duplicateValues" dxfId="174" priority="85"/>
    <cfRule type="duplicateValues" dxfId="173" priority="86"/>
  </conditionalFormatting>
  <conditionalFormatting sqref="J127">
    <cfRule type="duplicateValues" dxfId="172" priority="83"/>
    <cfRule type="duplicateValues" dxfId="171" priority="84"/>
  </conditionalFormatting>
  <conditionalFormatting sqref="J131">
    <cfRule type="duplicateValues" dxfId="170" priority="176"/>
    <cfRule type="duplicateValues" dxfId="169" priority="177"/>
  </conditionalFormatting>
  <conditionalFormatting sqref="J142">
    <cfRule type="duplicateValues" dxfId="168" priority="66"/>
    <cfRule type="duplicateValues" dxfId="167" priority="67"/>
  </conditionalFormatting>
  <conditionalFormatting sqref="J148:J152">
    <cfRule type="duplicateValues" dxfId="166" priority="68"/>
    <cfRule type="duplicateValues" dxfId="165" priority="69"/>
  </conditionalFormatting>
  <conditionalFormatting sqref="J153">
    <cfRule type="duplicateValues" dxfId="164" priority="169"/>
    <cfRule type="duplicateValues" dxfId="163" priority="170"/>
  </conditionalFormatting>
  <conditionalFormatting sqref="J158">
    <cfRule type="duplicateValues" dxfId="162" priority="64"/>
    <cfRule type="duplicateValues" dxfId="161" priority="65"/>
  </conditionalFormatting>
  <conditionalFormatting sqref="J161">
    <cfRule type="duplicateValues" dxfId="160" priority="62"/>
    <cfRule type="duplicateValues" dxfId="159" priority="63"/>
  </conditionalFormatting>
  <conditionalFormatting sqref="J163">
    <cfRule type="duplicateValues" dxfId="158" priority="60"/>
    <cfRule type="duplicateValues" dxfId="157" priority="61"/>
  </conditionalFormatting>
  <conditionalFormatting sqref="J164">
    <cfRule type="duplicateValues" dxfId="156" priority="58"/>
    <cfRule type="duplicateValues" dxfId="155" priority="59"/>
  </conditionalFormatting>
  <conditionalFormatting sqref="J166">
    <cfRule type="duplicateValues" dxfId="154" priority="5"/>
    <cfRule type="duplicateValues" dxfId="153" priority="6"/>
  </conditionalFormatting>
  <conditionalFormatting sqref="J167">
    <cfRule type="duplicateValues" dxfId="152" priority="55"/>
    <cfRule type="duplicateValues" dxfId="151" priority="56"/>
  </conditionalFormatting>
  <conditionalFormatting sqref="J168">
    <cfRule type="duplicateValues" dxfId="150" priority="53"/>
    <cfRule type="duplicateValues" dxfId="149" priority="54"/>
  </conditionalFormatting>
  <conditionalFormatting sqref="J172:J174">
    <cfRule type="duplicateValues" dxfId="148" priority="51"/>
    <cfRule type="duplicateValues" dxfId="147" priority="52"/>
  </conditionalFormatting>
  <conditionalFormatting sqref="J175">
    <cfRule type="duplicateValues" dxfId="146" priority="49"/>
    <cfRule type="duplicateValues" dxfId="145" priority="50"/>
  </conditionalFormatting>
  <conditionalFormatting sqref="J176 J178">
    <cfRule type="duplicateValues" dxfId="144" priority="47"/>
    <cfRule type="duplicateValues" dxfId="143" priority="48"/>
  </conditionalFormatting>
  <conditionalFormatting sqref="J177">
    <cfRule type="duplicateValues" dxfId="142" priority="45"/>
    <cfRule type="duplicateValues" dxfId="141" priority="46"/>
  </conditionalFormatting>
  <conditionalFormatting sqref="J179">
    <cfRule type="duplicateValues" dxfId="140" priority="43"/>
    <cfRule type="duplicateValues" dxfId="139" priority="44"/>
  </conditionalFormatting>
  <conditionalFormatting sqref="J180:J182">
    <cfRule type="duplicateValues" dxfId="138" priority="41"/>
    <cfRule type="duplicateValues" dxfId="137" priority="42"/>
  </conditionalFormatting>
  <conditionalFormatting sqref="J183">
    <cfRule type="duplicateValues" dxfId="136" priority="39"/>
    <cfRule type="duplicateValues" dxfId="135" priority="40"/>
  </conditionalFormatting>
  <conditionalFormatting sqref="J185">
    <cfRule type="duplicateValues" dxfId="134" priority="37"/>
    <cfRule type="duplicateValues" dxfId="133" priority="38"/>
  </conditionalFormatting>
  <conditionalFormatting sqref="J186">
    <cfRule type="duplicateValues" dxfId="132" priority="3"/>
    <cfRule type="duplicateValues" dxfId="131" priority="4"/>
  </conditionalFormatting>
  <conditionalFormatting sqref="J194">
    <cfRule type="duplicateValues" dxfId="130" priority="33"/>
    <cfRule type="duplicateValues" dxfId="129" priority="34"/>
  </conditionalFormatting>
  <conditionalFormatting sqref="J195">
    <cfRule type="duplicateValues" dxfId="128" priority="31"/>
    <cfRule type="duplicateValues" dxfId="127" priority="32"/>
  </conditionalFormatting>
  <conditionalFormatting sqref="J209">
    <cfRule type="duplicateValues" dxfId="126" priority="29"/>
    <cfRule type="duplicateValues" dxfId="125" priority="30"/>
  </conditionalFormatting>
  <conditionalFormatting sqref="J210">
    <cfRule type="duplicateValues" dxfId="124" priority="27"/>
    <cfRule type="duplicateValues" dxfId="123" priority="28"/>
  </conditionalFormatting>
  <conditionalFormatting sqref="J211">
    <cfRule type="duplicateValues" dxfId="122" priority="25"/>
    <cfRule type="duplicateValues" dxfId="121" priority="26"/>
  </conditionalFormatting>
  <conditionalFormatting sqref="J213">
    <cfRule type="duplicateValues" dxfId="120" priority="23"/>
    <cfRule type="duplicateValues" dxfId="119" priority="24"/>
  </conditionalFormatting>
  <conditionalFormatting sqref="J214">
    <cfRule type="duplicateValues" dxfId="118" priority="21"/>
    <cfRule type="duplicateValues" dxfId="117" priority="22"/>
  </conditionalFormatting>
  <conditionalFormatting sqref="J215">
    <cfRule type="duplicateValues" dxfId="116" priority="19"/>
    <cfRule type="duplicateValues" dxfId="115" priority="20"/>
  </conditionalFormatting>
  <conditionalFormatting sqref="J216">
    <cfRule type="duplicateValues" dxfId="114" priority="17"/>
    <cfRule type="duplicateValues" dxfId="113" priority="18"/>
  </conditionalFormatting>
  <conditionalFormatting sqref="J217">
    <cfRule type="duplicateValues" dxfId="112" priority="15"/>
    <cfRule type="duplicateValues" dxfId="111" priority="16"/>
  </conditionalFormatting>
  <conditionalFormatting sqref="J219">
    <cfRule type="duplicateValues" dxfId="110" priority="13"/>
    <cfRule type="duplicateValues" dxfId="109" priority="14"/>
  </conditionalFormatting>
  <conditionalFormatting sqref="J223">
    <cfRule type="duplicateValues" dxfId="108" priority="11"/>
    <cfRule type="duplicateValues" dxfId="107" priority="12"/>
  </conditionalFormatting>
  <conditionalFormatting sqref="J225">
    <cfRule type="duplicateValues" dxfId="106" priority="9"/>
    <cfRule type="duplicateValues" dxfId="105" priority="10"/>
  </conditionalFormatting>
  <conditionalFormatting sqref="J227">
    <cfRule type="duplicateValues" dxfId="104" priority="7"/>
    <cfRule type="duplicateValues" dxfId="103" priority="8"/>
  </conditionalFormatting>
  <conditionalFormatting sqref="J234">
    <cfRule type="duplicateValues" dxfId="102" priority="182"/>
    <cfRule type="duplicateValues" dxfId="101" priority="183"/>
  </conditionalFormatting>
  <conditionalFormatting sqref="J254">
    <cfRule type="duplicateValues" dxfId="100" priority="188"/>
    <cfRule type="duplicateValues" dxfId="99" priority="189"/>
  </conditionalFormatting>
  <conditionalFormatting sqref="J258">
    <cfRule type="duplicateValues" dxfId="96" priority="167"/>
    <cfRule type="duplicateValues" dxfId="95" priority="168"/>
  </conditionalFormatting>
  <conditionalFormatting sqref="J260">
    <cfRule type="duplicateValues" dxfId="94" priority="165"/>
    <cfRule type="duplicateValues" dxfId="93" priority="166"/>
  </conditionalFormatting>
  <conditionalFormatting sqref="J262">
    <cfRule type="duplicateValues" dxfId="92" priority="163"/>
    <cfRule type="duplicateValues" dxfId="91" priority="164"/>
  </conditionalFormatting>
  <conditionalFormatting sqref="J263">
    <cfRule type="duplicateValues" dxfId="90" priority="161"/>
    <cfRule type="duplicateValues" dxfId="89" priority="162"/>
  </conditionalFormatting>
  <conditionalFormatting sqref="J264">
    <cfRule type="duplicateValues" dxfId="88" priority="159"/>
    <cfRule type="duplicateValues" dxfId="87" priority="160"/>
  </conditionalFormatting>
  <conditionalFormatting sqref="F108:F176 F178:F1012 F3:F106">
    <cfRule type="duplicateValues" dxfId="86" priority="2277"/>
  </conditionalFormatting>
  <conditionalFormatting sqref="J256">
    <cfRule type="duplicateValues" dxfId="85" priority="2281"/>
    <cfRule type="duplicateValues" dxfId="84" priority="2282"/>
  </conditionalFormatting>
  <conditionalFormatting sqref="AQ3:AQ1012">
    <cfRule type="duplicateValues" dxfId="83" priority="2283"/>
  </conditionalFormatting>
  <conditionalFormatting sqref="J255">
    <cfRule type="duplicateValues" dxfId="4" priority="2"/>
  </conditionalFormatting>
  <conditionalFormatting sqref="J255">
    <cfRule type="duplicateValues" dxfId="3" priority="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05"/>
  <sheetViews>
    <sheetView tabSelected="1" topLeftCell="AS183" zoomScale="85" zoomScaleNormal="85" workbookViewId="0">
      <selection activeCell="AU191" sqref="AU191:AU200"/>
    </sheetView>
  </sheetViews>
  <sheetFormatPr defaultRowHeight="15"/>
  <cols>
    <col min="1" max="1" width="13.28515625" bestFit="1" customWidth="1"/>
    <col min="2" max="2" width="11.28515625" bestFit="1" customWidth="1"/>
    <col min="3" max="3" width="9.5703125" customWidth="1"/>
    <col min="4" max="4" width="11" customWidth="1"/>
    <col min="5" max="5" width="32" customWidth="1"/>
    <col min="6" max="6" width="31.85546875" customWidth="1"/>
    <col min="7" max="7" width="42.42578125" customWidth="1"/>
    <col min="8" max="8" width="19" customWidth="1"/>
    <col min="9" max="9" width="48.5703125" customWidth="1"/>
    <col min="10" max="10" width="16.28515625" customWidth="1"/>
    <col min="11" max="11" width="10.42578125" customWidth="1"/>
    <col min="12" max="12" width="8" customWidth="1"/>
    <col min="13" max="18" width="8.140625" customWidth="1"/>
    <col min="19" max="20" width="9.140625" customWidth="1"/>
    <col min="21" max="21" width="4.5703125" customWidth="1"/>
    <col min="22" max="22" width="8.85546875" customWidth="1"/>
    <col min="23" max="23" width="7.5703125" customWidth="1"/>
    <col min="24" max="24" width="14.42578125" customWidth="1"/>
    <col min="25" max="25" width="9.5703125" style="2" customWidth="1"/>
    <col min="26" max="28" width="9.5703125" customWidth="1"/>
    <col min="29" max="30" width="17.28515625" customWidth="1"/>
    <col min="31" max="33" width="13.5703125" style="3" customWidth="1"/>
    <col min="34" max="35" width="12" style="4" customWidth="1"/>
    <col min="36" max="36" width="18.28515625" style="5" customWidth="1"/>
    <col min="37" max="37" width="15.85546875" style="4" customWidth="1"/>
    <col min="38" max="39" width="12" style="6" customWidth="1"/>
    <col min="40" max="40" width="12" style="7" customWidth="1"/>
    <col min="41" max="41" width="9.140625" customWidth="1"/>
    <col min="42" max="42" width="18.28515625" customWidth="1"/>
    <col min="43" max="43" width="12" style="7" customWidth="1"/>
    <col min="44" max="44" width="35.42578125" style="14" customWidth="1"/>
    <col min="45" max="45" width="36.5703125" customWidth="1"/>
    <col min="46" max="46" width="17.5703125" bestFit="1" customWidth="1"/>
    <col min="47" max="47" width="19.7109375" customWidth="1"/>
    <col min="48" max="48" width="18.5703125" style="10" bestFit="1" customWidth="1"/>
    <col min="49" max="49" width="6.140625" bestFit="1" customWidth="1"/>
    <col min="50" max="50" width="10.85546875" bestFit="1" customWidth="1"/>
    <col min="51" max="51" width="16.7109375" bestFit="1" customWidth="1"/>
    <col min="52" max="52" width="10.5703125" bestFit="1" customWidth="1"/>
    <col min="53" max="53" width="16.140625" bestFit="1" customWidth="1"/>
    <col min="54" max="54" width="12.42578125" bestFit="1" customWidth="1"/>
    <col min="55" max="55" width="13.85546875" bestFit="1" customWidth="1"/>
    <col min="56" max="56" width="25" bestFit="1" customWidth="1"/>
  </cols>
  <sheetData>
    <row r="1" spans="1:56">
      <c r="A1" s="54" t="s">
        <v>33</v>
      </c>
      <c r="B1" s="54" t="s">
        <v>49</v>
      </c>
      <c r="AQ1"/>
      <c r="AR1" s="8"/>
    </row>
    <row r="2" spans="1:56">
      <c r="A2" s="54" t="s">
        <v>22</v>
      </c>
      <c r="B2" s="54" t="s">
        <v>73</v>
      </c>
      <c r="AQ2"/>
      <c r="AR2" s="8"/>
    </row>
    <row r="3" spans="1:56">
      <c r="AQ3"/>
      <c r="AR3" s="8"/>
    </row>
    <row r="4" spans="1:56">
      <c r="A4" s="54" t="s">
        <v>54</v>
      </c>
      <c r="C4" t="s">
        <v>59</v>
      </c>
      <c r="D4" t="s">
        <v>60</v>
      </c>
      <c r="E4" t="s">
        <v>115</v>
      </c>
      <c r="F4" t="s">
        <v>116</v>
      </c>
      <c r="G4" t="s">
        <v>117</v>
      </c>
      <c r="H4" t="s">
        <v>68</v>
      </c>
      <c r="I4" t="s">
        <v>114</v>
      </c>
      <c r="J4" t="s">
        <v>160</v>
      </c>
      <c r="K4" t="s">
        <v>161</v>
      </c>
      <c r="L4" t="s">
        <v>162</v>
      </c>
      <c r="M4" t="s">
        <v>163</v>
      </c>
      <c r="N4" t="s">
        <v>165</v>
      </c>
      <c r="O4" t="s">
        <v>166</v>
      </c>
      <c r="P4" t="s">
        <v>164</v>
      </c>
      <c r="Q4" t="s">
        <v>169</v>
      </c>
      <c r="R4" t="s">
        <v>167</v>
      </c>
      <c r="S4" t="s">
        <v>168</v>
      </c>
      <c r="T4" t="s">
        <v>173</v>
      </c>
      <c r="U4" t="s">
        <v>174</v>
      </c>
      <c r="V4" t="s">
        <v>417</v>
      </c>
      <c r="W4" t="s">
        <v>39</v>
      </c>
      <c r="X4" t="s">
        <v>418</v>
      </c>
      <c r="Y4" s="2" t="s">
        <v>175</v>
      </c>
      <c r="Z4" t="s">
        <v>176</v>
      </c>
      <c r="AA4" t="s">
        <v>170</v>
      </c>
      <c r="AB4" t="s">
        <v>177</v>
      </c>
      <c r="AC4" t="s">
        <v>178</v>
      </c>
      <c r="AD4" t="s">
        <v>416</v>
      </c>
      <c r="AE4" s="3" t="s">
        <v>13</v>
      </c>
      <c r="AF4" s="3" t="s">
        <v>14</v>
      </c>
      <c r="AG4" s="3" t="s">
        <v>47</v>
      </c>
      <c r="AH4" s="4" t="s">
        <v>64</v>
      </c>
      <c r="AI4" s="4" t="s">
        <v>67</v>
      </c>
      <c r="AJ4" s="5" t="s">
        <v>65</v>
      </c>
      <c r="AK4" s="4" t="s">
        <v>66</v>
      </c>
      <c r="AL4" s="6" t="s">
        <v>61</v>
      </c>
      <c r="AM4" s="6" t="s">
        <v>69</v>
      </c>
      <c r="AN4" t="s">
        <v>62</v>
      </c>
      <c r="AO4" t="s">
        <v>63</v>
      </c>
      <c r="AP4" t="s">
        <v>57</v>
      </c>
      <c r="AQ4" t="s">
        <v>58</v>
      </c>
      <c r="AR4" s="11" t="s">
        <v>2</v>
      </c>
      <c r="AS4" s="12" t="s">
        <v>179</v>
      </c>
      <c r="AT4" t="s">
        <v>180</v>
      </c>
      <c r="AU4" s="10" t="s">
        <v>181</v>
      </c>
      <c r="AV4" t="s">
        <v>182</v>
      </c>
      <c r="AW4" t="s">
        <v>183</v>
      </c>
      <c r="AX4" t="s">
        <v>184</v>
      </c>
      <c r="AY4" t="s">
        <v>185</v>
      </c>
      <c r="AZ4" t="s">
        <v>186</v>
      </c>
      <c r="BA4" t="s">
        <v>187</v>
      </c>
      <c r="BB4" t="s">
        <v>188</v>
      </c>
      <c r="BC4" t="s">
        <v>189</v>
      </c>
      <c r="BD4" t="s">
        <v>190</v>
      </c>
    </row>
    <row r="5" spans="1:56">
      <c r="A5" s="55">
        <v>1</v>
      </c>
      <c r="C5">
        <f>INDEX(NOTA[//DB],Sheet1!A:A)</f>
        <v>876</v>
      </c>
      <c r="D5">
        <f>_xlfn.IFNA(MATCH(Table17[[#This Row],[//db]],[3]!Table2[\\],0),"")</f>
        <v>983</v>
      </c>
      <c r="E5" t="str">
        <f>INDEX([3]!db[NB NOTA],Table17[[#This Row],[//db]])</f>
        <v>DOC RIT PRESTIGE MERAH</v>
      </c>
      <c r="F5" t="str">
        <f>INDEX([3]!db[NB BM],Table17[[#This Row],[//db]])</f>
        <v>Dokumen Risleting Prestige Merah</v>
      </c>
      <c r="G5" t="str">
        <f>IF(Table17[[#This Row],[dbconcat]]="","",INDEX([3]!Table2[NAMA],Table17[[#This Row],[dbconcat]]))</f>
        <v>DOKUMEN RISLETING PRESTIGE MERAH</v>
      </c>
      <c r="H5" t="str">
        <f>INDEX([3]!Table2[KODE BARANG],Table17[[#This Row],[dbconcat]])</f>
        <v>DOK-NB20</v>
      </c>
      <c r="I5" t="str">
        <f>IF(Table17[[#This Row],[NAMA_3]]="",UPPER(Table17[[#This Row],[NAMA_2]]),Table17[[#This Row],[NAMA_3]])</f>
        <v>DOKUMEN RISLETING PRESTIGE MERAH</v>
      </c>
      <c r="J5">
        <f>INDEX(NOTA[QTY],Sheet1!A:A)</f>
        <v>55</v>
      </c>
      <c r="K5" t="str">
        <f>INDEX(NOTA[STN],Sheet1!A:A)</f>
        <v>PCS</v>
      </c>
      <c r="L5" s="13" t="str">
        <f>INDEX([3]!db[QTY B],Table17[[#This Row],[//db]])</f>
        <v>8</v>
      </c>
      <c r="M5" t="str">
        <f>INDEX([3]!db[STN B],Table17[[#This Row],[//db]])</f>
        <v>LSN</v>
      </c>
      <c r="N5">
        <f>IF(Table17[[#This Row],[SATUAN NOTA]]=Table17[[#This Row],[SATUAN DB]],"", MATCH(CONCATENATE(Table17[[#This Row],[SATUAN NOTA]],Table17[[#This Row],[SATUAN DB]]),Table2[4],0))</f>
        <v>2</v>
      </c>
      <c r="O5" cm="1">
        <f t="array" ref="O5">IF(Table17[[#This Row],[//CONV]]="","",INDEX(Table2[3],Table17[[#This Row],[//CONV]]))</f>
        <v>8.3333333333333329E-2</v>
      </c>
      <c r="P5">
        <f>IF(Table17[[#This Row],[//CONV]]="",Table17[[#This Row],[ISI DB]],Table17[[#This Row],[ISI NOTA]]*Table17[[#This Row],[CONV VAR]])</f>
        <v>4.583333333333333</v>
      </c>
      <c r="Q5" t="str" cm="1">
        <f t="array" ref="Q5">IF(Table17[[#This Row],[//CONV]]="",Table17[[#This Row],[SATUAN DB]],INDEX(Table2[2],Table17[[#This Row],[//CONV]]))</f>
        <v>LSN</v>
      </c>
      <c r="R5" cm="1">
        <f t="array" ref="R5">IF(Table17[[#This Row],[dbconcat]]="","",INDEX([3]!Table2[ISI],Table17[[#This Row],[dbconcat]]))</f>
        <v>8</v>
      </c>
      <c r="S5" t="str" cm="1">
        <f t="array" ref="S5">IF(Table17[[#This Row],[dbconcat]]="","",INDEX([3]!Table2[[SATUAN ]],Table17[[#This Row],[dbconcat]]))</f>
        <v>LSN</v>
      </c>
      <c r="T5" t="str">
        <f>IF(Table17[[#This Row],[SATUAN S]]="","",IF(_xlfn.NUMBERVALUE(Table17[[#This Row],[ISI DB]])=_xlfn.NUMBERVALUE(Table17[[#This Row],[ISI S]]),"",1))</f>
        <v/>
      </c>
      <c r="U5" t="str">
        <f>IF(Table17[[#This Row],[SATUAN S]]="","",IF(Table17[[#This Row],[SATUAN DB]]=Table17[[#This Row],[SATUAN S]],"",1))</f>
        <v/>
      </c>
      <c r="V5" t="str">
        <f>IF(Table17[[#This Row],[CEK STN S]]="","",MATCH(CONCATENATE(Table17[[#This Row],[SATUAN CONV]],Table17[[#This Row],[SATUAN S]]),Table2[4],0))</f>
        <v/>
      </c>
      <c r="X5" t="str" cm="1">
        <f t="array" ref="X5">IF(Table17[[#This Row],[CONV2_//]]="","",INDEX(Table2[3],Table17[[#This Row],[CONV2_//]]))</f>
        <v/>
      </c>
      <c r="Y5" s="2" t="str">
        <f>IF(Table17[[#This Row],[CEK ISI S]]="",Table17[[#This Row],[ISI DB]],Table17[[#This Row],[ISI S]])</f>
        <v>8</v>
      </c>
      <c r="Z5" t="str">
        <f>IF(Table17[[#This Row],[CEK STN S]]="",Table17[[#This Row],[SATUAN DB]],Table17[[#This Row],[SATUAN S]])</f>
        <v>LSN</v>
      </c>
      <c r="AA5">
        <f>IF(Table17[[#This Row],[//CONV]]="",Table17[[#This Row],[ISI NOTA]]/Table17[[#This Row],[ISI_C]],Table17[[#This Row],[ISI DB CONV]]/Table17[[#This Row],[ISI_C]])</f>
        <v>0.57291666666666663</v>
      </c>
      <c r="AB5">
        <f>INDEX(NOTA[HARGA SATUAN],Sheet1!A:A)</f>
        <v>16250</v>
      </c>
      <c r="AC5">
        <f>IF(Table17[[#This Row],[//CONV]]="",Table17[[#This Row],[HARGA NOTA]],Table17[[#This Row],[HARGA NOTA]]/Table17[[#This Row],[CONV VAR]])</f>
        <v>195000</v>
      </c>
      <c r="AD5">
        <f>IF(Table17[[#This Row],[CEK STN S]]="",Table17[[#This Row],[HARGA CONV]],Table17[[#This Row],[HARGA CONV]]/Table17[[#This Row],[CONV2 VAR]])</f>
        <v>195000</v>
      </c>
      <c r="AE5" s="3" t="str">
        <f>IF(INDEX(NOTA[Column6],Sheet1!A:A)=0,"",INDEX(NOTA[Column6],Sheet1!A:A))</f>
        <v/>
      </c>
      <c r="AF5" s="3" t="str">
        <f>IF(INDEX(NOTA[Column7],Sheet1!A:A)=0,"",INDEX(NOTA[Column7],Sheet1!A:A))</f>
        <v/>
      </c>
      <c r="AG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" s="4">
        <f>INDEX(NOTA[HARGA/ CTN_H],Sheet1!A:A)</f>
        <v>893750</v>
      </c>
      <c r="AI5" s="4">
        <f>IF(Table17[[#This Row],[DISC 3]]="",Table17[[#This Row],[HRG / CTN]],Table17[[#This Row],[HRG / CTN]]-(Table17[[#This Row],[HRG / CTN]]*Table17[[#This Row],[DISC 3]]))</f>
        <v>893750</v>
      </c>
      <c r="AJ5" s="5" t="e">
        <f>IF(#REF!&lt;1,Table17[[#This Row],[Column9]],Table17[[#This Row],[Column9]]*#REF!)</f>
        <v>#REF!</v>
      </c>
      <c r="AK5" s="4" t="str">
        <f ca="1">IF(NOT(AP6=Table17[[#This Row],[Column6]]),SUMIF(Table17[Column6],Table17[[#This Row],[Column6]],Table17[Column7]),"")</f>
        <v/>
      </c>
      <c r="AL5" s="6">
        <f ca="1">INDEX(NOTA[TGL_H],Sheet1!A:A)</f>
        <v>45470</v>
      </c>
      <c r="AM5" s="6">
        <f ca="1">INDEX(NOTA[TGL.NOTA_H],Sheet1!A:A)</f>
        <v>45470</v>
      </c>
      <c r="AN5" s="7">
        <v>45398</v>
      </c>
      <c r="AO5" t="str">
        <f>IF(INDEX(NOTA[Column10],A:A)="","",INDEX(NOTA[Column10],A:A))</f>
        <v/>
      </c>
      <c r="AP5" t="str">
        <f ca="1">INDEX(NOTA[NO.NOTA_H],Sheet1!A:A)</f>
        <v>0644</v>
      </c>
      <c r="AQ5">
        <f>INDEX(NOTA[Column10],Sheet1!A:A)</f>
        <v>0</v>
      </c>
      <c r="AR5" s="8" t="str">
        <f ca="1">INDEX(NOTA[SUPPLIER_H],Sheet1!A:A)</f>
        <v>COMBI</v>
      </c>
      <c r="AS5" t="str">
        <f>Table17[[#This Row],[NAMA_C]]</f>
        <v>DOKUMEN RISLETING PRESTIGE MERAH</v>
      </c>
      <c r="AT5" t="str">
        <f ca="1">Table17[[#This Row],[SUPPLIER]]</f>
        <v>COMBI</v>
      </c>
      <c r="AU5" t="str">
        <f>SUBSTITUTE(Table17[[#This Row],[CTN]],",",".")</f>
        <v>0.572916666666667</v>
      </c>
      <c r="AV5" s="13" t="str">
        <f>Table17[[#This Row],[ISI_C]]</f>
        <v>8</v>
      </c>
      <c r="AW5" t="str">
        <f>Table17[[#This Row],[SATUAN_C]]</f>
        <v>LSN</v>
      </c>
      <c r="AX5">
        <f>Table17[[#This Row],[HARGA CONV2]]</f>
        <v>195000</v>
      </c>
      <c r="AY5" s="9" t="str">
        <f>SUBSTITUTE(Table17[[#This Row],[DISC 3]],",",".")</f>
        <v/>
      </c>
      <c r="AZ5" s="6">
        <f ca="1">Table17[[#This Row],[TGL DATANG]]</f>
        <v>45470</v>
      </c>
      <c r="BA5" s="6">
        <f ca="1">Table17[[#This Row],[Column10]]</f>
        <v>45470</v>
      </c>
      <c r="BB5" s="7"/>
      <c r="BC5" t="str">
        <f>Table17[[#This Row],[KETERANGAN CONDRO]]</f>
        <v/>
      </c>
      <c r="BD5" t="str">
        <f ca="1">Table17[[#This Row],[Column6]]</f>
        <v>0644</v>
      </c>
    </row>
    <row r="6" spans="1:56">
      <c r="A6" s="55">
        <v>2</v>
      </c>
      <c r="C6">
        <f>INDEX(NOTA[//DB],Sheet1!A:A)</f>
        <v>875</v>
      </c>
      <c r="D6">
        <f>_xlfn.IFNA(MATCH(Table17[[#This Row],[//db]],[3]!Table2[\\],0),"")</f>
        <v>984</v>
      </c>
      <c r="E6" t="str">
        <f>INDEX([3]!db[NB NOTA],Table17[[#This Row],[//db]])</f>
        <v>DOC RIT PRESTIGE HITAM</v>
      </c>
      <c r="F6" t="str">
        <f>INDEX([3]!db[NB BM],Table17[[#This Row],[//db]])</f>
        <v>Dokumen Risleting Prestige Hitam</v>
      </c>
      <c r="G6" t="str">
        <f>IF(Table17[[#This Row],[dbconcat]]="","",INDEX([3]!Table2[NAMA],Table17[[#This Row],[dbconcat]]))</f>
        <v>DOKUMEN RISLETING PRESTIGE HITAM</v>
      </c>
      <c r="H6" t="str">
        <f>INDEX([3]!Table2[KODE BARANG],Table17[[#This Row],[dbconcat]])</f>
        <v>DOK-NB21</v>
      </c>
      <c r="I6" t="str">
        <f>IF(Table17[[#This Row],[NAMA_3]]="",UPPER(Table17[[#This Row],[NAMA_2]]),Table17[[#This Row],[NAMA_3]])</f>
        <v>DOKUMEN RISLETING PRESTIGE HITAM</v>
      </c>
      <c r="J6">
        <f>INDEX(NOTA[QTY],Sheet1!A:A)</f>
        <v>6</v>
      </c>
      <c r="K6" t="str">
        <f>INDEX(NOTA[STN],Sheet1!A:A)</f>
        <v>PCS</v>
      </c>
      <c r="L6" t="str">
        <f>INDEX([3]!db[QTY B],Table17[[#This Row],[//db]])</f>
        <v>8</v>
      </c>
      <c r="M6" t="str">
        <f>INDEX([3]!db[STN B],Table17[[#This Row],[//db]])</f>
        <v>LSN</v>
      </c>
      <c r="N6">
        <f>IF(Table17[[#This Row],[SATUAN NOTA]]=Table17[[#This Row],[SATUAN DB]],"", MATCH(CONCATENATE(Table17[[#This Row],[SATUAN NOTA]],Table17[[#This Row],[SATUAN DB]]),Table2[4],0))</f>
        <v>2</v>
      </c>
      <c r="O6" cm="1">
        <f t="array" ref="O6">IF(Table17[[#This Row],[//CONV]]="","",INDEX(Table2[3],Table17[[#This Row],[//CONV]]))</f>
        <v>8.3333333333333329E-2</v>
      </c>
      <c r="P6">
        <f>IF(Table17[[#This Row],[//CONV]]="",Table17[[#This Row],[ISI DB]],Table17[[#This Row],[ISI NOTA]]*Table17[[#This Row],[CONV VAR]])</f>
        <v>0.5</v>
      </c>
      <c r="Q6" t="str" cm="1">
        <f t="array" ref="Q6">IF(Table17[[#This Row],[//CONV]]="",Table17[[#This Row],[SATUAN DB]],INDEX(Table2[2],Table17[[#This Row],[//CONV]]))</f>
        <v>LSN</v>
      </c>
      <c r="R6" cm="1">
        <f t="array" ref="R6">IF(Table17[[#This Row],[dbconcat]]="","",INDEX([3]!Table2[ISI],Table17[[#This Row],[dbconcat]]))</f>
        <v>8</v>
      </c>
      <c r="S6" t="str" cm="1">
        <f t="array" ref="S6">IF(Table17[[#This Row],[dbconcat]]="","",INDEX([3]!Table2[[SATUAN ]],Table17[[#This Row],[dbconcat]]))</f>
        <v>LSN</v>
      </c>
      <c r="T6" t="str">
        <f>IF(Table17[[#This Row],[SATUAN S]]="","",IF(_xlfn.NUMBERVALUE(Table17[[#This Row],[ISI DB]])=_xlfn.NUMBERVALUE(Table17[[#This Row],[ISI S]]),"",1))</f>
        <v/>
      </c>
      <c r="U6" t="str">
        <f>IF(Table17[[#This Row],[SATUAN S]]="","",IF(Table17[[#This Row],[SATUAN DB]]=Table17[[#This Row],[SATUAN S]],"",1))</f>
        <v/>
      </c>
      <c r="V6" t="str">
        <f>IF(Table17[[#This Row],[CEK STN S]]="","",MATCH(CONCATENATE(Table17[[#This Row],[SATUAN CONV]],Table17[[#This Row],[SATUAN S]]),Table2[4],0))</f>
        <v/>
      </c>
      <c r="X6" t="str" cm="1">
        <f t="array" ref="X6">IF(Table17[[#This Row],[CONV2_//]]="","",INDEX(Table2[3],Table17[[#This Row],[CONV2_//]]))</f>
        <v/>
      </c>
      <c r="Y6" s="2" t="str">
        <f>IF(Table17[[#This Row],[CEK ISI S]]="",Table17[[#This Row],[ISI DB]],Table17[[#This Row],[ISI S]])</f>
        <v>8</v>
      </c>
      <c r="Z6" t="str">
        <f>IF(Table17[[#This Row],[CEK STN S]]="",Table17[[#This Row],[SATUAN DB]],Table17[[#This Row],[SATUAN S]])</f>
        <v>LSN</v>
      </c>
      <c r="AA6">
        <f>IF(Table17[[#This Row],[//CONV]]="",Table17[[#This Row],[ISI NOTA]]/Table17[[#This Row],[ISI_C]],Table17[[#This Row],[ISI DB CONV]]/Table17[[#This Row],[ISI_C]])</f>
        <v>6.25E-2</v>
      </c>
      <c r="AB6">
        <f>INDEX(NOTA[HARGA SATUAN],Sheet1!A:A)</f>
        <v>16250</v>
      </c>
      <c r="AC6">
        <f>IF(Table17[[#This Row],[//CONV]]="",Table17[[#This Row],[HARGA NOTA]],Table17[[#This Row],[HARGA NOTA]]/Table17[[#This Row],[CONV VAR]])</f>
        <v>195000</v>
      </c>
      <c r="AD6">
        <f>IF(Table17[[#This Row],[CEK STN S]]="",Table17[[#This Row],[HARGA CONV]],Table17[[#This Row],[HARGA CONV]]/Table17[[#This Row],[CONV2 VAR]])</f>
        <v>195000</v>
      </c>
      <c r="AE6" s="3" t="str">
        <f>IF(INDEX(NOTA[Column6],Sheet1!A:A)=0,"",INDEX(NOTA[Column6],Sheet1!A:A))</f>
        <v/>
      </c>
      <c r="AF6" s="3" t="str">
        <f>IF(INDEX(NOTA[Column7],Sheet1!A:A)=0,"",INDEX(NOTA[Column7],Sheet1!A:A))</f>
        <v/>
      </c>
      <c r="AG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" s="4">
        <f>INDEX(NOTA[HARGA/ CTN_H],Sheet1!A:A)</f>
        <v>97500</v>
      </c>
      <c r="AI6" s="4">
        <f>IF(Table17[[#This Row],[DISC 3]]="",Table17[[#This Row],[HRG / CTN]],Table17[[#This Row],[HRG / CTN]]-(Table17[[#This Row],[HRG / CTN]]*Table17[[#This Row],[DISC 3]]))</f>
        <v>97500</v>
      </c>
      <c r="AJ6" s="5" t="e">
        <f>IF(#REF!&lt;1,Table17[[#This Row],[Column9]],Table17[[#This Row],[Column9]]*#REF!)</f>
        <v>#REF!</v>
      </c>
      <c r="AK6" s="4" t="str">
        <f ca="1">IF(NOT(AP7=Table17[[#This Row],[Column6]]),SUMIF(Table17[Column6],Table17[[#This Row],[Column6]],Table17[Column7]),"")</f>
        <v/>
      </c>
      <c r="AL6" s="6">
        <f ca="1">INDEX(NOTA[TGL_H],Sheet1!A:A)</f>
        <v>45470</v>
      </c>
      <c r="AM6" s="6">
        <f ca="1">INDEX(NOTA[TGL.NOTA_H],Sheet1!A:A)</f>
        <v>45470</v>
      </c>
      <c r="AN6" s="7">
        <v>45398</v>
      </c>
      <c r="AO6" t="str">
        <f>IF(INDEX(NOTA[Column10],A:A)="","",INDEX(NOTA[Column10],A:A))</f>
        <v/>
      </c>
      <c r="AP6" t="str">
        <f ca="1">INDEX(NOTA[NO.NOTA_H],Sheet1!A:A)</f>
        <v>0644</v>
      </c>
      <c r="AQ6">
        <f>INDEX(NOTA[Column10],Sheet1!A:A)</f>
        <v>0</v>
      </c>
      <c r="AR6" s="8" t="str">
        <f ca="1">INDEX(NOTA[SUPPLIER_H],Sheet1!A:A)</f>
        <v>COMBI</v>
      </c>
      <c r="AS6" t="str">
        <f>Table17[[#This Row],[NAMA_C]]</f>
        <v>DOKUMEN RISLETING PRESTIGE HITAM</v>
      </c>
      <c r="AT6" t="str">
        <f ca="1">Table17[[#This Row],[SUPPLIER]]</f>
        <v>COMBI</v>
      </c>
      <c r="AU6" t="str">
        <f>SUBSTITUTE(Table17[[#This Row],[CTN]],",",".")</f>
        <v>0.0625</v>
      </c>
      <c r="AV6" s="13" t="str">
        <f>Table17[[#This Row],[ISI_C]]</f>
        <v>8</v>
      </c>
      <c r="AW6" t="str">
        <f>Table17[[#This Row],[SATUAN_C]]</f>
        <v>LSN</v>
      </c>
      <c r="AX6">
        <f>Table17[[#This Row],[HARGA CONV2]]</f>
        <v>195000</v>
      </c>
      <c r="AY6" s="9" t="str">
        <f>SUBSTITUTE(Table17[[#This Row],[DISC 3]],",",".")</f>
        <v/>
      </c>
      <c r="AZ6" s="6">
        <f ca="1">Table17[[#This Row],[TGL DATANG]]</f>
        <v>45470</v>
      </c>
      <c r="BA6" s="6">
        <f ca="1">Table17[[#This Row],[Column10]]</f>
        <v>45470</v>
      </c>
      <c r="BB6" s="7"/>
      <c r="BC6" t="str">
        <f>Table17[[#This Row],[KETERANGAN CONDRO]]</f>
        <v/>
      </c>
      <c r="BD6" t="str">
        <f ca="1">Table17[[#This Row],[Column6]]</f>
        <v>0644</v>
      </c>
    </row>
    <row r="7" spans="1:56">
      <c r="A7" s="55">
        <v>3</v>
      </c>
      <c r="C7">
        <f>INDEX(NOTA[//DB],Sheet1!A:A)</f>
        <v>875</v>
      </c>
      <c r="D7">
        <f>_xlfn.IFNA(MATCH(Table17[[#This Row],[//db]],[3]!Table2[\\],0),"")</f>
        <v>984</v>
      </c>
      <c r="E7" t="str">
        <f>INDEX([3]!db[NB NOTA],Table17[[#This Row],[//db]])</f>
        <v>DOC RIT PRESTIGE HITAM</v>
      </c>
      <c r="F7" t="str">
        <f>INDEX([3]!db[NB BM],Table17[[#This Row],[//db]])</f>
        <v>Dokumen Risleting Prestige Hitam</v>
      </c>
      <c r="G7" t="str">
        <f>IF(Table17[[#This Row],[dbconcat]]="","",INDEX([3]!Table2[NAMA],Table17[[#This Row],[dbconcat]]))</f>
        <v>DOKUMEN RISLETING PRESTIGE HITAM</v>
      </c>
      <c r="H7" t="str">
        <f>INDEX([3]!Table2[KODE BARANG],Table17[[#This Row],[dbconcat]])</f>
        <v>DOK-NB21</v>
      </c>
      <c r="I7" t="str">
        <f>IF(Table17[[#This Row],[NAMA_3]]="",UPPER(Table17[[#This Row],[NAMA_2]]),Table17[[#This Row],[NAMA_3]])</f>
        <v>DOKUMEN RISLETING PRESTIGE HITAM</v>
      </c>
      <c r="J7">
        <f>INDEX(NOTA[QTY],Sheet1!A:A)</f>
        <v>6</v>
      </c>
      <c r="K7" t="str">
        <f>INDEX(NOTA[STN],Sheet1!A:A)</f>
        <v>PCS</v>
      </c>
      <c r="L7" t="str">
        <f>INDEX([3]!db[QTY B],Table17[[#This Row],[//db]])</f>
        <v>8</v>
      </c>
      <c r="M7" t="str">
        <f>INDEX([3]!db[STN B],Table17[[#This Row],[//db]])</f>
        <v>LSN</v>
      </c>
      <c r="N7">
        <f>IF(Table17[[#This Row],[SATUAN NOTA]]=Table17[[#This Row],[SATUAN DB]],"", MATCH(CONCATENATE(Table17[[#This Row],[SATUAN NOTA]],Table17[[#This Row],[SATUAN DB]]),Table2[4],0))</f>
        <v>2</v>
      </c>
      <c r="O7" cm="1">
        <f t="array" ref="O7">IF(Table17[[#This Row],[//CONV]]="","",INDEX(Table2[3],Table17[[#This Row],[//CONV]]))</f>
        <v>8.3333333333333329E-2</v>
      </c>
      <c r="P7">
        <f>IF(Table17[[#This Row],[//CONV]]="",Table17[[#This Row],[ISI DB]],Table17[[#This Row],[ISI NOTA]]*Table17[[#This Row],[CONV VAR]])</f>
        <v>0.5</v>
      </c>
      <c r="Q7" t="str" cm="1">
        <f t="array" ref="Q7">IF(Table17[[#This Row],[//CONV]]="",Table17[[#This Row],[SATUAN DB]],INDEX(Table2[2],Table17[[#This Row],[//CONV]]))</f>
        <v>LSN</v>
      </c>
      <c r="R7" cm="1">
        <f t="array" ref="R7">IF(Table17[[#This Row],[dbconcat]]="","",INDEX([3]!Table2[ISI],Table17[[#This Row],[dbconcat]]))</f>
        <v>8</v>
      </c>
      <c r="S7" t="str" cm="1">
        <f t="array" ref="S7">IF(Table17[[#This Row],[dbconcat]]="","",INDEX([3]!Table2[[SATUAN ]],Table17[[#This Row],[dbconcat]]))</f>
        <v>LSN</v>
      </c>
      <c r="T7" t="str">
        <f>IF(Table17[[#This Row],[SATUAN S]]="","",IF(_xlfn.NUMBERVALUE(Table17[[#This Row],[ISI DB]])=_xlfn.NUMBERVALUE(Table17[[#This Row],[ISI S]]),"",1))</f>
        <v/>
      </c>
      <c r="U7" t="str">
        <f>IF(Table17[[#This Row],[SATUAN S]]="","",IF(Table17[[#This Row],[SATUAN DB]]=Table17[[#This Row],[SATUAN S]],"",1))</f>
        <v/>
      </c>
      <c r="V7" t="str">
        <f>IF(Table17[[#This Row],[CEK STN S]]="","",MATCH(CONCATENATE(Table17[[#This Row],[SATUAN CONV]],Table17[[#This Row],[SATUAN S]]),Table2[4],0))</f>
        <v/>
      </c>
      <c r="X7" t="str" cm="1">
        <f t="array" ref="X7">IF(Table17[[#This Row],[CONV2_//]]="","",INDEX(Table2[3],Table17[[#This Row],[CONV2_//]]))</f>
        <v/>
      </c>
      <c r="Y7" s="2" t="str">
        <f>IF(Table17[[#This Row],[CEK ISI S]]="",Table17[[#This Row],[ISI DB]],Table17[[#This Row],[ISI S]])</f>
        <v>8</v>
      </c>
      <c r="Z7" t="str">
        <f>IF(Table17[[#This Row],[CEK STN S]]="",Table17[[#This Row],[SATUAN DB]],Table17[[#This Row],[SATUAN S]])</f>
        <v>LSN</v>
      </c>
      <c r="AA7">
        <f>IF(Table17[[#This Row],[//CONV]]="",Table17[[#This Row],[ISI NOTA]]/Table17[[#This Row],[ISI_C]],Table17[[#This Row],[ISI DB CONV]]/Table17[[#This Row],[ISI_C]])</f>
        <v>6.25E-2</v>
      </c>
      <c r="AB7">
        <f>INDEX(NOTA[HARGA SATUAN],Sheet1!A:A)</f>
        <v>16250</v>
      </c>
      <c r="AC7">
        <f>IF(Table17[[#This Row],[//CONV]]="",Table17[[#This Row],[HARGA NOTA]],Table17[[#This Row],[HARGA NOTA]]/Table17[[#This Row],[CONV VAR]])</f>
        <v>195000</v>
      </c>
      <c r="AD7">
        <f>IF(Table17[[#This Row],[CEK STN S]]="",Table17[[#This Row],[HARGA CONV]],Table17[[#This Row],[HARGA CONV]]/Table17[[#This Row],[CONV2 VAR]])</f>
        <v>195000</v>
      </c>
      <c r="AE7" s="3" t="str">
        <f>IF(INDEX(NOTA[Column6],Sheet1!A:A)=0,"",INDEX(NOTA[Column6],Sheet1!A:A))</f>
        <v/>
      </c>
      <c r="AF7" s="3" t="str">
        <f>IF(INDEX(NOTA[Column7],Sheet1!A:A)=0,"",INDEX(NOTA[Column7],Sheet1!A:A))</f>
        <v/>
      </c>
      <c r="AG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7" s="4">
        <f>INDEX(NOTA[HARGA/ CTN_H],Sheet1!A:A)</f>
        <v>97500</v>
      </c>
      <c r="AI7" s="4">
        <f>IF(Table17[[#This Row],[DISC 3]]="",Table17[[#This Row],[HRG / CTN]],Table17[[#This Row],[HRG / CTN]]-(Table17[[#This Row],[HRG / CTN]]*Table17[[#This Row],[DISC 3]]))</f>
        <v>97500</v>
      </c>
      <c r="AJ7" s="5" t="e">
        <f>IF(#REF!&lt;1,Table17[[#This Row],[Column9]],Table17[[#This Row],[Column9]]*#REF!)</f>
        <v>#REF!</v>
      </c>
      <c r="AK7" s="4" t="str">
        <f ca="1">IF(NOT(AP8=Table17[[#This Row],[Column6]]),SUMIF(Table17[Column6],Table17[[#This Row],[Column6]],Table17[Column7]),"")</f>
        <v/>
      </c>
      <c r="AL7" s="6">
        <f ca="1">INDEX(NOTA[TGL_H],Sheet1!A:A)</f>
        <v>45470</v>
      </c>
      <c r="AM7" s="6">
        <f ca="1">INDEX(NOTA[TGL.NOTA_H],Sheet1!A:A)</f>
        <v>45470</v>
      </c>
      <c r="AN7" s="7">
        <v>45398</v>
      </c>
      <c r="AO7" t="str">
        <f>IF(INDEX(NOTA[Column10],A:A)="","",INDEX(NOTA[Column10],A:A))</f>
        <v/>
      </c>
      <c r="AP7" t="str">
        <f ca="1">INDEX(NOTA[NO.NOTA_H],Sheet1!A:A)</f>
        <v>0644</v>
      </c>
      <c r="AQ7">
        <f>INDEX(NOTA[Column10],Sheet1!A:A)</f>
        <v>0</v>
      </c>
      <c r="AR7" s="8" t="str">
        <f ca="1">INDEX(NOTA[SUPPLIER_H],Sheet1!A:A)</f>
        <v>COMBI</v>
      </c>
      <c r="AS7" t="str">
        <f>Table17[[#This Row],[NAMA_C]]</f>
        <v>DOKUMEN RISLETING PRESTIGE HITAM</v>
      </c>
      <c r="AT7" t="str">
        <f ca="1">Table17[[#This Row],[SUPPLIER]]</f>
        <v>COMBI</v>
      </c>
      <c r="AU7" t="str">
        <f>SUBSTITUTE(Table17[[#This Row],[CTN]],",",".")</f>
        <v>0.0625</v>
      </c>
      <c r="AV7" s="13" t="str">
        <f>Table17[[#This Row],[ISI_C]]</f>
        <v>8</v>
      </c>
      <c r="AW7" t="str">
        <f>Table17[[#This Row],[SATUAN_C]]</f>
        <v>LSN</v>
      </c>
      <c r="AX7">
        <f>Table17[[#This Row],[HARGA CONV2]]</f>
        <v>195000</v>
      </c>
      <c r="AY7" s="9" t="str">
        <f>SUBSTITUTE(Table17[[#This Row],[DISC 3]],",",".")</f>
        <v/>
      </c>
      <c r="AZ7" s="6">
        <f ca="1">Table17[[#This Row],[TGL DATANG]]</f>
        <v>45470</v>
      </c>
      <c r="BA7" s="6">
        <f ca="1">Table17[[#This Row],[Column10]]</f>
        <v>45470</v>
      </c>
      <c r="BB7" s="7"/>
      <c r="BC7" t="str">
        <f>Table17[[#This Row],[KETERANGAN CONDRO]]</f>
        <v/>
      </c>
      <c r="BD7" t="str">
        <f ca="1">Table17[[#This Row],[Column6]]</f>
        <v>0644</v>
      </c>
    </row>
    <row r="8" spans="1:56">
      <c r="A8" s="55">
        <v>4</v>
      </c>
      <c r="C8">
        <f>INDEX(NOTA[//DB],Sheet1!A:A)</f>
        <v>874</v>
      </c>
      <c r="D8">
        <f>_xlfn.IFNA(MATCH(Table17[[#This Row],[//db]],[3]!Table2[\\],0),"")</f>
        <v>968</v>
      </c>
      <c r="E8" t="str">
        <f>INDEX([3]!db[NB NOTA],Table17[[#This Row],[//db]])</f>
        <v>DOC RIT PRESTIGE BIRU</v>
      </c>
      <c r="F8" t="str">
        <f>INDEX([3]!db[NB BM],Table17[[#This Row],[//db]])</f>
        <v>Dokumen Risleting Prestige Biru</v>
      </c>
      <c r="G8" t="str">
        <f>IF(Table17[[#This Row],[dbconcat]]="","",INDEX([3]!Table2[NAMA],Table17[[#This Row],[dbconcat]]))</f>
        <v>DOKUMEN RISLETING PRESTIGE BIRU</v>
      </c>
      <c r="H8" t="str">
        <f>INDEX([3]!Table2[KODE BARANG],Table17[[#This Row],[dbconcat]])</f>
        <v>DOK-NB3</v>
      </c>
      <c r="I8" t="str">
        <f>IF(Table17[[#This Row],[NAMA_3]]="",UPPER(Table17[[#This Row],[NAMA_2]]),Table17[[#This Row],[NAMA_3]])</f>
        <v>DOKUMEN RISLETING PRESTIGE BIRU</v>
      </c>
      <c r="J8">
        <f>INDEX(NOTA[QTY],Sheet1!A:A)</f>
        <v>90</v>
      </c>
      <c r="K8" t="str">
        <f>INDEX(NOTA[STN],Sheet1!A:A)</f>
        <v>PCS</v>
      </c>
      <c r="L8" t="str">
        <f>INDEX([3]!db[QTY B],Table17[[#This Row],[//db]])</f>
        <v>8</v>
      </c>
      <c r="M8" t="str">
        <f>INDEX([3]!db[STN B],Table17[[#This Row],[//db]])</f>
        <v>LSN</v>
      </c>
      <c r="N8">
        <f>IF(Table17[[#This Row],[SATUAN NOTA]]=Table17[[#This Row],[SATUAN DB]],"", MATCH(CONCATENATE(Table17[[#This Row],[SATUAN NOTA]],Table17[[#This Row],[SATUAN DB]]),Table2[4],0))</f>
        <v>2</v>
      </c>
      <c r="O8" cm="1">
        <f t="array" ref="O8">IF(Table17[[#This Row],[//CONV]]="","",INDEX(Table2[3],Table17[[#This Row],[//CONV]]))</f>
        <v>8.3333333333333329E-2</v>
      </c>
      <c r="P8">
        <f>IF(Table17[[#This Row],[//CONV]]="",Table17[[#This Row],[ISI DB]],Table17[[#This Row],[ISI NOTA]]*Table17[[#This Row],[CONV VAR]])</f>
        <v>7.5</v>
      </c>
      <c r="Q8" t="str" cm="1">
        <f t="array" ref="Q8">IF(Table17[[#This Row],[//CONV]]="",Table17[[#This Row],[SATUAN DB]],INDEX(Table2[2],Table17[[#This Row],[//CONV]]))</f>
        <v>LSN</v>
      </c>
      <c r="R8" cm="1">
        <f t="array" ref="R8">IF(Table17[[#This Row],[dbconcat]]="","",INDEX([3]!Table2[ISI],Table17[[#This Row],[dbconcat]]))</f>
        <v>8</v>
      </c>
      <c r="S8" t="str" cm="1">
        <f t="array" ref="S8">IF(Table17[[#This Row],[dbconcat]]="","",INDEX([3]!Table2[[SATUAN ]],Table17[[#This Row],[dbconcat]]))</f>
        <v>LSN</v>
      </c>
      <c r="T8" t="str">
        <f>IF(Table17[[#This Row],[SATUAN S]]="","",IF(_xlfn.NUMBERVALUE(Table17[[#This Row],[ISI DB]])=_xlfn.NUMBERVALUE(Table17[[#This Row],[ISI S]]),"",1))</f>
        <v/>
      </c>
      <c r="U8" t="str">
        <f>IF(Table17[[#This Row],[SATUAN S]]="","",IF(Table17[[#This Row],[SATUAN DB]]=Table17[[#This Row],[SATUAN S]],"",1))</f>
        <v/>
      </c>
      <c r="V8" t="str">
        <f>IF(Table17[[#This Row],[CEK STN S]]="","",MATCH(CONCATENATE(Table17[[#This Row],[SATUAN CONV]],Table17[[#This Row],[SATUAN S]]),Table2[4],0))</f>
        <v/>
      </c>
      <c r="X8" t="str" cm="1">
        <f t="array" ref="X8">IF(Table17[[#This Row],[CONV2_//]]="","",INDEX(Table2[3],Table17[[#This Row],[CONV2_//]]))</f>
        <v/>
      </c>
      <c r="Y8" s="2" t="str">
        <f>IF(Table17[[#This Row],[CEK ISI S]]="",Table17[[#This Row],[ISI DB]],Table17[[#This Row],[ISI S]])</f>
        <v>8</v>
      </c>
      <c r="Z8" t="str">
        <f>IF(Table17[[#This Row],[CEK STN S]]="",Table17[[#This Row],[SATUAN DB]],Table17[[#This Row],[SATUAN S]])</f>
        <v>LSN</v>
      </c>
      <c r="AA8">
        <f>IF(Table17[[#This Row],[//CONV]]="",Table17[[#This Row],[ISI NOTA]]/Table17[[#This Row],[ISI_C]],Table17[[#This Row],[ISI DB CONV]]/Table17[[#This Row],[ISI_C]])</f>
        <v>0.9375</v>
      </c>
      <c r="AB8">
        <f>INDEX(NOTA[HARGA SATUAN],Sheet1!A:A)</f>
        <v>16250</v>
      </c>
      <c r="AC8">
        <f>IF(Table17[[#This Row],[//CONV]]="",Table17[[#This Row],[HARGA NOTA]],Table17[[#This Row],[HARGA NOTA]]/Table17[[#This Row],[CONV VAR]])</f>
        <v>195000</v>
      </c>
      <c r="AD8">
        <f>IF(Table17[[#This Row],[CEK STN S]]="",Table17[[#This Row],[HARGA CONV]],Table17[[#This Row],[HARGA CONV]]/Table17[[#This Row],[CONV2 VAR]])</f>
        <v>195000</v>
      </c>
      <c r="AE8" s="3" t="str">
        <f>IF(INDEX(NOTA[Column6],Sheet1!A:A)=0,"",INDEX(NOTA[Column6],Sheet1!A:A))</f>
        <v/>
      </c>
      <c r="AF8" s="3" t="str">
        <f>IF(INDEX(NOTA[Column7],Sheet1!A:A)=0,"",INDEX(NOTA[Column7],Sheet1!A:A))</f>
        <v/>
      </c>
      <c r="AG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" s="4">
        <f>INDEX(NOTA[HARGA/ CTN_H],Sheet1!A:A)</f>
        <v>1462500</v>
      </c>
      <c r="AI8" s="4">
        <f>IF(Table17[[#This Row],[DISC 3]]="",Table17[[#This Row],[HRG / CTN]],Table17[[#This Row],[HRG / CTN]]-(Table17[[#This Row],[HRG / CTN]]*Table17[[#This Row],[DISC 3]]))</f>
        <v>1462500</v>
      </c>
      <c r="AJ8" s="5" t="e">
        <f>IF(#REF!&lt;1,Table17[[#This Row],[Column9]],Table17[[#This Row],[Column9]]*#REF!)</f>
        <v>#REF!</v>
      </c>
      <c r="AK8" s="4" t="e">
        <f ca="1">IF(NOT(AP9=Table17[[#This Row],[Column6]]),SUMIF(Table17[Column6],Table17[[#This Row],[Column6]],Table17[Column7]),"")</f>
        <v>#REF!</v>
      </c>
      <c r="AL8" s="6">
        <f ca="1">INDEX(NOTA[TGL_H],Sheet1!A:A)</f>
        <v>45470</v>
      </c>
      <c r="AM8" s="6">
        <f ca="1">INDEX(NOTA[TGL.NOTA_H],Sheet1!A:A)</f>
        <v>45470</v>
      </c>
      <c r="AN8" s="7">
        <v>45398</v>
      </c>
      <c r="AO8" t="str">
        <f>IF(INDEX(NOTA[Column10],A:A)="","",INDEX(NOTA[Column10],A:A))</f>
        <v/>
      </c>
      <c r="AP8" t="str">
        <f ca="1">INDEX(NOTA[NO.NOTA_H],Sheet1!A:A)</f>
        <v>0644</v>
      </c>
      <c r="AQ8">
        <f>INDEX(NOTA[Column10],Sheet1!A:A)</f>
        <v>0</v>
      </c>
      <c r="AR8" s="8" t="str">
        <f ca="1">INDEX(NOTA[SUPPLIER_H],Sheet1!A:A)</f>
        <v>COMBI</v>
      </c>
      <c r="AS8" t="str">
        <f>Table17[[#This Row],[NAMA_C]]</f>
        <v>DOKUMEN RISLETING PRESTIGE BIRU</v>
      </c>
      <c r="AT8" t="str">
        <f ca="1">Table17[[#This Row],[SUPPLIER]]</f>
        <v>COMBI</v>
      </c>
      <c r="AU8" t="str">
        <f>SUBSTITUTE(Table17[[#This Row],[CTN]],",",".")</f>
        <v>0.9375</v>
      </c>
      <c r="AV8" s="13" t="str">
        <f>Table17[[#This Row],[ISI_C]]</f>
        <v>8</v>
      </c>
      <c r="AW8" t="str">
        <f>Table17[[#This Row],[SATUAN_C]]</f>
        <v>LSN</v>
      </c>
      <c r="AX8">
        <f>Table17[[#This Row],[HARGA CONV2]]</f>
        <v>195000</v>
      </c>
      <c r="AY8" s="9" t="str">
        <f>SUBSTITUTE(Table17[[#This Row],[DISC 3]],",",".")</f>
        <v/>
      </c>
      <c r="AZ8" s="6">
        <f ca="1">Table17[[#This Row],[TGL DATANG]]</f>
        <v>45470</v>
      </c>
      <c r="BA8" s="6">
        <f ca="1">Table17[[#This Row],[Column10]]</f>
        <v>45470</v>
      </c>
      <c r="BB8" s="7"/>
      <c r="BC8" t="str">
        <f>Table17[[#This Row],[KETERANGAN CONDRO]]</f>
        <v/>
      </c>
      <c r="BD8" t="str">
        <f ca="1">Table17[[#This Row],[Column6]]</f>
        <v>0644</v>
      </c>
    </row>
    <row r="9" spans="1:56">
      <c r="A9" s="55">
        <v>6</v>
      </c>
      <c r="C9">
        <f>INDEX(NOTA[//DB],Sheet1!A:A)</f>
        <v>1976</v>
      </c>
      <c r="D9">
        <f>_xlfn.IFNA(MATCH(Table17[[#This Row],[//db]],[3]!Table2[\\],0),"")</f>
        <v>1634</v>
      </c>
      <c r="E9" t="str">
        <f>INDEX([3]!db[NB NOTA],Table17[[#This Row],[//db]])</f>
        <v>LILIN ANGKA SHINTOENG NO.4</v>
      </c>
      <c r="F9" t="str">
        <f>INDEX([3]!db[NB BM],Table17[[#This Row],[//db]])</f>
        <v>Lilin Angka Shintoeng No.4</v>
      </c>
      <c r="G9" t="str">
        <f>IF(Table17[[#This Row],[dbconcat]]="","",INDEX([3]!Table2[NAMA],Table17[[#This Row],[dbconcat]]))</f>
        <v>LILIN ANGKA SHINTOENG NO. 4</v>
      </c>
      <c r="H9" t="str">
        <f>INDEX([3]!Table2[KODE BARANG],Table17[[#This Row],[dbconcat]])</f>
        <v>LIL-SH14</v>
      </c>
      <c r="I9" t="str">
        <f>IF(Table17[[#This Row],[NAMA_3]]="",UPPER(Table17[[#This Row],[NAMA_2]]),Table17[[#This Row],[NAMA_3]])</f>
        <v>LILIN ANGKA SHINTOENG NO. 4</v>
      </c>
      <c r="J9">
        <f>INDEX(NOTA[QTY],Sheet1!A:A)</f>
        <v>1</v>
      </c>
      <c r="K9" t="str">
        <f>INDEX(NOTA[STN],Sheet1!A:A)</f>
        <v>LSN</v>
      </c>
      <c r="L9" t="str">
        <f>INDEX([3]!db[QTY B],Table17[[#This Row],[//db]])</f>
        <v>100</v>
      </c>
      <c r="M9" t="str">
        <f>INDEX([3]!db[STN B],Table17[[#This Row],[//db]])</f>
        <v>LSN</v>
      </c>
      <c r="N9" t="str">
        <f>IF(Table17[[#This Row],[SATUAN NOTA]]=Table17[[#This Row],[SATUAN DB]],"", MATCH(CONCATENATE(Table17[[#This Row],[SATUAN NOTA]],Table17[[#This Row],[SATUAN DB]]),Table2[4],0))</f>
        <v/>
      </c>
      <c r="O9" t="str" cm="1">
        <f t="array" ref="O9">IF(Table17[[#This Row],[//CONV]]="","",INDEX(Table2[3],Table17[[#This Row],[//CONV]]))</f>
        <v/>
      </c>
      <c r="P9" t="str">
        <f>IF(Table17[[#This Row],[//CONV]]="",Table17[[#This Row],[ISI DB]],Table17[[#This Row],[ISI NOTA]]*Table17[[#This Row],[CONV VAR]])</f>
        <v>100</v>
      </c>
      <c r="Q9" t="str" cm="1">
        <f t="array" ref="Q9">IF(Table17[[#This Row],[//CONV]]="",Table17[[#This Row],[SATUAN DB]],INDEX(Table2[2],Table17[[#This Row],[//CONV]]))</f>
        <v>LSN</v>
      </c>
      <c r="R9" cm="1">
        <f t="array" ref="R9">IF(Table17[[#This Row],[dbconcat]]="","",INDEX([3]!Table2[ISI],Table17[[#This Row],[dbconcat]]))</f>
        <v>100</v>
      </c>
      <c r="S9" t="str" cm="1">
        <f t="array" ref="S9">IF(Table17[[#This Row],[dbconcat]]="","",INDEX([3]!Table2[[SATUAN ]],Table17[[#This Row],[dbconcat]]))</f>
        <v>LSN</v>
      </c>
      <c r="T9" t="str">
        <f>IF(Table17[[#This Row],[SATUAN S]]="","",IF(_xlfn.NUMBERVALUE(Table17[[#This Row],[ISI DB]])=_xlfn.NUMBERVALUE(Table17[[#This Row],[ISI S]]),"",1))</f>
        <v/>
      </c>
      <c r="U9" t="str">
        <f>IF(Table17[[#This Row],[SATUAN S]]="","",IF(Table17[[#This Row],[SATUAN DB]]=Table17[[#This Row],[SATUAN S]],"",1))</f>
        <v/>
      </c>
      <c r="V9" t="str">
        <f>IF(Table17[[#This Row],[CEK STN S]]="","",MATCH(CONCATENATE(Table17[[#This Row],[SATUAN CONV]],Table17[[#This Row],[SATUAN S]]),Table2[4],0))</f>
        <v/>
      </c>
      <c r="X9" t="str" cm="1">
        <f t="array" ref="X9">IF(Table17[[#This Row],[CONV2_//]]="","",INDEX(Table2[3],Table17[[#This Row],[CONV2_//]]))</f>
        <v/>
      </c>
      <c r="Y9" s="2" t="str">
        <f>IF(Table17[[#This Row],[CEK ISI S]]="",Table17[[#This Row],[ISI DB]],Table17[[#This Row],[ISI S]])</f>
        <v>100</v>
      </c>
      <c r="Z9" t="str">
        <f>IF(Table17[[#This Row],[CEK STN S]]="",Table17[[#This Row],[SATUAN DB]],Table17[[#This Row],[SATUAN S]])</f>
        <v>LSN</v>
      </c>
      <c r="AA9">
        <f>IF(Table17[[#This Row],[//CONV]]="",Table17[[#This Row],[ISI NOTA]]/Table17[[#This Row],[ISI_C]],Table17[[#This Row],[ISI DB CONV]]/Table17[[#This Row],[ISI_C]])</f>
        <v>0.01</v>
      </c>
      <c r="AB9">
        <f>INDEX(NOTA[HARGA SATUAN],Sheet1!A:A)</f>
        <v>13000</v>
      </c>
      <c r="AC9">
        <f>IF(Table17[[#This Row],[//CONV]]="",Table17[[#This Row],[HARGA NOTA]],Table17[[#This Row],[HARGA NOTA]]/Table17[[#This Row],[CONV VAR]])</f>
        <v>13000</v>
      </c>
      <c r="AD9">
        <f>IF(Table17[[#This Row],[CEK STN S]]="",Table17[[#This Row],[HARGA CONV]],Table17[[#This Row],[HARGA CONV]]/Table17[[#This Row],[CONV2 VAR]])</f>
        <v>13000</v>
      </c>
      <c r="AE9" s="3" t="str">
        <f>IF(INDEX(NOTA[Column6],Sheet1!A:A)=0,"",INDEX(NOTA[Column6],Sheet1!A:A))</f>
        <v/>
      </c>
      <c r="AF9" s="3" t="str">
        <f>IF(INDEX(NOTA[Column7],Sheet1!A:A)=0,"",INDEX(NOTA[Column7],Sheet1!A:A))</f>
        <v/>
      </c>
      <c r="AG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" s="4">
        <f>INDEX(NOTA[HARGA/ CTN_H],Sheet1!A:A)</f>
        <v>13000</v>
      </c>
      <c r="AI9" s="4">
        <f>IF(Table17[[#This Row],[DISC 3]]="",Table17[[#This Row],[HRG / CTN]],Table17[[#This Row],[HRG / CTN]]-(Table17[[#This Row],[HRG / CTN]]*Table17[[#This Row],[DISC 3]]))</f>
        <v>13000</v>
      </c>
      <c r="AJ9" s="5" t="e">
        <f>IF(#REF!&lt;1,Table17[[#This Row],[Column9]],Table17[[#This Row],[Column9]]*#REF!)</f>
        <v>#REF!</v>
      </c>
      <c r="AK9" s="4" t="str">
        <f ca="1">IF(NOT(AP10=Table17[[#This Row],[Column6]]),SUMIF(Table17[Column6],Table17[[#This Row],[Column6]],Table17[Column7]),"")</f>
        <v/>
      </c>
      <c r="AL9" s="6">
        <f ca="1">INDEX(NOTA[TGL_H],Sheet1!A:A)</f>
        <v>45470</v>
      </c>
      <c r="AM9" s="6">
        <f ca="1">INDEX(NOTA[TGL.NOTA_H],Sheet1!A:A)</f>
        <v>45470</v>
      </c>
      <c r="AN9" s="7">
        <v>45398</v>
      </c>
      <c r="AO9" t="str">
        <f>IF(INDEX(NOTA[Column10],A:A)="","",INDEX(NOTA[Column10],A:A))</f>
        <v/>
      </c>
      <c r="AP9" t="str">
        <f ca="1">INDEX(NOTA[NO.NOTA_H],Sheet1!A:A)</f>
        <v>HN062024317</v>
      </c>
      <c r="AQ9">
        <f>INDEX(NOTA[Column10],Sheet1!A:A)</f>
        <v>0</v>
      </c>
      <c r="AR9" s="8" t="str">
        <f ca="1">INDEX(NOTA[SUPPLIER_H],Sheet1!A:A)</f>
        <v>HANSA</v>
      </c>
      <c r="AS9" t="str">
        <f>Table17[[#This Row],[NAMA_C]]</f>
        <v>LILIN ANGKA SHINTOENG NO. 4</v>
      </c>
      <c r="AT9" t="str">
        <f ca="1">Table17[[#This Row],[SUPPLIER]]</f>
        <v>HANSA</v>
      </c>
      <c r="AU9" t="str">
        <f>SUBSTITUTE(Table17[[#This Row],[CTN]],",",".")</f>
        <v>0.01</v>
      </c>
      <c r="AV9" s="13" t="str">
        <f>Table17[[#This Row],[ISI_C]]</f>
        <v>100</v>
      </c>
      <c r="AW9" t="str">
        <f>Table17[[#This Row],[SATUAN_C]]</f>
        <v>LSN</v>
      </c>
      <c r="AX9">
        <f>Table17[[#This Row],[HARGA CONV2]]</f>
        <v>13000</v>
      </c>
      <c r="AY9" s="9" t="str">
        <f>SUBSTITUTE(Table17[[#This Row],[DISC 3]],",",".")</f>
        <v/>
      </c>
      <c r="AZ9" s="6">
        <f ca="1">Table17[[#This Row],[TGL DATANG]]</f>
        <v>45470</v>
      </c>
      <c r="BA9" s="6">
        <f ca="1">Table17[[#This Row],[Column10]]</f>
        <v>45470</v>
      </c>
      <c r="BB9" s="7"/>
      <c r="BC9" t="str">
        <f>Table17[[#This Row],[KETERANGAN CONDRO]]</f>
        <v/>
      </c>
      <c r="BD9" t="str">
        <f ca="1">Table17[[#This Row],[Column6]]</f>
        <v>HN062024317</v>
      </c>
    </row>
    <row r="10" spans="1:56">
      <c r="A10" s="55">
        <v>7</v>
      </c>
      <c r="C10">
        <f>INDEX(NOTA[//DB],Sheet1!A:A)</f>
        <v>1977</v>
      </c>
      <c r="D10">
        <f>_xlfn.IFNA(MATCH(Table17[[#This Row],[//db]],[3]!Table2[\\],0),"")</f>
        <v>1635</v>
      </c>
      <c r="E10" t="str">
        <f>INDEX([3]!db[NB NOTA],Table17[[#This Row],[//db]])</f>
        <v>LILIN ANGKA SHINTOENG NO.5</v>
      </c>
      <c r="F10" t="str">
        <f>INDEX([3]!db[NB BM],Table17[[#This Row],[//db]])</f>
        <v>Lilin Angka Shintoeng No.5</v>
      </c>
      <c r="G10" t="str">
        <f>IF(Table17[[#This Row],[dbconcat]]="","",INDEX([3]!Table2[NAMA],Table17[[#This Row],[dbconcat]]))</f>
        <v>LILIN ANGKA SHINTOENG NO. 5</v>
      </c>
      <c r="H10" t="str">
        <f>INDEX([3]!Table2[KODE BARANG],Table17[[#This Row],[dbconcat]])</f>
        <v>LIL-SH15</v>
      </c>
      <c r="I10" t="str">
        <f>IF(Table17[[#This Row],[NAMA_3]]="",UPPER(Table17[[#This Row],[NAMA_2]]),Table17[[#This Row],[NAMA_3]])</f>
        <v>LILIN ANGKA SHINTOENG NO. 5</v>
      </c>
      <c r="J10">
        <f>INDEX(NOTA[QTY],Sheet1!A:A)</f>
        <v>1</v>
      </c>
      <c r="K10" t="str">
        <f>INDEX(NOTA[STN],Sheet1!A:A)</f>
        <v>LSN</v>
      </c>
      <c r="L10" t="str">
        <f>INDEX([3]!db[QTY B],Table17[[#This Row],[//db]])</f>
        <v>100</v>
      </c>
      <c r="M10" t="str">
        <f>INDEX([3]!db[STN B],Table17[[#This Row],[//db]])</f>
        <v>LSN</v>
      </c>
      <c r="N10" t="str">
        <f>IF(Table17[[#This Row],[SATUAN NOTA]]=Table17[[#This Row],[SATUAN DB]],"", MATCH(CONCATENATE(Table17[[#This Row],[SATUAN NOTA]],Table17[[#This Row],[SATUAN DB]]),Table2[4],0))</f>
        <v/>
      </c>
      <c r="O10" t="str" cm="1">
        <f t="array" ref="O10">IF(Table17[[#This Row],[//CONV]]="","",INDEX(Table2[3],Table17[[#This Row],[//CONV]]))</f>
        <v/>
      </c>
      <c r="P10" t="str">
        <f>IF(Table17[[#This Row],[//CONV]]="",Table17[[#This Row],[ISI DB]],Table17[[#This Row],[ISI NOTA]]*Table17[[#This Row],[CONV VAR]])</f>
        <v>100</v>
      </c>
      <c r="Q10" t="str" cm="1">
        <f t="array" ref="Q10">IF(Table17[[#This Row],[//CONV]]="",Table17[[#This Row],[SATUAN DB]],INDEX(Table2[2],Table17[[#This Row],[//CONV]]))</f>
        <v>LSN</v>
      </c>
      <c r="R10" cm="1">
        <f t="array" ref="R10">IF(Table17[[#This Row],[dbconcat]]="","",INDEX([3]!Table2[ISI],Table17[[#This Row],[dbconcat]]))</f>
        <v>100</v>
      </c>
      <c r="S10" t="str" cm="1">
        <f t="array" ref="S10">IF(Table17[[#This Row],[dbconcat]]="","",INDEX([3]!Table2[[SATUAN ]],Table17[[#This Row],[dbconcat]]))</f>
        <v>LSN</v>
      </c>
      <c r="T10" t="str">
        <f>IF(Table17[[#This Row],[SATUAN S]]="","",IF(_xlfn.NUMBERVALUE(Table17[[#This Row],[ISI DB]])=_xlfn.NUMBERVALUE(Table17[[#This Row],[ISI S]]),"",1))</f>
        <v/>
      </c>
      <c r="U10" t="str">
        <f>IF(Table17[[#This Row],[SATUAN S]]="","",IF(Table17[[#This Row],[SATUAN DB]]=Table17[[#This Row],[SATUAN S]],"",1))</f>
        <v/>
      </c>
      <c r="V10" t="str">
        <f>IF(Table17[[#This Row],[CEK STN S]]="","",MATCH(CONCATENATE(Table17[[#This Row],[SATUAN CONV]],Table17[[#This Row],[SATUAN S]]),Table2[4],0))</f>
        <v/>
      </c>
      <c r="X10" t="str" cm="1">
        <f t="array" ref="X10">IF(Table17[[#This Row],[CONV2_//]]="","",INDEX(Table2[3],Table17[[#This Row],[CONV2_//]]))</f>
        <v/>
      </c>
      <c r="Y10" s="2" t="str">
        <f>IF(Table17[[#This Row],[CEK ISI S]]="",Table17[[#This Row],[ISI DB]],Table17[[#This Row],[ISI S]])</f>
        <v>100</v>
      </c>
      <c r="Z10" t="str">
        <f>IF(Table17[[#This Row],[CEK STN S]]="",Table17[[#This Row],[SATUAN DB]],Table17[[#This Row],[SATUAN S]])</f>
        <v>LSN</v>
      </c>
      <c r="AA10">
        <f>IF(Table17[[#This Row],[//CONV]]="",Table17[[#This Row],[ISI NOTA]]/Table17[[#This Row],[ISI_C]],Table17[[#This Row],[ISI DB CONV]]/Table17[[#This Row],[ISI_C]])</f>
        <v>0.01</v>
      </c>
      <c r="AB10">
        <f>INDEX(NOTA[HARGA SATUAN],Sheet1!A:A)</f>
        <v>13000</v>
      </c>
      <c r="AC10">
        <f>IF(Table17[[#This Row],[//CONV]]="",Table17[[#This Row],[HARGA NOTA]],Table17[[#This Row],[HARGA NOTA]]/Table17[[#This Row],[CONV VAR]])</f>
        <v>13000</v>
      </c>
      <c r="AD10">
        <f>IF(Table17[[#This Row],[CEK STN S]]="",Table17[[#This Row],[HARGA CONV]],Table17[[#This Row],[HARGA CONV]]/Table17[[#This Row],[CONV2 VAR]])</f>
        <v>13000</v>
      </c>
      <c r="AE10" s="3" t="str">
        <f>IF(INDEX(NOTA[Column6],Sheet1!A:A)=0,"",INDEX(NOTA[Column6],Sheet1!A:A))</f>
        <v/>
      </c>
      <c r="AF10" s="3" t="str">
        <f>IF(INDEX(NOTA[Column7],Sheet1!A:A)=0,"",INDEX(NOTA[Column7],Sheet1!A:A))</f>
        <v/>
      </c>
      <c r="AG1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" s="4">
        <f>INDEX(NOTA[HARGA/ CTN_H],Sheet1!A:A)</f>
        <v>13000</v>
      </c>
      <c r="AI10" s="4">
        <f>IF(Table17[[#This Row],[DISC 3]]="",Table17[[#This Row],[HRG / CTN]],Table17[[#This Row],[HRG / CTN]]-(Table17[[#This Row],[HRG / CTN]]*Table17[[#This Row],[DISC 3]]))</f>
        <v>13000</v>
      </c>
      <c r="AJ10" s="5" t="e">
        <f>IF(#REF!&lt;1,Table17[[#This Row],[Column9]],Table17[[#This Row],[Column9]]*#REF!)</f>
        <v>#REF!</v>
      </c>
      <c r="AK10" s="4" t="str">
        <f ca="1">IF(NOT(AP11=Table17[[#This Row],[Column6]]),SUMIF(Table17[Column6],Table17[[#This Row],[Column6]],Table17[Column7]),"")</f>
        <v/>
      </c>
      <c r="AL10" s="6">
        <f ca="1">INDEX(NOTA[TGL_H],Sheet1!A:A)</f>
        <v>45470</v>
      </c>
      <c r="AM10" s="6">
        <f ca="1">INDEX(NOTA[TGL.NOTA_H],Sheet1!A:A)</f>
        <v>45470</v>
      </c>
      <c r="AN10" s="7">
        <v>45398</v>
      </c>
      <c r="AO10" t="str">
        <f>IF(INDEX(NOTA[Column10],A:A)="","",INDEX(NOTA[Column10],A:A))</f>
        <v/>
      </c>
      <c r="AP10" t="str">
        <f ca="1">INDEX(NOTA[NO.NOTA_H],Sheet1!A:A)</f>
        <v>HN062024317</v>
      </c>
      <c r="AQ10">
        <f>INDEX(NOTA[Column10],Sheet1!A:A)</f>
        <v>0</v>
      </c>
      <c r="AR10" s="8" t="str">
        <f ca="1">INDEX(NOTA[SUPPLIER_H],Sheet1!A:A)</f>
        <v>HANSA</v>
      </c>
      <c r="AS10" t="str">
        <f>Table17[[#This Row],[NAMA_C]]</f>
        <v>LILIN ANGKA SHINTOENG NO. 5</v>
      </c>
      <c r="AT10" t="str">
        <f ca="1">Table17[[#This Row],[SUPPLIER]]</f>
        <v>HANSA</v>
      </c>
      <c r="AU10" t="str">
        <f>SUBSTITUTE(Table17[[#This Row],[CTN]],",",".")</f>
        <v>0.01</v>
      </c>
      <c r="AV10" s="13" t="str">
        <f>Table17[[#This Row],[ISI_C]]</f>
        <v>100</v>
      </c>
      <c r="AW10" t="str">
        <f>Table17[[#This Row],[SATUAN_C]]</f>
        <v>LSN</v>
      </c>
      <c r="AX10">
        <f>Table17[[#This Row],[HARGA CONV2]]</f>
        <v>13000</v>
      </c>
      <c r="AY10" s="9" t="str">
        <f>SUBSTITUTE(Table17[[#This Row],[DISC 3]],",",".")</f>
        <v/>
      </c>
      <c r="AZ10" s="6">
        <f ca="1">Table17[[#This Row],[TGL DATANG]]</f>
        <v>45470</v>
      </c>
      <c r="BA10" s="6">
        <f ca="1">Table17[[#This Row],[Column10]]</f>
        <v>45470</v>
      </c>
      <c r="BB10" s="7"/>
      <c r="BC10" t="str">
        <f>Table17[[#This Row],[KETERANGAN CONDRO]]</f>
        <v/>
      </c>
      <c r="BD10" t="str">
        <f ca="1">Table17[[#This Row],[Column6]]</f>
        <v>HN062024317</v>
      </c>
    </row>
    <row r="11" spans="1:56">
      <c r="A11" s="55">
        <v>8</v>
      </c>
      <c r="C11">
        <f>INDEX(NOTA[//DB],Sheet1!A:A)</f>
        <v>1978</v>
      </c>
      <c r="D11">
        <f>_xlfn.IFNA(MATCH(Table17[[#This Row],[//db]],[3]!Table2[\\],0),"")</f>
        <v>1636</v>
      </c>
      <c r="E11" t="str">
        <f>INDEX([3]!db[NB NOTA],Table17[[#This Row],[//db]])</f>
        <v>LILIN ANGKA SHINTOENG NO.6</v>
      </c>
      <c r="F11" t="str">
        <f>INDEX([3]!db[NB BM],Table17[[#This Row],[//db]])</f>
        <v>Lilin Angka Shintoeng No.6</v>
      </c>
      <c r="G11" t="str">
        <f>IF(Table17[[#This Row],[dbconcat]]="","",INDEX([3]!Table2[NAMA],Table17[[#This Row],[dbconcat]]))</f>
        <v>LILIN ANGKA SHINTOENG NO. 6</v>
      </c>
      <c r="H11" t="str">
        <f>INDEX([3]!Table2[KODE BARANG],Table17[[#This Row],[dbconcat]])</f>
        <v>LIL-SH16</v>
      </c>
      <c r="I11" t="str">
        <f>IF(Table17[[#This Row],[NAMA_3]]="",UPPER(Table17[[#This Row],[NAMA_2]]),Table17[[#This Row],[NAMA_3]])</f>
        <v>LILIN ANGKA SHINTOENG NO. 6</v>
      </c>
      <c r="J11">
        <f>INDEX(NOTA[QTY],Sheet1!A:A)</f>
        <v>1</v>
      </c>
      <c r="K11" t="str">
        <f>INDEX(NOTA[STN],Sheet1!A:A)</f>
        <v>LSN</v>
      </c>
      <c r="L11" t="str">
        <f>INDEX([3]!db[QTY B],Table17[[#This Row],[//db]])</f>
        <v>100</v>
      </c>
      <c r="M11" t="str">
        <f>INDEX([3]!db[STN B],Table17[[#This Row],[//db]])</f>
        <v>LSN</v>
      </c>
      <c r="N11" t="str">
        <f>IF(Table17[[#This Row],[SATUAN NOTA]]=Table17[[#This Row],[SATUAN DB]],"", MATCH(CONCATENATE(Table17[[#This Row],[SATUAN NOTA]],Table17[[#This Row],[SATUAN DB]]),Table2[4],0))</f>
        <v/>
      </c>
      <c r="O11" t="str" cm="1">
        <f t="array" ref="O11">IF(Table17[[#This Row],[//CONV]]="","",INDEX(Table2[3],Table17[[#This Row],[//CONV]]))</f>
        <v/>
      </c>
      <c r="P11" t="str">
        <f>IF(Table17[[#This Row],[//CONV]]="",Table17[[#This Row],[ISI DB]],Table17[[#This Row],[ISI NOTA]]*Table17[[#This Row],[CONV VAR]])</f>
        <v>100</v>
      </c>
      <c r="Q11" t="str" cm="1">
        <f t="array" ref="Q11">IF(Table17[[#This Row],[//CONV]]="",Table17[[#This Row],[SATUAN DB]],INDEX(Table2[2],Table17[[#This Row],[//CONV]]))</f>
        <v>LSN</v>
      </c>
      <c r="R11" cm="1">
        <f t="array" ref="R11">IF(Table17[[#This Row],[dbconcat]]="","",INDEX([3]!Table2[ISI],Table17[[#This Row],[dbconcat]]))</f>
        <v>100</v>
      </c>
      <c r="S11" t="str" cm="1">
        <f t="array" ref="S11">IF(Table17[[#This Row],[dbconcat]]="","",INDEX([3]!Table2[[SATUAN ]],Table17[[#This Row],[dbconcat]]))</f>
        <v>LSN</v>
      </c>
      <c r="T11" t="str">
        <f>IF(Table17[[#This Row],[SATUAN S]]="","",IF(_xlfn.NUMBERVALUE(Table17[[#This Row],[ISI DB]])=_xlfn.NUMBERVALUE(Table17[[#This Row],[ISI S]]),"",1))</f>
        <v/>
      </c>
      <c r="U11" t="str">
        <f>IF(Table17[[#This Row],[SATUAN S]]="","",IF(Table17[[#This Row],[SATUAN DB]]=Table17[[#This Row],[SATUAN S]],"",1))</f>
        <v/>
      </c>
      <c r="V11" t="str">
        <f>IF(Table17[[#This Row],[CEK STN S]]="","",MATCH(CONCATENATE(Table17[[#This Row],[SATUAN CONV]],Table17[[#This Row],[SATUAN S]]),Table2[4],0))</f>
        <v/>
      </c>
      <c r="X11" t="str" cm="1">
        <f t="array" ref="X11">IF(Table17[[#This Row],[CONV2_//]]="","",INDEX(Table2[3],Table17[[#This Row],[CONV2_//]]))</f>
        <v/>
      </c>
      <c r="Y11" s="2" t="str">
        <f>IF(Table17[[#This Row],[CEK ISI S]]="",Table17[[#This Row],[ISI DB]],Table17[[#This Row],[ISI S]])</f>
        <v>100</v>
      </c>
      <c r="Z11" t="str">
        <f>IF(Table17[[#This Row],[CEK STN S]]="",Table17[[#This Row],[SATUAN DB]],Table17[[#This Row],[SATUAN S]])</f>
        <v>LSN</v>
      </c>
      <c r="AA11">
        <f>IF(Table17[[#This Row],[//CONV]]="",Table17[[#This Row],[ISI NOTA]]/Table17[[#This Row],[ISI_C]],Table17[[#This Row],[ISI DB CONV]]/Table17[[#This Row],[ISI_C]])</f>
        <v>0.01</v>
      </c>
      <c r="AB11">
        <f>INDEX(NOTA[HARGA SATUAN],Sheet1!A:A)</f>
        <v>13000</v>
      </c>
      <c r="AC11">
        <f>IF(Table17[[#This Row],[//CONV]]="",Table17[[#This Row],[HARGA NOTA]],Table17[[#This Row],[HARGA NOTA]]/Table17[[#This Row],[CONV VAR]])</f>
        <v>13000</v>
      </c>
      <c r="AD11">
        <f>IF(Table17[[#This Row],[CEK STN S]]="",Table17[[#This Row],[HARGA CONV]],Table17[[#This Row],[HARGA CONV]]/Table17[[#This Row],[CONV2 VAR]])</f>
        <v>13000</v>
      </c>
      <c r="AE11" s="3" t="str">
        <f>IF(INDEX(NOTA[Column6],Sheet1!A:A)=0,"",INDEX(NOTA[Column6],Sheet1!A:A))</f>
        <v/>
      </c>
      <c r="AF11" s="3" t="str">
        <f>IF(INDEX(NOTA[Column7],Sheet1!A:A)=0,"",INDEX(NOTA[Column7],Sheet1!A:A))</f>
        <v/>
      </c>
      <c r="AG1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" s="4">
        <f>INDEX(NOTA[HARGA/ CTN_H],Sheet1!A:A)</f>
        <v>13000</v>
      </c>
      <c r="AI11" s="4">
        <f>IF(Table17[[#This Row],[DISC 3]]="",Table17[[#This Row],[HRG / CTN]],Table17[[#This Row],[HRG / CTN]]-(Table17[[#This Row],[HRG / CTN]]*Table17[[#This Row],[DISC 3]]))</f>
        <v>13000</v>
      </c>
      <c r="AJ11" s="5" t="e">
        <f>IF(#REF!&lt;1,Table17[[#This Row],[Column9]],Table17[[#This Row],[Column9]]*#REF!)</f>
        <v>#REF!</v>
      </c>
      <c r="AK11" s="4" t="str">
        <f ca="1">IF(NOT(AP12=Table17[[#This Row],[Column6]]),SUMIF(Table17[Column6],Table17[[#This Row],[Column6]],Table17[Column7]),"")</f>
        <v/>
      </c>
      <c r="AL11" s="6">
        <f ca="1">INDEX(NOTA[TGL_H],Sheet1!A:A)</f>
        <v>45470</v>
      </c>
      <c r="AM11" s="6">
        <f ca="1">INDEX(NOTA[TGL.NOTA_H],Sheet1!A:A)</f>
        <v>45470</v>
      </c>
      <c r="AN11" s="7">
        <v>45398</v>
      </c>
      <c r="AO11" t="str">
        <f>IF(INDEX(NOTA[Column10],A:A)="","",INDEX(NOTA[Column10],A:A))</f>
        <v/>
      </c>
      <c r="AP11" t="str">
        <f ca="1">INDEX(NOTA[NO.NOTA_H],Sheet1!A:A)</f>
        <v>HN062024317</v>
      </c>
      <c r="AQ11">
        <f>INDEX(NOTA[Column10],Sheet1!A:A)</f>
        <v>0</v>
      </c>
      <c r="AR11" s="8" t="str">
        <f ca="1">INDEX(NOTA[SUPPLIER_H],Sheet1!A:A)</f>
        <v>HANSA</v>
      </c>
      <c r="AS11" t="str">
        <f>Table17[[#This Row],[NAMA_C]]</f>
        <v>LILIN ANGKA SHINTOENG NO. 6</v>
      </c>
      <c r="AT11" t="str">
        <f ca="1">Table17[[#This Row],[SUPPLIER]]</f>
        <v>HANSA</v>
      </c>
      <c r="AU11" t="str">
        <f>SUBSTITUTE(Table17[[#This Row],[CTN]],",",".")</f>
        <v>0.01</v>
      </c>
      <c r="AV11" s="13" t="str">
        <f>Table17[[#This Row],[ISI_C]]</f>
        <v>100</v>
      </c>
      <c r="AW11" t="str">
        <f>Table17[[#This Row],[SATUAN_C]]</f>
        <v>LSN</v>
      </c>
      <c r="AX11">
        <f>Table17[[#This Row],[HARGA CONV2]]</f>
        <v>13000</v>
      </c>
      <c r="AY11" s="9" t="str">
        <f>SUBSTITUTE(Table17[[#This Row],[DISC 3]],",",".")</f>
        <v/>
      </c>
      <c r="AZ11" s="6">
        <f ca="1">Table17[[#This Row],[TGL DATANG]]</f>
        <v>45470</v>
      </c>
      <c r="BA11" s="6">
        <f ca="1">Table17[[#This Row],[Column10]]</f>
        <v>45470</v>
      </c>
      <c r="BB11" s="7"/>
      <c r="BC11" t="str">
        <f>Table17[[#This Row],[KETERANGAN CONDRO]]</f>
        <v/>
      </c>
      <c r="BD11" t="str">
        <f ca="1">Table17[[#This Row],[Column6]]</f>
        <v>HN062024317</v>
      </c>
    </row>
    <row r="12" spans="1:56">
      <c r="A12" s="55">
        <v>9</v>
      </c>
      <c r="C12">
        <f>INDEX(NOTA[//DB],Sheet1!A:A)</f>
        <v>1970</v>
      </c>
      <c r="D12">
        <f>_xlfn.IFNA(MATCH(Table17[[#This Row],[//db]],[3]!Table2[\\],0),"")</f>
        <v>1639</v>
      </c>
      <c r="E12" t="str">
        <f>INDEX([3]!db[NB NOTA],Table17[[#This Row],[//db]])</f>
        <v>LILIN ANGKA SHINTOENG NO.7</v>
      </c>
      <c r="F12" t="str">
        <f>INDEX([3]!db[NB BM],Table17[[#This Row],[//db]])</f>
        <v>Lilin angka Shintoeng no.7</v>
      </c>
      <c r="G12" t="str">
        <f>IF(Table17[[#This Row],[dbconcat]]="","",INDEX([3]!Table2[NAMA],Table17[[#This Row],[dbconcat]]))</f>
        <v>LILIN ANGKA SHINTOENG NO.7</v>
      </c>
      <c r="H12" t="str">
        <f>INDEX([3]!Table2[KODE BARANG],Table17[[#This Row],[dbconcat]])</f>
        <v>LIL-SH19</v>
      </c>
      <c r="I12" t="str">
        <f>IF(Table17[[#This Row],[NAMA_3]]="",UPPER(Table17[[#This Row],[NAMA_2]]),Table17[[#This Row],[NAMA_3]])</f>
        <v>LILIN ANGKA SHINTOENG NO.7</v>
      </c>
      <c r="J12">
        <f>INDEX(NOTA[QTY],Sheet1!A:A)</f>
        <v>1</v>
      </c>
      <c r="K12" t="str">
        <f>INDEX(NOTA[STN],Sheet1!A:A)</f>
        <v>LSN</v>
      </c>
      <c r="L12" t="str">
        <f>INDEX([3]!db[QTY B],Table17[[#This Row],[//db]])</f>
        <v>100</v>
      </c>
      <c r="M12" t="str">
        <f>INDEX([3]!db[STN B],Table17[[#This Row],[//db]])</f>
        <v>LSN</v>
      </c>
      <c r="N12" t="str">
        <f>IF(Table17[[#This Row],[SATUAN NOTA]]=Table17[[#This Row],[SATUAN DB]],"", MATCH(CONCATENATE(Table17[[#This Row],[SATUAN NOTA]],Table17[[#This Row],[SATUAN DB]]),Table2[4],0))</f>
        <v/>
      </c>
      <c r="O12" t="str" cm="1">
        <f t="array" ref="O12">IF(Table17[[#This Row],[//CONV]]="","",INDEX(Table2[3],Table17[[#This Row],[//CONV]]))</f>
        <v/>
      </c>
      <c r="P12" t="str">
        <f>IF(Table17[[#This Row],[//CONV]]="",Table17[[#This Row],[ISI DB]],Table17[[#This Row],[ISI NOTA]]*Table17[[#This Row],[CONV VAR]])</f>
        <v>100</v>
      </c>
      <c r="Q12" t="str" cm="1">
        <f t="array" ref="Q12">IF(Table17[[#This Row],[//CONV]]="",Table17[[#This Row],[SATUAN DB]],INDEX(Table2[2],Table17[[#This Row],[//CONV]]))</f>
        <v>LSN</v>
      </c>
      <c r="R12" cm="1">
        <f t="array" ref="R12">IF(Table17[[#This Row],[dbconcat]]="","",INDEX([3]!Table2[ISI],Table17[[#This Row],[dbconcat]]))</f>
        <v>100</v>
      </c>
      <c r="S12" t="str" cm="1">
        <f t="array" ref="S12">IF(Table17[[#This Row],[dbconcat]]="","",INDEX([3]!Table2[[SATUAN ]],Table17[[#This Row],[dbconcat]]))</f>
        <v>LSN</v>
      </c>
      <c r="T12" t="str">
        <f>IF(Table17[[#This Row],[SATUAN S]]="","",IF(_xlfn.NUMBERVALUE(Table17[[#This Row],[ISI DB]])=_xlfn.NUMBERVALUE(Table17[[#This Row],[ISI S]]),"",1))</f>
        <v/>
      </c>
      <c r="U12" t="str">
        <f>IF(Table17[[#This Row],[SATUAN S]]="","",IF(Table17[[#This Row],[SATUAN DB]]=Table17[[#This Row],[SATUAN S]],"",1))</f>
        <v/>
      </c>
      <c r="V12" t="str">
        <f>IF(Table17[[#This Row],[CEK STN S]]="","",MATCH(CONCATENATE(Table17[[#This Row],[SATUAN CONV]],Table17[[#This Row],[SATUAN S]]),Table2[4],0))</f>
        <v/>
      </c>
      <c r="X12" t="str" cm="1">
        <f t="array" ref="X12">IF(Table17[[#This Row],[CONV2_//]]="","",INDEX(Table2[3],Table17[[#This Row],[CONV2_//]]))</f>
        <v/>
      </c>
      <c r="Y12" s="2" t="str">
        <f>IF(Table17[[#This Row],[CEK ISI S]]="",Table17[[#This Row],[ISI DB]],Table17[[#This Row],[ISI S]])</f>
        <v>100</v>
      </c>
      <c r="Z12" t="str">
        <f>IF(Table17[[#This Row],[CEK STN S]]="",Table17[[#This Row],[SATUAN DB]],Table17[[#This Row],[SATUAN S]])</f>
        <v>LSN</v>
      </c>
      <c r="AA12">
        <f>IF(Table17[[#This Row],[//CONV]]="",Table17[[#This Row],[ISI NOTA]]/Table17[[#This Row],[ISI_C]],Table17[[#This Row],[ISI DB CONV]]/Table17[[#This Row],[ISI_C]])</f>
        <v>0.01</v>
      </c>
      <c r="AB12">
        <f>INDEX(NOTA[HARGA SATUAN],Sheet1!A:A)</f>
        <v>13000</v>
      </c>
      <c r="AC12">
        <f>IF(Table17[[#This Row],[//CONV]]="",Table17[[#This Row],[HARGA NOTA]],Table17[[#This Row],[HARGA NOTA]]/Table17[[#This Row],[CONV VAR]])</f>
        <v>13000</v>
      </c>
      <c r="AD12">
        <f>IF(Table17[[#This Row],[CEK STN S]]="",Table17[[#This Row],[HARGA CONV]],Table17[[#This Row],[HARGA CONV]]/Table17[[#This Row],[CONV2 VAR]])</f>
        <v>13000</v>
      </c>
      <c r="AE12" s="3" t="str">
        <f>IF(INDEX(NOTA[Column6],Sheet1!A:A)=0,"",INDEX(NOTA[Column6],Sheet1!A:A))</f>
        <v/>
      </c>
      <c r="AF12" s="3" t="str">
        <f>IF(INDEX(NOTA[Column7],Sheet1!A:A)=0,"",INDEX(NOTA[Column7],Sheet1!A:A))</f>
        <v/>
      </c>
      <c r="AG1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" s="4">
        <f>INDEX(NOTA[HARGA/ CTN_H],Sheet1!A:A)</f>
        <v>13000</v>
      </c>
      <c r="AI12" s="4">
        <f>IF(Table17[[#This Row],[DISC 3]]="",Table17[[#This Row],[HRG / CTN]],Table17[[#This Row],[HRG / CTN]]-(Table17[[#This Row],[HRG / CTN]]*Table17[[#This Row],[DISC 3]]))</f>
        <v>13000</v>
      </c>
      <c r="AJ12" s="5" t="e">
        <f>IF(#REF!&lt;1,Table17[[#This Row],[Column9]],Table17[[#This Row],[Column9]]*#REF!)</f>
        <v>#REF!</v>
      </c>
      <c r="AK12" s="4" t="e">
        <f ca="1">IF(NOT(AP13=Table17[[#This Row],[Column6]]),SUMIF(Table17[Column6],Table17[[#This Row],[Column6]],Table17[Column7]),"")</f>
        <v>#REF!</v>
      </c>
      <c r="AL12" s="6">
        <f ca="1">INDEX(NOTA[TGL_H],Sheet1!A:A)</f>
        <v>45470</v>
      </c>
      <c r="AM12" s="6">
        <f ca="1">INDEX(NOTA[TGL.NOTA_H],Sheet1!A:A)</f>
        <v>45470</v>
      </c>
      <c r="AN12" s="7">
        <v>45398</v>
      </c>
      <c r="AO12" t="str">
        <f>IF(INDEX(NOTA[Column10],A:A)="","",INDEX(NOTA[Column10],A:A))</f>
        <v/>
      </c>
      <c r="AP12" t="str">
        <f ca="1">INDEX(NOTA[NO.NOTA_H],Sheet1!A:A)</f>
        <v>HN062024317</v>
      </c>
      <c r="AQ12">
        <f>INDEX(NOTA[Column10],Sheet1!A:A)</f>
        <v>0</v>
      </c>
      <c r="AR12" s="8" t="str">
        <f ca="1">INDEX(NOTA[SUPPLIER_H],Sheet1!A:A)</f>
        <v>HANSA</v>
      </c>
      <c r="AS12" t="str">
        <f>Table17[[#This Row],[NAMA_C]]</f>
        <v>LILIN ANGKA SHINTOENG NO.7</v>
      </c>
      <c r="AT12" t="str">
        <f ca="1">Table17[[#This Row],[SUPPLIER]]</f>
        <v>HANSA</v>
      </c>
      <c r="AU12" t="str">
        <f>SUBSTITUTE(Table17[[#This Row],[CTN]],",",".")</f>
        <v>0.01</v>
      </c>
      <c r="AV12" s="13" t="str">
        <f>Table17[[#This Row],[ISI_C]]</f>
        <v>100</v>
      </c>
      <c r="AW12" t="str">
        <f>Table17[[#This Row],[SATUAN_C]]</f>
        <v>LSN</v>
      </c>
      <c r="AX12">
        <f>Table17[[#This Row],[HARGA CONV2]]</f>
        <v>13000</v>
      </c>
      <c r="AY12" s="9" t="str">
        <f>SUBSTITUTE(Table17[[#This Row],[DISC 3]],",",".")</f>
        <v/>
      </c>
      <c r="AZ12" s="6">
        <f ca="1">Table17[[#This Row],[TGL DATANG]]</f>
        <v>45470</v>
      </c>
      <c r="BA12" s="6">
        <f ca="1">Table17[[#This Row],[Column10]]</f>
        <v>45470</v>
      </c>
      <c r="BB12" s="7"/>
      <c r="BC12" t="str">
        <f>Table17[[#This Row],[KETERANGAN CONDRO]]</f>
        <v/>
      </c>
      <c r="BD12" t="str">
        <f ca="1">Table17[[#This Row],[Column6]]</f>
        <v>HN062024317</v>
      </c>
    </row>
    <row r="13" spans="1:56">
      <c r="A13" s="55">
        <v>11</v>
      </c>
      <c r="C13">
        <f>INDEX(NOTA[//DB],Sheet1!A:A)</f>
        <v>150</v>
      </c>
      <c r="D13">
        <f>_xlfn.IFNA(MATCH(Table17[[#This Row],[//db]],[3]!Table2[\\],0),"")</f>
        <v>717</v>
      </c>
      <c r="E13" t="str">
        <f>INDEX([3]!db[NB NOTA],Table17[[#This Row],[//db]])</f>
        <v>BALLPEN GEL TF-1190 HTM 0.3MM HIGHTECH</v>
      </c>
      <c r="F13" t="str">
        <f>INDEX([3]!db[NB BM],Table17[[#This Row],[//db]])</f>
        <v>BP GEL TF-1190 0.3MM HIGHTECH (H)</v>
      </c>
      <c r="G13" t="str">
        <f>IF(Table17[[#This Row],[dbconcat]]="","",INDEX([3]!Table2[NAMA],Table17[[#This Row],[dbconcat]]))</f>
        <v>BP GEL TF-1190 0.3MM HIGHTECH (H)</v>
      </c>
      <c r="H13" t="str">
        <f>INDEX([3]!Table2[KODE BARANG],Table17[[#This Row],[dbconcat]])</f>
        <v>BOL-TF336</v>
      </c>
      <c r="I13" t="str">
        <f>IF(Table17[[#This Row],[NAMA_3]]="",UPPER(Table17[[#This Row],[NAMA_2]]),Table17[[#This Row],[NAMA_3]])</f>
        <v>BP GEL TF-1190 0.3MM HIGHTECH (H)</v>
      </c>
      <c r="J13">
        <f>INDEX(NOTA[QTY],Sheet1!A:A)</f>
        <v>576</v>
      </c>
      <c r="K13" t="str">
        <f>INDEX(NOTA[STN],Sheet1!A:A)</f>
        <v>LSN</v>
      </c>
      <c r="L13" t="str">
        <f>INDEX([3]!db[QTY B],Table17[[#This Row],[//db]])</f>
        <v>96</v>
      </c>
      <c r="M13" t="str">
        <f>INDEX([3]!db[STN B],Table17[[#This Row],[//db]])</f>
        <v>LSN</v>
      </c>
      <c r="N13" t="str">
        <f>IF(Table17[[#This Row],[SATUAN NOTA]]=Table17[[#This Row],[SATUAN DB]],"", MATCH(CONCATENATE(Table17[[#This Row],[SATUAN NOTA]],Table17[[#This Row],[SATUAN DB]]),Table2[4],0))</f>
        <v/>
      </c>
      <c r="O13" t="str" cm="1">
        <f t="array" ref="O13">IF(Table17[[#This Row],[//CONV]]="","",INDEX(Table2[3],Table17[[#This Row],[//CONV]]))</f>
        <v/>
      </c>
      <c r="P13" t="str">
        <f>IF(Table17[[#This Row],[//CONV]]="",Table17[[#This Row],[ISI DB]],Table17[[#This Row],[ISI NOTA]]*Table17[[#This Row],[CONV VAR]])</f>
        <v>96</v>
      </c>
      <c r="Q13" t="str" cm="1">
        <f t="array" ref="Q13">IF(Table17[[#This Row],[//CONV]]="",Table17[[#This Row],[SATUAN DB]],INDEX(Table2[2],Table17[[#This Row],[//CONV]]))</f>
        <v>LSN</v>
      </c>
      <c r="R13" cm="1">
        <f t="array" ref="R13">IF(Table17[[#This Row],[dbconcat]]="","",INDEX([3]!Table2[ISI],Table17[[#This Row],[dbconcat]]))</f>
        <v>96</v>
      </c>
      <c r="S13" t="str" cm="1">
        <f t="array" ref="S13">IF(Table17[[#This Row],[dbconcat]]="","",INDEX([3]!Table2[[SATUAN ]],Table17[[#This Row],[dbconcat]]))</f>
        <v>LSN</v>
      </c>
      <c r="T13" t="str">
        <f>IF(Table17[[#This Row],[SATUAN S]]="","",IF(_xlfn.NUMBERVALUE(Table17[[#This Row],[ISI DB]])=_xlfn.NUMBERVALUE(Table17[[#This Row],[ISI S]]),"",1))</f>
        <v/>
      </c>
      <c r="U13" t="str">
        <f>IF(Table17[[#This Row],[SATUAN S]]="","",IF(Table17[[#This Row],[SATUAN DB]]=Table17[[#This Row],[SATUAN S]],"",1))</f>
        <v/>
      </c>
      <c r="V13" t="str">
        <f>IF(Table17[[#This Row],[CEK STN S]]="","",MATCH(CONCATENATE(Table17[[#This Row],[SATUAN CONV]],Table17[[#This Row],[SATUAN S]]),Table2[4],0))</f>
        <v/>
      </c>
      <c r="X13" t="str" cm="1">
        <f t="array" ref="X13">IF(Table17[[#This Row],[CONV2_//]]="","",INDEX(Table2[3],Table17[[#This Row],[CONV2_//]]))</f>
        <v/>
      </c>
      <c r="Y13" s="2" t="str">
        <f>IF(Table17[[#This Row],[CEK ISI S]]="",Table17[[#This Row],[ISI DB]],Table17[[#This Row],[ISI S]])</f>
        <v>96</v>
      </c>
      <c r="Z13" t="str">
        <f>IF(Table17[[#This Row],[CEK STN S]]="",Table17[[#This Row],[SATUAN DB]],Table17[[#This Row],[SATUAN S]])</f>
        <v>LSN</v>
      </c>
      <c r="AA13">
        <f>IF(Table17[[#This Row],[//CONV]]="",Table17[[#This Row],[ISI NOTA]]/Table17[[#This Row],[ISI_C]],Table17[[#This Row],[ISI DB CONV]]/Table17[[#This Row],[ISI_C]])</f>
        <v>6</v>
      </c>
      <c r="AB13">
        <f>INDEX(NOTA[HARGA SATUAN],Sheet1!A:A)</f>
        <v>26500</v>
      </c>
      <c r="AC13">
        <f>IF(Table17[[#This Row],[//CONV]]="",Table17[[#This Row],[HARGA NOTA]],Table17[[#This Row],[HARGA NOTA]]/Table17[[#This Row],[CONV VAR]])</f>
        <v>26500</v>
      </c>
      <c r="AD13">
        <f>IF(Table17[[#This Row],[CEK STN S]]="",Table17[[#This Row],[HARGA CONV]],Table17[[#This Row],[HARGA CONV]]/Table17[[#This Row],[CONV2 VAR]])</f>
        <v>26500</v>
      </c>
      <c r="AE13" s="3">
        <f>IF(INDEX(NOTA[Column6],Sheet1!A:A)=0,"",INDEX(NOTA[Column6],Sheet1!A:A))</f>
        <v>0.03</v>
      </c>
      <c r="AF13" s="3" t="str">
        <f>IF(INDEX(NOTA[Column7],Sheet1!A:A)=0,"",INDEX(NOTA[Column7],Sheet1!A:A))</f>
        <v/>
      </c>
      <c r="AG13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3" s="4">
        <f>INDEX(NOTA[HARGA/ CTN_H],Sheet1!A:A)</f>
        <v>2544000</v>
      </c>
      <c r="AI13" s="4">
        <f>IF(Table17[[#This Row],[DISC 3]]="",Table17[[#This Row],[HRG / CTN]],Table17[[#This Row],[HRG / CTN]]-(Table17[[#This Row],[HRG / CTN]]*Table17[[#This Row],[DISC 3]]))</f>
        <v>2467680</v>
      </c>
      <c r="AJ13" s="5" t="e">
        <f>IF(#REF!&lt;1,Table17[[#This Row],[Column9]],Table17[[#This Row],[Column9]]*#REF!)</f>
        <v>#REF!</v>
      </c>
      <c r="AK13" s="4" t="e">
        <f ca="1">IF(NOT(AP14=Table17[[#This Row],[Column6]]),SUMIF(Table17[Column6],Table17[[#This Row],[Column6]],Table17[Column7]),"")</f>
        <v>#REF!</v>
      </c>
      <c r="AL13" s="6">
        <f ca="1">INDEX(NOTA[TGL_H],Sheet1!A:A)</f>
        <v>45471</v>
      </c>
      <c r="AM13" s="6">
        <f ca="1">INDEX(NOTA[TGL.NOTA_H],Sheet1!A:A)</f>
        <v>45469</v>
      </c>
      <c r="AN13" s="7">
        <v>45398</v>
      </c>
      <c r="AO13" t="str">
        <f>IF(INDEX(NOTA[Column10],A:A)="","",INDEX(NOTA[Column10],A:A))</f>
        <v/>
      </c>
      <c r="AP13" t="str">
        <f ca="1">INDEX(NOTA[NO.NOTA_H],Sheet1!A:A)</f>
        <v>HM/119/06-24H</v>
      </c>
      <c r="AQ13">
        <f>INDEX(NOTA[Column10],Sheet1!A:A)</f>
        <v>0</v>
      </c>
      <c r="AR13" s="8" t="str">
        <f ca="1">INDEX(NOTA[SUPPLIER_H],Sheet1!A:A)</f>
        <v>DUTA BUANA</v>
      </c>
      <c r="AS13" t="str">
        <f>Table17[[#This Row],[NAMA_C]]</f>
        <v>BP GEL TF-1190 0.3MM HIGHTECH (H)</v>
      </c>
      <c r="AT13" t="str">
        <f ca="1">Table17[[#This Row],[SUPPLIER]]</f>
        <v>DUTA BUANA</v>
      </c>
      <c r="AU13" t="str">
        <f>SUBSTITUTE(Table17[[#This Row],[CTN]],",",".")</f>
        <v>6</v>
      </c>
      <c r="AV13" s="13" t="str">
        <f>Table17[[#This Row],[ISI_C]]</f>
        <v>96</v>
      </c>
      <c r="AW13" t="str">
        <f>Table17[[#This Row],[SATUAN_C]]</f>
        <v>LSN</v>
      </c>
      <c r="AX13">
        <f>Table17[[#This Row],[HARGA CONV2]]</f>
        <v>26500</v>
      </c>
      <c r="AY13" s="9" t="str">
        <f>SUBSTITUTE(Table17[[#This Row],[DISC 3]],",",".")</f>
        <v>0.03</v>
      </c>
      <c r="AZ13" s="6">
        <f ca="1">Table17[[#This Row],[TGL DATANG]]</f>
        <v>45471</v>
      </c>
      <c r="BA13" s="6">
        <f ca="1">Table17[[#This Row],[Column10]]</f>
        <v>45469</v>
      </c>
      <c r="BB13" s="7"/>
      <c r="BC13" t="str">
        <f>Table17[[#This Row],[KETERANGAN CONDRO]]</f>
        <v/>
      </c>
      <c r="BD13" t="str">
        <f ca="1">Table17[[#This Row],[Column6]]</f>
        <v>HM/119/06-24H</v>
      </c>
    </row>
    <row r="14" spans="1:56">
      <c r="A14" s="55">
        <v>13</v>
      </c>
      <c r="C14">
        <f>INDEX(NOTA[//DB],Sheet1!A:A)</f>
        <v>155</v>
      </c>
      <c r="D14">
        <f>_xlfn.IFNA(MATCH(Table17[[#This Row],[//db]],[3]!Table2[\\],0),"")</f>
        <v>711</v>
      </c>
      <c r="E14" t="str">
        <f>INDEX([3]!db[NB NOTA],Table17[[#This Row],[//db]])</f>
        <v>BALLPEN GEL TF-3115 0.3MM HIGHTECH KNOCK</v>
      </c>
      <c r="F14" t="str">
        <f>INDEX([3]!db[NB BM],Table17[[#This Row],[//db]])</f>
        <v>BP TF-3115 HIGHTECH KNOCK</v>
      </c>
      <c r="G14" t="str">
        <f>IF(Table17[[#This Row],[dbconcat]]="","",INDEX([3]!Table2[NAMA],Table17[[#This Row],[dbconcat]]))</f>
        <v>BP TF-3115 HIGHTECH KNOCK</v>
      </c>
      <c r="H14" t="str">
        <f>INDEX([3]!Table2[KODE BARANG],Table17[[#This Row],[dbconcat]])</f>
        <v>BOL-TF330</v>
      </c>
      <c r="I14" t="str">
        <f>IF(Table17[[#This Row],[NAMA_3]]="",UPPER(Table17[[#This Row],[NAMA_2]]),Table17[[#This Row],[NAMA_3]])</f>
        <v>BP TF-3115 HIGHTECH KNOCK</v>
      </c>
      <c r="J14">
        <f>INDEX(NOTA[QTY],Sheet1!A:A)</f>
        <v>576</v>
      </c>
      <c r="K14" t="str">
        <f>INDEX(NOTA[STN],Sheet1!A:A)</f>
        <v>LSN</v>
      </c>
      <c r="L14" t="str">
        <f>INDEX([3]!db[QTY B],Table17[[#This Row],[//db]])</f>
        <v>96</v>
      </c>
      <c r="M14" t="str">
        <f>INDEX([3]!db[STN B],Table17[[#This Row],[//db]])</f>
        <v>LSN</v>
      </c>
      <c r="N14" t="str">
        <f>IF(Table17[[#This Row],[SATUAN NOTA]]=Table17[[#This Row],[SATUAN DB]],"", MATCH(CONCATENATE(Table17[[#This Row],[SATUAN NOTA]],Table17[[#This Row],[SATUAN DB]]),Table2[4],0))</f>
        <v/>
      </c>
      <c r="O14" t="str" cm="1">
        <f t="array" ref="O14">IF(Table17[[#This Row],[//CONV]]="","",INDEX(Table2[3],Table17[[#This Row],[//CONV]]))</f>
        <v/>
      </c>
      <c r="P14" t="str">
        <f>IF(Table17[[#This Row],[//CONV]]="",Table17[[#This Row],[ISI DB]],Table17[[#This Row],[ISI NOTA]]*Table17[[#This Row],[CONV VAR]])</f>
        <v>96</v>
      </c>
      <c r="Q14" t="str" cm="1">
        <f t="array" ref="Q14">IF(Table17[[#This Row],[//CONV]]="",Table17[[#This Row],[SATUAN DB]],INDEX(Table2[2],Table17[[#This Row],[//CONV]]))</f>
        <v>LSN</v>
      </c>
      <c r="R14" cm="1">
        <f t="array" ref="R14">IF(Table17[[#This Row],[dbconcat]]="","",INDEX([3]!Table2[ISI],Table17[[#This Row],[dbconcat]]))</f>
        <v>144</v>
      </c>
      <c r="S14" t="str" cm="1">
        <f t="array" ref="S14">IF(Table17[[#This Row],[dbconcat]]="","",INDEX([3]!Table2[[SATUAN ]],Table17[[#This Row],[dbconcat]]))</f>
        <v>LSN</v>
      </c>
      <c r="T14">
        <f>IF(Table17[[#This Row],[SATUAN S]]="","",IF(_xlfn.NUMBERVALUE(Table17[[#This Row],[ISI DB]])=_xlfn.NUMBERVALUE(Table17[[#This Row],[ISI S]]),"",1))</f>
        <v>1</v>
      </c>
      <c r="U14" t="str">
        <f>IF(Table17[[#This Row],[SATUAN S]]="","",IF(Table17[[#This Row],[SATUAN DB]]=Table17[[#This Row],[SATUAN S]],"",1))</f>
        <v/>
      </c>
      <c r="V14" t="str">
        <f>IF(Table17[[#This Row],[CEK STN S]]="","",MATCH(CONCATENATE(Table17[[#This Row],[SATUAN CONV]],Table17[[#This Row],[SATUAN S]]),Table2[4],0))</f>
        <v/>
      </c>
      <c r="X14" t="str" cm="1">
        <f t="array" ref="X14">IF(Table17[[#This Row],[CONV2_//]]="","",INDEX(Table2[3],Table17[[#This Row],[CONV2_//]]))</f>
        <v/>
      </c>
      <c r="Y14" s="2">
        <f>IF(Table17[[#This Row],[CEK ISI S]]="",Table17[[#This Row],[ISI DB]],Table17[[#This Row],[ISI S]])</f>
        <v>144</v>
      </c>
      <c r="Z14" t="str">
        <f>IF(Table17[[#This Row],[CEK STN S]]="",Table17[[#This Row],[SATUAN DB]],Table17[[#This Row],[SATUAN S]])</f>
        <v>LSN</v>
      </c>
      <c r="AA14">
        <f>IF(Table17[[#This Row],[//CONV]]="",Table17[[#This Row],[ISI NOTA]]/Table17[[#This Row],[ISI_C]],Table17[[#This Row],[ISI DB CONV]]/Table17[[#This Row],[ISI_C]])</f>
        <v>4</v>
      </c>
      <c r="AB14">
        <f>INDEX(NOTA[HARGA SATUAN],Sheet1!A:A)</f>
        <v>26500</v>
      </c>
      <c r="AC14">
        <f>IF(Table17[[#This Row],[//CONV]]="",Table17[[#This Row],[HARGA NOTA]],Table17[[#This Row],[HARGA NOTA]]/Table17[[#This Row],[CONV VAR]])</f>
        <v>26500</v>
      </c>
      <c r="AD14">
        <f>IF(Table17[[#This Row],[CEK STN S]]="",Table17[[#This Row],[HARGA CONV]],Table17[[#This Row],[HARGA CONV]]/Table17[[#This Row],[CONV2 VAR]])</f>
        <v>26500</v>
      </c>
      <c r="AE14" s="3">
        <f>IF(INDEX(NOTA[Column6],Sheet1!A:A)=0,"",INDEX(NOTA[Column6],Sheet1!A:A))</f>
        <v>0.03</v>
      </c>
      <c r="AF14" s="3" t="str">
        <f>IF(INDEX(NOTA[Column7],Sheet1!A:A)=0,"",INDEX(NOTA[Column7],Sheet1!A:A))</f>
        <v/>
      </c>
      <c r="AG14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4" s="4">
        <f>INDEX(NOTA[HARGA/ CTN_H],Sheet1!A:A)</f>
        <v>2544000</v>
      </c>
      <c r="AI14" s="4">
        <f>IF(Table17[[#This Row],[DISC 3]]="",Table17[[#This Row],[HRG / CTN]],Table17[[#This Row],[HRG / CTN]]-(Table17[[#This Row],[HRG / CTN]]*Table17[[#This Row],[DISC 3]]))</f>
        <v>2467680</v>
      </c>
      <c r="AJ14" s="5" t="e">
        <f>IF(#REF!&lt;1,Table17[[#This Row],[Column9]],Table17[[#This Row],[Column9]]*#REF!)</f>
        <v>#REF!</v>
      </c>
      <c r="AK14" s="4" t="e">
        <f ca="1">IF(NOT(AP15=Table17[[#This Row],[Column6]]),SUMIF(Table17[Column6],Table17[[#This Row],[Column6]],Table17[Column7]),"")</f>
        <v>#REF!</v>
      </c>
      <c r="AL14" s="6">
        <f ca="1">INDEX(NOTA[TGL_H],Sheet1!A:A)</f>
        <v>45471</v>
      </c>
      <c r="AM14" s="6">
        <f ca="1">INDEX(NOTA[TGL.NOTA_H],Sheet1!A:A)</f>
        <v>45469</v>
      </c>
      <c r="AN14" s="7">
        <v>45398</v>
      </c>
      <c r="AO14" t="str">
        <f>IF(INDEX(NOTA[Column10],A:A)="","",INDEX(NOTA[Column10],A:A))</f>
        <v/>
      </c>
      <c r="AP14" t="str">
        <f ca="1">INDEX(NOTA[NO.NOTA_H],Sheet1!A:A)</f>
        <v>CC</v>
      </c>
      <c r="AQ14">
        <f>INDEX(NOTA[Column10],Sheet1!A:A)</f>
        <v>0</v>
      </c>
      <c r="AR14" s="8" t="str">
        <f ca="1">INDEX(NOTA[SUPPLIER_H],Sheet1!A:A)</f>
        <v>CC</v>
      </c>
      <c r="AS14" t="str">
        <f>Table17[[#This Row],[NAMA_C]]</f>
        <v>BP TF-3115 HIGHTECH KNOCK</v>
      </c>
      <c r="AT14" t="str">
        <f ca="1">Table17[[#This Row],[SUPPLIER]]</f>
        <v>CC</v>
      </c>
      <c r="AU14" t="str">
        <f>SUBSTITUTE(Table17[[#This Row],[CTN]],",",".")</f>
        <v>4</v>
      </c>
      <c r="AV14" s="13">
        <f>Table17[[#This Row],[ISI_C]]</f>
        <v>144</v>
      </c>
      <c r="AW14" t="str">
        <f>Table17[[#This Row],[SATUAN_C]]</f>
        <v>LSN</v>
      </c>
      <c r="AX14">
        <f>Table17[[#This Row],[HARGA CONV2]]</f>
        <v>26500</v>
      </c>
      <c r="AY14" s="9" t="str">
        <f>SUBSTITUTE(Table17[[#This Row],[DISC 3]],",",".")</f>
        <v>0.03</v>
      </c>
      <c r="AZ14" s="6">
        <f ca="1">Table17[[#This Row],[TGL DATANG]]</f>
        <v>45471</v>
      </c>
      <c r="BA14" s="6">
        <f ca="1">Table17[[#This Row],[Column10]]</f>
        <v>45469</v>
      </c>
      <c r="BB14" s="7"/>
      <c r="BC14" t="str">
        <f>Table17[[#This Row],[KETERANGAN CONDRO]]</f>
        <v/>
      </c>
      <c r="BD14" t="str">
        <f ca="1">Table17[[#This Row],[Column6]]</f>
        <v>CC</v>
      </c>
    </row>
    <row r="15" spans="1:56">
      <c r="A15" s="55">
        <v>15</v>
      </c>
      <c r="C15">
        <f>INDEX(NOTA[//DB],Sheet1!A:A)</f>
        <v>3364</v>
      </c>
      <c r="D15">
        <f>_xlfn.IFNA(MATCH(Table17[[#This Row],[//db]],[3]!Table2[\\],0),"")</f>
        <v>894</v>
      </c>
      <c r="E15" t="str">
        <f>INDEX([3]!db[NB NOTA],Table17[[#This Row],[//db]])</f>
        <v>CLIPBOARD ACRYLIC TF-013</v>
      </c>
      <c r="F15" t="str">
        <f>INDEX([3]!db[NB BM],Table17[[#This Row],[//db]])</f>
        <v>CLIPBOARD ACRYLIC TF-013</v>
      </c>
      <c r="G15" t="str">
        <f>IF(Table17[[#This Row],[dbconcat]]="","",INDEX([3]!Table2[NAMA],Table17[[#This Row],[dbconcat]]))</f>
        <v>CLIPBOARD ACRYLIC TF-013</v>
      </c>
      <c r="H15" t="str">
        <f>INDEX([3]!Table2[KODE BARANG],Table17[[#This Row],[dbconcat]])</f>
        <v>CBO-TF2</v>
      </c>
      <c r="I15" t="str">
        <f>IF(Table17[[#This Row],[NAMA_3]]="",UPPER(Table17[[#This Row],[NAMA_2]]),Table17[[#This Row],[NAMA_3]])</f>
        <v>CLIPBOARD ACRYLIC TF-013</v>
      </c>
      <c r="J15">
        <f>INDEX(NOTA[QTY],Sheet1!A:A)</f>
        <v>96</v>
      </c>
      <c r="K15" t="str">
        <f>INDEX(NOTA[STN],Sheet1!A:A)</f>
        <v>PCS</v>
      </c>
      <c r="L15" t="str">
        <f>INDEX([3]!db[QTY B],Table17[[#This Row],[//db]])</f>
        <v>96</v>
      </c>
      <c r="M15" t="str">
        <f>INDEX([3]!db[STN B],Table17[[#This Row],[//db]])</f>
        <v>PCS</v>
      </c>
      <c r="N15" t="str">
        <f>IF(Table17[[#This Row],[SATUAN NOTA]]=Table17[[#This Row],[SATUAN DB]],"", MATCH(CONCATENATE(Table17[[#This Row],[SATUAN NOTA]],Table17[[#This Row],[SATUAN DB]]),Table2[4],0))</f>
        <v/>
      </c>
      <c r="O15" t="str" cm="1">
        <f t="array" ref="O15">IF(Table17[[#This Row],[//CONV]]="","",INDEX(Table2[3],Table17[[#This Row],[//CONV]]))</f>
        <v/>
      </c>
      <c r="P15" t="str">
        <f>IF(Table17[[#This Row],[//CONV]]="",Table17[[#This Row],[ISI DB]],Table17[[#This Row],[ISI NOTA]]*Table17[[#This Row],[CONV VAR]])</f>
        <v>96</v>
      </c>
      <c r="Q15" t="str" cm="1">
        <f t="array" ref="Q15">IF(Table17[[#This Row],[//CONV]]="",Table17[[#This Row],[SATUAN DB]],INDEX(Table2[2],Table17[[#This Row],[//CONV]]))</f>
        <v>PCS</v>
      </c>
      <c r="R15" cm="1">
        <f t="array" ref="R15">IF(Table17[[#This Row],[dbconcat]]="","",INDEX([3]!Table2[ISI],Table17[[#This Row],[dbconcat]]))</f>
        <v>96</v>
      </c>
      <c r="S15" t="str" cm="1">
        <f t="array" ref="S15">IF(Table17[[#This Row],[dbconcat]]="","",INDEX([3]!Table2[[SATUAN ]],Table17[[#This Row],[dbconcat]]))</f>
        <v>PCS</v>
      </c>
      <c r="T15" t="str">
        <f>IF(Table17[[#This Row],[SATUAN S]]="","",IF(_xlfn.NUMBERVALUE(Table17[[#This Row],[ISI DB]])=_xlfn.NUMBERVALUE(Table17[[#This Row],[ISI S]]),"",1))</f>
        <v/>
      </c>
      <c r="U15" t="str">
        <f>IF(Table17[[#This Row],[SATUAN S]]="","",IF(Table17[[#This Row],[SATUAN DB]]=Table17[[#This Row],[SATUAN S]],"",1))</f>
        <v/>
      </c>
      <c r="V15" t="str">
        <f>IF(Table17[[#This Row],[CEK STN S]]="","",MATCH(CONCATENATE(Table17[[#This Row],[SATUAN CONV]],Table17[[#This Row],[SATUAN S]]),Table2[4],0))</f>
        <v/>
      </c>
      <c r="X15" t="str" cm="1">
        <f t="array" ref="X15">IF(Table17[[#This Row],[CONV2_//]]="","",INDEX(Table2[3],Table17[[#This Row],[CONV2_//]]))</f>
        <v/>
      </c>
      <c r="Y15" s="2" t="str">
        <f>IF(Table17[[#This Row],[CEK ISI S]]="",Table17[[#This Row],[ISI DB]],Table17[[#This Row],[ISI S]])</f>
        <v>96</v>
      </c>
      <c r="Z15" t="str">
        <f>IF(Table17[[#This Row],[CEK STN S]]="",Table17[[#This Row],[SATUAN DB]],Table17[[#This Row],[SATUAN S]])</f>
        <v>PCS</v>
      </c>
      <c r="AA15">
        <f>IF(Table17[[#This Row],[//CONV]]="",Table17[[#This Row],[ISI NOTA]]/Table17[[#This Row],[ISI_C]],Table17[[#This Row],[ISI DB CONV]]/Table17[[#This Row],[ISI_C]])</f>
        <v>1</v>
      </c>
      <c r="AB15">
        <f>INDEX(NOTA[HARGA SATUAN],Sheet1!A:A)</f>
        <v>15000</v>
      </c>
      <c r="AC15">
        <f>IF(Table17[[#This Row],[//CONV]]="",Table17[[#This Row],[HARGA NOTA]],Table17[[#This Row],[HARGA NOTA]]/Table17[[#This Row],[CONV VAR]])</f>
        <v>15000</v>
      </c>
      <c r="AD15">
        <f>IF(Table17[[#This Row],[CEK STN S]]="",Table17[[#This Row],[HARGA CONV]],Table17[[#This Row],[HARGA CONV]]/Table17[[#This Row],[CONV2 VAR]])</f>
        <v>15000</v>
      </c>
      <c r="AE15" s="3">
        <f>IF(INDEX(NOTA[Column6],Sheet1!A:A)=0,"",INDEX(NOTA[Column6],Sheet1!A:A))</f>
        <v>0.03</v>
      </c>
      <c r="AF15" s="3" t="str">
        <f>IF(INDEX(NOTA[Column7],Sheet1!A:A)=0,"",INDEX(NOTA[Column7],Sheet1!A:A))</f>
        <v/>
      </c>
      <c r="AG15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5" s="4">
        <f>INDEX(NOTA[HARGA/ CTN_H],Sheet1!A:A)</f>
        <v>1440000</v>
      </c>
      <c r="AI15" s="4">
        <f>IF(Table17[[#This Row],[DISC 3]]="",Table17[[#This Row],[HRG / CTN]],Table17[[#This Row],[HRG / CTN]]-(Table17[[#This Row],[HRG / CTN]]*Table17[[#This Row],[DISC 3]]))</f>
        <v>1396800</v>
      </c>
      <c r="AJ15" s="5" t="e">
        <f>IF(#REF!&lt;1,Table17[[#This Row],[Column9]],Table17[[#This Row],[Column9]]*#REF!)</f>
        <v>#REF!</v>
      </c>
      <c r="AK15" s="4" t="str">
        <f ca="1">IF(NOT(AP16=Table17[[#This Row],[Column6]]),SUMIF(Table17[Column6],Table17[[#This Row],[Column6]],Table17[Column7]),"")</f>
        <v/>
      </c>
      <c r="AL15" s="6">
        <f ca="1">INDEX(NOTA[TGL_H],Sheet1!A:A)</f>
        <v>45471</v>
      </c>
      <c r="AM15" s="6">
        <f ca="1">INDEX(NOTA[TGL.NOTA_H],Sheet1!A:A)</f>
        <v>45469</v>
      </c>
      <c r="AN15" s="7">
        <v>45398</v>
      </c>
      <c r="AO15" t="str">
        <f>IF(INDEX(NOTA[Column10],A:A)="","",INDEX(NOTA[Column10],A:A))</f>
        <v/>
      </c>
      <c r="AP15" t="str">
        <f ca="1">INDEX(NOTA[NO.NOTA_H],Sheet1!A:A)</f>
        <v>HM/118/06-24H</v>
      </c>
      <c r="AQ15">
        <f>INDEX(NOTA[Column10],Sheet1!A:A)</f>
        <v>0</v>
      </c>
      <c r="AR15" s="8" t="str">
        <f ca="1">INDEX(NOTA[SUPPLIER_H],Sheet1!A:A)</f>
        <v>DUTA BUANA</v>
      </c>
      <c r="AS15" t="str">
        <f>Table17[[#This Row],[NAMA_C]]</f>
        <v>CLIPBOARD ACRYLIC TF-013</v>
      </c>
      <c r="AT15" t="str">
        <f ca="1">Table17[[#This Row],[SUPPLIER]]</f>
        <v>DUTA BUANA</v>
      </c>
      <c r="AU15" t="str">
        <f>SUBSTITUTE(Table17[[#This Row],[CTN]],",",".")</f>
        <v>1</v>
      </c>
      <c r="AV15" s="13" t="str">
        <f>Table17[[#This Row],[ISI_C]]</f>
        <v>96</v>
      </c>
      <c r="AW15" t="str">
        <f>Table17[[#This Row],[SATUAN_C]]</f>
        <v>PCS</v>
      </c>
      <c r="AX15">
        <f>Table17[[#This Row],[HARGA CONV2]]</f>
        <v>15000</v>
      </c>
      <c r="AY15" s="9" t="str">
        <f>SUBSTITUTE(Table17[[#This Row],[DISC 3]],",",".")</f>
        <v>0.03</v>
      </c>
      <c r="AZ15" s="6">
        <f ca="1">Table17[[#This Row],[TGL DATANG]]</f>
        <v>45471</v>
      </c>
      <c r="BA15" s="6">
        <f ca="1">Table17[[#This Row],[Column10]]</f>
        <v>45469</v>
      </c>
      <c r="BB15" s="7"/>
      <c r="BC15" t="str">
        <f>Table17[[#This Row],[KETERANGAN CONDRO]]</f>
        <v/>
      </c>
      <c r="BD15" t="str">
        <f ca="1">Table17[[#This Row],[Column6]]</f>
        <v>HM/118/06-24H</v>
      </c>
    </row>
    <row r="16" spans="1:56">
      <c r="A16" s="55">
        <v>16</v>
      </c>
      <c r="C16">
        <f>INDEX(NOTA[//DB],Sheet1!A:A)</f>
        <v>3365</v>
      </c>
      <c r="D16">
        <f>_xlfn.IFNA(MATCH(Table17[[#This Row],[//db]],[3]!Table2[\\],0),"")</f>
        <v>895</v>
      </c>
      <c r="E16" t="str">
        <f>INDEX([3]!db[NB NOTA],Table17[[#This Row],[//db]])</f>
        <v>CLIPBOARD ACRYLIC TF-015</v>
      </c>
      <c r="F16" t="str">
        <f>INDEX([3]!db[NB BM],Table17[[#This Row],[//db]])</f>
        <v>CLIPBOARD ACRYLIC TF-015</v>
      </c>
      <c r="G16" t="str">
        <f>IF(Table17[[#This Row],[dbconcat]]="","",INDEX([3]!Table2[NAMA],Table17[[#This Row],[dbconcat]]))</f>
        <v>CLIPBOARD ACRYLIC TF-015</v>
      </c>
      <c r="H16" t="str">
        <f>INDEX([3]!Table2[KODE BARANG],Table17[[#This Row],[dbconcat]])</f>
        <v>CBO-TF3</v>
      </c>
      <c r="I16" t="str">
        <f>IF(Table17[[#This Row],[NAMA_3]]="",UPPER(Table17[[#This Row],[NAMA_2]]),Table17[[#This Row],[NAMA_3]])</f>
        <v>CLIPBOARD ACRYLIC TF-015</v>
      </c>
      <c r="J16">
        <f>INDEX(NOTA[QTY],Sheet1!A:A)</f>
        <v>96</v>
      </c>
      <c r="K16" t="str">
        <f>INDEX(NOTA[STN],Sheet1!A:A)</f>
        <v>PCS</v>
      </c>
      <c r="L16" t="str">
        <f>INDEX([3]!db[QTY B],Table17[[#This Row],[//db]])</f>
        <v>96</v>
      </c>
      <c r="M16" t="str">
        <f>INDEX([3]!db[STN B],Table17[[#This Row],[//db]])</f>
        <v>PCS</v>
      </c>
      <c r="N16" t="str">
        <f>IF(Table17[[#This Row],[SATUAN NOTA]]=Table17[[#This Row],[SATUAN DB]],"", MATCH(CONCATENATE(Table17[[#This Row],[SATUAN NOTA]],Table17[[#This Row],[SATUAN DB]]),Table2[4],0))</f>
        <v/>
      </c>
      <c r="O16" t="str" cm="1">
        <f t="array" ref="O16">IF(Table17[[#This Row],[//CONV]]="","",INDEX(Table2[3],Table17[[#This Row],[//CONV]]))</f>
        <v/>
      </c>
      <c r="P16" t="str">
        <f>IF(Table17[[#This Row],[//CONV]]="",Table17[[#This Row],[ISI DB]],Table17[[#This Row],[ISI NOTA]]*Table17[[#This Row],[CONV VAR]])</f>
        <v>96</v>
      </c>
      <c r="Q16" t="str" cm="1">
        <f t="array" ref="Q16">IF(Table17[[#This Row],[//CONV]]="",Table17[[#This Row],[SATUAN DB]],INDEX(Table2[2],Table17[[#This Row],[//CONV]]))</f>
        <v>PCS</v>
      </c>
      <c r="R16" cm="1">
        <f t="array" ref="R16">IF(Table17[[#This Row],[dbconcat]]="","",INDEX([3]!Table2[ISI],Table17[[#This Row],[dbconcat]]))</f>
        <v>96</v>
      </c>
      <c r="S16" t="str" cm="1">
        <f t="array" ref="S16">IF(Table17[[#This Row],[dbconcat]]="","",INDEX([3]!Table2[[SATUAN ]],Table17[[#This Row],[dbconcat]]))</f>
        <v>PCS</v>
      </c>
      <c r="T16" t="str">
        <f>IF(Table17[[#This Row],[SATUAN S]]="","",IF(_xlfn.NUMBERVALUE(Table17[[#This Row],[ISI DB]])=_xlfn.NUMBERVALUE(Table17[[#This Row],[ISI S]]),"",1))</f>
        <v/>
      </c>
      <c r="U16" t="str">
        <f>IF(Table17[[#This Row],[SATUAN S]]="","",IF(Table17[[#This Row],[SATUAN DB]]=Table17[[#This Row],[SATUAN S]],"",1))</f>
        <v/>
      </c>
      <c r="V16" t="str">
        <f>IF(Table17[[#This Row],[CEK STN S]]="","",MATCH(CONCATENATE(Table17[[#This Row],[SATUAN CONV]],Table17[[#This Row],[SATUAN S]]),Table2[4],0))</f>
        <v/>
      </c>
      <c r="X16" t="str" cm="1">
        <f t="array" ref="X16">IF(Table17[[#This Row],[CONV2_//]]="","",INDEX(Table2[3],Table17[[#This Row],[CONV2_//]]))</f>
        <v/>
      </c>
      <c r="Y16" s="2" t="str">
        <f>IF(Table17[[#This Row],[CEK ISI S]]="",Table17[[#This Row],[ISI DB]],Table17[[#This Row],[ISI S]])</f>
        <v>96</v>
      </c>
      <c r="Z16" t="str">
        <f>IF(Table17[[#This Row],[CEK STN S]]="",Table17[[#This Row],[SATUAN DB]],Table17[[#This Row],[SATUAN S]])</f>
        <v>PCS</v>
      </c>
      <c r="AA16">
        <f>IF(Table17[[#This Row],[//CONV]]="",Table17[[#This Row],[ISI NOTA]]/Table17[[#This Row],[ISI_C]],Table17[[#This Row],[ISI DB CONV]]/Table17[[#This Row],[ISI_C]])</f>
        <v>1</v>
      </c>
      <c r="AB16">
        <f>INDEX(NOTA[HARGA SATUAN],Sheet1!A:A)</f>
        <v>15000</v>
      </c>
      <c r="AC16">
        <f>IF(Table17[[#This Row],[//CONV]]="",Table17[[#This Row],[HARGA NOTA]],Table17[[#This Row],[HARGA NOTA]]/Table17[[#This Row],[CONV VAR]])</f>
        <v>15000</v>
      </c>
      <c r="AD16">
        <f>IF(Table17[[#This Row],[CEK STN S]]="",Table17[[#This Row],[HARGA CONV]],Table17[[#This Row],[HARGA CONV]]/Table17[[#This Row],[CONV2 VAR]])</f>
        <v>15000</v>
      </c>
      <c r="AE16" s="3">
        <f>IF(INDEX(NOTA[Column6],Sheet1!A:A)=0,"",INDEX(NOTA[Column6],Sheet1!A:A))</f>
        <v>0.03</v>
      </c>
      <c r="AF16" s="3" t="str">
        <f>IF(INDEX(NOTA[Column7],Sheet1!A:A)=0,"",INDEX(NOTA[Column7],Sheet1!A:A))</f>
        <v/>
      </c>
      <c r="AG16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6" s="4">
        <f>INDEX(NOTA[HARGA/ CTN_H],Sheet1!A:A)</f>
        <v>1440000</v>
      </c>
      <c r="AI16" s="4">
        <f>IF(Table17[[#This Row],[DISC 3]]="",Table17[[#This Row],[HRG / CTN]],Table17[[#This Row],[HRG / CTN]]-(Table17[[#This Row],[HRG / CTN]]*Table17[[#This Row],[DISC 3]]))</f>
        <v>1396800</v>
      </c>
      <c r="AJ16" s="5" t="e">
        <f>IF(#REF!&lt;1,Table17[[#This Row],[Column9]],Table17[[#This Row],[Column9]]*#REF!)</f>
        <v>#REF!</v>
      </c>
      <c r="AK16" s="4" t="str">
        <f ca="1">IF(NOT(AP17=Table17[[#This Row],[Column6]]),SUMIF(Table17[Column6],Table17[[#This Row],[Column6]],Table17[Column7]),"")</f>
        <v/>
      </c>
      <c r="AL16" s="6">
        <f ca="1">INDEX(NOTA[TGL_H],Sheet1!A:A)</f>
        <v>45471</v>
      </c>
      <c r="AM16" s="6">
        <f ca="1">INDEX(NOTA[TGL.NOTA_H],Sheet1!A:A)</f>
        <v>45469</v>
      </c>
      <c r="AN16" s="7">
        <v>45398</v>
      </c>
      <c r="AO16" t="str">
        <f>IF(INDEX(NOTA[Column10],A:A)="","",INDEX(NOTA[Column10],A:A))</f>
        <v/>
      </c>
      <c r="AP16" t="str">
        <f ca="1">INDEX(NOTA[NO.NOTA_H],Sheet1!A:A)</f>
        <v>HM/118/06-24H</v>
      </c>
      <c r="AQ16">
        <f>INDEX(NOTA[Column10],Sheet1!A:A)</f>
        <v>0</v>
      </c>
      <c r="AR16" s="8" t="str">
        <f ca="1">INDEX(NOTA[SUPPLIER_H],Sheet1!A:A)</f>
        <v>DUTA BUANA</v>
      </c>
      <c r="AS16" t="str">
        <f>Table17[[#This Row],[NAMA_C]]</f>
        <v>CLIPBOARD ACRYLIC TF-015</v>
      </c>
      <c r="AT16" t="str">
        <f ca="1">Table17[[#This Row],[SUPPLIER]]</f>
        <v>DUTA BUANA</v>
      </c>
      <c r="AU16" t="str">
        <f>SUBSTITUTE(Table17[[#This Row],[CTN]],",",".")</f>
        <v>1</v>
      </c>
      <c r="AV16" s="13" t="str">
        <f>Table17[[#This Row],[ISI_C]]</f>
        <v>96</v>
      </c>
      <c r="AW16" t="str">
        <f>Table17[[#This Row],[SATUAN_C]]</f>
        <v>PCS</v>
      </c>
      <c r="AX16">
        <f>Table17[[#This Row],[HARGA CONV2]]</f>
        <v>15000</v>
      </c>
      <c r="AY16" s="9" t="str">
        <f>SUBSTITUTE(Table17[[#This Row],[DISC 3]],",",".")</f>
        <v>0.03</v>
      </c>
      <c r="AZ16" s="6">
        <f ca="1">Table17[[#This Row],[TGL DATANG]]</f>
        <v>45471</v>
      </c>
      <c r="BA16" s="6">
        <f ca="1">Table17[[#This Row],[Column10]]</f>
        <v>45469</v>
      </c>
      <c r="BB16" s="7"/>
      <c r="BC16" t="str">
        <f>Table17[[#This Row],[KETERANGAN CONDRO]]</f>
        <v/>
      </c>
      <c r="BD16" t="str">
        <f ca="1">Table17[[#This Row],[Column6]]</f>
        <v>HM/118/06-24H</v>
      </c>
    </row>
    <row r="17" spans="1:56">
      <c r="A17" s="55">
        <v>17</v>
      </c>
      <c r="C17">
        <f>INDEX(NOTA[//DB],Sheet1!A:A)</f>
        <v>3366</v>
      </c>
      <c r="D17">
        <f>_xlfn.IFNA(MATCH(Table17[[#This Row],[//db]],[3]!Table2[\\],0),"")</f>
        <v>896</v>
      </c>
      <c r="E17" t="str">
        <f>INDEX([3]!db[NB NOTA],Table17[[#This Row],[//db]])</f>
        <v>CLIPBOARD ACRYLIC TF-016</v>
      </c>
      <c r="F17" t="str">
        <f>INDEX([3]!db[NB BM],Table17[[#This Row],[//db]])</f>
        <v>CLIPBOARD ACRYLIC TF-016</v>
      </c>
      <c r="G17" t="str">
        <f>IF(Table17[[#This Row],[dbconcat]]="","",INDEX([3]!Table2[NAMA],Table17[[#This Row],[dbconcat]]))</f>
        <v>CLIPBOARD ACRYLIC TF-016</v>
      </c>
      <c r="H17" t="str">
        <f>INDEX([3]!Table2[KODE BARANG],Table17[[#This Row],[dbconcat]])</f>
        <v>CBO-TF4</v>
      </c>
      <c r="I17" t="str">
        <f>IF(Table17[[#This Row],[NAMA_3]]="",UPPER(Table17[[#This Row],[NAMA_2]]),Table17[[#This Row],[NAMA_3]])</f>
        <v>CLIPBOARD ACRYLIC TF-016</v>
      </c>
      <c r="J17">
        <f>INDEX(NOTA[QTY],Sheet1!A:A)</f>
        <v>96</v>
      </c>
      <c r="K17" t="str">
        <f>INDEX(NOTA[STN],Sheet1!A:A)</f>
        <v>PCS</v>
      </c>
      <c r="L17" t="str">
        <f>INDEX([3]!db[QTY B],Table17[[#This Row],[//db]])</f>
        <v>96</v>
      </c>
      <c r="M17" t="str">
        <f>INDEX([3]!db[STN B],Table17[[#This Row],[//db]])</f>
        <v>PCS</v>
      </c>
      <c r="N17" t="str">
        <f>IF(Table17[[#This Row],[SATUAN NOTA]]=Table17[[#This Row],[SATUAN DB]],"", MATCH(CONCATENATE(Table17[[#This Row],[SATUAN NOTA]],Table17[[#This Row],[SATUAN DB]]),Table2[4],0))</f>
        <v/>
      </c>
      <c r="O17" t="str" cm="1">
        <f t="array" ref="O17">IF(Table17[[#This Row],[//CONV]]="","",INDEX(Table2[3],Table17[[#This Row],[//CONV]]))</f>
        <v/>
      </c>
      <c r="P17" t="str">
        <f>IF(Table17[[#This Row],[//CONV]]="",Table17[[#This Row],[ISI DB]],Table17[[#This Row],[ISI NOTA]]*Table17[[#This Row],[CONV VAR]])</f>
        <v>96</v>
      </c>
      <c r="Q17" t="str" cm="1">
        <f t="array" ref="Q17">IF(Table17[[#This Row],[//CONV]]="",Table17[[#This Row],[SATUAN DB]],INDEX(Table2[2],Table17[[#This Row],[//CONV]]))</f>
        <v>PCS</v>
      </c>
      <c r="R17" cm="1">
        <f t="array" ref="R17">IF(Table17[[#This Row],[dbconcat]]="","",INDEX([3]!Table2[ISI],Table17[[#This Row],[dbconcat]]))</f>
        <v>96</v>
      </c>
      <c r="S17" t="str" cm="1">
        <f t="array" ref="S17">IF(Table17[[#This Row],[dbconcat]]="","",INDEX([3]!Table2[[SATUAN ]],Table17[[#This Row],[dbconcat]]))</f>
        <v>PCS</v>
      </c>
      <c r="T17" t="str">
        <f>IF(Table17[[#This Row],[SATUAN S]]="","",IF(_xlfn.NUMBERVALUE(Table17[[#This Row],[ISI DB]])=_xlfn.NUMBERVALUE(Table17[[#This Row],[ISI S]]),"",1))</f>
        <v/>
      </c>
      <c r="U17" t="str">
        <f>IF(Table17[[#This Row],[SATUAN S]]="","",IF(Table17[[#This Row],[SATUAN DB]]=Table17[[#This Row],[SATUAN S]],"",1))</f>
        <v/>
      </c>
      <c r="V17" t="str">
        <f>IF(Table17[[#This Row],[CEK STN S]]="","",MATCH(CONCATENATE(Table17[[#This Row],[SATUAN CONV]],Table17[[#This Row],[SATUAN S]]),Table2[4],0))</f>
        <v/>
      </c>
      <c r="X17" t="str" cm="1">
        <f t="array" ref="X17">IF(Table17[[#This Row],[CONV2_//]]="","",INDEX(Table2[3],Table17[[#This Row],[CONV2_//]]))</f>
        <v/>
      </c>
      <c r="Y17" s="2" t="str">
        <f>IF(Table17[[#This Row],[CEK ISI S]]="",Table17[[#This Row],[ISI DB]],Table17[[#This Row],[ISI S]])</f>
        <v>96</v>
      </c>
      <c r="Z17" t="str">
        <f>IF(Table17[[#This Row],[CEK STN S]]="",Table17[[#This Row],[SATUAN DB]],Table17[[#This Row],[SATUAN S]])</f>
        <v>PCS</v>
      </c>
      <c r="AA17">
        <f>IF(Table17[[#This Row],[//CONV]]="",Table17[[#This Row],[ISI NOTA]]/Table17[[#This Row],[ISI_C]],Table17[[#This Row],[ISI DB CONV]]/Table17[[#This Row],[ISI_C]])</f>
        <v>1</v>
      </c>
      <c r="AB17">
        <f>INDEX(NOTA[HARGA SATUAN],Sheet1!A:A)</f>
        <v>15000</v>
      </c>
      <c r="AC17">
        <f>IF(Table17[[#This Row],[//CONV]]="",Table17[[#This Row],[HARGA NOTA]],Table17[[#This Row],[HARGA NOTA]]/Table17[[#This Row],[CONV VAR]])</f>
        <v>15000</v>
      </c>
      <c r="AD17">
        <f>IF(Table17[[#This Row],[CEK STN S]]="",Table17[[#This Row],[HARGA CONV]],Table17[[#This Row],[HARGA CONV]]/Table17[[#This Row],[CONV2 VAR]])</f>
        <v>15000</v>
      </c>
      <c r="AE17" s="3">
        <f>IF(INDEX(NOTA[Column6],Sheet1!A:A)=0,"",INDEX(NOTA[Column6],Sheet1!A:A))</f>
        <v>0.03</v>
      </c>
      <c r="AF17" s="3" t="str">
        <f>IF(INDEX(NOTA[Column7],Sheet1!A:A)=0,"",INDEX(NOTA[Column7],Sheet1!A:A))</f>
        <v/>
      </c>
      <c r="AG17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7" s="4">
        <f>INDEX(NOTA[HARGA/ CTN_H],Sheet1!A:A)</f>
        <v>1440000</v>
      </c>
      <c r="AI17" s="4">
        <f>IF(Table17[[#This Row],[DISC 3]]="",Table17[[#This Row],[HRG / CTN]],Table17[[#This Row],[HRG / CTN]]-(Table17[[#This Row],[HRG / CTN]]*Table17[[#This Row],[DISC 3]]))</f>
        <v>1396800</v>
      </c>
      <c r="AJ17" s="5" t="e">
        <f>IF(#REF!&lt;1,Table17[[#This Row],[Column9]],Table17[[#This Row],[Column9]]*#REF!)</f>
        <v>#REF!</v>
      </c>
      <c r="AK17" s="4" t="e">
        <f ca="1">IF(NOT(AP18=Table17[[#This Row],[Column6]]),SUMIF(Table17[Column6],Table17[[#This Row],[Column6]],Table17[Column7]),"")</f>
        <v>#REF!</v>
      </c>
      <c r="AL17" s="6">
        <f ca="1">INDEX(NOTA[TGL_H],Sheet1!A:A)</f>
        <v>45471</v>
      </c>
      <c r="AM17" s="6">
        <f ca="1">INDEX(NOTA[TGL.NOTA_H],Sheet1!A:A)</f>
        <v>45469</v>
      </c>
      <c r="AN17" s="7">
        <v>45398</v>
      </c>
      <c r="AO17" t="str">
        <f>IF(INDEX(NOTA[Column10],A:A)="","",INDEX(NOTA[Column10],A:A))</f>
        <v/>
      </c>
      <c r="AP17" t="str">
        <f ca="1">INDEX(NOTA[NO.NOTA_H],Sheet1!A:A)</f>
        <v>HM/118/06-24H</v>
      </c>
      <c r="AQ17">
        <f>INDEX(NOTA[Column10],Sheet1!A:A)</f>
        <v>0</v>
      </c>
      <c r="AR17" s="8" t="str">
        <f ca="1">INDEX(NOTA[SUPPLIER_H],Sheet1!A:A)</f>
        <v>DUTA BUANA</v>
      </c>
      <c r="AS17" t="str">
        <f>Table17[[#This Row],[NAMA_C]]</f>
        <v>CLIPBOARD ACRYLIC TF-016</v>
      </c>
      <c r="AT17" t="str">
        <f ca="1">Table17[[#This Row],[SUPPLIER]]</f>
        <v>DUTA BUANA</v>
      </c>
      <c r="AU17" t="str">
        <f>SUBSTITUTE(Table17[[#This Row],[CTN]],",",".")</f>
        <v>1</v>
      </c>
      <c r="AV17" s="13" t="str">
        <f>Table17[[#This Row],[ISI_C]]</f>
        <v>96</v>
      </c>
      <c r="AW17" t="str">
        <f>Table17[[#This Row],[SATUAN_C]]</f>
        <v>PCS</v>
      </c>
      <c r="AX17">
        <f>Table17[[#This Row],[HARGA CONV2]]</f>
        <v>15000</v>
      </c>
      <c r="AY17" s="9" t="str">
        <f>SUBSTITUTE(Table17[[#This Row],[DISC 3]],",",".")</f>
        <v>0.03</v>
      </c>
      <c r="AZ17" s="6">
        <f ca="1">Table17[[#This Row],[TGL DATANG]]</f>
        <v>45471</v>
      </c>
      <c r="BA17" s="6">
        <f ca="1">Table17[[#This Row],[Column10]]</f>
        <v>45469</v>
      </c>
      <c r="BB17" s="7"/>
      <c r="BC17" t="str">
        <f>Table17[[#This Row],[KETERANGAN CONDRO]]</f>
        <v/>
      </c>
      <c r="BD17" t="str">
        <f ca="1">Table17[[#This Row],[Column6]]</f>
        <v>HM/118/06-24H</v>
      </c>
    </row>
    <row r="18" spans="1:56">
      <c r="A18" s="55">
        <v>19</v>
      </c>
      <c r="C18">
        <f>INDEX(NOTA[//DB],Sheet1!A:A)</f>
        <v>2872</v>
      </c>
      <c r="D18">
        <f>_xlfn.IFNA(MATCH(Table17[[#This Row],[//db]],[3]!Table2[\\],0),"")</f>
        <v>232</v>
      </c>
      <c r="E18" t="str">
        <f>INDEX([3]!db[NB NOTA],Table17[[#This Row],[//db]])</f>
        <v>SERUTAN 009</v>
      </c>
      <c r="F18" t="str">
        <f>INDEX([3]!db[NB BM],Table17[[#This Row],[//db]])</f>
        <v>ASAHAN MEJA 009</v>
      </c>
      <c r="G18" t="str">
        <f>IF(Table17[[#This Row],[dbconcat]]="","",INDEX([3]!Table2[NAMA],Table17[[#This Row],[dbconcat]]))</f>
        <v>ASAHAN MEJA 009</v>
      </c>
      <c r="H18" t="str">
        <f>INDEX([3]!Table2[KODE BARANG],Table17[[#This Row],[dbconcat]])</f>
        <v>ASA-NB156</v>
      </c>
      <c r="I18" t="str">
        <f>IF(Table17[[#This Row],[NAMA_3]]="",UPPER(Table17[[#This Row],[NAMA_2]]),Table17[[#This Row],[NAMA_3]])</f>
        <v>ASAHAN MEJA 009</v>
      </c>
      <c r="J18">
        <f>INDEX(NOTA[QTY],Sheet1!A:A)</f>
        <v>144</v>
      </c>
      <c r="K18" t="str">
        <f>INDEX(NOTA[STN],Sheet1!A:A)</f>
        <v>PCS</v>
      </c>
      <c r="L18" t="str">
        <f>INDEX([3]!db[QTY B],Table17[[#This Row],[//db]])</f>
        <v>72</v>
      </c>
      <c r="M18" t="str">
        <f>INDEX([3]!db[STN B],Table17[[#This Row],[//db]])</f>
        <v>PCS</v>
      </c>
      <c r="N18" t="str">
        <f>IF(Table17[[#This Row],[SATUAN NOTA]]=Table17[[#This Row],[SATUAN DB]],"", MATCH(CONCATENATE(Table17[[#This Row],[SATUAN NOTA]],Table17[[#This Row],[SATUAN DB]]),Table2[4],0))</f>
        <v/>
      </c>
      <c r="O18" t="str" cm="1">
        <f t="array" ref="O18">IF(Table17[[#This Row],[//CONV]]="","",INDEX(Table2[3],Table17[[#This Row],[//CONV]]))</f>
        <v/>
      </c>
      <c r="P18" t="str">
        <f>IF(Table17[[#This Row],[//CONV]]="",Table17[[#This Row],[ISI DB]],Table17[[#This Row],[ISI NOTA]]*Table17[[#This Row],[CONV VAR]])</f>
        <v>72</v>
      </c>
      <c r="Q18" t="str" cm="1">
        <f t="array" ref="Q18">IF(Table17[[#This Row],[//CONV]]="",Table17[[#This Row],[SATUAN DB]],INDEX(Table2[2],Table17[[#This Row],[//CONV]]))</f>
        <v>PCS</v>
      </c>
      <c r="R18" cm="1">
        <f t="array" ref="R18">IF(Table17[[#This Row],[dbconcat]]="","",INDEX([3]!Table2[ISI],Table17[[#This Row],[dbconcat]]))</f>
        <v>72</v>
      </c>
      <c r="S18" t="str" cm="1">
        <f t="array" ref="S18">IF(Table17[[#This Row],[dbconcat]]="","",INDEX([3]!Table2[[SATUAN ]],Table17[[#This Row],[dbconcat]]))</f>
        <v>PCS</v>
      </c>
      <c r="T18" t="str">
        <f>IF(Table17[[#This Row],[SATUAN S]]="","",IF(_xlfn.NUMBERVALUE(Table17[[#This Row],[ISI DB]])=_xlfn.NUMBERVALUE(Table17[[#This Row],[ISI S]]),"",1))</f>
        <v/>
      </c>
      <c r="U18" t="str">
        <f>IF(Table17[[#This Row],[SATUAN S]]="","",IF(Table17[[#This Row],[SATUAN DB]]=Table17[[#This Row],[SATUAN S]],"",1))</f>
        <v/>
      </c>
      <c r="V18" t="str">
        <f>IF(Table17[[#This Row],[CEK STN S]]="","",MATCH(CONCATENATE(Table17[[#This Row],[SATUAN CONV]],Table17[[#This Row],[SATUAN S]]),Table2[4],0))</f>
        <v/>
      </c>
      <c r="X18" t="str" cm="1">
        <f t="array" ref="X18">IF(Table17[[#This Row],[CONV2_//]]="","",INDEX(Table2[3],Table17[[#This Row],[CONV2_//]]))</f>
        <v/>
      </c>
      <c r="Y18" s="2" t="str">
        <f>IF(Table17[[#This Row],[CEK ISI S]]="",Table17[[#This Row],[ISI DB]],Table17[[#This Row],[ISI S]])</f>
        <v>72</v>
      </c>
      <c r="Z18" t="str">
        <f>IF(Table17[[#This Row],[CEK STN S]]="",Table17[[#This Row],[SATUAN DB]],Table17[[#This Row],[SATUAN S]])</f>
        <v>PCS</v>
      </c>
      <c r="AA18">
        <f>IF(Table17[[#This Row],[//CONV]]="",Table17[[#This Row],[ISI NOTA]]/Table17[[#This Row],[ISI_C]],Table17[[#This Row],[ISI DB CONV]]/Table17[[#This Row],[ISI_C]])</f>
        <v>2</v>
      </c>
      <c r="AB18">
        <f>INDEX(NOTA[HARGA SATUAN],Sheet1!A:A)</f>
        <v>22500</v>
      </c>
      <c r="AC18">
        <f>IF(Table17[[#This Row],[//CONV]]="",Table17[[#This Row],[HARGA NOTA]],Table17[[#This Row],[HARGA NOTA]]/Table17[[#This Row],[CONV VAR]])</f>
        <v>22500</v>
      </c>
      <c r="AD18">
        <f>IF(Table17[[#This Row],[CEK STN S]]="",Table17[[#This Row],[HARGA CONV]],Table17[[#This Row],[HARGA CONV]]/Table17[[#This Row],[CONV2 VAR]])</f>
        <v>22500</v>
      </c>
      <c r="AE18" s="3" t="str">
        <f>IF(INDEX(NOTA[Column6],Sheet1!A:A)=0,"",INDEX(NOTA[Column6],Sheet1!A:A))</f>
        <v/>
      </c>
      <c r="AF18" s="3" t="str">
        <f>IF(INDEX(NOTA[Column7],Sheet1!A:A)=0,"",INDEX(NOTA[Column7],Sheet1!A:A))</f>
        <v/>
      </c>
      <c r="AG1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" s="4">
        <f>INDEX(NOTA[HARGA/ CTN_H],Sheet1!A:A)</f>
        <v>1620000</v>
      </c>
      <c r="AI18" s="4">
        <f>IF(Table17[[#This Row],[DISC 3]]="",Table17[[#This Row],[HRG / CTN]],Table17[[#This Row],[HRG / CTN]]-(Table17[[#This Row],[HRG / CTN]]*Table17[[#This Row],[DISC 3]]))</f>
        <v>1620000</v>
      </c>
      <c r="AJ18" s="5" t="e">
        <f>IF(#REF!&lt;1,Table17[[#This Row],[Column9]],Table17[[#This Row],[Column9]]*#REF!)</f>
        <v>#REF!</v>
      </c>
      <c r="AK18" s="4" t="str">
        <f ca="1">IF(NOT(AP19=Table17[[#This Row],[Column6]]),SUMIF(Table17[Column6],Table17[[#This Row],[Column6]],Table17[Column7]),"")</f>
        <v/>
      </c>
      <c r="AL18" s="6">
        <f ca="1">INDEX(NOTA[TGL_H],Sheet1!A:A)</f>
        <v>45472</v>
      </c>
      <c r="AM18" s="6">
        <f ca="1">INDEX(NOTA[TGL.NOTA_H],Sheet1!A:A)</f>
        <v>45469</v>
      </c>
      <c r="AN18" s="7">
        <v>45398</v>
      </c>
      <c r="AO18" t="str">
        <f>IF(INDEX(NOTA[Column10],A:A)="","",INDEX(NOTA[Column10],A:A))</f>
        <v/>
      </c>
      <c r="AP18" t="str">
        <f ca="1">INDEX(NOTA[NO.NOTA_H],Sheet1!A:A)</f>
        <v>03185</v>
      </c>
      <c r="AQ18">
        <f>INDEX(NOTA[Column10],Sheet1!A:A)</f>
        <v>0</v>
      </c>
      <c r="AR18" s="8" t="str">
        <f ca="1">INDEX(NOTA[SUPPLIER_H],Sheet1!A:A)</f>
        <v>PMJP</v>
      </c>
      <c r="AS18" t="str">
        <f>Table17[[#This Row],[NAMA_C]]</f>
        <v>ASAHAN MEJA 009</v>
      </c>
      <c r="AT18" t="str">
        <f ca="1">Table17[[#This Row],[SUPPLIER]]</f>
        <v>PMJP</v>
      </c>
      <c r="AU18" t="str">
        <f>SUBSTITUTE(Table17[[#This Row],[CTN]],",",".")</f>
        <v>2</v>
      </c>
      <c r="AV18" s="13" t="str">
        <f>Table17[[#This Row],[ISI_C]]</f>
        <v>72</v>
      </c>
      <c r="AW18" t="str">
        <f>Table17[[#This Row],[SATUAN_C]]</f>
        <v>PCS</v>
      </c>
      <c r="AX18">
        <f>Table17[[#This Row],[HARGA CONV2]]</f>
        <v>22500</v>
      </c>
      <c r="AY18" s="9" t="str">
        <f>SUBSTITUTE(Table17[[#This Row],[DISC 3]],",",".")</f>
        <v/>
      </c>
      <c r="AZ18" s="6">
        <f ca="1">Table17[[#This Row],[TGL DATANG]]</f>
        <v>45472</v>
      </c>
      <c r="BA18" s="6">
        <f ca="1">Table17[[#This Row],[Column10]]</f>
        <v>45469</v>
      </c>
      <c r="BB18" s="7"/>
      <c r="BC18" t="str">
        <f>Table17[[#This Row],[KETERANGAN CONDRO]]</f>
        <v/>
      </c>
      <c r="BD18" t="str">
        <f ca="1">Table17[[#This Row],[Column6]]</f>
        <v>03185</v>
      </c>
    </row>
    <row r="19" spans="1:56">
      <c r="A19" s="55">
        <v>20</v>
      </c>
      <c r="C19">
        <f>INDEX(NOTA[//DB],Sheet1!A:A)</f>
        <v>2872</v>
      </c>
      <c r="D19">
        <f>_xlfn.IFNA(MATCH(Table17[[#This Row],[//db]],[3]!Table2[\\],0),"")</f>
        <v>232</v>
      </c>
      <c r="E19" t="str">
        <f>INDEX([3]!db[NB NOTA],Table17[[#This Row],[//db]])</f>
        <v>SERUTAN 009</v>
      </c>
      <c r="F19" t="str">
        <f>INDEX([3]!db[NB BM],Table17[[#This Row],[//db]])</f>
        <v>ASAHAN MEJA 009</v>
      </c>
      <c r="G19" t="str">
        <f>IF(Table17[[#This Row],[dbconcat]]="","",INDEX([3]!Table2[NAMA],Table17[[#This Row],[dbconcat]]))</f>
        <v>ASAHAN MEJA 009</v>
      </c>
      <c r="H19" t="str">
        <f>INDEX([3]!Table2[KODE BARANG],Table17[[#This Row],[dbconcat]])</f>
        <v>ASA-NB156</v>
      </c>
      <c r="I19" t="str">
        <f>IF(Table17[[#This Row],[NAMA_3]]="",UPPER(Table17[[#This Row],[NAMA_2]]),Table17[[#This Row],[NAMA_3]])</f>
        <v>ASAHAN MEJA 009</v>
      </c>
      <c r="J19">
        <f>INDEX(NOTA[QTY],Sheet1!A:A)</f>
        <v>73</v>
      </c>
      <c r="K19" t="str">
        <f>INDEX(NOTA[STN],Sheet1!A:A)</f>
        <v>PCS</v>
      </c>
      <c r="L19" t="str">
        <f>INDEX([3]!db[QTY B],Table17[[#This Row],[//db]])</f>
        <v>72</v>
      </c>
      <c r="M19" t="str">
        <f>INDEX([3]!db[STN B],Table17[[#This Row],[//db]])</f>
        <v>PCS</v>
      </c>
      <c r="N19" t="str">
        <f>IF(Table17[[#This Row],[SATUAN NOTA]]=Table17[[#This Row],[SATUAN DB]],"", MATCH(CONCATENATE(Table17[[#This Row],[SATUAN NOTA]],Table17[[#This Row],[SATUAN DB]]),Table2[4],0))</f>
        <v/>
      </c>
      <c r="O19" t="str" cm="1">
        <f t="array" ref="O19">IF(Table17[[#This Row],[//CONV]]="","",INDEX(Table2[3],Table17[[#This Row],[//CONV]]))</f>
        <v/>
      </c>
      <c r="P19" t="str">
        <f>IF(Table17[[#This Row],[//CONV]]="",Table17[[#This Row],[ISI DB]],Table17[[#This Row],[ISI NOTA]]*Table17[[#This Row],[CONV VAR]])</f>
        <v>72</v>
      </c>
      <c r="Q19" t="str" cm="1">
        <f t="array" ref="Q19">IF(Table17[[#This Row],[//CONV]]="",Table17[[#This Row],[SATUAN DB]],INDEX(Table2[2],Table17[[#This Row],[//CONV]]))</f>
        <v>PCS</v>
      </c>
      <c r="R19" cm="1">
        <f t="array" ref="R19">IF(Table17[[#This Row],[dbconcat]]="","",INDEX([3]!Table2[ISI],Table17[[#This Row],[dbconcat]]))</f>
        <v>72</v>
      </c>
      <c r="S19" t="str" cm="1">
        <f t="array" ref="S19">IF(Table17[[#This Row],[dbconcat]]="","",INDEX([3]!Table2[[SATUAN ]],Table17[[#This Row],[dbconcat]]))</f>
        <v>PCS</v>
      </c>
      <c r="T19" t="str">
        <f>IF(Table17[[#This Row],[SATUAN S]]="","",IF(_xlfn.NUMBERVALUE(Table17[[#This Row],[ISI DB]])=_xlfn.NUMBERVALUE(Table17[[#This Row],[ISI S]]),"",1))</f>
        <v/>
      </c>
      <c r="U19" t="str">
        <f>IF(Table17[[#This Row],[SATUAN S]]="","",IF(Table17[[#This Row],[SATUAN DB]]=Table17[[#This Row],[SATUAN S]],"",1))</f>
        <v/>
      </c>
      <c r="V19" t="str">
        <f>IF(Table17[[#This Row],[CEK STN S]]="","",MATCH(CONCATENATE(Table17[[#This Row],[SATUAN CONV]],Table17[[#This Row],[SATUAN S]]),Table2[4],0))</f>
        <v/>
      </c>
      <c r="X19" t="str" cm="1">
        <f t="array" ref="X19">IF(Table17[[#This Row],[CONV2_//]]="","",INDEX(Table2[3],Table17[[#This Row],[CONV2_//]]))</f>
        <v/>
      </c>
      <c r="Y19" s="2" t="str">
        <f>IF(Table17[[#This Row],[CEK ISI S]]="",Table17[[#This Row],[ISI DB]],Table17[[#This Row],[ISI S]])</f>
        <v>72</v>
      </c>
      <c r="Z19" t="str">
        <f>IF(Table17[[#This Row],[CEK STN S]]="",Table17[[#This Row],[SATUAN DB]],Table17[[#This Row],[SATUAN S]])</f>
        <v>PCS</v>
      </c>
      <c r="AA19">
        <f>IF(Table17[[#This Row],[//CONV]]="",Table17[[#This Row],[ISI NOTA]]/Table17[[#This Row],[ISI_C]],Table17[[#This Row],[ISI DB CONV]]/Table17[[#This Row],[ISI_C]])</f>
        <v>1.0138888888888888</v>
      </c>
      <c r="AB19">
        <f>INDEX(NOTA[HARGA SATUAN],Sheet1!A:A)</f>
        <v>22500</v>
      </c>
      <c r="AC19">
        <f>IF(Table17[[#This Row],[//CONV]]="",Table17[[#This Row],[HARGA NOTA]],Table17[[#This Row],[HARGA NOTA]]/Table17[[#This Row],[CONV VAR]])</f>
        <v>22500</v>
      </c>
      <c r="AD19">
        <f>IF(Table17[[#This Row],[CEK STN S]]="",Table17[[#This Row],[HARGA CONV]],Table17[[#This Row],[HARGA CONV]]/Table17[[#This Row],[CONV2 VAR]])</f>
        <v>22500</v>
      </c>
      <c r="AE19" s="3" t="str">
        <f>IF(INDEX(NOTA[Column6],Sheet1!A:A)=0,"",INDEX(NOTA[Column6],Sheet1!A:A))</f>
        <v/>
      </c>
      <c r="AF19" s="3" t="str">
        <f>IF(INDEX(NOTA[Column7],Sheet1!A:A)=0,"",INDEX(NOTA[Column7],Sheet1!A:A))</f>
        <v/>
      </c>
      <c r="AG1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" s="4">
        <f>INDEX(NOTA[HARGA/ CTN_H],Sheet1!A:A)</f>
        <v>1642500</v>
      </c>
      <c r="AI19" s="4">
        <f>IF(Table17[[#This Row],[DISC 3]]="",Table17[[#This Row],[HRG / CTN]],Table17[[#This Row],[HRG / CTN]]-(Table17[[#This Row],[HRG / CTN]]*Table17[[#This Row],[DISC 3]]))</f>
        <v>1642500</v>
      </c>
      <c r="AJ19" s="5" t="e">
        <f>IF(#REF!&lt;1,Table17[[#This Row],[Column9]],Table17[[#This Row],[Column9]]*#REF!)</f>
        <v>#REF!</v>
      </c>
      <c r="AK19" s="4" t="e">
        <f ca="1">IF(NOT(AP20=Table17[[#This Row],[Column6]]),SUMIF(Table17[Column6],Table17[[#This Row],[Column6]],Table17[Column7]),"")</f>
        <v>#REF!</v>
      </c>
      <c r="AL19" s="6">
        <f ca="1">INDEX(NOTA[TGL_H],Sheet1!A:A)</f>
        <v>45472</v>
      </c>
      <c r="AM19" s="6">
        <f ca="1">INDEX(NOTA[TGL.NOTA_H],Sheet1!A:A)</f>
        <v>45469</v>
      </c>
      <c r="AN19" s="7">
        <v>45398</v>
      </c>
      <c r="AO19" t="str">
        <f>IF(INDEX(NOTA[Column10],A:A)="","",INDEX(NOTA[Column10],A:A))</f>
        <v/>
      </c>
      <c r="AP19" t="str">
        <f ca="1">INDEX(NOTA[NO.NOTA_H],Sheet1!A:A)</f>
        <v>03185</v>
      </c>
      <c r="AQ19">
        <f>INDEX(NOTA[Column10],Sheet1!A:A)</f>
        <v>0</v>
      </c>
      <c r="AR19" s="8" t="str">
        <f ca="1">INDEX(NOTA[SUPPLIER_H],Sheet1!A:A)</f>
        <v>PMJP</v>
      </c>
      <c r="AS19" t="str">
        <f>Table17[[#This Row],[NAMA_C]]</f>
        <v>ASAHAN MEJA 009</v>
      </c>
      <c r="AT19" t="str">
        <f ca="1">Table17[[#This Row],[SUPPLIER]]</f>
        <v>PMJP</v>
      </c>
      <c r="AU19" t="str">
        <f>SUBSTITUTE(Table17[[#This Row],[CTN]],",",".")</f>
        <v>1.01388888888889</v>
      </c>
      <c r="AV19" s="13" t="str">
        <f>Table17[[#This Row],[ISI_C]]</f>
        <v>72</v>
      </c>
      <c r="AW19" t="str">
        <f>Table17[[#This Row],[SATUAN_C]]</f>
        <v>PCS</v>
      </c>
      <c r="AX19">
        <f>Table17[[#This Row],[HARGA CONV2]]</f>
        <v>22500</v>
      </c>
      <c r="AY19" s="9" t="str">
        <f>SUBSTITUTE(Table17[[#This Row],[DISC 3]],",",".")</f>
        <v/>
      </c>
      <c r="AZ19" s="6">
        <f ca="1">Table17[[#This Row],[TGL DATANG]]</f>
        <v>45472</v>
      </c>
      <c r="BA19" s="6">
        <f ca="1">Table17[[#This Row],[Column10]]</f>
        <v>45469</v>
      </c>
      <c r="BB19" s="7"/>
      <c r="BC19" t="str">
        <f>Table17[[#This Row],[KETERANGAN CONDRO]]</f>
        <v/>
      </c>
      <c r="BD19" t="str">
        <f ca="1">Table17[[#This Row],[Column6]]</f>
        <v>03185</v>
      </c>
    </row>
    <row r="20" spans="1:56">
      <c r="A20" s="55">
        <v>22</v>
      </c>
      <c r="C20">
        <f>INDEX(NOTA[//DB],Sheet1!A:A)</f>
        <v>2640</v>
      </c>
      <c r="D20">
        <f>_xlfn.IFNA(MATCH(Table17[[#This Row],[//db]],[3]!Table2[\\],0),"")</f>
        <v>2757</v>
      </c>
      <c r="E20" t="str">
        <f>INDEX([3]!db[NB NOTA],Table17[[#This Row],[//db]])</f>
        <v>PENGHAPUS W/B CLEAR KECIL</v>
      </c>
      <c r="F20" t="str">
        <f>INDEX([3]!db[NB BM],Table17[[#This Row],[//db]])</f>
        <v>STIP W/B Clear K</v>
      </c>
      <c r="G20" t="str">
        <f>IF(Table17[[#This Row],[dbconcat]]="","",INDEX([3]!Table2[NAMA],Table17[[#This Row],[dbconcat]]))</f>
        <v>STIP W/B CLEAR K</v>
      </c>
      <c r="H20" t="str">
        <f>INDEX([3]!Table2[KODE BARANG],Table17[[#This Row],[dbconcat]])</f>
        <v>STI-NB9</v>
      </c>
      <c r="I20" t="str">
        <f>IF(Table17[[#This Row],[NAMA_3]]="",UPPER(Table17[[#This Row],[NAMA_2]]),Table17[[#This Row],[NAMA_3]])</f>
        <v>STIP W/B CLEAR K</v>
      </c>
      <c r="J20">
        <f>INDEX(NOTA[QTY],Sheet1!A:A)</f>
        <v>360</v>
      </c>
      <c r="K20" t="str">
        <f>INDEX(NOTA[STN],Sheet1!A:A)</f>
        <v>LSN</v>
      </c>
      <c r="L20" t="str">
        <f>INDEX([3]!db[QTY B],Table17[[#This Row],[//db]])</f>
        <v>60</v>
      </c>
      <c r="M20" t="str">
        <f>INDEX([3]!db[STN B],Table17[[#This Row],[//db]])</f>
        <v>LSN</v>
      </c>
      <c r="N20" t="str">
        <f>IF(Table17[[#This Row],[SATUAN NOTA]]=Table17[[#This Row],[SATUAN DB]],"", MATCH(CONCATENATE(Table17[[#This Row],[SATUAN NOTA]],Table17[[#This Row],[SATUAN DB]]),Table2[4],0))</f>
        <v/>
      </c>
      <c r="O20" t="str" cm="1">
        <f t="array" ref="O20">IF(Table17[[#This Row],[//CONV]]="","",INDEX(Table2[3],Table17[[#This Row],[//CONV]]))</f>
        <v/>
      </c>
      <c r="P20" t="str">
        <f>IF(Table17[[#This Row],[//CONV]]="",Table17[[#This Row],[ISI DB]],Table17[[#This Row],[ISI NOTA]]*Table17[[#This Row],[CONV VAR]])</f>
        <v>60</v>
      </c>
      <c r="Q20" t="str" cm="1">
        <f t="array" ref="Q20">IF(Table17[[#This Row],[//CONV]]="",Table17[[#This Row],[SATUAN DB]],INDEX(Table2[2],Table17[[#This Row],[//CONV]]))</f>
        <v>LSN</v>
      </c>
      <c r="R20" cm="1">
        <f t="array" ref="R20">IF(Table17[[#This Row],[dbconcat]]="","",INDEX([3]!Table2[ISI],Table17[[#This Row],[dbconcat]]))</f>
        <v>60</v>
      </c>
      <c r="S20" t="str" cm="1">
        <f t="array" ref="S20">IF(Table17[[#This Row],[dbconcat]]="","",INDEX([3]!Table2[[SATUAN ]],Table17[[#This Row],[dbconcat]]))</f>
        <v>LSN</v>
      </c>
      <c r="T20" t="str">
        <f>IF(Table17[[#This Row],[SATUAN S]]="","",IF(_xlfn.NUMBERVALUE(Table17[[#This Row],[ISI DB]])=_xlfn.NUMBERVALUE(Table17[[#This Row],[ISI S]]),"",1))</f>
        <v/>
      </c>
      <c r="U20" t="str">
        <f>IF(Table17[[#This Row],[SATUAN S]]="","",IF(Table17[[#This Row],[SATUAN DB]]=Table17[[#This Row],[SATUAN S]],"",1))</f>
        <v/>
      </c>
      <c r="V20" t="str">
        <f>IF(Table17[[#This Row],[CEK STN S]]="","",MATCH(CONCATENATE(Table17[[#This Row],[SATUAN CONV]],Table17[[#This Row],[SATUAN S]]),Table2[4],0))</f>
        <v/>
      </c>
      <c r="X20" t="str" cm="1">
        <f t="array" ref="X20">IF(Table17[[#This Row],[CONV2_//]]="","",INDEX(Table2[3],Table17[[#This Row],[CONV2_//]]))</f>
        <v/>
      </c>
      <c r="Y20" s="2" t="str">
        <f>IF(Table17[[#This Row],[CEK ISI S]]="",Table17[[#This Row],[ISI DB]],Table17[[#This Row],[ISI S]])</f>
        <v>60</v>
      </c>
      <c r="Z20" t="str">
        <f>IF(Table17[[#This Row],[CEK STN S]]="",Table17[[#This Row],[SATUAN DB]],Table17[[#This Row],[SATUAN S]])</f>
        <v>LSN</v>
      </c>
      <c r="AA20">
        <f>IF(Table17[[#This Row],[//CONV]]="",Table17[[#This Row],[ISI NOTA]]/Table17[[#This Row],[ISI_C]],Table17[[#This Row],[ISI DB CONV]]/Table17[[#This Row],[ISI_C]])</f>
        <v>6</v>
      </c>
      <c r="AB20">
        <f>INDEX(NOTA[HARGA SATUAN],Sheet1!A:A)</f>
        <v>26500</v>
      </c>
      <c r="AC20">
        <f>IF(Table17[[#This Row],[//CONV]]="",Table17[[#This Row],[HARGA NOTA]],Table17[[#This Row],[HARGA NOTA]]/Table17[[#This Row],[CONV VAR]])</f>
        <v>26500</v>
      </c>
      <c r="AD20">
        <f>IF(Table17[[#This Row],[CEK STN S]]="",Table17[[#This Row],[HARGA CONV]],Table17[[#This Row],[HARGA CONV]]/Table17[[#This Row],[CONV2 VAR]])</f>
        <v>26500</v>
      </c>
      <c r="AE20" s="3">
        <f>IF(INDEX(NOTA[Column6],Sheet1!A:A)=0,"",INDEX(NOTA[Column6],Sheet1!A:A))</f>
        <v>0.05</v>
      </c>
      <c r="AF20" s="3">
        <f>IF(INDEX(NOTA[Column7],Sheet1!A:A)=0,"",INDEX(NOTA[Column7],Sheet1!A:A))</f>
        <v>0.03</v>
      </c>
      <c r="AG20" s="3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H20" s="4">
        <f>INDEX(NOTA[HARGA/ CTN_H],Sheet1!A:A)</f>
        <v>1590000</v>
      </c>
      <c r="AI20" s="4">
        <f>IF(Table17[[#This Row],[DISC 3]]="",Table17[[#This Row],[HRG / CTN]],Table17[[#This Row],[HRG / CTN]]-(Table17[[#This Row],[HRG / CTN]]*Table17[[#This Row],[DISC 3]]))</f>
        <v>1465185</v>
      </c>
      <c r="AJ20" s="5" t="e">
        <f>IF(#REF!&lt;1,Table17[[#This Row],[Column9]],Table17[[#This Row],[Column9]]*#REF!)</f>
        <v>#REF!</v>
      </c>
      <c r="AK20" s="4" t="str">
        <f ca="1">IF(NOT(AP21=Table17[[#This Row],[Column6]]),SUMIF(Table17[Column6],Table17[[#This Row],[Column6]],Table17[Column7]),"")</f>
        <v/>
      </c>
      <c r="AL20" s="6">
        <f ca="1">INDEX(NOTA[TGL_H],Sheet1!A:A)</f>
        <v>45474</v>
      </c>
      <c r="AM20" s="6">
        <f ca="1">INDEX(NOTA[TGL.NOTA_H],Sheet1!A:A)</f>
        <v>45470</v>
      </c>
      <c r="AO20" t="str">
        <f>IF(INDEX(NOTA[Column10],A:A)="","",INDEX(NOTA[Column10],A:A))</f>
        <v/>
      </c>
      <c r="AP20" t="str">
        <f ca="1">INDEX(NOTA[NO.NOTA_H],Sheet1!A:A)</f>
        <v>01883</v>
      </c>
      <c r="AQ20">
        <f>INDEX(NOTA[Column10],Sheet1!A:A)</f>
        <v>0</v>
      </c>
      <c r="AR20" s="8" t="str">
        <f ca="1">INDEX(NOTA[SUPPLIER_H],Sheet1!A:A)</f>
        <v>PUTRA HARAPAN SUKSES</v>
      </c>
      <c r="AS20" t="str">
        <f>Table17[[#This Row],[NAMA_C]]</f>
        <v>STIP W/B CLEAR K</v>
      </c>
      <c r="AT20" t="str">
        <f ca="1">Table17[[#This Row],[SUPPLIER]]</f>
        <v>PUTRA HARAPAN SUKSES</v>
      </c>
      <c r="AU20" t="str">
        <f>SUBSTITUTE(Table17[[#This Row],[CTN]],",",".")</f>
        <v>6</v>
      </c>
      <c r="AV20" s="13" t="str">
        <f>Table17[[#This Row],[ISI_C]]</f>
        <v>60</v>
      </c>
      <c r="AW20" t="str">
        <f>Table17[[#This Row],[SATUAN_C]]</f>
        <v>LSN</v>
      </c>
      <c r="AX20">
        <f>Table17[[#This Row],[HARGA CONV2]]</f>
        <v>26500</v>
      </c>
      <c r="AY20" s="9" t="str">
        <f>SUBSTITUTE(Table17[[#This Row],[DISC 3]],",",".")</f>
        <v>0.0785</v>
      </c>
      <c r="AZ20" s="6">
        <f ca="1">Table17[[#This Row],[TGL DATANG]]</f>
        <v>45474</v>
      </c>
      <c r="BA20" s="6">
        <f ca="1">Table17[[#This Row],[Column10]]</f>
        <v>45470</v>
      </c>
      <c r="BB20" s="7"/>
      <c r="BC20" t="str">
        <f>Table17[[#This Row],[KETERANGAN CONDRO]]</f>
        <v/>
      </c>
      <c r="BD20" t="str">
        <f ca="1">Table17[[#This Row],[Column6]]</f>
        <v>01883</v>
      </c>
    </row>
    <row r="21" spans="1:56">
      <c r="A21" s="55">
        <v>23</v>
      </c>
      <c r="C21">
        <f>INDEX(NOTA[//DB],Sheet1!A:A)</f>
        <v>2638</v>
      </c>
      <c r="D21">
        <f>_xlfn.IFNA(MATCH(Table17[[#This Row],[//db]],[3]!Table2[\\],0),"")</f>
        <v>2755</v>
      </c>
      <c r="E21" t="str">
        <f>INDEX([3]!db[NB NOTA],Table17[[#This Row],[//db]])</f>
        <v>PENGHAPUS W/B CLEAR BESAR</v>
      </c>
      <c r="F21" t="str">
        <f>INDEX([3]!db[NB BM],Table17[[#This Row],[//db]])</f>
        <v>STIP W/B Clear B</v>
      </c>
      <c r="G21" t="str">
        <f>IF(Table17[[#This Row],[dbconcat]]="","",INDEX([3]!Table2[NAMA],Table17[[#This Row],[dbconcat]]))</f>
        <v>STIP W/B CLEAR B</v>
      </c>
      <c r="H21" t="str">
        <f>INDEX([3]!Table2[KODE BARANG],Table17[[#This Row],[dbconcat]])</f>
        <v>STI-NB8</v>
      </c>
      <c r="I21" t="str">
        <f>IF(Table17[[#This Row],[NAMA_3]]="",UPPER(Table17[[#This Row],[NAMA_2]]),Table17[[#This Row],[NAMA_3]])</f>
        <v>STIP W/B CLEAR B</v>
      </c>
      <c r="J21">
        <f>INDEX(NOTA[QTY],Sheet1!A:A)</f>
        <v>432</v>
      </c>
      <c r="K21" t="str">
        <f>INDEX(NOTA[STN],Sheet1!A:A)</f>
        <v>LSN</v>
      </c>
      <c r="L21" t="str">
        <f>INDEX([3]!db[QTY B],Table17[[#This Row],[//db]])</f>
        <v>48</v>
      </c>
      <c r="M21" t="str">
        <f>INDEX([3]!db[STN B],Table17[[#This Row],[//db]])</f>
        <v>LSN</v>
      </c>
      <c r="N21" t="str">
        <f>IF(Table17[[#This Row],[SATUAN NOTA]]=Table17[[#This Row],[SATUAN DB]],"", MATCH(CONCATENATE(Table17[[#This Row],[SATUAN NOTA]],Table17[[#This Row],[SATUAN DB]]),Table2[4],0))</f>
        <v/>
      </c>
      <c r="O21" t="str" cm="1">
        <f t="array" ref="O21">IF(Table17[[#This Row],[//CONV]]="","",INDEX(Table2[3],Table17[[#This Row],[//CONV]]))</f>
        <v/>
      </c>
      <c r="P21" t="str">
        <f>IF(Table17[[#This Row],[//CONV]]="",Table17[[#This Row],[ISI DB]],Table17[[#This Row],[ISI NOTA]]*Table17[[#This Row],[CONV VAR]])</f>
        <v>48</v>
      </c>
      <c r="Q21" t="str" cm="1">
        <f t="array" ref="Q21">IF(Table17[[#This Row],[//CONV]]="",Table17[[#This Row],[SATUAN DB]],INDEX(Table2[2],Table17[[#This Row],[//CONV]]))</f>
        <v>LSN</v>
      </c>
      <c r="R21" cm="1">
        <f t="array" ref="R21">IF(Table17[[#This Row],[dbconcat]]="","",INDEX([3]!Table2[ISI],Table17[[#This Row],[dbconcat]]))</f>
        <v>48</v>
      </c>
      <c r="S21" t="str" cm="1">
        <f t="array" ref="S21">IF(Table17[[#This Row],[dbconcat]]="","",INDEX([3]!Table2[[SATUAN ]],Table17[[#This Row],[dbconcat]]))</f>
        <v>LSN</v>
      </c>
      <c r="T21" t="str">
        <f>IF(Table17[[#This Row],[SATUAN S]]="","",IF(_xlfn.NUMBERVALUE(Table17[[#This Row],[ISI DB]])=_xlfn.NUMBERVALUE(Table17[[#This Row],[ISI S]]),"",1))</f>
        <v/>
      </c>
      <c r="U21" t="str">
        <f>IF(Table17[[#This Row],[SATUAN S]]="","",IF(Table17[[#This Row],[SATUAN DB]]=Table17[[#This Row],[SATUAN S]],"",1))</f>
        <v/>
      </c>
      <c r="V21" t="str">
        <f>IF(Table17[[#This Row],[CEK STN S]]="","",MATCH(CONCATENATE(Table17[[#This Row],[SATUAN CONV]],Table17[[#This Row],[SATUAN S]]),Table2[4],0))</f>
        <v/>
      </c>
      <c r="X21" t="str" cm="1">
        <f t="array" ref="X21">IF(Table17[[#This Row],[CONV2_//]]="","",INDEX(Table2[3],Table17[[#This Row],[CONV2_//]]))</f>
        <v/>
      </c>
      <c r="Y21" s="2" t="str">
        <f>IF(Table17[[#This Row],[CEK ISI S]]="",Table17[[#This Row],[ISI DB]],Table17[[#This Row],[ISI S]])</f>
        <v>48</v>
      </c>
      <c r="Z21" t="str">
        <f>IF(Table17[[#This Row],[CEK STN S]]="",Table17[[#This Row],[SATUAN DB]],Table17[[#This Row],[SATUAN S]])</f>
        <v>LSN</v>
      </c>
      <c r="AA21">
        <f>IF(Table17[[#This Row],[//CONV]]="",Table17[[#This Row],[ISI NOTA]]/Table17[[#This Row],[ISI_C]],Table17[[#This Row],[ISI DB CONV]]/Table17[[#This Row],[ISI_C]])</f>
        <v>9</v>
      </c>
      <c r="AB21">
        <f>INDEX(NOTA[HARGA SATUAN],Sheet1!A:A)</f>
        <v>38000</v>
      </c>
      <c r="AC21">
        <f>IF(Table17[[#This Row],[//CONV]]="",Table17[[#This Row],[HARGA NOTA]],Table17[[#This Row],[HARGA NOTA]]/Table17[[#This Row],[CONV VAR]])</f>
        <v>38000</v>
      </c>
      <c r="AD21">
        <f>IF(Table17[[#This Row],[CEK STN S]]="",Table17[[#This Row],[HARGA CONV]],Table17[[#This Row],[HARGA CONV]]/Table17[[#This Row],[CONV2 VAR]])</f>
        <v>38000</v>
      </c>
      <c r="AE21" s="3">
        <f>IF(INDEX(NOTA[Column6],Sheet1!A:A)=0,"",INDEX(NOTA[Column6],Sheet1!A:A))</f>
        <v>0.05</v>
      </c>
      <c r="AF21" s="3">
        <f>IF(INDEX(NOTA[Column7],Sheet1!A:A)=0,"",INDEX(NOTA[Column7],Sheet1!A:A))</f>
        <v>0.03</v>
      </c>
      <c r="AG21" s="3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H21" s="4">
        <f>INDEX(NOTA[HARGA/ CTN_H],Sheet1!A:A)</f>
        <v>1824000</v>
      </c>
      <c r="AI21" s="4">
        <f>IF(Table17[[#This Row],[DISC 3]]="",Table17[[#This Row],[HRG / CTN]],Table17[[#This Row],[HRG / CTN]]-(Table17[[#This Row],[HRG / CTN]]*Table17[[#This Row],[DISC 3]]))</f>
        <v>1680816</v>
      </c>
      <c r="AJ21" s="5" t="e">
        <f>IF(#REF!&lt;1,Table17[[#This Row],[Column9]],Table17[[#This Row],[Column9]]*#REF!)</f>
        <v>#REF!</v>
      </c>
      <c r="AK21" s="4" t="e">
        <f ca="1">IF(NOT(AP22=Table17[[#This Row],[Column6]]),SUMIF(Table17[Column6],Table17[[#This Row],[Column6]],Table17[Column7]),"")</f>
        <v>#REF!</v>
      </c>
      <c r="AL21" s="6">
        <f ca="1">INDEX(NOTA[TGL_H],Sheet1!A:A)</f>
        <v>45474</v>
      </c>
      <c r="AM21" s="6">
        <f ca="1">INDEX(NOTA[TGL.NOTA_H],Sheet1!A:A)</f>
        <v>45470</v>
      </c>
      <c r="AO21" t="str">
        <f>IF(INDEX(NOTA[Column10],A:A)="","",INDEX(NOTA[Column10],A:A))</f>
        <v/>
      </c>
      <c r="AP21" t="str">
        <f ca="1">INDEX(NOTA[NO.NOTA_H],Sheet1!A:A)</f>
        <v>01883</v>
      </c>
      <c r="AQ21">
        <f>INDEX(NOTA[Column10],Sheet1!A:A)</f>
        <v>0</v>
      </c>
      <c r="AR21" s="8" t="str">
        <f ca="1">INDEX(NOTA[SUPPLIER_H],Sheet1!A:A)</f>
        <v>PUTRA HARAPAN SUKSES</v>
      </c>
      <c r="AS21" t="str">
        <f>Table17[[#This Row],[NAMA_C]]</f>
        <v>STIP W/B CLEAR B</v>
      </c>
      <c r="AT21" t="str">
        <f ca="1">Table17[[#This Row],[SUPPLIER]]</f>
        <v>PUTRA HARAPAN SUKSES</v>
      </c>
      <c r="AU21" t="str">
        <f>SUBSTITUTE(Table17[[#This Row],[CTN]],",",".")</f>
        <v>9</v>
      </c>
      <c r="AV21" s="13" t="str">
        <f>Table17[[#This Row],[ISI_C]]</f>
        <v>48</v>
      </c>
      <c r="AW21" t="str">
        <f>Table17[[#This Row],[SATUAN_C]]</f>
        <v>LSN</v>
      </c>
      <c r="AX21">
        <f>Table17[[#This Row],[HARGA CONV2]]</f>
        <v>38000</v>
      </c>
      <c r="AY21" s="9" t="str">
        <f>SUBSTITUTE(Table17[[#This Row],[DISC 3]],",",".")</f>
        <v>0.0785</v>
      </c>
      <c r="AZ21" s="6">
        <f ca="1">Table17[[#This Row],[TGL DATANG]]</f>
        <v>45474</v>
      </c>
      <c r="BA21" s="6">
        <f ca="1">Table17[[#This Row],[Column10]]</f>
        <v>45470</v>
      </c>
      <c r="BB21" s="7"/>
      <c r="BC21" t="str">
        <f>Table17[[#This Row],[KETERANGAN CONDRO]]</f>
        <v/>
      </c>
      <c r="BD21" t="str">
        <f ca="1">Table17[[#This Row],[Column6]]</f>
        <v>01883</v>
      </c>
    </row>
    <row r="22" spans="1:56">
      <c r="A22" s="55">
        <v>25</v>
      </c>
      <c r="C22">
        <f>INDEX(NOTA[//DB],Sheet1!A:A)</f>
        <v>1417</v>
      </c>
      <c r="D22">
        <f>_xlfn.IFNA(MATCH(Table17[[#This Row],[//db]],[3]!Table2[\\],0),"")</f>
        <v>1278</v>
      </c>
      <c r="E22" t="str">
        <f>INDEX([3]!db[NB NOTA],Table17[[#This Row],[//db]])</f>
        <v>GUNTING DR6 IDEAL</v>
      </c>
      <c r="F22" t="str">
        <f>INDEX([3]!db[NB BM],Table17[[#This Row],[//db]])</f>
        <v>Gunting Ideal DR6</v>
      </c>
      <c r="G22" t="str">
        <f>IF(Table17[[#This Row],[dbconcat]]="","",INDEX([3]!Table2[NAMA],Table17[[#This Row],[dbconcat]]))</f>
        <v>GUNTING IDEAL DR 6</v>
      </c>
      <c r="H22" t="str">
        <f>INDEX([3]!Table2[KODE BARANG],Table17[[#This Row],[dbconcat]])</f>
        <v>GUN-ID36</v>
      </c>
      <c r="I22" t="str">
        <f>IF(Table17[[#This Row],[NAMA_3]]="",UPPER(Table17[[#This Row],[NAMA_2]]),Table17[[#This Row],[NAMA_3]])</f>
        <v>GUNTING IDEAL DR 6</v>
      </c>
      <c r="J22">
        <f>INDEX(NOTA[QTY],Sheet1!A:A)</f>
        <v>180</v>
      </c>
      <c r="K22" t="str">
        <f>INDEX(NOTA[STN],Sheet1!A:A)</f>
        <v>LSN</v>
      </c>
      <c r="L22" t="str">
        <f>INDEX([3]!db[QTY B],Table17[[#This Row],[//db]])</f>
        <v>60</v>
      </c>
      <c r="M22" t="str">
        <f>INDEX([3]!db[STN B],Table17[[#This Row],[//db]])</f>
        <v>LSN</v>
      </c>
      <c r="N22" t="str">
        <f>IF(Table17[[#This Row],[SATUAN NOTA]]=Table17[[#This Row],[SATUAN DB]],"", MATCH(CONCATENATE(Table17[[#This Row],[SATUAN NOTA]],Table17[[#This Row],[SATUAN DB]]),Table2[4],0))</f>
        <v/>
      </c>
      <c r="O22" t="str" cm="1">
        <f t="array" ref="O22">IF(Table17[[#This Row],[//CONV]]="","",INDEX(Table2[3],Table17[[#This Row],[//CONV]]))</f>
        <v/>
      </c>
      <c r="P22" t="str">
        <f>IF(Table17[[#This Row],[//CONV]]="",Table17[[#This Row],[ISI DB]],Table17[[#This Row],[ISI NOTA]]*Table17[[#This Row],[CONV VAR]])</f>
        <v>60</v>
      </c>
      <c r="Q22" t="str" cm="1">
        <f t="array" ref="Q22">IF(Table17[[#This Row],[//CONV]]="",Table17[[#This Row],[SATUAN DB]],INDEX(Table2[2],Table17[[#This Row],[//CONV]]))</f>
        <v>LSN</v>
      </c>
      <c r="R22" cm="1">
        <f t="array" ref="R22">IF(Table17[[#This Row],[dbconcat]]="","",INDEX([3]!Table2[ISI],Table17[[#This Row],[dbconcat]]))</f>
        <v>60</v>
      </c>
      <c r="S22" t="str" cm="1">
        <f t="array" ref="S22">IF(Table17[[#This Row],[dbconcat]]="","",INDEX([3]!Table2[[SATUAN ]],Table17[[#This Row],[dbconcat]]))</f>
        <v>LSN</v>
      </c>
      <c r="T22" t="str">
        <f>IF(Table17[[#This Row],[SATUAN S]]="","",IF(_xlfn.NUMBERVALUE(Table17[[#This Row],[ISI DB]])=_xlfn.NUMBERVALUE(Table17[[#This Row],[ISI S]]),"",1))</f>
        <v/>
      </c>
      <c r="U22" t="str">
        <f>IF(Table17[[#This Row],[SATUAN S]]="","",IF(Table17[[#This Row],[SATUAN DB]]=Table17[[#This Row],[SATUAN S]],"",1))</f>
        <v/>
      </c>
      <c r="V22" t="str">
        <f>IF(Table17[[#This Row],[CEK STN S]]="","",MATCH(CONCATENATE(Table17[[#This Row],[SATUAN CONV]],Table17[[#This Row],[SATUAN S]]),Table2[4],0))</f>
        <v/>
      </c>
      <c r="X22" t="str" cm="1">
        <f t="array" ref="X22">IF(Table17[[#This Row],[CONV2_//]]="","",INDEX(Table2[3],Table17[[#This Row],[CONV2_//]]))</f>
        <v/>
      </c>
      <c r="Y22" s="2" t="str">
        <f>IF(Table17[[#This Row],[CEK ISI S]]="",Table17[[#This Row],[ISI DB]],Table17[[#This Row],[ISI S]])</f>
        <v>60</v>
      </c>
      <c r="Z22" t="str">
        <f>IF(Table17[[#This Row],[CEK STN S]]="",Table17[[#This Row],[SATUAN DB]],Table17[[#This Row],[SATUAN S]])</f>
        <v>LSN</v>
      </c>
      <c r="AA22">
        <f>IF(Table17[[#This Row],[//CONV]]="",Table17[[#This Row],[ISI NOTA]]/Table17[[#This Row],[ISI_C]],Table17[[#This Row],[ISI DB CONV]]/Table17[[#This Row],[ISI_C]])</f>
        <v>3</v>
      </c>
      <c r="AB22">
        <f>INDEX(NOTA[HARGA SATUAN],Sheet1!A:A)</f>
        <v>61000</v>
      </c>
      <c r="AC22">
        <f>IF(Table17[[#This Row],[//CONV]]="",Table17[[#This Row],[HARGA NOTA]],Table17[[#This Row],[HARGA NOTA]]/Table17[[#This Row],[CONV VAR]])</f>
        <v>61000</v>
      </c>
      <c r="AD22">
        <f>IF(Table17[[#This Row],[CEK STN S]]="",Table17[[#This Row],[HARGA CONV]],Table17[[#This Row],[HARGA CONV]]/Table17[[#This Row],[CONV2 VAR]])</f>
        <v>61000</v>
      </c>
      <c r="AE22" s="3">
        <f>IF(INDEX(NOTA[Column6],Sheet1!A:A)=0,"",INDEX(NOTA[Column6],Sheet1!A:A))</f>
        <v>0.19</v>
      </c>
      <c r="AF22" s="3">
        <f>IF(INDEX(NOTA[Column7],Sheet1!A:A)=0,"",INDEX(NOTA[Column7],Sheet1!A:A))</f>
        <v>0.1</v>
      </c>
      <c r="AG22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2" s="4">
        <f>INDEX(NOTA[HARGA/ CTN_H],Sheet1!A:A)</f>
        <v>3660000</v>
      </c>
      <c r="AI22" s="4">
        <f>IF(Table17[[#This Row],[DISC 3]]="",Table17[[#This Row],[HRG / CTN]],Table17[[#This Row],[HRG / CTN]]-(Table17[[#This Row],[HRG / CTN]]*Table17[[#This Row],[DISC 3]]))</f>
        <v>2668140</v>
      </c>
      <c r="AJ22" s="5" t="e">
        <f>IF(#REF!&lt;1,Table17[[#This Row],[Column9]],Table17[[#This Row],[Column9]]*#REF!)</f>
        <v>#REF!</v>
      </c>
      <c r="AK22" s="4" t="str">
        <f ca="1">IF(NOT(AP23=Table17[[#This Row],[Column6]]),SUMIF(Table17[Column6],Table17[[#This Row],[Column6]],Table17[Column7]),"")</f>
        <v/>
      </c>
      <c r="AL22" s="6">
        <f ca="1">INDEX(NOTA[TGL_H],Sheet1!A:A)</f>
        <v>45474</v>
      </c>
      <c r="AM22" s="6">
        <f ca="1">INDEX(NOTA[TGL.NOTA_H],Sheet1!A:A)</f>
        <v>45472</v>
      </c>
      <c r="AO22" t="str">
        <f>IF(INDEX(NOTA[Column10],A:A)="","",INDEX(NOTA[Column10],A:A))</f>
        <v/>
      </c>
      <c r="AP22" t="str">
        <f ca="1">INDEX(NOTA[NO.NOTA_H],Sheet1!A:A)</f>
        <v>2406099</v>
      </c>
      <c r="AQ22">
        <f>INDEX(NOTA[Column10],Sheet1!A:A)</f>
        <v>0</v>
      </c>
      <c r="AR22" s="8" t="str">
        <f ca="1">INDEX(NOTA[SUPPLIER_H],Sheet1!A:A)</f>
        <v>D-R</v>
      </c>
      <c r="AS22" t="str">
        <f>Table17[[#This Row],[NAMA_C]]</f>
        <v>GUNTING IDEAL DR 6</v>
      </c>
      <c r="AT22" t="str">
        <f ca="1">Table17[[#This Row],[SUPPLIER]]</f>
        <v>D-R</v>
      </c>
      <c r="AU22" t="str">
        <f>SUBSTITUTE(Table17[[#This Row],[CTN]],",",".")</f>
        <v>3</v>
      </c>
      <c r="AV22" s="13" t="str">
        <f>Table17[[#This Row],[ISI_C]]</f>
        <v>60</v>
      </c>
      <c r="AW22" t="str">
        <f>Table17[[#This Row],[SATUAN_C]]</f>
        <v>LSN</v>
      </c>
      <c r="AX22">
        <f>Table17[[#This Row],[HARGA CONV2]]</f>
        <v>61000</v>
      </c>
      <c r="AY22" s="9" t="str">
        <f>SUBSTITUTE(Table17[[#This Row],[DISC 3]],",",".")</f>
        <v>0.271</v>
      </c>
      <c r="AZ22" s="6">
        <f ca="1">Table17[[#This Row],[TGL DATANG]]</f>
        <v>45474</v>
      </c>
      <c r="BA22" s="6">
        <f ca="1">Table17[[#This Row],[Column10]]</f>
        <v>45472</v>
      </c>
      <c r="BB22" s="7"/>
      <c r="BC22" t="str">
        <f>Table17[[#This Row],[KETERANGAN CONDRO]]</f>
        <v/>
      </c>
      <c r="BD22" t="str">
        <f ca="1">Table17[[#This Row],[Column6]]</f>
        <v>2406099</v>
      </c>
    </row>
    <row r="23" spans="1:56">
      <c r="A23" s="55">
        <v>26</v>
      </c>
      <c r="C23">
        <f>INDEX(NOTA[//DB],Sheet1!A:A)</f>
        <v>1418</v>
      </c>
      <c r="D23">
        <f>_xlfn.IFNA(MATCH(Table17[[#This Row],[//db]],[3]!Table2[\\],0),"")</f>
        <v>1280</v>
      </c>
      <c r="E23" t="str">
        <f>INDEX([3]!db[NB NOTA],Table17[[#This Row],[//db]])</f>
        <v>GUNTING DR8 IDEAL</v>
      </c>
      <c r="F23" t="str">
        <f>INDEX([3]!db[NB BM],Table17[[#This Row],[//db]])</f>
        <v>Gunting Ideal DR8</v>
      </c>
      <c r="G23" t="str">
        <f>IF(Table17[[#This Row],[dbconcat]]="","",INDEX([3]!Table2[NAMA],Table17[[#This Row],[dbconcat]]))</f>
        <v>GUNTING IDEAL DR 8</v>
      </c>
      <c r="H23" t="str">
        <f>INDEX([3]!Table2[KODE BARANG],Table17[[#This Row],[dbconcat]])</f>
        <v>GUN-ID38</v>
      </c>
      <c r="I23" t="str">
        <f>IF(Table17[[#This Row],[NAMA_3]]="",UPPER(Table17[[#This Row],[NAMA_2]]),Table17[[#This Row],[NAMA_3]])</f>
        <v>GUNTING IDEAL DR 8</v>
      </c>
      <c r="J23">
        <f>INDEX(NOTA[QTY],Sheet1!A:A)</f>
        <v>60</v>
      </c>
      <c r="K23" t="str">
        <f>INDEX(NOTA[STN],Sheet1!A:A)</f>
        <v>LSN</v>
      </c>
      <c r="L23" t="str">
        <f>INDEX([3]!db[QTY B],Table17[[#This Row],[//db]])</f>
        <v>30</v>
      </c>
      <c r="M23" t="str">
        <f>INDEX([3]!db[STN B],Table17[[#This Row],[//db]])</f>
        <v>LSN</v>
      </c>
      <c r="N23" t="str">
        <f>IF(Table17[[#This Row],[SATUAN NOTA]]=Table17[[#This Row],[SATUAN DB]],"", MATCH(CONCATENATE(Table17[[#This Row],[SATUAN NOTA]],Table17[[#This Row],[SATUAN DB]]),Table2[4],0))</f>
        <v/>
      </c>
      <c r="O23" t="str" cm="1">
        <f t="array" ref="O23">IF(Table17[[#This Row],[//CONV]]="","",INDEX(Table2[3],Table17[[#This Row],[//CONV]]))</f>
        <v/>
      </c>
      <c r="P23" t="str">
        <f>IF(Table17[[#This Row],[//CONV]]="",Table17[[#This Row],[ISI DB]],Table17[[#This Row],[ISI NOTA]]*Table17[[#This Row],[CONV VAR]])</f>
        <v>30</v>
      </c>
      <c r="Q23" t="str" cm="1">
        <f t="array" ref="Q23">IF(Table17[[#This Row],[//CONV]]="",Table17[[#This Row],[SATUAN DB]],INDEX(Table2[2],Table17[[#This Row],[//CONV]]))</f>
        <v>LSN</v>
      </c>
      <c r="R23" cm="1">
        <f t="array" ref="R23">IF(Table17[[#This Row],[dbconcat]]="","",INDEX([3]!Table2[ISI],Table17[[#This Row],[dbconcat]]))</f>
        <v>30</v>
      </c>
      <c r="S23" t="str" cm="1">
        <f t="array" ref="S23">IF(Table17[[#This Row],[dbconcat]]="","",INDEX([3]!Table2[[SATUAN ]],Table17[[#This Row],[dbconcat]]))</f>
        <v>LSN</v>
      </c>
      <c r="T23" t="str">
        <f>IF(Table17[[#This Row],[SATUAN S]]="","",IF(_xlfn.NUMBERVALUE(Table17[[#This Row],[ISI DB]])=_xlfn.NUMBERVALUE(Table17[[#This Row],[ISI S]]),"",1))</f>
        <v/>
      </c>
      <c r="U23" t="str">
        <f>IF(Table17[[#This Row],[SATUAN S]]="","",IF(Table17[[#This Row],[SATUAN DB]]=Table17[[#This Row],[SATUAN S]],"",1))</f>
        <v/>
      </c>
      <c r="V23" t="str">
        <f>IF(Table17[[#This Row],[CEK STN S]]="","",MATCH(CONCATENATE(Table17[[#This Row],[SATUAN CONV]],Table17[[#This Row],[SATUAN S]]),Table2[4],0))</f>
        <v/>
      </c>
      <c r="X23" t="str" cm="1">
        <f t="array" ref="X23">IF(Table17[[#This Row],[CONV2_//]]="","",INDEX(Table2[3],Table17[[#This Row],[CONV2_//]]))</f>
        <v/>
      </c>
      <c r="Y23" s="2" t="str">
        <f>IF(Table17[[#This Row],[CEK ISI S]]="",Table17[[#This Row],[ISI DB]],Table17[[#This Row],[ISI S]])</f>
        <v>30</v>
      </c>
      <c r="Z23" t="str">
        <f>IF(Table17[[#This Row],[CEK STN S]]="",Table17[[#This Row],[SATUAN DB]],Table17[[#This Row],[SATUAN S]])</f>
        <v>LSN</v>
      </c>
      <c r="AA23">
        <f>IF(Table17[[#This Row],[//CONV]]="",Table17[[#This Row],[ISI NOTA]]/Table17[[#This Row],[ISI_C]],Table17[[#This Row],[ISI DB CONV]]/Table17[[#This Row],[ISI_C]])</f>
        <v>2</v>
      </c>
      <c r="AB23">
        <f>INDEX(NOTA[HARGA SATUAN],Sheet1!A:A)</f>
        <v>109000</v>
      </c>
      <c r="AC23">
        <f>IF(Table17[[#This Row],[//CONV]]="",Table17[[#This Row],[HARGA NOTA]],Table17[[#This Row],[HARGA NOTA]]/Table17[[#This Row],[CONV VAR]])</f>
        <v>109000</v>
      </c>
      <c r="AD23">
        <f>IF(Table17[[#This Row],[CEK STN S]]="",Table17[[#This Row],[HARGA CONV]],Table17[[#This Row],[HARGA CONV]]/Table17[[#This Row],[CONV2 VAR]])</f>
        <v>109000</v>
      </c>
      <c r="AE23" s="3">
        <f>IF(INDEX(NOTA[Column6],Sheet1!A:A)=0,"",INDEX(NOTA[Column6],Sheet1!A:A))</f>
        <v>0.19</v>
      </c>
      <c r="AF23" s="3">
        <f>IF(INDEX(NOTA[Column7],Sheet1!A:A)=0,"",INDEX(NOTA[Column7],Sheet1!A:A))</f>
        <v>0.1</v>
      </c>
      <c r="AG23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3" s="4">
        <f>INDEX(NOTA[HARGA/ CTN_H],Sheet1!A:A)</f>
        <v>3270000</v>
      </c>
      <c r="AI23" s="4">
        <f>IF(Table17[[#This Row],[DISC 3]]="",Table17[[#This Row],[HRG / CTN]],Table17[[#This Row],[HRG / CTN]]-(Table17[[#This Row],[HRG / CTN]]*Table17[[#This Row],[DISC 3]]))</f>
        <v>2383830</v>
      </c>
      <c r="AJ23" s="5" t="e">
        <f>IF(#REF!&lt;1,Table17[[#This Row],[Column9]],Table17[[#This Row],[Column9]]*#REF!)</f>
        <v>#REF!</v>
      </c>
      <c r="AK23" s="4" t="str">
        <f ca="1">IF(NOT(AP24=Table17[[#This Row],[Column6]]),SUMIF(Table17[Column6],Table17[[#This Row],[Column6]],Table17[Column7]),"")</f>
        <v/>
      </c>
      <c r="AL23" s="6">
        <f ca="1">INDEX(NOTA[TGL_H],Sheet1!A:A)</f>
        <v>45474</v>
      </c>
      <c r="AM23" s="6">
        <f ca="1">INDEX(NOTA[TGL.NOTA_H],Sheet1!A:A)</f>
        <v>45472</v>
      </c>
      <c r="AO23" t="str">
        <f>IF(INDEX(NOTA[Column10],A:A)="","",INDEX(NOTA[Column10],A:A))</f>
        <v/>
      </c>
      <c r="AP23" t="str">
        <f ca="1">INDEX(NOTA[NO.NOTA_H],Sheet1!A:A)</f>
        <v>2406099</v>
      </c>
      <c r="AQ23">
        <f>INDEX(NOTA[Column10],Sheet1!A:A)</f>
        <v>0</v>
      </c>
      <c r="AR23" s="8" t="str">
        <f ca="1">INDEX(NOTA[SUPPLIER_H],Sheet1!A:A)</f>
        <v>D-R</v>
      </c>
      <c r="AS23" t="str">
        <f>Table17[[#This Row],[NAMA_C]]</f>
        <v>GUNTING IDEAL DR 8</v>
      </c>
      <c r="AT23" t="str">
        <f ca="1">Table17[[#This Row],[SUPPLIER]]</f>
        <v>D-R</v>
      </c>
      <c r="AU23" t="str">
        <f>SUBSTITUTE(Table17[[#This Row],[CTN]],",",".")</f>
        <v>2</v>
      </c>
      <c r="AV23" s="13" t="str">
        <f>Table17[[#This Row],[ISI_C]]</f>
        <v>30</v>
      </c>
      <c r="AW23" t="str">
        <f>Table17[[#This Row],[SATUAN_C]]</f>
        <v>LSN</v>
      </c>
      <c r="AX23">
        <f>Table17[[#This Row],[HARGA CONV2]]</f>
        <v>109000</v>
      </c>
      <c r="AY23" s="9" t="str">
        <f>SUBSTITUTE(Table17[[#This Row],[DISC 3]],",",".")</f>
        <v>0.271</v>
      </c>
      <c r="AZ23" s="6">
        <f ca="1">Table17[[#This Row],[TGL DATANG]]</f>
        <v>45474</v>
      </c>
      <c r="BA23" s="6">
        <f ca="1">Table17[[#This Row],[Column10]]</f>
        <v>45472</v>
      </c>
      <c r="BB23" s="7"/>
      <c r="BC23" t="str">
        <f>Table17[[#This Row],[KETERANGAN CONDRO]]</f>
        <v/>
      </c>
      <c r="BD23" t="str">
        <f ca="1">Table17[[#This Row],[Column6]]</f>
        <v>2406099</v>
      </c>
    </row>
    <row r="24" spans="1:56">
      <c r="A24" s="55">
        <v>27</v>
      </c>
      <c r="C24">
        <f>INDEX(NOTA[//DB],Sheet1!A:A)</f>
        <v>1419</v>
      </c>
      <c r="D24">
        <f>_xlfn.IFNA(MATCH(Table17[[#This Row],[//db]],[3]!Table2[\\],0),"")</f>
        <v>1281</v>
      </c>
      <c r="E24" t="str">
        <f>INDEX([3]!db[NB NOTA],Table17[[#This Row],[//db]])</f>
        <v>GUNTING DR9 IDEAL</v>
      </c>
      <c r="F24" t="str">
        <f>INDEX([3]!db[NB BM],Table17[[#This Row],[//db]])</f>
        <v>Gunting Ideal DR9</v>
      </c>
      <c r="G24" t="str">
        <f>IF(Table17[[#This Row],[dbconcat]]="","",INDEX([3]!Table2[NAMA],Table17[[#This Row],[dbconcat]]))</f>
        <v>GUNTING IDEAL DR 9</v>
      </c>
      <c r="H24" t="str">
        <f>INDEX([3]!Table2[KODE BARANG],Table17[[#This Row],[dbconcat]])</f>
        <v>GUN-ID39</v>
      </c>
      <c r="I24" t="str">
        <f>IF(Table17[[#This Row],[NAMA_3]]="",UPPER(Table17[[#This Row],[NAMA_2]]),Table17[[#This Row],[NAMA_3]])</f>
        <v>GUNTING IDEAL DR 9</v>
      </c>
      <c r="J24">
        <f>INDEX(NOTA[QTY],Sheet1!A:A)</f>
        <v>60</v>
      </c>
      <c r="K24" t="str">
        <f>INDEX(NOTA[STN],Sheet1!A:A)</f>
        <v>LSN</v>
      </c>
      <c r="L24" t="str">
        <f>INDEX([3]!db[QTY B],Table17[[#This Row],[//db]])</f>
        <v>30</v>
      </c>
      <c r="M24" t="str">
        <f>INDEX([3]!db[STN B],Table17[[#This Row],[//db]])</f>
        <v>LSN</v>
      </c>
      <c r="N24" t="str">
        <f>IF(Table17[[#This Row],[SATUAN NOTA]]=Table17[[#This Row],[SATUAN DB]],"", MATCH(CONCATENATE(Table17[[#This Row],[SATUAN NOTA]],Table17[[#This Row],[SATUAN DB]]),Table2[4],0))</f>
        <v/>
      </c>
      <c r="O24" t="str" cm="1">
        <f t="array" ref="O24">IF(Table17[[#This Row],[//CONV]]="","",INDEX(Table2[3],Table17[[#This Row],[//CONV]]))</f>
        <v/>
      </c>
      <c r="P24" t="str">
        <f>IF(Table17[[#This Row],[//CONV]]="",Table17[[#This Row],[ISI DB]],Table17[[#This Row],[ISI NOTA]]*Table17[[#This Row],[CONV VAR]])</f>
        <v>30</v>
      </c>
      <c r="Q24" t="str" cm="1">
        <f t="array" ref="Q24">IF(Table17[[#This Row],[//CONV]]="",Table17[[#This Row],[SATUAN DB]],INDEX(Table2[2],Table17[[#This Row],[//CONV]]))</f>
        <v>LSN</v>
      </c>
      <c r="R24" cm="1">
        <f t="array" ref="R24">IF(Table17[[#This Row],[dbconcat]]="","",INDEX([3]!Table2[ISI],Table17[[#This Row],[dbconcat]]))</f>
        <v>30</v>
      </c>
      <c r="S24" t="str" cm="1">
        <f t="array" ref="S24">IF(Table17[[#This Row],[dbconcat]]="","",INDEX([3]!Table2[[SATUAN ]],Table17[[#This Row],[dbconcat]]))</f>
        <v>LSN</v>
      </c>
      <c r="T24" t="str">
        <f>IF(Table17[[#This Row],[SATUAN S]]="","",IF(_xlfn.NUMBERVALUE(Table17[[#This Row],[ISI DB]])=_xlfn.NUMBERVALUE(Table17[[#This Row],[ISI S]]),"",1))</f>
        <v/>
      </c>
      <c r="U24" t="str">
        <f>IF(Table17[[#This Row],[SATUAN S]]="","",IF(Table17[[#This Row],[SATUAN DB]]=Table17[[#This Row],[SATUAN S]],"",1))</f>
        <v/>
      </c>
      <c r="V24" t="str">
        <f>IF(Table17[[#This Row],[CEK STN S]]="","",MATCH(CONCATENATE(Table17[[#This Row],[SATUAN CONV]],Table17[[#This Row],[SATUAN S]]),Table2[4],0))</f>
        <v/>
      </c>
      <c r="X24" t="str" cm="1">
        <f t="array" ref="X24">IF(Table17[[#This Row],[CONV2_//]]="","",INDEX(Table2[3],Table17[[#This Row],[CONV2_//]]))</f>
        <v/>
      </c>
      <c r="Y24" s="2" t="str">
        <f>IF(Table17[[#This Row],[CEK ISI S]]="",Table17[[#This Row],[ISI DB]],Table17[[#This Row],[ISI S]])</f>
        <v>30</v>
      </c>
      <c r="Z24" t="str">
        <f>IF(Table17[[#This Row],[CEK STN S]]="",Table17[[#This Row],[SATUAN DB]],Table17[[#This Row],[SATUAN S]])</f>
        <v>LSN</v>
      </c>
      <c r="AA24">
        <f>IF(Table17[[#This Row],[//CONV]]="",Table17[[#This Row],[ISI NOTA]]/Table17[[#This Row],[ISI_C]],Table17[[#This Row],[ISI DB CONV]]/Table17[[#This Row],[ISI_C]])</f>
        <v>2</v>
      </c>
      <c r="AB24">
        <f>INDEX(NOTA[HARGA SATUAN],Sheet1!A:A)</f>
        <v>116000</v>
      </c>
      <c r="AC24">
        <f>IF(Table17[[#This Row],[//CONV]]="",Table17[[#This Row],[HARGA NOTA]],Table17[[#This Row],[HARGA NOTA]]/Table17[[#This Row],[CONV VAR]])</f>
        <v>116000</v>
      </c>
      <c r="AD24">
        <f>IF(Table17[[#This Row],[CEK STN S]]="",Table17[[#This Row],[HARGA CONV]],Table17[[#This Row],[HARGA CONV]]/Table17[[#This Row],[CONV2 VAR]])</f>
        <v>116000</v>
      </c>
      <c r="AE24" s="3">
        <f>IF(INDEX(NOTA[Column6],Sheet1!A:A)=0,"",INDEX(NOTA[Column6],Sheet1!A:A))</f>
        <v>0.19</v>
      </c>
      <c r="AF24" s="3">
        <f>IF(INDEX(NOTA[Column7],Sheet1!A:A)=0,"",INDEX(NOTA[Column7],Sheet1!A:A))</f>
        <v>0.1</v>
      </c>
      <c r="AG24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4" s="4">
        <f>INDEX(NOTA[HARGA/ CTN_H],Sheet1!A:A)</f>
        <v>3480000</v>
      </c>
      <c r="AI24" s="4">
        <f>IF(Table17[[#This Row],[DISC 3]]="",Table17[[#This Row],[HRG / CTN]],Table17[[#This Row],[HRG / CTN]]-(Table17[[#This Row],[HRG / CTN]]*Table17[[#This Row],[DISC 3]]))</f>
        <v>2536920</v>
      </c>
      <c r="AJ24" s="5" t="e">
        <f>IF(#REF!&lt;1,Table17[[#This Row],[Column9]],Table17[[#This Row],[Column9]]*#REF!)</f>
        <v>#REF!</v>
      </c>
      <c r="AK24" s="4" t="str">
        <f ca="1">IF(NOT(AP25=Table17[[#This Row],[Column6]]),SUMIF(Table17[Column6],Table17[[#This Row],[Column6]],Table17[Column7]),"")</f>
        <v/>
      </c>
      <c r="AL24" s="6">
        <f ca="1">INDEX(NOTA[TGL_H],Sheet1!A:A)</f>
        <v>45474</v>
      </c>
      <c r="AM24" s="6">
        <f ca="1">INDEX(NOTA[TGL.NOTA_H],Sheet1!A:A)</f>
        <v>45472</v>
      </c>
      <c r="AO24" t="str">
        <f>IF(INDEX(NOTA[Column10],A:A)="","",INDEX(NOTA[Column10],A:A))</f>
        <v/>
      </c>
      <c r="AP24" t="str">
        <f ca="1">INDEX(NOTA[NO.NOTA_H],Sheet1!A:A)</f>
        <v>2406099</v>
      </c>
      <c r="AQ24">
        <f>INDEX(NOTA[Column10],Sheet1!A:A)</f>
        <v>0</v>
      </c>
      <c r="AR24" s="8" t="str">
        <f ca="1">INDEX(NOTA[SUPPLIER_H],Sheet1!A:A)</f>
        <v>D-R</v>
      </c>
      <c r="AS24" t="str">
        <f>Table17[[#This Row],[NAMA_C]]</f>
        <v>GUNTING IDEAL DR 9</v>
      </c>
      <c r="AT24" t="str">
        <f ca="1">Table17[[#This Row],[SUPPLIER]]</f>
        <v>D-R</v>
      </c>
      <c r="AU24" t="str">
        <f>SUBSTITUTE(Table17[[#This Row],[CTN]],",",".")</f>
        <v>2</v>
      </c>
      <c r="AV24" s="13" t="str">
        <f>Table17[[#This Row],[ISI_C]]</f>
        <v>30</v>
      </c>
      <c r="AW24" t="str">
        <f>Table17[[#This Row],[SATUAN_C]]</f>
        <v>LSN</v>
      </c>
      <c r="AX24">
        <f>Table17[[#This Row],[HARGA CONV2]]</f>
        <v>116000</v>
      </c>
      <c r="AY24" s="9" t="str">
        <f>SUBSTITUTE(Table17[[#This Row],[DISC 3]],",",".")</f>
        <v>0.271</v>
      </c>
      <c r="AZ24" s="6">
        <f ca="1">Table17[[#This Row],[TGL DATANG]]</f>
        <v>45474</v>
      </c>
      <c r="BA24" s="6">
        <f ca="1">Table17[[#This Row],[Column10]]</f>
        <v>45472</v>
      </c>
      <c r="BB24" s="7"/>
      <c r="BC24" t="str">
        <f>Table17[[#This Row],[KETERANGAN CONDRO]]</f>
        <v/>
      </c>
      <c r="BD24" t="str">
        <f ca="1">Table17[[#This Row],[Column6]]</f>
        <v>2406099</v>
      </c>
    </row>
    <row r="25" spans="1:56">
      <c r="A25" s="55">
        <v>28</v>
      </c>
      <c r="C25">
        <f>INDEX(NOTA[//DB],Sheet1!A:A)</f>
        <v>1423</v>
      </c>
      <c r="D25">
        <f>_xlfn.IFNA(MATCH(Table17[[#This Row],[//db]],[3]!Table2[\\],0),"")</f>
        <v>1294</v>
      </c>
      <c r="E25" t="str">
        <f>INDEX([3]!db[NB NOTA],Table17[[#This Row],[//db]])</f>
        <v>GUNTING JUNIOR J200 JUNIOR</v>
      </c>
      <c r="F25" t="str">
        <f>INDEX([3]!db[NB BM],Table17[[#This Row],[//db]])</f>
        <v>Gunting Junior J200</v>
      </c>
      <c r="G25" t="str">
        <f>IF(Table17[[#This Row],[dbconcat]]="","",INDEX([3]!Table2[NAMA],Table17[[#This Row],[dbconcat]]))</f>
        <v>GUNTING JUNIOR J 200</v>
      </c>
      <c r="H25" t="str">
        <f>INDEX([3]!Table2[KODE BARANG],Table17[[#This Row],[dbconcat]])</f>
        <v>GUN-JN52</v>
      </c>
      <c r="I25" t="str">
        <f>IF(Table17[[#This Row],[NAMA_3]]="",UPPER(Table17[[#This Row],[NAMA_2]]),Table17[[#This Row],[NAMA_3]])</f>
        <v>GUNTING JUNIOR J 200</v>
      </c>
      <c r="J25">
        <f>INDEX(NOTA[QTY],Sheet1!A:A)</f>
        <v>144</v>
      </c>
      <c r="K25" t="str">
        <f>INDEX(NOTA[STN],Sheet1!A:A)</f>
        <v>LSN</v>
      </c>
      <c r="L25" t="str">
        <f>INDEX([3]!db[QTY B],Table17[[#This Row],[//db]])</f>
        <v>48</v>
      </c>
      <c r="M25" t="str">
        <f>INDEX([3]!db[STN B],Table17[[#This Row],[//db]])</f>
        <v>LSN</v>
      </c>
      <c r="N25" t="str">
        <f>IF(Table17[[#This Row],[SATUAN NOTA]]=Table17[[#This Row],[SATUAN DB]],"", MATCH(CONCATENATE(Table17[[#This Row],[SATUAN NOTA]],Table17[[#This Row],[SATUAN DB]]),Table2[4],0))</f>
        <v/>
      </c>
      <c r="O25" t="str" cm="1">
        <f t="array" ref="O25">IF(Table17[[#This Row],[//CONV]]="","",INDEX(Table2[3],Table17[[#This Row],[//CONV]]))</f>
        <v/>
      </c>
      <c r="P25" t="str">
        <f>IF(Table17[[#This Row],[//CONV]]="",Table17[[#This Row],[ISI DB]],Table17[[#This Row],[ISI NOTA]]*Table17[[#This Row],[CONV VAR]])</f>
        <v>48</v>
      </c>
      <c r="Q25" t="str" cm="1">
        <f t="array" ref="Q25">IF(Table17[[#This Row],[//CONV]]="",Table17[[#This Row],[SATUAN DB]],INDEX(Table2[2],Table17[[#This Row],[//CONV]]))</f>
        <v>LSN</v>
      </c>
      <c r="R25" cm="1">
        <f t="array" ref="R25">IF(Table17[[#This Row],[dbconcat]]="","",INDEX([3]!Table2[ISI],Table17[[#This Row],[dbconcat]]))</f>
        <v>48</v>
      </c>
      <c r="S25" t="str" cm="1">
        <f t="array" ref="S25">IF(Table17[[#This Row],[dbconcat]]="","",INDEX([3]!Table2[[SATUAN ]],Table17[[#This Row],[dbconcat]]))</f>
        <v>LSN</v>
      </c>
      <c r="T25" t="str">
        <f>IF(Table17[[#This Row],[SATUAN S]]="","",IF(_xlfn.NUMBERVALUE(Table17[[#This Row],[ISI DB]])=_xlfn.NUMBERVALUE(Table17[[#This Row],[ISI S]]),"",1))</f>
        <v/>
      </c>
      <c r="U25" t="str">
        <f>IF(Table17[[#This Row],[SATUAN S]]="","",IF(Table17[[#This Row],[SATUAN DB]]=Table17[[#This Row],[SATUAN S]],"",1))</f>
        <v/>
      </c>
      <c r="V25" t="str">
        <f>IF(Table17[[#This Row],[CEK STN S]]="","",MATCH(CONCATENATE(Table17[[#This Row],[SATUAN CONV]],Table17[[#This Row],[SATUAN S]]),Table2[4],0))</f>
        <v/>
      </c>
      <c r="X25" t="str" cm="1">
        <f t="array" ref="X25">IF(Table17[[#This Row],[CONV2_//]]="","",INDEX(Table2[3],Table17[[#This Row],[CONV2_//]]))</f>
        <v/>
      </c>
      <c r="Y25" s="2" t="str">
        <f>IF(Table17[[#This Row],[CEK ISI S]]="",Table17[[#This Row],[ISI DB]],Table17[[#This Row],[ISI S]])</f>
        <v>48</v>
      </c>
      <c r="Z25" t="str">
        <f>IF(Table17[[#This Row],[CEK STN S]]="",Table17[[#This Row],[SATUAN DB]],Table17[[#This Row],[SATUAN S]])</f>
        <v>LSN</v>
      </c>
      <c r="AA25">
        <f>IF(Table17[[#This Row],[//CONV]]="",Table17[[#This Row],[ISI NOTA]]/Table17[[#This Row],[ISI_C]],Table17[[#This Row],[ISI DB CONV]]/Table17[[#This Row],[ISI_C]])</f>
        <v>3</v>
      </c>
      <c r="AB25">
        <f>INDEX(NOTA[HARGA SATUAN],Sheet1!A:A)</f>
        <v>38000</v>
      </c>
      <c r="AC25">
        <f>IF(Table17[[#This Row],[//CONV]]="",Table17[[#This Row],[HARGA NOTA]],Table17[[#This Row],[HARGA NOTA]]/Table17[[#This Row],[CONV VAR]])</f>
        <v>38000</v>
      </c>
      <c r="AD25">
        <f>IF(Table17[[#This Row],[CEK STN S]]="",Table17[[#This Row],[HARGA CONV]],Table17[[#This Row],[HARGA CONV]]/Table17[[#This Row],[CONV2 VAR]])</f>
        <v>38000</v>
      </c>
      <c r="AE25" s="3">
        <f>IF(INDEX(NOTA[Column6],Sheet1!A:A)=0,"",INDEX(NOTA[Column6],Sheet1!A:A))</f>
        <v>0.19</v>
      </c>
      <c r="AF25" s="3">
        <f>IF(INDEX(NOTA[Column7],Sheet1!A:A)=0,"",INDEX(NOTA[Column7],Sheet1!A:A))</f>
        <v>0.1</v>
      </c>
      <c r="AG25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5" s="4">
        <f>INDEX(NOTA[HARGA/ CTN_H],Sheet1!A:A)</f>
        <v>1824000</v>
      </c>
      <c r="AI25" s="4">
        <f>IF(Table17[[#This Row],[DISC 3]]="",Table17[[#This Row],[HRG / CTN]],Table17[[#This Row],[HRG / CTN]]-(Table17[[#This Row],[HRG / CTN]]*Table17[[#This Row],[DISC 3]]))</f>
        <v>1329696</v>
      </c>
      <c r="AJ25" s="5" t="e">
        <f>IF(#REF!&lt;1,Table17[[#This Row],[Column9]],Table17[[#This Row],[Column9]]*#REF!)</f>
        <v>#REF!</v>
      </c>
      <c r="AK25" s="4" t="str">
        <f ca="1">IF(NOT(AP26=Table17[[#This Row],[Column6]]),SUMIF(Table17[Column6],Table17[[#This Row],[Column6]],Table17[Column7]),"")</f>
        <v/>
      </c>
      <c r="AL25" s="6">
        <f ca="1">INDEX(NOTA[TGL_H],Sheet1!A:A)</f>
        <v>45474</v>
      </c>
      <c r="AM25" s="6">
        <f ca="1">INDEX(NOTA[TGL.NOTA_H],Sheet1!A:A)</f>
        <v>45472</v>
      </c>
      <c r="AO25" t="str">
        <f>IF(INDEX(NOTA[Column10],A:A)="","",INDEX(NOTA[Column10],A:A))</f>
        <v/>
      </c>
      <c r="AP25" t="str">
        <f ca="1">INDEX(NOTA[NO.NOTA_H],Sheet1!A:A)</f>
        <v>2406099</v>
      </c>
      <c r="AQ25">
        <f>INDEX(NOTA[Column10],Sheet1!A:A)</f>
        <v>0</v>
      </c>
      <c r="AR25" s="8" t="str">
        <f ca="1">INDEX(NOTA[SUPPLIER_H],Sheet1!A:A)</f>
        <v>D-R</v>
      </c>
      <c r="AS25" t="str">
        <f>Table17[[#This Row],[NAMA_C]]</f>
        <v>GUNTING JUNIOR J 200</v>
      </c>
      <c r="AT25" t="str">
        <f ca="1">Table17[[#This Row],[SUPPLIER]]</f>
        <v>D-R</v>
      </c>
      <c r="AU25" t="str">
        <f>SUBSTITUTE(Table17[[#This Row],[CTN]],",",".")</f>
        <v>3</v>
      </c>
      <c r="AV25" s="13" t="str">
        <f>Table17[[#This Row],[ISI_C]]</f>
        <v>48</v>
      </c>
      <c r="AW25" t="str">
        <f>Table17[[#This Row],[SATUAN_C]]</f>
        <v>LSN</v>
      </c>
      <c r="AX25">
        <f>Table17[[#This Row],[HARGA CONV2]]</f>
        <v>38000</v>
      </c>
      <c r="AY25" s="9" t="str">
        <f>SUBSTITUTE(Table17[[#This Row],[DISC 3]],",",".")</f>
        <v>0.271</v>
      </c>
      <c r="AZ25" s="6">
        <f ca="1">Table17[[#This Row],[TGL DATANG]]</f>
        <v>45474</v>
      </c>
      <c r="BA25" s="6">
        <f ca="1">Table17[[#This Row],[Column10]]</f>
        <v>45472</v>
      </c>
      <c r="BB25" s="7"/>
      <c r="BC25" t="str">
        <f>Table17[[#This Row],[KETERANGAN CONDRO]]</f>
        <v/>
      </c>
      <c r="BD25" t="str">
        <f ca="1">Table17[[#This Row],[Column6]]</f>
        <v>2406099</v>
      </c>
    </row>
    <row r="26" spans="1:56">
      <c r="A26" s="55">
        <v>29</v>
      </c>
      <c r="C26">
        <f>INDEX(NOTA[//DB],Sheet1!A:A)</f>
        <v>1424</v>
      </c>
      <c r="D26">
        <f>_xlfn.IFNA(MATCH(Table17[[#This Row],[//db]],[3]!Table2[\\],0),"")</f>
        <v>1295</v>
      </c>
      <c r="E26" t="str">
        <f>INDEX([3]!db[NB NOTA],Table17[[#This Row],[//db]])</f>
        <v>GUNTING JUNIOR J300 JUNIOR</v>
      </c>
      <c r="F26" t="str">
        <f>INDEX([3]!db[NB BM],Table17[[#This Row],[//db]])</f>
        <v>Gunting Junior J300</v>
      </c>
      <c r="G26" t="str">
        <f>IF(Table17[[#This Row],[dbconcat]]="","",INDEX([3]!Table2[NAMA],Table17[[#This Row],[dbconcat]]))</f>
        <v>GUNTING JUNIOR J-300</v>
      </c>
      <c r="H26" t="str">
        <f>INDEX([3]!Table2[KODE BARANG],Table17[[#This Row],[dbconcat]])</f>
        <v>GUN-JN53</v>
      </c>
      <c r="I26" t="str">
        <f>IF(Table17[[#This Row],[NAMA_3]]="",UPPER(Table17[[#This Row],[NAMA_2]]),Table17[[#This Row],[NAMA_3]])</f>
        <v>GUNTING JUNIOR J-300</v>
      </c>
      <c r="J26">
        <f>INDEX(NOTA[QTY],Sheet1!A:A)</f>
        <v>72</v>
      </c>
      <c r="K26" t="str">
        <f>INDEX(NOTA[STN],Sheet1!A:A)</f>
        <v>LSN</v>
      </c>
      <c r="L26" t="str">
        <f>INDEX([3]!db[QTY B],Table17[[#This Row],[//db]])</f>
        <v>24</v>
      </c>
      <c r="M26" t="str">
        <f>INDEX([3]!db[STN B],Table17[[#This Row],[//db]])</f>
        <v>LSN</v>
      </c>
      <c r="N26" t="str">
        <f>IF(Table17[[#This Row],[SATUAN NOTA]]=Table17[[#This Row],[SATUAN DB]],"", MATCH(CONCATENATE(Table17[[#This Row],[SATUAN NOTA]],Table17[[#This Row],[SATUAN DB]]),Table2[4],0))</f>
        <v/>
      </c>
      <c r="O26" t="str" cm="1">
        <f t="array" ref="O26">IF(Table17[[#This Row],[//CONV]]="","",INDEX(Table2[3],Table17[[#This Row],[//CONV]]))</f>
        <v/>
      </c>
      <c r="P26" t="str">
        <f>IF(Table17[[#This Row],[//CONV]]="",Table17[[#This Row],[ISI DB]],Table17[[#This Row],[ISI NOTA]]*Table17[[#This Row],[CONV VAR]])</f>
        <v>24</v>
      </c>
      <c r="Q26" t="str" cm="1">
        <f t="array" ref="Q26">IF(Table17[[#This Row],[//CONV]]="",Table17[[#This Row],[SATUAN DB]],INDEX(Table2[2],Table17[[#This Row],[//CONV]]))</f>
        <v>LSN</v>
      </c>
      <c r="R26" cm="1">
        <f t="array" ref="R26">IF(Table17[[#This Row],[dbconcat]]="","",INDEX([3]!Table2[ISI],Table17[[#This Row],[dbconcat]]))</f>
        <v>24</v>
      </c>
      <c r="S26" t="str" cm="1">
        <f t="array" ref="S26">IF(Table17[[#This Row],[dbconcat]]="","",INDEX([3]!Table2[[SATUAN ]],Table17[[#This Row],[dbconcat]]))</f>
        <v>LSN</v>
      </c>
      <c r="T26" t="str">
        <f>IF(Table17[[#This Row],[SATUAN S]]="","",IF(_xlfn.NUMBERVALUE(Table17[[#This Row],[ISI DB]])=_xlfn.NUMBERVALUE(Table17[[#This Row],[ISI S]]),"",1))</f>
        <v/>
      </c>
      <c r="U26" t="str">
        <f>IF(Table17[[#This Row],[SATUAN S]]="","",IF(Table17[[#This Row],[SATUAN DB]]=Table17[[#This Row],[SATUAN S]],"",1))</f>
        <v/>
      </c>
      <c r="V26" t="str">
        <f>IF(Table17[[#This Row],[CEK STN S]]="","",MATCH(CONCATENATE(Table17[[#This Row],[SATUAN CONV]],Table17[[#This Row],[SATUAN S]]),Table2[4],0))</f>
        <v/>
      </c>
      <c r="X26" t="str" cm="1">
        <f t="array" ref="X26">IF(Table17[[#This Row],[CONV2_//]]="","",INDEX(Table2[3],Table17[[#This Row],[CONV2_//]]))</f>
        <v/>
      </c>
      <c r="Y26" s="2" t="str">
        <f>IF(Table17[[#This Row],[CEK ISI S]]="",Table17[[#This Row],[ISI DB]],Table17[[#This Row],[ISI S]])</f>
        <v>24</v>
      </c>
      <c r="Z26" t="str">
        <f>IF(Table17[[#This Row],[CEK STN S]]="",Table17[[#This Row],[SATUAN DB]],Table17[[#This Row],[SATUAN S]])</f>
        <v>LSN</v>
      </c>
      <c r="AA26">
        <f>IF(Table17[[#This Row],[//CONV]]="",Table17[[#This Row],[ISI NOTA]]/Table17[[#This Row],[ISI_C]],Table17[[#This Row],[ISI DB CONV]]/Table17[[#This Row],[ISI_C]])</f>
        <v>3</v>
      </c>
      <c r="AB26">
        <f>INDEX(NOTA[HARGA SATUAN],Sheet1!A:A)</f>
        <v>46000</v>
      </c>
      <c r="AC26">
        <f>IF(Table17[[#This Row],[//CONV]]="",Table17[[#This Row],[HARGA NOTA]],Table17[[#This Row],[HARGA NOTA]]/Table17[[#This Row],[CONV VAR]])</f>
        <v>46000</v>
      </c>
      <c r="AD26">
        <f>IF(Table17[[#This Row],[CEK STN S]]="",Table17[[#This Row],[HARGA CONV]],Table17[[#This Row],[HARGA CONV]]/Table17[[#This Row],[CONV2 VAR]])</f>
        <v>46000</v>
      </c>
      <c r="AE26" s="3">
        <f>IF(INDEX(NOTA[Column6],Sheet1!A:A)=0,"",INDEX(NOTA[Column6],Sheet1!A:A))</f>
        <v>0.19</v>
      </c>
      <c r="AF26" s="3">
        <f>IF(INDEX(NOTA[Column7],Sheet1!A:A)=0,"",INDEX(NOTA[Column7],Sheet1!A:A))</f>
        <v>0.1</v>
      </c>
      <c r="AG26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6" s="4">
        <f>INDEX(NOTA[HARGA/ CTN_H],Sheet1!A:A)</f>
        <v>1104000</v>
      </c>
      <c r="AI26" s="4">
        <f>IF(Table17[[#This Row],[DISC 3]]="",Table17[[#This Row],[HRG / CTN]],Table17[[#This Row],[HRG / CTN]]-(Table17[[#This Row],[HRG / CTN]]*Table17[[#This Row],[DISC 3]]))</f>
        <v>804816</v>
      </c>
      <c r="AJ26" s="5" t="e">
        <f>IF(#REF!&lt;1,Table17[[#This Row],[Column9]],Table17[[#This Row],[Column9]]*#REF!)</f>
        <v>#REF!</v>
      </c>
      <c r="AK26" s="4" t="str">
        <f ca="1">IF(NOT(AP27=Table17[[#This Row],[Column6]]),SUMIF(Table17[Column6],Table17[[#This Row],[Column6]],Table17[Column7]),"")</f>
        <v/>
      </c>
      <c r="AL26" s="6">
        <f ca="1">INDEX(NOTA[TGL_H],Sheet1!A:A)</f>
        <v>45474</v>
      </c>
      <c r="AM26" s="6">
        <f ca="1">INDEX(NOTA[TGL.NOTA_H],Sheet1!A:A)</f>
        <v>45472</v>
      </c>
      <c r="AO26" t="str">
        <f>IF(INDEX(NOTA[Column10],A:A)="","",INDEX(NOTA[Column10],A:A))</f>
        <v/>
      </c>
      <c r="AP26" t="str">
        <f ca="1">INDEX(NOTA[NO.NOTA_H],Sheet1!A:A)</f>
        <v>2406099</v>
      </c>
      <c r="AQ26">
        <f>INDEX(NOTA[Column10],Sheet1!A:A)</f>
        <v>0</v>
      </c>
      <c r="AR26" s="8" t="str">
        <f ca="1">INDEX(NOTA[SUPPLIER_H],Sheet1!A:A)</f>
        <v>D-R</v>
      </c>
      <c r="AS26" t="str">
        <f>Table17[[#This Row],[NAMA_C]]</f>
        <v>GUNTING JUNIOR J-300</v>
      </c>
      <c r="AT26" t="str">
        <f ca="1">Table17[[#This Row],[SUPPLIER]]</f>
        <v>D-R</v>
      </c>
      <c r="AU26" t="str">
        <f>SUBSTITUTE(Table17[[#This Row],[CTN]],",",".")</f>
        <v>3</v>
      </c>
      <c r="AV26" s="13" t="str">
        <f>Table17[[#This Row],[ISI_C]]</f>
        <v>24</v>
      </c>
      <c r="AW26" t="str">
        <f>Table17[[#This Row],[SATUAN_C]]</f>
        <v>LSN</v>
      </c>
      <c r="AX26">
        <f>Table17[[#This Row],[HARGA CONV2]]</f>
        <v>46000</v>
      </c>
      <c r="AY26" s="9" t="str">
        <f>SUBSTITUTE(Table17[[#This Row],[DISC 3]],",",".")</f>
        <v>0.271</v>
      </c>
      <c r="AZ26" s="6">
        <f ca="1">Table17[[#This Row],[TGL DATANG]]</f>
        <v>45474</v>
      </c>
      <c r="BA26" s="6">
        <f ca="1">Table17[[#This Row],[Column10]]</f>
        <v>45472</v>
      </c>
      <c r="BB26" s="7"/>
      <c r="BC26" t="str">
        <f>Table17[[#This Row],[KETERANGAN CONDRO]]</f>
        <v/>
      </c>
      <c r="BD26" t="str">
        <f ca="1">Table17[[#This Row],[Column6]]</f>
        <v>2406099</v>
      </c>
    </row>
    <row r="27" spans="1:56">
      <c r="A27" s="55">
        <v>30</v>
      </c>
      <c r="C27">
        <f>INDEX(NOTA[//DB],Sheet1!A:A)</f>
        <v>1425</v>
      </c>
      <c r="D27">
        <f>_xlfn.IFNA(MATCH(Table17[[#This Row],[//db]],[3]!Table2[\\],0),"")</f>
        <v>1296</v>
      </c>
      <c r="E27" t="str">
        <f>INDEX([3]!db[NB NOTA],Table17[[#This Row],[//db]])</f>
        <v>GUNTING JUNIOR J400 JUNIOR</v>
      </c>
      <c r="F27" t="str">
        <f>INDEX([3]!db[NB BM],Table17[[#This Row],[//db]])</f>
        <v>Gunting Junior J400</v>
      </c>
      <c r="G27" t="str">
        <f>IF(Table17[[#This Row],[dbconcat]]="","",INDEX([3]!Table2[NAMA],Table17[[#This Row],[dbconcat]]))</f>
        <v>GUNTING JUNIOR J 400</v>
      </c>
      <c r="H27" t="str">
        <f>INDEX([3]!Table2[KODE BARANG],Table17[[#This Row],[dbconcat]])</f>
        <v>GUN-JN54</v>
      </c>
      <c r="I27" t="str">
        <f>IF(Table17[[#This Row],[NAMA_3]]="",UPPER(Table17[[#This Row],[NAMA_2]]),Table17[[#This Row],[NAMA_3]])</f>
        <v>GUNTING JUNIOR J 400</v>
      </c>
      <c r="J27">
        <f>INDEX(NOTA[QTY],Sheet1!A:A)</f>
        <v>96</v>
      </c>
      <c r="K27" t="str">
        <f>INDEX(NOTA[STN],Sheet1!A:A)</f>
        <v>LSN</v>
      </c>
      <c r="L27" t="str">
        <f>INDEX([3]!db[QTY B],Table17[[#This Row],[//db]])</f>
        <v>24</v>
      </c>
      <c r="M27" t="str">
        <f>INDEX([3]!db[STN B],Table17[[#This Row],[//db]])</f>
        <v>LSN</v>
      </c>
      <c r="N27" t="str">
        <f>IF(Table17[[#This Row],[SATUAN NOTA]]=Table17[[#This Row],[SATUAN DB]],"", MATCH(CONCATENATE(Table17[[#This Row],[SATUAN NOTA]],Table17[[#This Row],[SATUAN DB]]),Table2[4],0))</f>
        <v/>
      </c>
      <c r="O27" t="str" cm="1">
        <f t="array" ref="O27">IF(Table17[[#This Row],[//CONV]]="","",INDEX(Table2[3],Table17[[#This Row],[//CONV]]))</f>
        <v/>
      </c>
      <c r="P27" t="str">
        <f>IF(Table17[[#This Row],[//CONV]]="",Table17[[#This Row],[ISI DB]],Table17[[#This Row],[ISI NOTA]]*Table17[[#This Row],[CONV VAR]])</f>
        <v>24</v>
      </c>
      <c r="Q27" t="str" cm="1">
        <f t="array" ref="Q27">IF(Table17[[#This Row],[//CONV]]="",Table17[[#This Row],[SATUAN DB]],INDEX(Table2[2],Table17[[#This Row],[//CONV]]))</f>
        <v>LSN</v>
      </c>
      <c r="R27" cm="1">
        <f t="array" ref="R27">IF(Table17[[#This Row],[dbconcat]]="","",INDEX([3]!Table2[ISI],Table17[[#This Row],[dbconcat]]))</f>
        <v>24</v>
      </c>
      <c r="S27" t="str" cm="1">
        <f t="array" ref="S27">IF(Table17[[#This Row],[dbconcat]]="","",INDEX([3]!Table2[[SATUAN ]],Table17[[#This Row],[dbconcat]]))</f>
        <v>LSN</v>
      </c>
      <c r="T27" t="str">
        <f>IF(Table17[[#This Row],[SATUAN S]]="","",IF(_xlfn.NUMBERVALUE(Table17[[#This Row],[ISI DB]])=_xlfn.NUMBERVALUE(Table17[[#This Row],[ISI S]]),"",1))</f>
        <v/>
      </c>
      <c r="U27" t="str">
        <f>IF(Table17[[#This Row],[SATUAN S]]="","",IF(Table17[[#This Row],[SATUAN DB]]=Table17[[#This Row],[SATUAN S]],"",1))</f>
        <v/>
      </c>
      <c r="V27" t="str">
        <f>IF(Table17[[#This Row],[CEK STN S]]="","",MATCH(CONCATENATE(Table17[[#This Row],[SATUAN CONV]],Table17[[#This Row],[SATUAN S]]),Table2[4],0))</f>
        <v/>
      </c>
      <c r="X27" t="str" cm="1">
        <f t="array" ref="X27">IF(Table17[[#This Row],[CONV2_//]]="","",INDEX(Table2[3],Table17[[#This Row],[CONV2_//]]))</f>
        <v/>
      </c>
      <c r="Y27" s="2" t="str">
        <f>IF(Table17[[#This Row],[CEK ISI S]]="",Table17[[#This Row],[ISI DB]],Table17[[#This Row],[ISI S]])</f>
        <v>24</v>
      </c>
      <c r="Z27" t="str">
        <f>IF(Table17[[#This Row],[CEK STN S]]="",Table17[[#This Row],[SATUAN DB]],Table17[[#This Row],[SATUAN S]])</f>
        <v>LSN</v>
      </c>
      <c r="AA27">
        <f>IF(Table17[[#This Row],[//CONV]]="",Table17[[#This Row],[ISI NOTA]]/Table17[[#This Row],[ISI_C]],Table17[[#This Row],[ISI DB CONV]]/Table17[[#This Row],[ISI_C]])</f>
        <v>4</v>
      </c>
      <c r="AB27">
        <f>INDEX(NOTA[HARGA SATUAN],Sheet1!A:A)</f>
        <v>52000</v>
      </c>
      <c r="AC27">
        <f>IF(Table17[[#This Row],[//CONV]]="",Table17[[#This Row],[HARGA NOTA]],Table17[[#This Row],[HARGA NOTA]]/Table17[[#This Row],[CONV VAR]])</f>
        <v>52000</v>
      </c>
      <c r="AD27">
        <f>IF(Table17[[#This Row],[CEK STN S]]="",Table17[[#This Row],[HARGA CONV]],Table17[[#This Row],[HARGA CONV]]/Table17[[#This Row],[CONV2 VAR]])</f>
        <v>52000</v>
      </c>
      <c r="AE27" s="3">
        <f>IF(INDEX(NOTA[Column6],Sheet1!A:A)=0,"",INDEX(NOTA[Column6],Sheet1!A:A))</f>
        <v>0.19</v>
      </c>
      <c r="AF27" s="3">
        <f>IF(INDEX(NOTA[Column7],Sheet1!A:A)=0,"",INDEX(NOTA[Column7],Sheet1!A:A))</f>
        <v>0.1</v>
      </c>
      <c r="AG27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7" s="4">
        <f>INDEX(NOTA[HARGA/ CTN_H],Sheet1!A:A)</f>
        <v>1248000</v>
      </c>
      <c r="AI27" s="4">
        <f>IF(Table17[[#This Row],[DISC 3]]="",Table17[[#This Row],[HRG / CTN]],Table17[[#This Row],[HRG / CTN]]-(Table17[[#This Row],[HRG / CTN]]*Table17[[#This Row],[DISC 3]]))</f>
        <v>909792</v>
      </c>
      <c r="AJ27" s="5" t="e">
        <f>IF(#REF!&lt;1,Table17[[#This Row],[Column9]],Table17[[#This Row],[Column9]]*#REF!)</f>
        <v>#REF!</v>
      </c>
      <c r="AK27" s="4" t="e">
        <f ca="1">IF(NOT(AP28=Table17[[#This Row],[Column6]]),SUMIF(Table17[Column6],Table17[[#This Row],[Column6]],Table17[Column7]),"")</f>
        <v>#REF!</v>
      </c>
      <c r="AL27" s="6">
        <f ca="1">INDEX(NOTA[TGL_H],Sheet1!A:A)</f>
        <v>45474</v>
      </c>
      <c r="AM27" s="6">
        <f ca="1">INDEX(NOTA[TGL.NOTA_H],Sheet1!A:A)</f>
        <v>45472</v>
      </c>
      <c r="AO27" t="str">
        <f>IF(INDEX(NOTA[Column10],A:A)="","",INDEX(NOTA[Column10],A:A))</f>
        <v/>
      </c>
      <c r="AP27" t="str">
        <f ca="1">INDEX(NOTA[NO.NOTA_H],Sheet1!A:A)</f>
        <v>2406099</v>
      </c>
      <c r="AQ27">
        <f>INDEX(NOTA[Column10],Sheet1!A:A)</f>
        <v>0</v>
      </c>
      <c r="AR27" s="8" t="str">
        <f ca="1">INDEX(NOTA[SUPPLIER_H],Sheet1!A:A)</f>
        <v>D-R</v>
      </c>
      <c r="AS27" t="str">
        <f>Table17[[#This Row],[NAMA_C]]</f>
        <v>GUNTING JUNIOR J 400</v>
      </c>
      <c r="AT27" t="str">
        <f ca="1">Table17[[#This Row],[SUPPLIER]]</f>
        <v>D-R</v>
      </c>
      <c r="AU27" t="str">
        <f>SUBSTITUTE(Table17[[#This Row],[CTN]],",",".")</f>
        <v>4</v>
      </c>
      <c r="AV27" s="13" t="str">
        <f>Table17[[#This Row],[ISI_C]]</f>
        <v>24</v>
      </c>
      <c r="AW27" t="str">
        <f>Table17[[#This Row],[SATUAN_C]]</f>
        <v>LSN</v>
      </c>
      <c r="AX27">
        <f>Table17[[#This Row],[HARGA CONV2]]</f>
        <v>52000</v>
      </c>
      <c r="AY27" s="9" t="str">
        <f>SUBSTITUTE(Table17[[#This Row],[DISC 3]],",",".")</f>
        <v>0.271</v>
      </c>
      <c r="AZ27" s="6">
        <f ca="1">Table17[[#This Row],[TGL DATANG]]</f>
        <v>45474</v>
      </c>
      <c r="BA27" s="6">
        <f ca="1">Table17[[#This Row],[Column10]]</f>
        <v>45472</v>
      </c>
      <c r="BB27" s="7"/>
      <c r="BC27" t="str">
        <f>Table17[[#This Row],[KETERANGAN CONDRO]]</f>
        <v/>
      </c>
      <c r="BD27" t="str">
        <f ca="1">Table17[[#This Row],[Column6]]</f>
        <v>2406099</v>
      </c>
    </row>
    <row r="28" spans="1:56">
      <c r="A28" s="55">
        <v>32</v>
      </c>
      <c r="C28">
        <f>INDEX(NOTA[//DB],Sheet1!A:A)</f>
        <v>809</v>
      </c>
      <c r="D28">
        <f>_xlfn.IFNA(MATCH(Table17[[#This Row],[//db]],[3]!Table2[\\],0),"")</f>
        <v>936</v>
      </c>
      <c r="E28" t="str">
        <f>INDEX([3]!db[NB NOTA],Table17[[#This Row],[//db]])</f>
        <v>CUTTER TACO 78 KECIL</v>
      </c>
      <c r="F28" t="str">
        <f>INDEX([3]!db[NB BM],Table17[[#This Row],[//db]])</f>
        <v>CUTTER TACO 78 KECIL TRANSPARAN</v>
      </c>
      <c r="G28" t="str">
        <f>IF(Table17[[#This Row],[dbconcat]]="","",INDEX([3]!Table2[NAMA],Table17[[#This Row],[dbconcat]]))</f>
        <v>CUTTER TACO 78 KECIL TRANSPARAN</v>
      </c>
      <c r="H28" t="str">
        <f>INDEX([3]!Table2[KODE BARANG],Table17[[#This Row],[dbconcat]])</f>
        <v>CUT-TC7</v>
      </c>
      <c r="I28" t="str">
        <f>IF(Table17[[#This Row],[NAMA_3]]="",UPPER(Table17[[#This Row],[NAMA_2]]),Table17[[#This Row],[NAMA_3]])</f>
        <v>CUTTER TACO 78 KECIL TRANSPARAN</v>
      </c>
      <c r="J28">
        <f>INDEX(NOTA[QTY],Sheet1!A:A)</f>
        <v>1440</v>
      </c>
      <c r="K28" t="str">
        <f>INDEX(NOTA[STN],Sheet1!A:A)</f>
        <v>LSN</v>
      </c>
      <c r="L28" t="str">
        <f>INDEX([3]!db[QTY B],Table17[[#This Row],[//db]])</f>
        <v>120</v>
      </c>
      <c r="M28" t="str">
        <f>INDEX([3]!db[STN B],Table17[[#This Row],[//db]])</f>
        <v>LSN</v>
      </c>
      <c r="N28" t="str">
        <f>IF(Table17[[#This Row],[SATUAN NOTA]]=Table17[[#This Row],[SATUAN DB]],"", MATCH(CONCATENATE(Table17[[#This Row],[SATUAN NOTA]],Table17[[#This Row],[SATUAN DB]]),Table2[4],0))</f>
        <v/>
      </c>
      <c r="O28" t="str" cm="1">
        <f t="array" ref="O28">IF(Table17[[#This Row],[//CONV]]="","",INDEX(Table2[3],Table17[[#This Row],[//CONV]]))</f>
        <v/>
      </c>
      <c r="P28" t="str">
        <f>IF(Table17[[#This Row],[//CONV]]="",Table17[[#This Row],[ISI DB]],Table17[[#This Row],[ISI NOTA]]*Table17[[#This Row],[CONV VAR]])</f>
        <v>120</v>
      </c>
      <c r="Q28" t="str" cm="1">
        <f t="array" ref="Q28">IF(Table17[[#This Row],[//CONV]]="",Table17[[#This Row],[SATUAN DB]],INDEX(Table2[2],Table17[[#This Row],[//CONV]]))</f>
        <v>LSN</v>
      </c>
      <c r="R28" cm="1">
        <f t="array" ref="R28">IF(Table17[[#This Row],[dbconcat]]="","",INDEX([3]!Table2[ISI],Table17[[#This Row],[dbconcat]]))</f>
        <v>120</v>
      </c>
      <c r="S28" t="str" cm="1">
        <f t="array" ref="S28">IF(Table17[[#This Row],[dbconcat]]="","",INDEX([3]!Table2[[SATUAN ]],Table17[[#This Row],[dbconcat]]))</f>
        <v>LSN</v>
      </c>
      <c r="T28" t="str">
        <f>IF(Table17[[#This Row],[SATUAN S]]="","",IF(_xlfn.NUMBERVALUE(Table17[[#This Row],[ISI DB]])=_xlfn.NUMBERVALUE(Table17[[#This Row],[ISI S]]),"",1))</f>
        <v/>
      </c>
      <c r="U28" t="str">
        <f>IF(Table17[[#This Row],[SATUAN S]]="","",IF(Table17[[#This Row],[SATUAN DB]]=Table17[[#This Row],[SATUAN S]],"",1))</f>
        <v/>
      </c>
      <c r="V28" t="str">
        <f>IF(Table17[[#This Row],[CEK STN S]]="","",MATCH(CONCATENATE(Table17[[#This Row],[SATUAN CONV]],Table17[[#This Row],[SATUAN S]]),Table2[4],0))</f>
        <v/>
      </c>
      <c r="X28" t="str" cm="1">
        <f t="array" ref="X28">IF(Table17[[#This Row],[CONV2_//]]="","",INDEX(Table2[3],Table17[[#This Row],[CONV2_//]]))</f>
        <v/>
      </c>
      <c r="Y28" s="2" t="str">
        <f>IF(Table17[[#This Row],[CEK ISI S]]="",Table17[[#This Row],[ISI DB]],Table17[[#This Row],[ISI S]])</f>
        <v>120</v>
      </c>
      <c r="Z28" t="str">
        <f>IF(Table17[[#This Row],[CEK STN S]]="",Table17[[#This Row],[SATUAN DB]],Table17[[#This Row],[SATUAN S]])</f>
        <v>LSN</v>
      </c>
      <c r="AA28">
        <f>IF(Table17[[#This Row],[//CONV]]="",Table17[[#This Row],[ISI NOTA]]/Table17[[#This Row],[ISI_C]],Table17[[#This Row],[ISI DB CONV]]/Table17[[#This Row],[ISI_C]])</f>
        <v>12</v>
      </c>
      <c r="AB28">
        <f>INDEX(NOTA[HARGA SATUAN],Sheet1!A:A)</f>
        <v>20000</v>
      </c>
      <c r="AC28">
        <f>IF(Table17[[#This Row],[//CONV]]="",Table17[[#This Row],[HARGA NOTA]],Table17[[#This Row],[HARGA NOTA]]/Table17[[#This Row],[CONV VAR]])</f>
        <v>20000</v>
      </c>
      <c r="AD28">
        <f>IF(Table17[[#This Row],[CEK STN S]]="",Table17[[#This Row],[HARGA CONV]],Table17[[#This Row],[HARGA CONV]]/Table17[[#This Row],[CONV2 VAR]])</f>
        <v>20000</v>
      </c>
      <c r="AE28" s="3">
        <f>IF(INDEX(NOTA[Column6],Sheet1!A:A)=0,"",INDEX(NOTA[Column6],Sheet1!A:A))</f>
        <v>0.19</v>
      </c>
      <c r="AF28" s="3">
        <f>IF(INDEX(NOTA[Column7],Sheet1!A:A)=0,"",INDEX(NOTA[Column7],Sheet1!A:A))</f>
        <v>0.1</v>
      </c>
      <c r="AG28" s="3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28" s="4">
        <f>INDEX(NOTA[HARGA/ CTN_H],Sheet1!A:A)</f>
        <v>2400000</v>
      </c>
      <c r="AI28" s="4">
        <f>IF(Table17[[#This Row],[DISC 3]]="",Table17[[#This Row],[HRG / CTN]],Table17[[#This Row],[HRG / CTN]]-(Table17[[#This Row],[HRG / CTN]]*Table17[[#This Row],[DISC 3]]))</f>
        <v>1749600</v>
      </c>
      <c r="AJ28" s="5" t="e">
        <f>IF(#REF!&lt;1,Table17[[#This Row],[Column9]],Table17[[#This Row],[Column9]]*#REF!)</f>
        <v>#REF!</v>
      </c>
      <c r="AK28" s="4" t="e">
        <f ca="1">IF(NOT(#REF!=Table17[[#This Row],[Column6]]),SUMIF(Table17[Column6],Table17[[#This Row],[Column6]],Table17[Column7]),"")</f>
        <v>#REF!</v>
      </c>
      <c r="AL28" s="6">
        <f ca="1">INDEX(NOTA[TGL_H],Sheet1!A:A)</f>
        <v>45474</v>
      </c>
      <c r="AM28" s="6">
        <f ca="1">INDEX(NOTA[TGL.NOTA_H],Sheet1!A:A)</f>
        <v>45472</v>
      </c>
      <c r="AO28" t="str">
        <f>IF(INDEX(NOTA[Column10],A:A)="","",INDEX(NOTA[Column10],A:A))</f>
        <v/>
      </c>
      <c r="AP28" t="str">
        <f ca="1">INDEX(NOTA[NO.NOTA_H],Sheet1!A:A)</f>
        <v>2406079</v>
      </c>
      <c r="AQ28">
        <f>INDEX(NOTA[Column10],Sheet1!A:A)</f>
        <v>0</v>
      </c>
      <c r="AR28" s="8" t="str">
        <f ca="1">INDEX(NOTA[SUPPLIER_H],Sheet1!A:A)</f>
        <v>D-R</v>
      </c>
      <c r="AS28" t="str">
        <f>Table17[[#This Row],[NAMA_C]]</f>
        <v>CUTTER TACO 78 KECIL TRANSPARAN</v>
      </c>
      <c r="AT28" t="str">
        <f ca="1">Table17[[#This Row],[SUPPLIER]]</f>
        <v>D-R</v>
      </c>
      <c r="AU28" t="str">
        <f>SUBSTITUTE(Table17[[#This Row],[CTN]],",",".")</f>
        <v>12</v>
      </c>
      <c r="AV28" s="13" t="str">
        <f>Table17[[#This Row],[ISI_C]]</f>
        <v>120</v>
      </c>
      <c r="AW28" t="str">
        <f>Table17[[#This Row],[SATUAN_C]]</f>
        <v>LSN</v>
      </c>
      <c r="AX28">
        <f>Table17[[#This Row],[HARGA CONV2]]</f>
        <v>20000</v>
      </c>
      <c r="AY28" s="9" t="str">
        <f>SUBSTITUTE(Table17[[#This Row],[DISC 3]],",",".")</f>
        <v>0.271</v>
      </c>
      <c r="AZ28" s="6">
        <f ca="1">Table17[[#This Row],[TGL DATANG]]</f>
        <v>45474</v>
      </c>
      <c r="BA28" s="6">
        <f ca="1">Table17[[#This Row],[Column10]]</f>
        <v>45472</v>
      </c>
      <c r="BB28" s="7"/>
      <c r="BC28" t="str">
        <f>Table17[[#This Row],[KETERANGAN CONDRO]]</f>
        <v/>
      </c>
      <c r="BD28" t="str">
        <f ca="1">Table17[[#This Row],[Column6]]</f>
        <v>2406079</v>
      </c>
    </row>
    <row r="29" spans="1:56">
      <c r="A29" s="55">
        <v>33</v>
      </c>
      <c r="C29">
        <f>INDEX(NOTA[//DB],Sheet1!A:A)</f>
        <v>809</v>
      </c>
      <c r="D29">
        <f>_xlfn.IFNA(MATCH(Table17[[#This Row],[//db]],[3]!Table2[\\],0),"")</f>
        <v>936</v>
      </c>
      <c r="E29" t="str">
        <f>INDEX([3]!db[NB NOTA],Table17[[#This Row],[//db]])</f>
        <v>CUTTER TACO 78 KECIL</v>
      </c>
      <c r="F29" t="str">
        <f>INDEX([3]!db[NB BM],Table17[[#This Row],[//db]])</f>
        <v>CUTTER TACO 78 KECIL TRANSPARAN</v>
      </c>
      <c r="G29" t="str">
        <f>IF(Table17[[#This Row],[dbconcat]]="","",INDEX([3]!Table2[NAMA],Table17[[#This Row],[dbconcat]]))</f>
        <v>CUTTER TACO 78 KECIL TRANSPARAN</v>
      </c>
      <c r="H29" t="str">
        <f>INDEX([3]!Table2[KODE BARANG],Table17[[#This Row],[dbconcat]])</f>
        <v>CUT-TC7</v>
      </c>
      <c r="I29" t="str">
        <f>IF(Table17[[#This Row],[NAMA_3]]="",UPPER(Table17[[#This Row],[NAMA_2]]),Table17[[#This Row],[NAMA_3]])</f>
        <v>CUTTER TACO 78 KECIL TRANSPARAN</v>
      </c>
      <c r="J29">
        <f>INDEX(NOTA[QTY],Sheet1!A:A)</f>
        <v>120</v>
      </c>
      <c r="K29" t="str">
        <f>INDEX(NOTA[STN],Sheet1!A:A)</f>
        <v>LSN</v>
      </c>
      <c r="L29" t="str">
        <f>INDEX([3]!db[QTY B],Table17[[#This Row],[//db]])</f>
        <v>120</v>
      </c>
      <c r="M29" t="str">
        <f>INDEX([3]!db[STN B],Table17[[#This Row],[//db]])</f>
        <v>LSN</v>
      </c>
      <c r="N29" t="str">
        <f>IF(Table17[[#This Row],[SATUAN NOTA]]=Table17[[#This Row],[SATUAN DB]],"", MATCH(CONCATENATE(Table17[[#This Row],[SATUAN NOTA]],Table17[[#This Row],[SATUAN DB]]),Table2[4],0))</f>
        <v/>
      </c>
      <c r="O29" t="str" cm="1">
        <f t="array" ref="O29">IF(Table17[[#This Row],[//CONV]]="","",INDEX(Table2[3],Table17[[#This Row],[//CONV]]))</f>
        <v/>
      </c>
      <c r="P29" t="str">
        <f>IF(Table17[[#This Row],[//CONV]]="",Table17[[#This Row],[ISI DB]],Table17[[#This Row],[ISI NOTA]]*Table17[[#This Row],[CONV VAR]])</f>
        <v>120</v>
      </c>
      <c r="Q29" t="str" cm="1">
        <f t="array" ref="Q29">IF(Table17[[#This Row],[//CONV]]="",Table17[[#This Row],[SATUAN DB]],INDEX(Table2[2],Table17[[#This Row],[//CONV]]))</f>
        <v>LSN</v>
      </c>
      <c r="R29" cm="1">
        <f t="array" ref="R29">IF(Table17[[#This Row],[dbconcat]]="","",INDEX([3]!Table2[ISI],Table17[[#This Row],[dbconcat]]))</f>
        <v>120</v>
      </c>
      <c r="S29" t="str" cm="1">
        <f t="array" ref="S29">IF(Table17[[#This Row],[dbconcat]]="","",INDEX([3]!Table2[[SATUAN ]],Table17[[#This Row],[dbconcat]]))</f>
        <v>LSN</v>
      </c>
      <c r="T29" t="str">
        <f>IF(Table17[[#This Row],[SATUAN S]]="","",IF(_xlfn.NUMBERVALUE(Table17[[#This Row],[ISI DB]])=_xlfn.NUMBERVALUE(Table17[[#This Row],[ISI S]]),"",1))</f>
        <v/>
      </c>
      <c r="U29" t="str">
        <f>IF(Table17[[#This Row],[SATUAN S]]="","",IF(Table17[[#This Row],[SATUAN DB]]=Table17[[#This Row],[SATUAN S]],"",1))</f>
        <v/>
      </c>
      <c r="V29" t="str">
        <f>IF(Table17[[#This Row],[CEK STN S]]="","",MATCH(CONCATENATE(Table17[[#This Row],[SATUAN CONV]],Table17[[#This Row],[SATUAN S]]),Table2[4],0))</f>
        <v/>
      </c>
      <c r="X29" t="str" cm="1">
        <f t="array" ref="X29">IF(Table17[[#This Row],[CONV2_//]]="","",INDEX(Table2[3],Table17[[#This Row],[CONV2_//]]))</f>
        <v/>
      </c>
      <c r="Y29" s="2" t="str">
        <f>IF(Table17[[#This Row],[CEK ISI S]]="",Table17[[#This Row],[ISI DB]],Table17[[#This Row],[ISI S]])</f>
        <v>120</v>
      </c>
      <c r="Z29" t="str">
        <f>IF(Table17[[#This Row],[CEK STN S]]="",Table17[[#This Row],[SATUAN DB]],Table17[[#This Row],[SATUAN S]])</f>
        <v>LSN</v>
      </c>
      <c r="AA29">
        <f>IF(Table17[[#This Row],[//CONV]]="",Table17[[#This Row],[ISI NOTA]]/Table17[[#This Row],[ISI_C]],Table17[[#This Row],[ISI DB CONV]]/Table17[[#This Row],[ISI_C]])</f>
        <v>1</v>
      </c>
      <c r="AB29">
        <f>INDEX(NOTA[HARGA SATUAN],Sheet1!A:A)</f>
        <v>20000</v>
      </c>
      <c r="AC29">
        <f>IF(Table17[[#This Row],[//CONV]]="",Table17[[#This Row],[HARGA NOTA]],Table17[[#This Row],[HARGA NOTA]]/Table17[[#This Row],[CONV VAR]])</f>
        <v>20000</v>
      </c>
      <c r="AD29">
        <f>IF(Table17[[#This Row],[CEK STN S]]="",Table17[[#This Row],[HARGA CONV]],Table17[[#This Row],[HARGA CONV]]/Table17[[#This Row],[CONV2 VAR]])</f>
        <v>20000</v>
      </c>
      <c r="AE29" s="3">
        <f>IF(INDEX(NOTA[Column6],Sheet1!A:A)=0,"",INDEX(NOTA[Column6],Sheet1!A:A))</f>
        <v>1</v>
      </c>
      <c r="AF29" s="3" t="str">
        <f>IF(INDEX(NOTA[Column7],Sheet1!A:A)=0,"",INDEX(NOTA[Column7],Sheet1!A:A))</f>
        <v/>
      </c>
      <c r="AG29" s="3">
        <f>IF(Table17[[#This Row],[DISC 1]]="","",IF(Table17[[#This Row],[DISC 2]]="",Table17[[#This Row],[DISC 1]],Table17[[#This Row],[DISC 1]]+Table17[[#This Row],[DISC 2]]-(Table17[[#This Row],[DISC 1]]*Table17[[#This Row],[DISC 2]])))</f>
        <v>1</v>
      </c>
      <c r="AH29" s="4">
        <f>INDEX(NOTA[HARGA/ CTN_H],Sheet1!A:A)</f>
        <v>2400000</v>
      </c>
      <c r="AI29" s="4">
        <f>IF(Table17[[#This Row],[DISC 3]]="",Table17[[#This Row],[HRG / CTN]],Table17[[#This Row],[HRG / CTN]]-(Table17[[#This Row],[HRG / CTN]]*Table17[[#This Row],[DISC 3]]))</f>
        <v>0</v>
      </c>
      <c r="AJ29" s="5" t="e">
        <f>IF(#REF!&lt;1,Table17[[#This Row],[Column9]],Table17[[#This Row],[Column9]]*#REF!)</f>
        <v>#REF!</v>
      </c>
      <c r="AK29" s="4" t="e">
        <f ca="1">IF(NOT(AP30=Table17[[#This Row],[Column6]]),SUMIF(Table17[Column6],Table17[[#This Row],[Column6]],Table17[Column7]),"")</f>
        <v>#REF!</v>
      </c>
      <c r="AL29" s="6">
        <f ca="1">INDEX(NOTA[TGL_H],Sheet1!A:A)</f>
        <v>45474</v>
      </c>
      <c r="AM29" s="6">
        <f ca="1">INDEX(NOTA[TGL.NOTA_H],Sheet1!A:A)</f>
        <v>45472</v>
      </c>
      <c r="AO29" t="str">
        <f>IF(INDEX(NOTA[Column10],A:A)="","",INDEX(NOTA[Column10],A:A))</f>
        <v>BONUS</v>
      </c>
      <c r="AP29" t="str">
        <f ca="1">INDEX(NOTA[NO.NOTA_H],Sheet1!A:A)</f>
        <v>2406079</v>
      </c>
      <c r="AQ29" t="str">
        <f>INDEX(NOTA[Column10],Sheet1!A:A)</f>
        <v>BONUS</v>
      </c>
      <c r="AR29" s="8" t="str">
        <f ca="1">INDEX(NOTA[SUPPLIER_H],Sheet1!A:A)</f>
        <v>D-R</v>
      </c>
      <c r="AS29" t="str">
        <f>Table17[[#This Row],[NAMA_C]]</f>
        <v>CUTTER TACO 78 KECIL TRANSPARAN</v>
      </c>
      <c r="AT29" t="str">
        <f ca="1">Table17[[#This Row],[SUPPLIER]]</f>
        <v>D-R</v>
      </c>
      <c r="AU29" t="str">
        <f>SUBSTITUTE(Table17[[#This Row],[CTN]],",",".")</f>
        <v>1</v>
      </c>
      <c r="AV29" s="13" t="str">
        <f>Table17[[#This Row],[ISI_C]]</f>
        <v>120</v>
      </c>
      <c r="AW29" t="str">
        <f>Table17[[#This Row],[SATUAN_C]]</f>
        <v>LSN</v>
      </c>
      <c r="AX29">
        <f>Table17[[#This Row],[HARGA CONV2]]</f>
        <v>20000</v>
      </c>
      <c r="AY29" s="9" t="str">
        <f>SUBSTITUTE(Table17[[#This Row],[DISC 3]],",",".")</f>
        <v>1</v>
      </c>
      <c r="AZ29" s="6">
        <f ca="1">Table17[[#This Row],[TGL DATANG]]</f>
        <v>45474</v>
      </c>
      <c r="BA29" s="6">
        <f ca="1">Table17[[#This Row],[Column10]]</f>
        <v>45472</v>
      </c>
      <c r="BB29" s="7"/>
      <c r="BC29" t="str">
        <f>Table17[[#This Row],[KETERANGAN CONDRO]]</f>
        <v>BONUS</v>
      </c>
      <c r="BD29" t="str">
        <f ca="1">Table17[[#This Row],[Column6]]</f>
        <v>2406079</v>
      </c>
    </row>
    <row r="30" spans="1:56">
      <c r="A30" s="56">
        <v>35</v>
      </c>
      <c r="C30">
        <f>INDEX(NOTA[//DB],Sheet1!A:A)</f>
        <v>877</v>
      </c>
      <c r="D30">
        <f>_xlfn.IFNA(MATCH(Table17[[#This Row],[//db]],[3]!Table2[\\],0),"")</f>
        <v>985</v>
      </c>
      <c r="E30" t="str">
        <f>INDEX([3]!db[NB NOTA],Table17[[#This Row],[//db]])</f>
        <v>DOC RIT PRESTIGE HIJAU</v>
      </c>
      <c r="F30" t="str">
        <f>INDEX([3]!db[NB BM],Table17[[#This Row],[//db]])</f>
        <v>Dokumen Risleting Prestige HIJAU</v>
      </c>
      <c r="G30" t="str">
        <f>IF(Table17[[#This Row],[dbconcat]]="","",INDEX([3]!Table2[NAMA],Table17[[#This Row],[dbconcat]]))</f>
        <v>DOKUMEN RISLETING PRESTIGE HIJAU</v>
      </c>
      <c r="H30" t="str">
        <f>INDEX([3]!Table2[KODE BARANG],Table17[[#This Row],[dbconcat]])</f>
        <v>DOK-NB22</v>
      </c>
      <c r="I30" t="str">
        <f>IF(Table17[[#This Row],[NAMA_3]]="",UPPER(Table17[[#This Row],[NAMA_2]]),Table17[[#This Row],[NAMA_3]])</f>
        <v>DOKUMEN RISLETING PRESTIGE HIJAU</v>
      </c>
      <c r="J30">
        <f>INDEX(NOTA[QTY],Sheet1!A:A)</f>
        <v>8</v>
      </c>
      <c r="K30" t="str">
        <f>INDEX(NOTA[STN],Sheet1!A:A)</f>
        <v>LSN</v>
      </c>
      <c r="L30" t="str">
        <f>INDEX([3]!db[QTY B],Table17[[#This Row],[//db]])</f>
        <v>8</v>
      </c>
      <c r="M30" t="str">
        <f>INDEX([3]!db[STN B],Table17[[#This Row],[//db]])</f>
        <v>LSN</v>
      </c>
      <c r="N30" t="str">
        <f>IF(Table17[[#This Row],[SATUAN NOTA]]=Table17[[#This Row],[SATUAN DB]],"", MATCH(CONCATENATE(Table17[[#This Row],[SATUAN NOTA]],Table17[[#This Row],[SATUAN DB]]),Table2[4],0))</f>
        <v/>
      </c>
      <c r="O30" t="str" cm="1">
        <f t="array" ref="O30">IF(Table17[[#This Row],[//CONV]]="","",INDEX(Table2[3],Table17[[#This Row],[//CONV]]))</f>
        <v/>
      </c>
      <c r="P30" t="str">
        <f>IF(Table17[[#This Row],[//CONV]]="",Table17[[#This Row],[ISI DB]],Table17[[#This Row],[ISI NOTA]]*Table17[[#This Row],[CONV VAR]])</f>
        <v>8</v>
      </c>
      <c r="Q30" t="str" cm="1">
        <f t="array" ref="Q30">IF(Table17[[#This Row],[//CONV]]="",Table17[[#This Row],[SATUAN DB]],INDEX(Table2[2],Table17[[#This Row],[//CONV]]))</f>
        <v>LSN</v>
      </c>
      <c r="R30" cm="1">
        <f t="array" ref="R30">IF(Table17[[#This Row],[dbconcat]]="","",INDEX([3]!Table2[ISI],Table17[[#This Row],[dbconcat]]))</f>
        <v>8</v>
      </c>
      <c r="S30" t="str" cm="1">
        <f t="array" ref="S30">IF(Table17[[#This Row],[dbconcat]]="","",INDEX([3]!Table2[[SATUAN ]],Table17[[#This Row],[dbconcat]]))</f>
        <v>LSN</v>
      </c>
      <c r="T30" t="str">
        <f>IF(Table17[[#This Row],[SATUAN S]]="","",IF(_xlfn.NUMBERVALUE(Table17[[#This Row],[ISI DB]])=_xlfn.NUMBERVALUE(Table17[[#This Row],[ISI S]]),"",1))</f>
        <v/>
      </c>
      <c r="U30" t="str">
        <f>IF(Table17[[#This Row],[SATUAN S]]="","",IF(Table17[[#This Row],[SATUAN DB]]=Table17[[#This Row],[SATUAN S]],"",1))</f>
        <v/>
      </c>
      <c r="V30" t="str">
        <f>IF(Table17[[#This Row],[CEK STN S]]="","",MATCH(CONCATENATE(Table17[[#This Row],[SATUAN CONV]],Table17[[#This Row],[SATUAN S]]),Table2[4],0))</f>
        <v/>
      </c>
      <c r="X30" t="str" cm="1">
        <f t="array" ref="X30">IF(Table17[[#This Row],[CONV2_//]]="","",INDEX(Table2[3],Table17[[#This Row],[CONV2_//]]))</f>
        <v/>
      </c>
      <c r="Y30" s="2" t="str">
        <f>IF(Table17[[#This Row],[CEK ISI S]]="",Table17[[#This Row],[ISI DB]],Table17[[#This Row],[ISI S]])</f>
        <v>8</v>
      </c>
      <c r="Z30" t="str">
        <f>IF(Table17[[#This Row],[CEK STN S]]="",Table17[[#This Row],[SATUAN DB]],Table17[[#This Row],[SATUAN S]])</f>
        <v>LSN</v>
      </c>
      <c r="AA30">
        <f>IF(Table17[[#This Row],[//CONV]]="",Table17[[#This Row],[ISI NOTA]]/Table17[[#This Row],[ISI_C]],Table17[[#This Row],[ISI DB CONV]]/Table17[[#This Row],[ISI_C]])</f>
        <v>1</v>
      </c>
      <c r="AB30">
        <f>INDEX(NOTA[HARGA SATUAN],Sheet1!A:A)</f>
        <v>195000</v>
      </c>
      <c r="AC30">
        <f>IF(Table17[[#This Row],[//CONV]]="",Table17[[#This Row],[HARGA NOTA]],Table17[[#This Row],[HARGA NOTA]]/Table17[[#This Row],[CONV VAR]])</f>
        <v>195000</v>
      </c>
      <c r="AD30">
        <f>IF(Table17[[#This Row],[CEK STN S]]="",Table17[[#This Row],[HARGA CONV]],Table17[[#This Row],[HARGA CONV]]/Table17[[#This Row],[CONV2 VAR]])</f>
        <v>195000</v>
      </c>
      <c r="AE30" s="3" t="str">
        <f>IF(INDEX(NOTA[Column6],Sheet1!A:A)=0,"",INDEX(NOTA[Column6],Sheet1!A:A))</f>
        <v/>
      </c>
      <c r="AF30" s="3" t="str">
        <f>IF(INDEX(NOTA[Column7],Sheet1!A:A)=0,"",INDEX(NOTA[Column7],Sheet1!A:A))</f>
        <v/>
      </c>
      <c r="AG3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0" s="4">
        <f>INDEX(NOTA[HARGA/ CTN_H],Sheet1!A:A)</f>
        <v>1560000</v>
      </c>
      <c r="AI30" s="4">
        <f>IF(Table17[[#This Row],[DISC 3]]="",Table17[[#This Row],[HRG / CTN]],Table17[[#This Row],[HRG / CTN]]-(Table17[[#This Row],[HRG / CTN]]*Table17[[#This Row],[DISC 3]]))</f>
        <v>1560000</v>
      </c>
      <c r="AJ30" s="5" t="e">
        <f>IF(#REF!&lt;1,Table17[[#This Row],[Column9]],Table17[[#This Row],[Column9]]*#REF!)</f>
        <v>#REF!</v>
      </c>
      <c r="AK30" s="4" t="e">
        <f ca="1">IF(NOT(AP31=Table17[[#This Row],[Column6]]),SUMIF(Table17[Column6],Table17[[#This Row],[Column6]],Table17[Column7]),"")</f>
        <v>#REF!</v>
      </c>
      <c r="AL30" s="6">
        <f ca="1">INDEX(NOTA[TGL_H],Sheet1!A:A)</f>
        <v>45474</v>
      </c>
      <c r="AM30" s="6">
        <f ca="1">INDEX(NOTA[TGL.NOTA_H],Sheet1!A:A)</f>
        <v>45474</v>
      </c>
      <c r="AO30" t="str">
        <f>IF(INDEX(NOTA[Column10],A:A)="","",INDEX(NOTA[Column10],A:A))</f>
        <v/>
      </c>
      <c r="AP30" t="str">
        <f ca="1">INDEX(NOTA[NO.NOTA_H],Sheet1!A:A)</f>
        <v>0702</v>
      </c>
      <c r="AQ30">
        <f>INDEX(NOTA[Column10],Sheet1!A:A)</f>
        <v>0</v>
      </c>
      <c r="AR30" s="8" t="str">
        <f ca="1">INDEX(NOTA[SUPPLIER_H],Sheet1!A:A)</f>
        <v>COMBI</v>
      </c>
      <c r="AS30" t="str">
        <f>Table17[[#This Row],[NAMA_C]]</f>
        <v>DOKUMEN RISLETING PRESTIGE HIJAU</v>
      </c>
      <c r="AT30" t="str">
        <f ca="1">Table17[[#This Row],[SUPPLIER]]</f>
        <v>COMBI</v>
      </c>
      <c r="AU30" t="str">
        <f>SUBSTITUTE(Table17[[#This Row],[CTN]],",",".")</f>
        <v>1</v>
      </c>
      <c r="AV30" s="13" t="str">
        <f>Table17[[#This Row],[ISI_C]]</f>
        <v>8</v>
      </c>
      <c r="AW30" t="str">
        <f>Table17[[#This Row],[SATUAN_C]]</f>
        <v>LSN</v>
      </c>
      <c r="AX30">
        <f>Table17[[#This Row],[HARGA CONV2]]</f>
        <v>195000</v>
      </c>
      <c r="AY30" s="9" t="str">
        <f>SUBSTITUTE(Table17[[#This Row],[DISC 3]],",",".")</f>
        <v/>
      </c>
      <c r="AZ30" s="6">
        <f ca="1">Table17[[#This Row],[TGL DATANG]]</f>
        <v>45474</v>
      </c>
      <c r="BA30" s="6">
        <f ca="1">Table17[[#This Row],[Column10]]</f>
        <v>45474</v>
      </c>
      <c r="BB30" s="7"/>
      <c r="BC30" t="str">
        <f>Table17[[#This Row],[KETERANGAN CONDRO]]</f>
        <v/>
      </c>
      <c r="BD30" t="str">
        <f ca="1">Table17[[#This Row],[Column6]]</f>
        <v>0702</v>
      </c>
    </row>
    <row r="31" spans="1:56">
      <c r="A31" s="56">
        <v>37</v>
      </c>
      <c r="C31">
        <f>INDEX(NOTA[//DB],Sheet1!A:A)</f>
        <v>519</v>
      </c>
      <c r="D31">
        <f>_xlfn.IFNA(MATCH(Table17[[#This Row],[//db]],[3]!Table2[\\],0),"")</f>
        <v>824</v>
      </c>
      <c r="E31" t="str">
        <f>INDEX([3]!db[NB NOTA],Table17[[#This Row],[//db]])</f>
        <v>BT BATIK</v>
      </c>
      <c r="F31" t="str">
        <f>INDEX([3]!db[NB BM],Table17[[#This Row],[//db]])</f>
        <v>BK TAMU 15 BATIK</v>
      </c>
      <c r="G31" t="str">
        <f>IF(Table17[[#This Row],[dbconcat]]="","",INDEX([3]!Table2[NAMA],Table17[[#This Row],[dbconcat]]))</f>
        <v>BK TAMU 15 BATIK</v>
      </c>
      <c r="H31" t="str">
        <f>INDEX([3]!Table2[KODE BARANG],Table17[[#This Row],[dbconcat]])</f>
        <v>BUK-NB18</v>
      </c>
      <c r="I31" t="str">
        <f>IF(Table17[[#This Row],[NAMA_3]]="",UPPER(Table17[[#This Row],[NAMA_2]]),Table17[[#This Row],[NAMA_3]])</f>
        <v>BK TAMU 15 BATIK</v>
      </c>
      <c r="J31">
        <f>INDEX(NOTA[QTY],Sheet1!A:A)</f>
        <v>7</v>
      </c>
      <c r="K31" t="str">
        <f>INDEX(NOTA[STN],Sheet1!A:A)</f>
        <v>LSN</v>
      </c>
      <c r="L31" t="str">
        <f>INDEX([3]!db[QTY B],Table17[[#This Row],[//db]])</f>
        <v>7</v>
      </c>
      <c r="M31" t="str">
        <f>INDEX([3]!db[STN B],Table17[[#This Row],[//db]])</f>
        <v>LSN</v>
      </c>
      <c r="N31" t="str">
        <f>IF(Table17[[#This Row],[SATUAN NOTA]]=Table17[[#This Row],[SATUAN DB]],"", MATCH(CONCATENATE(Table17[[#This Row],[SATUAN NOTA]],Table17[[#This Row],[SATUAN DB]]),Table2[4],0))</f>
        <v/>
      </c>
      <c r="O31" t="str" cm="1">
        <f t="array" ref="O31">IF(Table17[[#This Row],[//CONV]]="","",INDEX(Table2[3],Table17[[#This Row],[//CONV]]))</f>
        <v/>
      </c>
      <c r="P31" t="str">
        <f>IF(Table17[[#This Row],[//CONV]]="",Table17[[#This Row],[ISI DB]],Table17[[#This Row],[ISI NOTA]]*Table17[[#This Row],[CONV VAR]])</f>
        <v>7</v>
      </c>
      <c r="Q31" t="str" cm="1">
        <f t="array" ref="Q31">IF(Table17[[#This Row],[//CONV]]="",Table17[[#This Row],[SATUAN DB]],INDEX(Table2[2],Table17[[#This Row],[//CONV]]))</f>
        <v>LSN</v>
      </c>
      <c r="R31" cm="1">
        <f t="array" ref="R31">IF(Table17[[#This Row],[dbconcat]]="","",INDEX([3]!Table2[ISI],Table17[[#This Row],[dbconcat]]))</f>
        <v>7</v>
      </c>
      <c r="S31" t="str" cm="1">
        <f t="array" ref="S31">IF(Table17[[#This Row],[dbconcat]]="","",INDEX([3]!Table2[[SATUAN ]],Table17[[#This Row],[dbconcat]]))</f>
        <v>LSN</v>
      </c>
      <c r="T31" t="str">
        <f>IF(Table17[[#This Row],[SATUAN S]]="","",IF(_xlfn.NUMBERVALUE(Table17[[#This Row],[ISI DB]])=_xlfn.NUMBERVALUE(Table17[[#This Row],[ISI S]]),"",1))</f>
        <v/>
      </c>
      <c r="U31" t="str">
        <f>IF(Table17[[#This Row],[SATUAN S]]="","",IF(Table17[[#This Row],[SATUAN DB]]=Table17[[#This Row],[SATUAN S]],"",1))</f>
        <v/>
      </c>
      <c r="V31" t="str">
        <f>IF(Table17[[#This Row],[CEK STN S]]="","",MATCH(CONCATENATE(Table17[[#This Row],[SATUAN CONV]],Table17[[#This Row],[SATUAN S]]),Table2[4],0))</f>
        <v/>
      </c>
      <c r="X31" t="str" cm="1">
        <f t="array" ref="X31">IF(Table17[[#This Row],[CONV2_//]]="","",INDEX(Table2[3],Table17[[#This Row],[CONV2_//]]))</f>
        <v/>
      </c>
      <c r="Y31" s="2" t="str">
        <f>IF(Table17[[#This Row],[CEK ISI S]]="",Table17[[#This Row],[ISI DB]],Table17[[#This Row],[ISI S]])</f>
        <v>7</v>
      </c>
      <c r="Z31" t="str">
        <f>IF(Table17[[#This Row],[CEK STN S]]="",Table17[[#This Row],[SATUAN DB]],Table17[[#This Row],[SATUAN S]])</f>
        <v>LSN</v>
      </c>
      <c r="AA31">
        <f>IF(Table17[[#This Row],[//CONV]]="",Table17[[#This Row],[ISI NOTA]]/Table17[[#This Row],[ISI_C]],Table17[[#This Row],[ISI DB CONV]]/Table17[[#This Row],[ISI_C]])</f>
        <v>1</v>
      </c>
      <c r="AB31">
        <f>INDEX(NOTA[HARGA SATUAN],Sheet1!A:A)</f>
        <v>161000</v>
      </c>
      <c r="AC31">
        <f>IF(Table17[[#This Row],[//CONV]]="",Table17[[#This Row],[HARGA NOTA]],Table17[[#This Row],[HARGA NOTA]]/Table17[[#This Row],[CONV VAR]])</f>
        <v>161000</v>
      </c>
      <c r="AD31">
        <f>IF(Table17[[#This Row],[CEK STN S]]="",Table17[[#This Row],[HARGA CONV]],Table17[[#This Row],[HARGA CONV]]/Table17[[#This Row],[CONV2 VAR]])</f>
        <v>161000</v>
      </c>
      <c r="AE31" s="3">
        <f>IF(INDEX(NOTA[Column6],Sheet1!A:A)=0,"",INDEX(NOTA[Column6],Sheet1!A:A))</f>
        <v>0.05</v>
      </c>
      <c r="AF31" s="3" t="str">
        <f>IF(INDEX(NOTA[Column7],Sheet1!A:A)=0,"",INDEX(NOTA[Column7],Sheet1!A:A))</f>
        <v/>
      </c>
      <c r="AG31" s="3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H31" s="4">
        <f>INDEX(NOTA[HARGA/ CTN_H],Sheet1!A:A)</f>
        <v>1127000</v>
      </c>
      <c r="AI31" s="4">
        <f>IF(Table17[[#This Row],[DISC 3]]="",Table17[[#This Row],[HRG / CTN]],Table17[[#This Row],[HRG / CTN]]-(Table17[[#This Row],[HRG / CTN]]*Table17[[#This Row],[DISC 3]]))</f>
        <v>1070650</v>
      </c>
      <c r="AJ31" s="5" t="e">
        <f>IF(#REF!&lt;1,Table17[[#This Row],[Column9]],Table17[[#This Row],[Column9]]*#REF!)</f>
        <v>#REF!</v>
      </c>
      <c r="AK31" s="4" t="e">
        <f ca="1">IF(NOT(AP32=Table17[[#This Row],[Column6]]),SUMIF(Table17[Column6],Table17[[#This Row],[Column6]],Table17[Column7]),"")</f>
        <v>#REF!</v>
      </c>
      <c r="AL31" s="6">
        <f ca="1">INDEX(NOTA[TGL_H],Sheet1!A:A)</f>
        <v>45477</v>
      </c>
      <c r="AM31" s="6">
        <f ca="1">INDEX(NOTA[TGL.NOTA_H],Sheet1!A:A)</f>
        <v>45477</v>
      </c>
      <c r="AO31" t="str">
        <f>IF(INDEX(NOTA[Column10],A:A)="","",INDEX(NOTA[Column10],A:A))</f>
        <v>DISKON CASH 56,500 (5%)</v>
      </c>
      <c r="AP31" t="str">
        <f ca="1">INDEX(NOTA[NO.NOTA_H],Sheet1!A:A)</f>
        <v>014</v>
      </c>
      <c r="AQ31" t="str">
        <f>INDEX(NOTA[Column10],Sheet1!A:A)</f>
        <v>DISKON CASH 56,500 (5%)</v>
      </c>
      <c r="AR31" s="8" t="str">
        <f ca="1">INDEX(NOTA[SUPPLIER_H],Sheet1!A:A)</f>
        <v>GLORY</v>
      </c>
      <c r="AS31" t="str">
        <f>Table17[[#This Row],[NAMA_C]]</f>
        <v>BK TAMU 15 BATIK</v>
      </c>
      <c r="AT31" t="str">
        <f ca="1">Table17[[#This Row],[SUPPLIER]]</f>
        <v>GLORY</v>
      </c>
      <c r="AU31" t="str">
        <f>SUBSTITUTE(Table17[[#This Row],[CTN]],",",".")</f>
        <v>1</v>
      </c>
      <c r="AV31" s="13" t="str">
        <f>Table17[[#This Row],[ISI_C]]</f>
        <v>7</v>
      </c>
      <c r="AW31" t="str">
        <f>Table17[[#This Row],[SATUAN_C]]</f>
        <v>LSN</v>
      </c>
      <c r="AX31">
        <f>Table17[[#This Row],[HARGA CONV2]]</f>
        <v>161000</v>
      </c>
      <c r="AY31" s="9" t="str">
        <f>SUBSTITUTE(Table17[[#This Row],[DISC 3]],",",".")</f>
        <v>0.05</v>
      </c>
      <c r="AZ31" s="6">
        <f ca="1">Table17[[#This Row],[TGL DATANG]]</f>
        <v>45477</v>
      </c>
      <c r="BA31" s="6">
        <f ca="1">Table17[[#This Row],[Column10]]</f>
        <v>45477</v>
      </c>
      <c r="BB31" s="7"/>
      <c r="BC31" t="str">
        <f>Table17[[#This Row],[KETERANGAN CONDRO]]</f>
        <v>DISKON CASH 56,500 (5%)</v>
      </c>
      <c r="BD31" t="str">
        <f ca="1">Table17[[#This Row],[Column6]]</f>
        <v>014</v>
      </c>
    </row>
    <row r="32" spans="1:56">
      <c r="A32" s="56">
        <v>39</v>
      </c>
      <c r="C32">
        <f>INDEX(NOTA[//DB],Sheet1!A:A)</f>
        <v>2913</v>
      </c>
      <c r="D32">
        <f>_xlfn.IFNA(MATCH(Table17[[#This Row],[//db]],[3]!Table2[\\],0),"")</f>
        <v>2938</v>
      </c>
      <c r="E32" t="str">
        <f>INDEX([3]!db[NB NOTA],Table17[[#This Row],[//db]])</f>
        <v>SP BAG JASMIN KECIL</v>
      </c>
      <c r="F32" t="str">
        <f>INDEX([3]!db[NB BM],Table17[[#This Row],[//db]])</f>
        <v>Tas Jasmin Kecil</v>
      </c>
      <c r="G32" t="str">
        <f>IF(Table17[[#This Row],[dbconcat]]="","",INDEX([3]!Table2[NAMA],Table17[[#This Row],[dbconcat]]))</f>
        <v>TAS JASMIN KECIL</v>
      </c>
      <c r="H32" t="str">
        <f>INDEX([3]!Table2[KODE BARANG],Table17[[#This Row],[dbconcat]])</f>
        <v>TAS-NB148</v>
      </c>
      <c r="I32" t="str">
        <f>IF(Table17[[#This Row],[NAMA_3]]="",UPPER(Table17[[#This Row],[NAMA_2]]),Table17[[#This Row],[NAMA_3]])</f>
        <v>TAS JASMIN KECIL</v>
      </c>
      <c r="J32">
        <f>INDEX(NOTA[QTY],Sheet1!A:A)</f>
        <v>405</v>
      </c>
      <c r="K32" t="str">
        <f>INDEX(NOTA[STN],Sheet1!A:A)</f>
        <v>LSN</v>
      </c>
      <c r="L32" t="str">
        <f>INDEX([3]!db[QTY B],Table17[[#This Row],[//db]])</f>
        <v>45</v>
      </c>
      <c r="M32" t="str">
        <f>INDEX([3]!db[STN B],Table17[[#This Row],[//db]])</f>
        <v>LSN</v>
      </c>
      <c r="N32" t="str">
        <f>IF(Table17[[#This Row],[SATUAN NOTA]]=Table17[[#This Row],[SATUAN DB]],"", MATCH(CONCATENATE(Table17[[#This Row],[SATUAN NOTA]],Table17[[#This Row],[SATUAN DB]]),Table2[4],0))</f>
        <v/>
      </c>
      <c r="O32" t="str" cm="1">
        <f t="array" ref="O32">IF(Table17[[#This Row],[//CONV]]="","",INDEX(Table2[3],Table17[[#This Row],[//CONV]]))</f>
        <v/>
      </c>
      <c r="P32" t="str">
        <f>IF(Table17[[#This Row],[//CONV]]="",Table17[[#This Row],[ISI DB]],Table17[[#This Row],[ISI NOTA]]*Table17[[#This Row],[CONV VAR]])</f>
        <v>45</v>
      </c>
      <c r="Q32" t="str" cm="1">
        <f t="array" ref="Q32">IF(Table17[[#This Row],[//CONV]]="",Table17[[#This Row],[SATUAN DB]],INDEX(Table2[2],Table17[[#This Row],[//CONV]]))</f>
        <v>LSN</v>
      </c>
      <c r="R32" cm="1">
        <f t="array" ref="R32">IF(Table17[[#This Row],[dbconcat]]="","",INDEX([3]!Table2[ISI],Table17[[#This Row],[dbconcat]]))</f>
        <v>45</v>
      </c>
      <c r="S32" t="str" cm="1">
        <f t="array" ref="S32">IF(Table17[[#This Row],[dbconcat]]="","",INDEX([3]!Table2[[SATUAN ]],Table17[[#This Row],[dbconcat]]))</f>
        <v>LSN</v>
      </c>
      <c r="T32" t="str">
        <f>IF(Table17[[#This Row],[SATUAN S]]="","",IF(_xlfn.NUMBERVALUE(Table17[[#This Row],[ISI DB]])=_xlfn.NUMBERVALUE(Table17[[#This Row],[ISI S]]),"",1))</f>
        <v/>
      </c>
      <c r="U32" t="str">
        <f>IF(Table17[[#This Row],[SATUAN S]]="","",IF(Table17[[#This Row],[SATUAN DB]]=Table17[[#This Row],[SATUAN S]],"",1))</f>
        <v/>
      </c>
      <c r="V32" t="str">
        <f>IF(Table17[[#This Row],[CEK STN S]]="","",MATCH(CONCATENATE(Table17[[#This Row],[SATUAN CONV]],Table17[[#This Row],[SATUAN S]]),Table2[4],0))</f>
        <v/>
      </c>
      <c r="X32" t="str" cm="1">
        <f t="array" ref="X32">IF(Table17[[#This Row],[CONV2_//]]="","",INDEX(Table2[3],Table17[[#This Row],[CONV2_//]]))</f>
        <v/>
      </c>
      <c r="Y32" s="2" t="str">
        <f>IF(Table17[[#This Row],[CEK ISI S]]="",Table17[[#This Row],[ISI DB]],Table17[[#This Row],[ISI S]])</f>
        <v>45</v>
      </c>
      <c r="Z32" t="str">
        <f>IF(Table17[[#This Row],[CEK STN S]]="",Table17[[#This Row],[SATUAN DB]],Table17[[#This Row],[SATUAN S]])</f>
        <v>LSN</v>
      </c>
      <c r="AA32">
        <f>IF(Table17[[#This Row],[//CONV]]="",Table17[[#This Row],[ISI NOTA]]/Table17[[#This Row],[ISI_C]],Table17[[#This Row],[ISI DB CONV]]/Table17[[#This Row],[ISI_C]])</f>
        <v>9</v>
      </c>
      <c r="AB32">
        <f>INDEX(NOTA[HARGA SATUAN],Sheet1!A:A)</f>
        <v>27500</v>
      </c>
      <c r="AC32">
        <f>IF(Table17[[#This Row],[//CONV]]="",Table17[[#This Row],[HARGA NOTA]],Table17[[#This Row],[HARGA NOTA]]/Table17[[#This Row],[CONV VAR]])</f>
        <v>27500</v>
      </c>
      <c r="AD32">
        <f>IF(Table17[[#This Row],[CEK STN S]]="",Table17[[#This Row],[HARGA CONV]],Table17[[#This Row],[HARGA CONV]]/Table17[[#This Row],[CONV2 VAR]])</f>
        <v>27500</v>
      </c>
      <c r="AE32" s="3" t="str">
        <f>IF(INDEX(NOTA[Column6],Sheet1!A:A)=0,"",INDEX(NOTA[Column6],Sheet1!A:A))</f>
        <v/>
      </c>
      <c r="AF32" s="3" t="str">
        <f>IF(INDEX(NOTA[Column7],Sheet1!A:A)=0,"",INDEX(NOTA[Column7],Sheet1!A:A))</f>
        <v/>
      </c>
      <c r="AG3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2" s="4">
        <f>INDEX(NOTA[HARGA/ CTN_H],Sheet1!A:A)</f>
        <v>1237500</v>
      </c>
      <c r="AI32" s="4">
        <f>IF(Table17[[#This Row],[DISC 3]]="",Table17[[#This Row],[HRG / CTN]],Table17[[#This Row],[HRG / CTN]]-(Table17[[#This Row],[HRG / CTN]]*Table17[[#This Row],[DISC 3]]))</f>
        <v>1237500</v>
      </c>
      <c r="AJ32" s="5" t="e">
        <f>IF(#REF!&lt;1,Table17[[#This Row],[Column9]],Table17[[#This Row],[Column9]]*#REF!)</f>
        <v>#REF!</v>
      </c>
      <c r="AK32" s="4" t="e">
        <f ca="1">IF(NOT(AP33=Table17[[#This Row],[Column6]]),SUMIF(Table17[Column6],Table17[[#This Row],[Column6]],Table17[Column7]),"")</f>
        <v>#REF!</v>
      </c>
      <c r="AL32" s="6">
        <f ca="1">INDEX(NOTA[TGL_H],Sheet1!A:A)</f>
        <v>45478</v>
      </c>
      <c r="AM32" s="6">
        <f ca="1">INDEX(NOTA[TGL.NOTA_H],Sheet1!A:A)</f>
        <v>45475</v>
      </c>
      <c r="AO32" t="str">
        <f>IF(INDEX(NOTA[Column10],A:A)="","",INDEX(NOTA[Column10],A:A))</f>
        <v/>
      </c>
      <c r="AP32" t="str">
        <f ca="1">INDEX(NOTA[NO.NOTA_H],Sheet1!A:A)</f>
        <v>H20</v>
      </c>
      <c r="AQ32">
        <f>INDEX(NOTA[Column10],Sheet1!A:A)</f>
        <v>0</v>
      </c>
      <c r="AR32" s="8" t="str">
        <f ca="1">INDEX(NOTA[SUPPLIER_H],Sheet1!A:A)</f>
        <v>ALPINDO</v>
      </c>
      <c r="AS32" t="str">
        <f>Table17[[#This Row],[NAMA_C]]</f>
        <v>TAS JASMIN KECIL</v>
      </c>
      <c r="AT32" t="str">
        <f ca="1">Table17[[#This Row],[SUPPLIER]]</f>
        <v>ALPINDO</v>
      </c>
      <c r="AU32" t="str">
        <f>SUBSTITUTE(Table17[[#This Row],[CTN]],",",".")</f>
        <v>9</v>
      </c>
      <c r="AV32" s="13" t="str">
        <f>Table17[[#This Row],[ISI_C]]</f>
        <v>45</v>
      </c>
      <c r="AW32" t="str">
        <f>Table17[[#This Row],[SATUAN_C]]</f>
        <v>LSN</v>
      </c>
      <c r="AX32">
        <f>Table17[[#This Row],[HARGA CONV2]]</f>
        <v>27500</v>
      </c>
      <c r="AY32" s="9" t="str">
        <f>SUBSTITUTE(Table17[[#This Row],[DISC 3]],",",".")</f>
        <v/>
      </c>
      <c r="AZ32" s="6">
        <f ca="1">Table17[[#This Row],[TGL DATANG]]</f>
        <v>45478</v>
      </c>
      <c r="BA32" s="6">
        <f ca="1">Table17[[#This Row],[Column10]]</f>
        <v>45475</v>
      </c>
      <c r="BB32" s="7"/>
      <c r="BC32" t="str">
        <f>Table17[[#This Row],[KETERANGAN CONDRO]]</f>
        <v/>
      </c>
      <c r="BD32" t="str">
        <f ca="1">Table17[[#This Row],[Column6]]</f>
        <v>H20</v>
      </c>
    </row>
    <row r="33" spans="1:56">
      <c r="A33" s="56">
        <v>41</v>
      </c>
      <c r="C33">
        <f>INDEX(NOTA[//DB],Sheet1!A:A)</f>
        <v>3452</v>
      </c>
      <c r="D33">
        <f>_xlfn.IFNA(MATCH(Table17[[#This Row],[//db]],[3]!Table2[\\],0),"")</f>
        <v>591</v>
      </c>
      <c r="E33" t="str">
        <f>INDEX([3]!db[NB NOTA],Table17[[#This Row],[//db]])</f>
        <v>GEL DEBOZZ 0,28 DB-GP800B</v>
      </c>
      <c r="F33" t="str">
        <f>INDEX([3]!db[NB BM],Table17[[#This Row],[//db]])</f>
        <v>BP DEBOZZ 0.28 DB-GP 800 HI-Q</v>
      </c>
      <c r="G33" t="str">
        <f>IF(Table17[[#This Row],[dbconcat]]="","",INDEX([3]!Table2[NAMA],Table17[[#This Row],[dbconcat]]))</f>
        <v>BP DEBOZZ 0.28 DB-GP 800 HI-Q</v>
      </c>
      <c r="H33" t="str">
        <f>INDEX([3]!Table2[KODE BARANG],Table17[[#This Row],[dbconcat]])</f>
        <v>BOL-DB208</v>
      </c>
      <c r="I33" t="str">
        <f>IF(Table17[[#This Row],[NAMA_3]]="",UPPER(Table17[[#This Row],[NAMA_2]]),Table17[[#This Row],[NAMA_3]])</f>
        <v>BP DEBOZZ 0.28 DB-GP 800 HI-Q</v>
      </c>
      <c r="J33">
        <f>INDEX(NOTA[QTY],Sheet1!A:A)</f>
        <v>720</v>
      </c>
      <c r="K33" t="str">
        <f>INDEX(NOTA[STN],Sheet1!A:A)</f>
        <v>LSN</v>
      </c>
      <c r="L33" t="str">
        <f>INDEX([3]!db[QTY B],Table17[[#This Row],[//db]])</f>
        <v>144</v>
      </c>
      <c r="M33" t="str">
        <f>INDEX([3]!db[STN B],Table17[[#This Row],[//db]])</f>
        <v>LSN</v>
      </c>
      <c r="N33" t="str">
        <f>IF(Table17[[#This Row],[SATUAN NOTA]]=Table17[[#This Row],[SATUAN DB]],"", MATCH(CONCATENATE(Table17[[#This Row],[SATUAN NOTA]],Table17[[#This Row],[SATUAN DB]]),Table2[4],0))</f>
        <v/>
      </c>
      <c r="O33" t="str" cm="1">
        <f t="array" ref="O33">IF(Table17[[#This Row],[//CONV]]="","",INDEX(Table2[3],Table17[[#This Row],[//CONV]]))</f>
        <v/>
      </c>
      <c r="P33" t="str">
        <f>IF(Table17[[#This Row],[//CONV]]="",Table17[[#This Row],[ISI DB]],Table17[[#This Row],[ISI NOTA]]*Table17[[#This Row],[CONV VAR]])</f>
        <v>144</v>
      </c>
      <c r="Q33" t="str" cm="1">
        <f t="array" ref="Q33">IF(Table17[[#This Row],[//CONV]]="",Table17[[#This Row],[SATUAN DB]],INDEX(Table2[2],Table17[[#This Row],[//CONV]]))</f>
        <v>LSN</v>
      </c>
      <c r="R33" cm="1">
        <f t="array" ref="R33">IF(Table17[[#This Row],[dbconcat]]="","",INDEX([3]!Table2[ISI],Table17[[#This Row],[dbconcat]]))</f>
        <v>144</v>
      </c>
      <c r="S33" t="str" cm="1">
        <f t="array" ref="S33">IF(Table17[[#This Row],[dbconcat]]="","",INDEX([3]!Table2[[SATUAN ]],Table17[[#This Row],[dbconcat]]))</f>
        <v>LSN</v>
      </c>
      <c r="T33" t="str">
        <f>IF(Table17[[#This Row],[SATUAN S]]="","",IF(_xlfn.NUMBERVALUE(Table17[[#This Row],[ISI DB]])=_xlfn.NUMBERVALUE(Table17[[#This Row],[ISI S]]),"",1))</f>
        <v/>
      </c>
      <c r="U33" t="str">
        <f>IF(Table17[[#This Row],[SATUAN S]]="","",IF(Table17[[#This Row],[SATUAN DB]]=Table17[[#This Row],[SATUAN S]],"",1))</f>
        <v/>
      </c>
      <c r="V33" t="str">
        <f>IF(Table17[[#This Row],[CEK STN S]]="","",MATCH(CONCATENATE(Table17[[#This Row],[SATUAN CONV]],Table17[[#This Row],[SATUAN S]]),Table2[4],0))</f>
        <v/>
      </c>
      <c r="X33" t="str" cm="1">
        <f t="array" ref="X33">IF(Table17[[#This Row],[CONV2_//]]="","",INDEX(Table2[3],Table17[[#This Row],[CONV2_//]]))</f>
        <v/>
      </c>
      <c r="Y33" s="2" t="str">
        <f>IF(Table17[[#This Row],[CEK ISI S]]="",Table17[[#This Row],[ISI DB]],Table17[[#This Row],[ISI S]])</f>
        <v>144</v>
      </c>
      <c r="Z33" t="str">
        <f>IF(Table17[[#This Row],[CEK STN S]]="",Table17[[#This Row],[SATUAN DB]],Table17[[#This Row],[SATUAN S]])</f>
        <v>LSN</v>
      </c>
      <c r="AA33">
        <f>IF(Table17[[#This Row],[//CONV]]="",Table17[[#This Row],[ISI NOTA]]/Table17[[#This Row],[ISI_C]],Table17[[#This Row],[ISI DB CONV]]/Table17[[#This Row],[ISI_C]])</f>
        <v>5</v>
      </c>
      <c r="AB33">
        <f>INDEX(NOTA[HARGA SATUAN],Sheet1!A:A)</f>
        <v>21000</v>
      </c>
      <c r="AC33">
        <f>IF(Table17[[#This Row],[//CONV]]="",Table17[[#This Row],[HARGA NOTA]],Table17[[#This Row],[HARGA NOTA]]/Table17[[#This Row],[CONV VAR]])</f>
        <v>21000</v>
      </c>
      <c r="AD33">
        <f>IF(Table17[[#This Row],[CEK STN S]]="",Table17[[#This Row],[HARGA CONV]],Table17[[#This Row],[HARGA CONV]]/Table17[[#This Row],[CONV2 VAR]])</f>
        <v>21000</v>
      </c>
      <c r="AE33" s="3">
        <f>IF(INDEX(NOTA[Column6],Sheet1!A:A)=0,"",INDEX(NOTA[Column6],Sheet1!A:A))</f>
        <v>0.4</v>
      </c>
      <c r="AF33" s="3" t="str">
        <f>IF(INDEX(NOTA[Column7],Sheet1!A:A)=0,"",INDEX(NOTA[Column7],Sheet1!A:A))</f>
        <v/>
      </c>
      <c r="AG33" s="3">
        <f>IF(Table17[[#This Row],[DISC 1]]="","",IF(Table17[[#This Row],[DISC 2]]="",Table17[[#This Row],[DISC 1]],Table17[[#This Row],[DISC 1]]+Table17[[#This Row],[DISC 2]]-(Table17[[#This Row],[DISC 1]]*Table17[[#This Row],[DISC 2]])))</f>
        <v>0.4</v>
      </c>
      <c r="AH33" s="4">
        <f>INDEX(NOTA[HARGA/ CTN_H],Sheet1!A:A)</f>
        <v>3024000</v>
      </c>
      <c r="AI33" s="4">
        <f>IF(Table17[[#This Row],[DISC 3]]="",Table17[[#This Row],[HRG / CTN]],Table17[[#This Row],[HRG / CTN]]-(Table17[[#This Row],[HRG / CTN]]*Table17[[#This Row],[DISC 3]]))</f>
        <v>1814400</v>
      </c>
      <c r="AJ33" s="5" t="e">
        <f>IF(#REF!&lt;1,Table17[[#This Row],[Column9]],Table17[[#This Row],[Column9]]*#REF!)</f>
        <v>#REF!</v>
      </c>
      <c r="AK33" s="4" t="e">
        <f ca="1">IF(NOT(AP34=Table17[[#This Row],[Column6]]),SUMIF(Table17[Column6],Table17[[#This Row],[Column6]],Table17[Column7]),"")</f>
        <v>#REF!</v>
      </c>
      <c r="AL33" s="6">
        <f ca="1">INDEX(NOTA[TGL_H],Sheet1!A:A)</f>
        <v>45478</v>
      </c>
      <c r="AM33" s="6">
        <f ca="1">INDEX(NOTA[TGL.NOTA_H],Sheet1!A:A)</f>
        <v>45474</v>
      </c>
      <c r="AO33" t="str">
        <f>IF(INDEX(NOTA[Column10],A:A)="","",INDEX(NOTA[Column10],A:A))</f>
        <v/>
      </c>
      <c r="AP33" t="str">
        <f ca="1">INDEX(NOTA[NO.NOTA_H],Sheet1!A:A)</f>
        <v>JUG016/24</v>
      </c>
      <c r="AQ33">
        <f>INDEX(NOTA[Column10],Sheet1!A:A)</f>
        <v>0</v>
      </c>
      <c r="AR33" s="8" t="str">
        <f ca="1">INDEX(NOTA[SUPPLIER_H],Sheet1!A:A)</f>
        <v>DB STATIONERY</v>
      </c>
      <c r="AS33" t="str">
        <f>Table17[[#This Row],[NAMA_C]]</f>
        <v>BP DEBOZZ 0.28 DB-GP 800 HI-Q</v>
      </c>
      <c r="AT33" t="str">
        <f ca="1">Table17[[#This Row],[SUPPLIER]]</f>
        <v>DB STATIONERY</v>
      </c>
      <c r="AU33" t="str">
        <f>SUBSTITUTE(Table17[[#This Row],[CTN]],",",".")</f>
        <v>5</v>
      </c>
      <c r="AV33" s="13" t="str">
        <f>Table17[[#This Row],[ISI_C]]</f>
        <v>144</v>
      </c>
      <c r="AW33" t="str">
        <f>Table17[[#This Row],[SATUAN_C]]</f>
        <v>LSN</v>
      </c>
      <c r="AX33">
        <f>Table17[[#This Row],[HARGA CONV2]]</f>
        <v>21000</v>
      </c>
      <c r="AY33" s="9" t="str">
        <f>SUBSTITUTE(Table17[[#This Row],[DISC 3]],",",".")</f>
        <v>0.4</v>
      </c>
      <c r="AZ33" s="6">
        <f ca="1">Table17[[#This Row],[TGL DATANG]]</f>
        <v>45478</v>
      </c>
      <c r="BA33" s="6">
        <f ca="1">Table17[[#This Row],[Column10]]</f>
        <v>45474</v>
      </c>
      <c r="BB33" s="7"/>
      <c r="BC33" t="str">
        <f>Table17[[#This Row],[KETERANGAN CONDRO]]</f>
        <v/>
      </c>
      <c r="BD33" t="str">
        <f ca="1">Table17[[#This Row],[Column6]]</f>
        <v>JUG016/24</v>
      </c>
    </row>
    <row r="34" spans="1:56">
      <c r="A34" s="55">
        <v>43</v>
      </c>
      <c r="C34">
        <f>INDEX(NOTA[//DB],Sheet1!A:A)</f>
        <v>155</v>
      </c>
      <c r="D34">
        <f>_xlfn.IFNA(MATCH(Table17[[#This Row],[//db]],[3]!Table2[\\],0),"")</f>
        <v>711</v>
      </c>
      <c r="E34" t="str">
        <f>INDEX([3]!db[NB NOTA],Table17[[#This Row],[//db]])</f>
        <v>BALLPEN GEL TF-3115 0.3MM HIGHTECH KNOCK</v>
      </c>
      <c r="F34" t="str">
        <f>INDEX([3]!db[NB BM],Table17[[#This Row],[//db]])</f>
        <v>BP TF-3115 HIGHTECH KNOCK</v>
      </c>
      <c r="G34" t="str">
        <f>IF(Table17[[#This Row],[dbconcat]]="","",INDEX([3]!Table2[NAMA],Table17[[#This Row],[dbconcat]]))</f>
        <v>BP TF-3115 HIGHTECH KNOCK</v>
      </c>
      <c r="H34" t="str">
        <f>INDEX([3]!Table2[KODE BARANG],Table17[[#This Row],[dbconcat]])</f>
        <v>BOL-TF330</v>
      </c>
      <c r="I34" t="str">
        <f>IF(Table17[[#This Row],[NAMA_3]]="",UPPER(Table17[[#This Row],[NAMA_2]]),Table17[[#This Row],[NAMA_3]])</f>
        <v>BP TF-3115 HIGHTECH KNOCK</v>
      </c>
      <c r="J34">
        <f>INDEX(NOTA[QTY],Sheet1!A:A)</f>
        <v>288</v>
      </c>
      <c r="K34" t="str">
        <f>INDEX(NOTA[STN],Sheet1!A:A)</f>
        <v>LSN</v>
      </c>
      <c r="L34" t="str">
        <f>INDEX([3]!db[QTY B],Table17[[#This Row],[//db]])</f>
        <v>96</v>
      </c>
      <c r="M34" t="str">
        <f>INDEX([3]!db[STN B],Table17[[#This Row],[//db]])</f>
        <v>LSN</v>
      </c>
      <c r="N34" t="str">
        <f>IF(Table17[[#This Row],[SATUAN NOTA]]=Table17[[#This Row],[SATUAN DB]],"", MATCH(CONCATENATE(Table17[[#This Row],[SATUAN NOTA]],Table17[[#This Row],[SATUAN DB]]),Table2[4],0))</f>
        <v/>
      </c>
      <c r="O34" t="str" cm="1">
        <f t="array" ref="O34">IF(Table17[[#This Row],[//CONV]]="","",INDEX(Table2[3],Table17[[#This Row],[//CONV]]))</f>
        <v/>
      </c>
      <c r="P34" t="str">
        <f>IF(Table17[[#This Row],[//CONV]]="",Table17[[#This Row],[ISI DB]],Table17[[#This Row],[ISI NOTA]]*Table17[[#This Row],[CONV VAR]])</f>
        <v>96</v>
      </c>
      <c r="Q34" t="str" cm="1">
        <f t="array" ref="Q34">IF(Table17[[#This Row],[//CONV]]="",Table17[[#This Row],[SATUAN DB]],INDEX(Table2[2],Table17[[#This Row],[//CONV]]))</f>
        <v>LSN</v>
      </c>
      <c r="R34" cm="1">
        <f t="array" ref="R34">IF(Table17[[#This Row],[dbconcat]]="","",INDEX([3]!Table2[ISI],Table17[[#This Row],[dbconcat]]))</f>
        <v>144</v>
      </c>
      <c r="S34" t="str" cm="1">
        <f t="array" ref="S34">IF(Table17[[#This Row],[dbconcat]]="","",INDEX([3]!Table2[[SATUAN ]],Table17[[#This Row],[dbconcat]]))</f>
        <v>LSN</v>
      </c>
      <c r="T34">
        <f>IF(Table17[[#This Row],[SATUAN S]]="","",IF(_xlfn.NUMBERVALUE(Table17[[#This Row],[ISI DB]])=_xlfn.NUMBERVALUE(Table17[[#This Row],[ISI S]]),"",1))</f>
        <v>1</v>
      </c>
      <c r="U34" t="str">
        <f>IF(Table17[[#This Row],[SATUAN S]]="","",IF(Table17[[#This Row],[SATUAN DB]]=Table17[[#This Row],[SATUAN S]],"",1))</f>
        <v/>
      </c>
      <c r="V34" t="str">
        <f>IF(Table17[[#This Row],[CEK STN S]]="","",MATCH(CONCATENATE(Table17[[#This Row],[SATUAN CONV]],Table17[[#This Row],[SATUAN S]]),Table2[4],0))</f>
        <v/>
      </c>
      <c r="X34" t="str" cm="1">
        <f t="array" ref="X34">IF(Table17[[#This Row],[CONV2_//]]="","",INDEX(Table2[3],Table17[[#This Row],[CONV2_//]]))</f>
        <v/>
      </c>
      <c r="Y34" s="2">
        <f>IF(Table17[[#This Row],[CEK ISI S]]="",Table17[[#This Row],[ISI DB]],Table17[[#This Row],[ISI S]])</f>
        <v>144</v>
      </c>
      <c r="Z34" t="str">
        <f>IF(Table17[[#This Row],[CEK STN S]]="",Table17[[#This Row],[SATUAN DB]],Table17[[#This Row],[SATUAN S]])</f>
        <v>LSN</v>
      </c>
      <c r="AA34">
        <f>IF(Table17[[#This Row],[//CONV]]="",Table17[[#This Row],[ISI NOTA]]/Table17[[#This Row],[ISI_C]],Table17[[#This Row],[ISI DB CONV]]/Table17[[#This Row],[ISI_C]])</f>
        <v>2</v>
      </c>
      <c r="AB34">
        <f>INDEX(NOTA[HARGA SATUAN],Sheet1!A:A)</f>
        <v>30500</v>
      </c>
      <c r="AC34">
        <f>IF(Table17[[#This Row],[//CONV]]="",Table17[[#This Row],[HARGA NOTA]],Table17[[#This Row],[HARGA NOTA]]/Table17[[#This Row],[CONV VAR]])</f>
        <v>30500</v>
      </c>
      <c r="AD34">
        <f>IF(Table17[[#This Row],[CEK STN S]]="",Table17[[#This Row],[HARGA CONV]],Table17[[#This Row],[HARGA CONV]]/Table17[[#This Row],[CONV2 VAR]])</f>
        <v>30500</v>
      </c>
      <c r="AE34" s="3">
        <f>IF(INDEX(NOTA[Column6],Sheet1!A:A)=0,"",INDEX(NOTA[Column6],Sheet1!A:A))</f>
        <v>0.03</v>
      </c>
      <c r="AF34" s="3" t="str">
        <f>IF(INDEX(NOTA[Column7],Sheet1!A:A)=0,"",INDEX(NOTA[Column7],Sheet1!A:A))</f>
        <v/>
      </c>
      <c r="AG34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34" s="4">
        <f>INDEX(NOTA[HARGA/ CTN_H],Sheet1!A:A)</f>
        <v>2928000</v>
      </c>
      <c r="AI34" s="4">
        <f>IF(Table17[[#This Row],[DISC 3]]="",Table17[[#This Row],[HRG / CTN]],Table17[[#This Row],[HRG / CTN]]-(Table17[[#This Row],[HRG / CTN]]*Table17[[#This Row],[DISC 3]]))</f>
        <v>2840160</v>
      </c>
      <c r="AJ34" s="5" t="e">
        <f>IF(#REF!&lt;1,Table17[[#This Row],[Column9]],Table17[[#This Row],[Column9]]*#REF!)</f>
        <v>#REF!</v>
      </c>
      <c r="AK34" s="4" t="e">
        <f ca="1">IF(NOT(AP35=Table17[[#This Row],[Column6]]),SUMIF(Table17[Column6],Table17[[#This Row],[Column6]],Table17[Column7]),"")</f>
        <v>#REF!</v>
      </c>
      <c r="AL34" s="6">
        <f ca="1">INDEX(NOTA[TGL_H],Sheet1!A:A)</f>
        <v>45478</v>
      </c>
      <c r="AM34" s="6">
        <f ca="1">INDEX(NOTA[TGL.NOTA_H],Sheet1!A:A)</f>
        <v>45475</v>
      </c>
      <c r="AO34" t="str">
        <f>IF(INDEX(NOTA[Column10],A:A)="","",INDEX(NOTA[Column10],A:A))</f>
        <v/>
      </c>
      <c r="AP34" t="str">
        <f ca="1">INDEX(NOTA[NO.NOTA_H],Sheet1!A:A)</f>
        <v>HM/123/07-24H</v>
      </c>
      <c r="AQ34">
        <f>INDEX(NOTA[Column10],Sheet1!A:A)</f>
        <v>0</v>
      </c>
      <c r="AR34" s="8" t="str">
        <f ca="1">INDEX(NOTA[SUPPLIER_H],Sheet1!A:A)</f>
        <v>DUTA BUANA</v>
      </c>
      <c r="AS34" t="str">
        <f>Table17[[#This Row],[NAMA_C]]</f>
        <v>BP TF-3115 HIGHTECH KNOCK</v>
      </c>
      <c r="AT34" t="str">
        <f ca="1">Table17[[#This Row],[SUPPLIER]]</f>
        <v>DUTA BUANA</v>
      </c>
      <c r="AU34" t="str">
        <f>SUBSTITUTE(Table17[[#This Row],[CTN]],",",".")</f>
        <v>2</v>
      </c>
      <c r="AV34" s="13">
        <f>Table17[[#This Row],[ISI_C]]</f>
        <v>144</v>
      </c>
      <c r="AW34" t="str">
        <f>Table17[[#This Row],[SATUAN_C]]</f>
        <v>LSN</v>
      </c>
      <c r="AX34">
        <f>Table17[[#This Row],[HARGA CONV2]]</f>
        <v>30500</v>
      </c>
      <c r="AY34" s="9" t="str">
        <f>SUBSTITUTE(Table17[[#This Row],[DISC 3]],",",".")</f>
        <v>0.03</v>
      </c>
      <c r="AZ34" s="6">
        <f ca="1">Table17[[#This Row],[TGL DATANG]]</f>
        <v>45478</v>
      </c>
      <c r="BA34" s="6">
        <f ca="1">Table17[[#This Row],[Column10]]</f>
        <v>45475</v>
      </c>
      <c r="BB34" s="7"/>
      <c r="BC34" t="str">
        <f>Table17[[#This Row],[KETERANGAN CONDRO]]</f>
        <v/>
      </c>
      <c r="BD34" t="str">
        <f ca="1">Table17[[#This Row],[Column6]]</f>
        <v>HM/123/07-24H</v>
      </c>
    </row>
    <row r="35" spans="1:56">
      <c r="A35" s="55">
        <v>45</v>
      </c>
      <c r="C35">
        <f>INDEX(NOTA[//DB],Sheet1!A:A)</f>
        <v>148</v>
      </c>
      <c r="D35">
        <f>_xlfn.IFNA(MATCH(Table17[[#This Row],[//db]],[3]!Table2[\\],0),"")</f>
        <v>725</v>
      </c>
      <c r="E35" t="str">
        <f>INDEX([3]!db[NB NOTA],Table17[[#This Row],[//db]])</f>
        <v>BALLPEN GEL TF G-3114 0.3MM HIGHTECH KNOCK</v>
      </c>
      <c r="F35" t="str">
        <f>INDEX([3]!db[NB BM],Table17[[#This Row],[//db]])</f>
        <v>BP TF G-3114 0.3MM HIGHTECH KNOCK</v>
      </c>
      <c r="G35" t="str">
        <f>IF(Table17[[#This Row],[dbconcat]]="","",INDEX([3]!Table2[NAMA],Table17[[#This Row],[dbconcat]]))</f>
        <v>BP TF G-3114 0.3MM HIGHTECH KNOCK</v>
      </c>
      <c r="H35" t="str">
        <f>INDEX([3]!Table2[KODE BARANG],Table17[[#This Row],[dbconcat]])</f>
        <v>BOL-TF344</v>
      </c>
      <c r="I35" t="str">
        <f>IF(Table17[[#This Row],[NAMA_3]]="",UPPER(Table17[[#This Row],[NAMA_2]]),Table17[[#This Row],[NAMA_3]])</f>
        <v>BP TF G-3114 0.3MM HIGHTECH KNOCK</v>
      </c>
      <c r="J35">
        <f>INDEX(NOTA[QTY],Sheet1!A:A)</f>
        <v>288</v>
      </c>
      <c r="K35" t="str">
        <f>INDEX(NOTA[STN],Sheet1!A:A)</f>
        <v>LSN</v>
      </c>
      <c r="L35" t="str">
        <f>INDEX([3]!db[QTY B],Table17[[#This Row],[//db]])</f>
        <v>96</v>
      </c>
      <c r="M35" t="str">
        <f>INDEX([3]!db[STN B],Table17[[#This Row],[//db]])</f>
        <v>LSN</v>
      </c>
      <c r="N35" t="str">
        <f>IF(Table17[[#This Row],[SATUAN NOTA]]=Table17[[#This Row],[SATUAN DB]],"", MATCH(CONCATENATE(Table17[[#This Row],[SATUAN NOTA]],Table17[[#This Row],[SATUAN DB]]),Table2[4],0))</f>
        <v/>
      </c>
      <c r="O35" t="str" cm="1">
        <f t="array" ref="O35">IF(Table17[[#This Row],[//CONV]]="","",INDEX(Table2[3],Table17[[#This Row],[//CONV]]))</f>
        <v/>
      </c>
      <c r="P35" t="str">
        <f>IF(Table17[[#This Row],[//CONV]]="",Table17[[#This Row],[ISI DB]],Table17[[#This Row],[ISI NOTA]]*Table17[[#This Row],[CONV VAR]])</f>
        <v>96</v>
      </c>
      <c r="Q35" t="str" cm="1">
        <f t="array" ref="Q35">IF(Table17[[#This Row],[//CONV]]="",Table17[[#This Row],[SATUAN DB]],INDEX(Table2[2],Table17[[#This Row],[//CONV]]))</f>
        <v>LSN</v>
      </c>
      <c r="R35" cm="1">
        <f t="array" ref="R35">IF(Table17[[#This Row],[dbconcat]]="","",INDEX([3]!Table2[ISI],Table17[[#This Row],[dbconcat]]))</f>
        <v>96</v>
      </c>
      <c r="S35" t="str" cm="1">
        <f t="array" ref="S35">IF(Table17[[#This Row],[dbconcat]]="","",INDEX([3]!Table2[[SATUAN ]],Table17[[#This Row],[dbconcat]]))</f>
        <v>LSN</v>
      </c>
      <c r="T35" t="str">
        <f>IF(Table17[[#This Row],[SATUAN S]]="","",IF(_xlfn.NUMBERVALUE(Table17[[#This Row],[ISI DB]])=_xlfn.NUMBERVALUE(Table17[[#This Row],[ISI S]]),"",1))</f>
        <v/>
      </c>
      <c r="U35" t="str">
        <f>IF(Table17[[#This Row],[SATUAN S]]="","",IF(Table17[[#This Row],[SATUAN DB]]=Table17[[#This Row],[SATUAN S]],"",1))</f>
        <v/>
      </c>
      <c r="V35" t="str">
        <f>IF(Table17[[#This Row],[CEK STN S]]="","",MATCH(CONCATENATE(Table17[[#This Row],[SATUAN CONV]],Table17[[#This Row],[SATUAN S]]),Table2[4],0))</f>
        <v/>
      </c>
      <c r="X35" t="str" cm="1">
        <f t="array" ref="X35">IF(Table17[[#This Row],[CONV2_//]]="","",INDEX(Table2[3],Table17[[#This Row],[CONV2_//]]))</f>
        <v/>
      </c>
      <c r="Y35" s="2" t="str">
        <f>IF(Table17[[#This Row],[CEK ISI S]]="",Table17[[#This Row],[ISI DB]],Table17[[#This Row],[ISI S]])</f>
        <v>96</v>
      </c>
      <c r="Z35" t="str">
        <f>IF(Table17[[#This Row],[CEK STN S]]="",Table17[[#This Row],[SATUAN DB]],Table17[[#This Row],[SATUAN S]])</f>
        <v>LSN</v>
      </c>
      <c r="AA35">
        <f>IF(Table17[[#This Row],[//CONV]]="",Table17[[#This Row],[ISI NOTA]]/Table17[[#This Row],[ISI_C]],Table17[[#This Row],[ISI DB CONV]]/Table17[[#This Row],[ISI_C]])</f>
        <v>3</v>
      </c>
      <c r="AB35">
        <f>INDEX(NOTA[HARGA SATUAN],Sheet1!A:A)</f>
        <v>30500</v>
      </c>
      <c r="AC35">
        <f>IF(Table17[[#This Row],[//CONV]]="",Table17[[#This Row],[HARGA NOTA]],Table17[[#This Row],[HARGA NOTA]]/Table17[[#This Row],[CONV VAR]])</f>
        <v>30500</v>
      </c>
      <c r="AD35">
        <f>IF(Table17[[#This Row],[CEK STN S]]="",Table17[[#This Row],[HARGA CONV]],Table17[[#This Row],[HARGA CONV]]/Table17[[#This Row],[CONV2 VAR]])</f>
        <v>30500</v>
      </c>
      <c r="AE35" s="3">
        <f>IF(INDEX(NOTA[Column6],Sheet1!A:A)=0,"",INDEX(NOTA[Column6],Sheet1!A:A))</f>
        <v>0.03</v>
      </c>
      <c r="AF35" s="3" t="str">
        <f>IF(INDEX(NOTA[Column7],Sheet1!A:A)=0,"",INDEX(NOTA[Column7],Sheet1!A:A))</f>
        <v/>
      </c>
      <c r="AG35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35" s="4">
        <f>INDEX(NOTA[HARGA/ CTN_H],Sheet1!A:A)</f>
        <v>2928000</v>
      </c>
      <c r="AI35" s="4">
        <f>IF(Table17[[#This Row],[DISC 3]]="",Table17[[#This Row],[HRG / CTN]],Table17[[#This Row],[HRG / CTN]]-(Table17[[#This Row],[HRG / CTN]]*Table17[[#This Row],[DISC 3]]))</f>
        <v>2840160</v>
      </c>
      <c r="AJ35" s="5" t="e">
        <f>IF(#REF!&lt;1,Table17[[#This Row],[Column9]],Table17[[#This Row],[Column9]]*#REF!)</f>
        <v>#REF!</v>
      </c>
      <c r="AK35" s="4" t="e">
        <f ca="1">IF(NOT(AP36=Table17[[#This Row],[Column6]]),SUMIF(Table17[Column6],Table17[[#This Row],[Column6]],Table17[Column7]),"")</f>
        <v>#REF!</v>
      </c>
      <c r="AL35" s="6">
        <f ca="1">INDEX(NOTA[TGL_H],Sheet1!A:A)</f>
        <v>45478</v>
      </c>
      <c r="AM35" s="6">
        <f ca="1">INDEX(NOTA[TGL.NOTA_H],Sheet1!A:A)</f>
        <v>45475</v>
      </c>
      <c r="AO35" t="str">
        <f>IF(INDEX(NOTA[Column10],A:A)="","",INDEX(NOTA[Column10],A:A))</f>
        <v/>
      </c>
      <c r="AP35" t="str">
        <f ca="1">INDEX(NOTA[NO.NOTA_H],Sheet1!A:A)</f>
        <v>HM/129/07-24H</v>
      </c>
      <c r="AQ35">
        <f>INDEX(NOTA[Column10],Sheet1!A:A)</f>
        <v>0</v>
      </c>
      <c r="AR35" s="8" t="str">
        <f ca="1">INDEX(NOTA[SUPPLIER_H],Sheet1!A:A)</f>
        <v>DUTA BUANA</v>
      </c>
      <c r="AS35" t="str">
        <f>Table17[[#This Row],[NAMA_C]]</f>
        <v>BP TF G-3114 0.3MM HIGHTECH KNOCK</v>
      </c>
      <c r="AT35" t="str">
        <f ca="1">Table17[[#This Row],[SUPPLIER]]</f>
        <v>DUTA BUANA</v>
      </c>
      <c r="AU35" t="str">
        <f>SUBSTITUTE(Table17[[#This Row],[CTN]],",",".")</f>
        <v>3</v>
      </c>
      <c r="AV35" s="13" t="str">
        <f>Table17[[#This Row],[ISI_C]]</f>
        <v>96</v>
      </c>
      <c r="AW35" t="str">
        <f>Table17[[#This Row],[SATUAN_C]]</f>
        <v>LSN</v>
      </c>
      <c r="AX35">
        <f>Table17[[#This Row],[HARGA CONV2]]</f>
        <v>30500</v>
      </c>
      <c r="AY35" s="9" t="str">
        <f>SUBSTITUTE(Table17[[#This Row],[DISC 3]],",",".")</f>
        <v>0.03</v>
      </c>
      <c r="AZ35" s="6">
        <f ca="1">Table17[[#This Row],[TGL DATANG]]</f>
        <v>45478</v>
      </c>
      <c r="BA35" s="6">
        <f ca="1">Table17[[#This Row],[Column10]]</f>
        <v>45475</v>
      </c>
      <c r="BB35" s="7"/>
      <c r="BC35" t="str">
        <f>Table17[[#This Row],[KETERANGAN CONDRO]]</f>
        <v/>
      </c>
      <c r="BD35" t="str">
        <f ca="1">Table17[[#This Row],[Column6]]</f>
        <v>HM/129/07-24H</v>
      </c>
    </row>
    <row r="36" spans="1:56" s="16" customFormat="1">
      <c r="A36" s="15">
        <v>47</v>
      </c>
      <c r="C36" s="16">
        <f>INDEX(NOTA[//DB],Sheet1!A:A)</f>
        <v>2920</v>
      </c>
      <c r="D36" s="16">
        <f>_xlfn.IFNA(MATCH(Table17[[#This Row],[//db]],[3]!Table2[\\],0),"")</f>
        <v>2715</v>
      </c>
      <c r="E36" s="16" t="str">
        <f>INDEX([3]!db[NB NOTA],Table17[[#This Row],[//db]])</f>
        <v>STABILLO TF-1145 LIVE COLOUR (PASTEL)</v>
      </c>
      <c r="F36" s="16" t="str">
        <f>INDEX([3]!db[NB BM],Table17[[#This Row],[//db]])</f>
        <v>Stabillo TF-1145 Live Colour Pastel</v>
      </c>
      <c r="G36" s="16" t="str">
        <f>IF(Table17[[#This Row],[dbconcat]]="","",INDEX([3]!Table2[NAMA],Table17[[#This Row],[dbconcat]]))</f>
        <v>STABILLO TF-1145 LIVE COLOUR PASTEL</v>
      </c>
      <c r="H36" s="16" t="str">
        <f>INDEX([3]!Table2[KODE BARANG],Table17[[#This Row],[dbconcat]])</f>
        <v>STB-TF13</v>
      </c>
      <c r="I36" s="16" t="str">
        <f>IF(Table17[[#This Row],[NAMA_3]]="",UPPER(Table17[[#This Row],[NAMA_2]]),Table17[[#This Row],[NAMA_3]])</f>
        <v>STABILLO TF-1145 LIVE COLOUR PASTEL</v>
      </c>
      <c r="J36" s="16">
        <f>INDEX(NOTA[QTY],Sheet1!A:A)</f>
        <v>120</v>
      </c>
      <c r="K36" s="16" t="str">
        <f>INDEX(NOTA[STN],Sheet1!A:A)</f>
        <v>LSN</v>
      </c>
      <c r="L36" s="16" t="str">
        <f>INDEX([3]!db[QTY B],Table17[[#This Row],[//db]])</f>
        <v>60</v>
      </c>
      <c r="M36" s="16" t="str">
        <f>INDEX([3]!db[STN B],Table17[[#This Row],[//db]])</f>
        <v>LSN</v>
      </c>
      <c r="N36" s="16" t="str">
        <f>IF(Table17[[#This Row],[SATUAN NOTA]]=Table17[[#This Row],[SATUAN DB]],"", MATCH(CONCATENATE(Table17[[#This Row],[SATUAN NOTA]],Table17[[#This Row],[SATUAN DB]]),Table2[4],0))</f>
        <v/>
      </c>
      <c r="O36" s="16" t="str" cm="1">
        <f t="array" ref="O36">IF(Table17[[#This Row],[//CONV]]="","",INDEX(Table2[3],Table17[[#This Row],[//CONV]]))</f>
        <v/>
      </c>
      <c r="P36" s="16" t="str">
        <f>IF(Table17[[#This Row],[//CONV]]="",Table17[[#This Row],[ISI DB]],Table17[[#This Row],[ISI NOTA]]*Table17[[#This Row],[CONV VAR]])</f>
        <v>60</v>
      </c>
      <c r="Q36" s="16" t="str" cm="1">
        <f t="array" ref="Q36">IF(Table17[[#This Row],[//CONV]]="",Table17[[#This Row],[SATUAN DB]],INDEX(Table2[2],Table17[[#This Row],[//CONV]]))</f>
        <v>LSN</v>
      </c>
      <c r="R36" s="16" cm="1">
        <f t="array" ref="R36">IF(Table17[[#This Row],[dbconcat]]="","",INDEX([3]!Table2[ISI],Table17[[#This Row],[dbconcat]]))</f>
        <v>60</v>
      </c>
      <c r="S36" s="16" t="str" cm="1">
        <f t="array" ref="S36">IF(Table17[[#This Row],[dbconcat]]="","",INDEX([3]!Table2[[SATUAN ]],Table17[[#This Row],[dbconcat]]))</f>
        <v>LSN</v>
      </c>
      <c r="T36" s="16" t="str">
        <f>IF(Table17[[#This Row],[SATUAN S]]="","",IF(_xlfn.NUMBERVALUE(Table17[[#This Row],[ISI DB]])=_xlfn.NUMBERVALUE(Table17[[#This Row],[ISI S]]),"",1))</f>
        <v/>
      </c>
      <c r="U36" s="16" t="str">
        <f>IF(Table17[[#This Row],[SATUAN S]]="","",IF(Table17[[#This Row],[SATUAN DB]]=Table17[[#This Row],[SATUAN S]],"",1))</f>
        <v/>
      </c>
      <c r="V36" s="16" t="str">
        <f>IF(Table17[[#This Row],[CEK STN S]]="","",MATCH(CONCATENATE(Table17[[#This Row],[SATUAN CONV]],Table17[[#This Row],[SATUAN S]]),Table2[4],0))</f>
        <v/>
      </c>
      <c r="X36" s="16" t="str" cm="1">
        <f t="array" ref="X36">IF(Table17[[#This Row],[CONV2_//]]="","",INDEX(Table2[3],Table17[[#This Row],[CONV2_//]]))</f>
        <v/>
      </c>
      <c r="Y36" s="15" t="str">
        <f>IF(Table17[[#This Row],[CEK ISI S]]="",Table17[[#This Row],[ISI DB]],Table17[[#This Row],[ISI S]])</f>
        <v>60</v>
      </c>
      <c r="Z36" s="16" t="str">
        <f>IF(Table17[[#This Row],[CEK STN S]]="",Table17[[#This Row],[SATUAN DB]],Table17[[#This Row],[SATUAN S]])</f>
        <v>LSN</v>
      </c>
      <c r="AA36" s="16">
        <f>IF(Table17[[#This Row],[//CONV]]="",Table17[[#This Row],[ISI NOTA]]/Table17[[#This Row],[ISI_C]],Table17[[#This Row],[ISI DB CONV]]/Table17[[#This Row],[ISI_C]])</f>
        <v>2</v>
      </c>
      <c r="AB36" s="16">
        <f>INDEX(NOTA[HARGA SATUAN],Sheet1!A:A)</f>
        <v>21500</v>
      </c>
      <c r="AC36" s="16">
        <f>IF(Table17[[#This Row],[//CONV]]="",Table17[[#This Row],[HARGA NOTA]],Table17[[#This Row],[HARGA NOTA]]/Table17[[#This Row],[CONV VAR]])</f>
        <v>21500</v>
      </c>
      <c r="AD36" s="16">
        <f>IF(Table17[[#This Row],[CEK STN S]]="",Table17[[#This Row],[HARGA CONV]],Table17[[#This Row],[HARGA CONV]]/Table17[[#This Row],[CONV2 VAR]])</f>
        <v>21500</v>
      </c>
      <c r="AE36" s="17">
        <f>IF(INDEX(NOTA[Column6],Sheet1!A:A)=0,"",INDEX(NOTA[Column6],Sheet1!A:A))</f>
        <v>0.03</v>
      </c>
      <c r="AF36" s="17" t="str">
        <f>IF(INDEX(NOTA[Column7],Sheet1!A:A)=0,"",INDEX(NOTA[Column7],Sheet1!A:A))</f>
        <v/>
      </c>
      <c r="AG36" s="17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36" s="18">
        <f>INDEX(NOTA[HARGA/ CTN_H],Sheet1!A:A)</f>
        <v>1290000</v>
      </c>
      <c r="AI36" s="18">
        <f>IF(Table17[[#This Row],[DISC 3]]="",Table17[[#This Row],[HRG / CTN]],Table17[[#This Row],[HRG / CTN]]-(Table17[[#This Row],[HRG / CTN]]*Table17[[#This Row],[DISC 3]]))</f>
        <v>1251300</v>
      </c>
      <c r="AJ36" s="19" t="e">
        <f>IF(#REF!&lt;1,Table17[[#This Row],[Column9]],Table17[[#This Row],[Column9]]*#REF!)</f>
        <v>#REF!</v>
      </c>
      <c r="AK36" s="18" t="e">
        <f ca="1">IF(NOT(AP37=Table17[[#This Row],[Column6]]),SUMIF(Table17[Column6],Table17[[#This Row],[Column6]],Table17[Column7]),"")</f>
        <v>#REF!</v>
      </c>
      <c r="AL36" s="20">
        <f ca="1">INDEX(NOTA[TGL_H],Sheet1!A:A)</f>
        <v>45478</v>
      </c>
      <c r="AM36" s="20">
        <f ca="1">INDEX(NOTA[TGL.NOTA_H],Sheet1!A:A)</f>
        <v>45475</v>
      </c>
      <c r="AN36" s="21"/>
      <c r="AO36" s="16" t="str">
        <f>IF(INDEX(NOTA[Column10],A:A)="","",INDEX(NOTA[Column10],A:A))</f>
        <v/>
      </c>
      <c r="AP36" s="16" t="str">
        <f ca="1">INDEX(NOTA[NO.NOTA_H],Sheet1!A:A)</f>
        <v>HM/130/07-24H</v>
      </c>
      <c r="AQ36" s="16">
        <f>INDEX(NOTA[Column10],Sheet1!A:A)</f>
        <v>0</v>
      </c>
      <c r="AR36" s="22" t="str">
        <f ca="1">INDEX(NOTA[SUPPLIER_H],Sheet1!A:A)</f>
        <v>DUTA BUANA</v>
      </c>
      <c r="AS36" s="16" t="str">
        <f>Table17[[#This Row],[NAMA_C]]</f>
        <v>STABILLO TF-1145 LIVE COLOUR PASTEL</v>
      </c>
      <c r="AT36" s="16" t="str">
        <f ca="1">Table17[[#This Row],[SUPPLIER]]</f>
        <v>DUTA BUANA</v>
      </c>
      <c r="AU36" s="16" t="str">
        <f>SUBSTITUTE(Table17[[#This Row],[CTN]],",",".")</f>
        <v>2</v>
      </c>
      <c r="AV36" s="66" t="str">
        <f>Table17[[#This Row],[ISI_C]]</f>
        <v>60</v>
      </c>
      <c r="AW36" s="16" t="str">
        <f>Table17[[#This Row],[SATUAN_C]]</f>
        <v>LSN</v>
      </c>
      <c r="AX36" s="16">
        <f>Table17[[#This Row],[HARGA CONV2]]</f>
        <v>21500</v>
      </c>
      <c r="AY36" s="23" t="str">
        <f>SUBSTITUTE(Table17[[#This Row],[DISC 3]],",",".")</f>
        <v>0.03</v>
      </c>
      <c r="AZ36" s="20">
        <f ca="1">Table17[[#This Row],[TGL DATANG]]</f>
        <v>45478</v>
      </c>
      <c r="BA36" s="20">
        <f ca="1">Table17[[#This Row],[Column10]]</f>
        <v>45475</v>
      </c>
      <c r="BB36" s="21"/>
      <c r="BC36" s="16" t="str">
        <f>Table17[[#This Row],[KETERANGAN CONDRO]]</f>
        <v/>
      </c>
      <c r="BD36" s="16" t="str">
        <f ca="1">Table17[[#This Row],[Column6]]</f>
        <v>HM/130/07-24H</v>
      </c>
    </row>
    <row r="37" spans="1:56">
      <c r="A37" s="55">
        <v>49</v>
      </c>
      <c r="C37">
        <f>INDEX(NOTA[//DB],Sheet1!A:A)</f>
        <v>3340</v>
      </c>
      <c r="D37">
        <f>_xlfn.IFNA(MATCH(Table17[[#This Row],[//db]],[3]!Table2[\\],0),"")</f>
        <v>777</v>
      </c>
      <c r="E37" t="str">
        <f>INDEX([3]!db[NB NOTA],Table17[[#This Row],[//db]])</f>
        <v>GEL PEN KOALA GP-168-A MERAH</v>
      </c>
      <c r="F37" t="str">
        <f>INDEX([3]!db[NB BM],Table17[[#This Row],[//db]])</f>
        <v>BP GEL KOALA GP-168-A MERAH</v>
      </c>
      <c r="G37" t="str">
        <f>IF(Table17[[#This Row],[dbconcat]]="","",INDEX([3]!Table2[NAMA],Table17[[#This Row],[dbconcat]]))</f>
        <v>BP GEL KOALA GP-168-A MERAH</v>
      </c>
      <c r="H37" t="str">
        <f>INDEX([3]!Table2[KODE BARANG],Table17[[#This Row],[dbconcat]])</f>
        <v>BOL-KO398</v>
      </c>
      <c r="I37" t="str">
        <f>IF(Table17[[#This Row],[NAMA_3]]="",UPPER(Table17[[#This Row],[NAMA_2]]),Table17[[#This Row],[NAMA_3]])</f>
        <v>BP GEL KOALA GP-168-A MERAH</v>
      </c>
      <c r="J37">
        <f>INDEX(NOTA[QTY],Sheet1!A:A)</f>
        <v>60</v>
      </c>
      <c r="K37" t="str">
        <f>INDEX(NOTA[STN],Sheet1!A:A)</f>
        <v>LSN</v>
      </c>
      <c r="L37" t="str">
        <f>INDEX([3]!db[QTY B],Table17[[#This Row],[//db]])</f>
        <v>144</v>
      </c>
      <c r="M37" t="str">
        <f>INDEX([3]!db[STN B],Table17[[#This Row],[//db]])</f>
        <v>LSN</v>
      </c>
      <c r="N37" t="str">
        <f>IF(Table17[[#This Row],[SATUAN NOTA]]=Table17[[#This Row],[SATUAN DB]],"", MATCH(CONCATENATE(Table17[[#This Row],[SATUAN NOTA]],Table17[[#This Row],[SATUAN DB]]),Table2[4],0))</f>
        <v/>
      </c>
      <c r="O37" t="str" cm="1">
        <f t="array" ref="O37">IF(Table17[[#This Row],[//CONV]]="","",INDEX(Table2[3],Table17[[#This Row],[//CONV]]))</f>
        <v/>
      </c>
      <c r="P37" t="str">
        <f>IF(Table17[[#This Row],[//CONV]]="",Table17[[#This Row],[ISI DB]],Table17[[#This Row],[ISI NOTA]]*Table17[[#This Row],[CONV VAR]])</f>
        <v>144</v>
      </c>
      <c r="Q37" t="str" cm="1">
        <f t="array" ref="Q37">IF(Table17[[#This Row],[//CONV]]="",Table17[[#This Row],[SATUAN DB]],INDEX(Table2[2],Table17[[#This Row],[//CONV]]))</f>
        <v>LSN</v>
      </c>
      <c r="R37" cm="1">
        <f t="array" ref="R37">IF(Table17[[#This Row],[dbconcat]]="","",INDEX([3]!Table2[ISI],Table17[[#This Row],[dbconcat]]))</f>
        <v>144</v>
      </c>
      <c r="S37" t="str" cm="1">
        <f t="array" ref="S37">IF(Table17[[#This Row],[dbconcat]]="","",INDEX([3]!Table2[[SATUAN ]],Table17[[#This Row],[dbconcat]]))</f>
        <v>LSN</v>
      </c>
      <c r="T37" t="str">
        <f>IF(Table17[[#This Row],[SATUAN S]]="","",IF(_xlfn.NUMBERVALUE(Table17[[#This Row],[ISI DB]])=_xlfn.NUMBERVALUE(Table17[[#This Row],[ISI S]]),"",1))</f>
        <v/>
      </c>
      <c r="U37" t="str">
        <f>IF(Table17[[#This Row],[SATUAN S]]="","",IF(Table17[[#This Row],[SATUAN DB]]=Table17[[#This Row],[SATUAN S]],"",1))</f>
        <v/>
      </c>
      <c r="V37" t="str">
        <f>IF(Table17[[#This Row],[CEK STN S]]="","",MATCH(CONCATENATE(Table17[[#This Row],[SATUAN CONV]],Table17[[#This Row],[SATUAN S]]),Table2[4],0))</f>
        <v/>
      </c>
      <c r="X37" t="str" cm="1">
        <f t="array" ref="X37">IF(Table17[[#This Row],[CONV2_//]]="","",INDEX(Table2[3],Table17[[#This Row],[CONV2_//]]))</f>
        <v/>
      </c>
      <c r="Y37" s="2" t="str">
        <f>IF(Table17[[#This Row],[CEK ISI S]]="",Table17[[#This Row],[ISI DB]],Table17[[#This Row],[ISI S]])</f>
        <v>144</v>
      </c>
      <c r="Z37" t="str">
        <f>IF(Table17[[#This Row],[CEK STN S]]="",Table17[[#This Row],[SATUAN DB]],Table17[[#This Row],[SATUAN S]])</f>
        <v>LSN</v>
      </c>
      <c r="AA37">
        <f>IF(Table17[[#This Row],[//CONV]]="",Table17[[#This Row],[ISI NOTA]]/Table17[[#This Row],[ISI_C]],Table17[[#This Row],[ISI DB CONV]]/Table17[[#This Row],[ISI_C]])</f>
        <v>0.41666666666666669</v>
      </c>
      <c r="AB37">
        <f>INDEX(NOTA[HARGA SATUAN],Sheet1!A:A)</f>
        <v>22500</v>
      </c>
      <c r="AC37">
        <f>IF(Table17[[#This Row],[//CONV]]="",Table17[[#This Row],[HARGA NOTA]],Table17[[#This Row],[HARGA NOTA]]/Table17[[#This Row],[CONV VAR]])</f>
        <v>22500</v>
      </c>
      <c r="AD37">
        <f>IF(Table17[[#This Row],[CEK STN S]]="",Table17[[#This Row],[HARGA CONV]],Table17[[#This Row],[HARGA CONV]]/Table17[[#This Row],[CONV2 VAR]])</f>
        <v>22500</v>
      </c>
      <c r="AE37" s="3" t="str">
        <f>IF(INDEX(NOTA[Column6],Sheet1!A:A)=0,"",INDEX(NOTA[Column6],Sheet1!A:A))</f>
        <v/>
      </c>
      <c r="AF37" s="3" t="str">
        <f>IF(INDEX(NOTA[Column7],Sheet1!A:A)=0,"",INDEX(NOTA[Column7],Sheet1!A:A))</f>
        <v/>
      </c>
      <c r="AG3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7" s="4">
        <f>INDEX(NOTA[HARGA/ CTN_H],Sheet1!A:A)</f>
        <v>1350000</v>
      </c>
      <c r="AI37" s="4">
        <f>IF(Table17[[#This Row],[DISC 3]]="",Table17[[#This Row],[HRG / CTN]],Table17[[#This Row],[HRG / CTN]]-(Table17[[#This Row],[HRG / CTN]]*Table17[[#This Row],[DISC 3]]))</f>
        <v>1350000</v>
      </c>
      <c r="AJ37" s="5" t="e">
        <f>IF(#REF!&lt;1,Table17[[#This Row],[Column9]],Table17[[#This Row],[Column9]]*#REF!)</f>
        <v>#REF!</v>
      </c>
      <c r="AK37" s="4" t="str">
        <f ca="1">IF(NOT(AP38=Table17[[#This Row],[Column6]]),SUMIF(Table17[Column6],Table17[[#This Row],[Column6]],Table17[Column7]),"")</f>
        <v/>
      </c>
      <c r="AL37" s="6">
        <f ca="1">INDEX(NOTA[TGL_H],Sheet1!A:A)</f>
        <v>45481</v>
      </c>
      <c r="AM37" s="6">
        <f ca="1">INDEX(NOTA[TGL.NOTA_H],Sheet1!A:A)</f>
        <v>45472</v>
      </c>
      <c r="AO37" t="str">
        <f>IF(INDEX(NOTA[Column10],A:A)="","",INDEX(NOTA[Column10],A:A))</f>
        <v/>
      </c>
      <c r="AP37" t="str">
        <f ca="1">INDEX(NOTA[NO.NOTA_H],Sheet1!A:A)</f>
        <v>SO2024070086563</v>
      </c>
      <c r="AQ37">
        <f>INDEX(NOTA[Column10],Sheet1!A:A)</f>
        <v>0</v>
      </c>
      <c r="AR37" s="8" t="str">
        <f ca="1">INDEX(NOTA[SUPPLIER_H],Sheet1!A:A)</f>
        <v>BINTANG SAUDARA</v>
      </c>
      <c r="AS37" t="str">
        <f>Table17[[#This Row],[NAMA_C]]</f>
        <v>BP GEL KOALA GP-168-A MERAH</v>
      </c>
      <c r="AT37" t="str">
        <f ca="1">Table17[[#This Row],[SUPPLIER]]</f>
        <v>BINTANG SAUDARA</v>
      </c>
      <c r="AU37" t="str">
        <f>SUBSTITUTE(Table17[[#This Row],[CTN]],",",".")</f>
        <v>0.416666666666667</v>
      </c>
      <c r="AV37" s="13" t="str">
        <f>Table17[[#This Row],[ISI_C]]</f>
        <v>144</v>
      </c>
      <c r="AW37" t="str">
        <f>Table17[[#This Row],[SATUAN_C]]</f>
        <v>LSN</v>
      </c>
      <c r="AX37">
        <f>Table17[[#This Row],[HARGA CONV2]]</f>
        <v>22500</v>
      </c>
      <c r="AY37" s="9" t="str">
        <f>SUBSTITUTE(Table17[[#This Row],[DISC 3]],",",".")</f>
        <v/>
      </c>
      <c r="AZ37" s="6">
        <f ca="1">Table17[[#This Row],[TGL DATANG]]</f>
        <v>45481</v>
      </c>
      <c r="BA37" s="6">
        <f ca="1">Table17[[#This Row],[Column10]]</f>
        <v>45472</v>
      </c>
      <c r="BB37" s="7"/>
      <c r="BC37" t="str">
        <f>Table17[[#This Row],[KETERANGAN CONDRO]]</f>
        <v/>
      </c>
      <c r="BD37" t="str">
        <f ca="1">Table17[[#This Row],[Column6]]</f>
        <v>SO2024070086563</v>
      </c>
    </row>
    <row r="38" spans="1:56">
      <c r="A38" s="55">
        <v>50</v>
      </c>
      <c r="C38">
        <f>INDEX(NOTA[//DB],Sheet1!A:A)</f>
        <v>3341</v>
      </c>
      <c r="D38">
        <f>_xlfn.IFNA(MATCH(Table17[[#This Row],[//db]],[3]!Table2[\\],0),"")</f>
        <v>778</v>
      </c>
      <c r="E38" t="str">
        <f>INDEX([3]!db[NB NOTA],Table17[[#This Row],[//db]])</f>
        <v>GEL PEN KOALA GP-168-B BR</v>
      </c>
      <c r="F38" t="str">
        <f>INDEX([3]!db[NB BM],Table17[[#This Row],[//db]])</f>
        <v>BP GEL KOALA GP-168-B BR</v>
      </c>
      <c r="G38" t="str">
        <f>IF(Table17[[#This Row],[dbconcat]]="","",INDEX([3]!Table2[NAMA],Table17[[#This Row],[dbconcat]]))</f>
        <v>BP GEL KOALA GP-168-B BR</v>
      </c>
      <c r="H38" t="str">
        <f>INDEX([3]!Table2[KODE BARANG],Table17[[#This Row],[dbconcat]])</f>
        <v>BOL-KO399</v>
      </c>
      <c r="I38" t="str">
        <f>IF(Table17[[#This Row],[NAMA_3]]="",UPPER(Table17[[#This Row],[NAMA_2]]),Table17[[#This Row],[NAMA_3]])</f>
        <v>BP GEL KOALA GP-168-B BR</v>
      </c>
      <c r="J38">
        <f>INDEX(NOTA[QTY],Sheet1!A:A)</f>
        <v>60</v>
      </c>
      <c r="K38" t="str">
        <f>INDEX(NOTA[STN],Sheet1!A:A)</f>
        <v>LSN</v>
      </c>
      <c r="L38" t="str">
        <f>INDEX([3]!db[QTY B],Table17[[#This Row],[//db]])</f>
        <v>144</v>
      </c>
      <c r="M38" t="str">
        <f>INDEX([3]!db[STN B],Table17[[#This Row],[//db]])</f>
        <v>LSN</v>
      </c>
      <c r="N38" t="str">
        <f>IF(Table17[[#This Row],[SATUAN NOTA]]=Table17[[#This Row],[SATUAN DB]],"", MATCH(CONCATENATE(Table17[[#This Row],[SATUAN NOTA]],Table17[[#This Row],[SATUAN DB]]),Table2[4],0))</f>
        <v/>
      </c>
      <c r="O38" t="str" cm="1">
        <f t="array" ref="O38">IF(Table17[[#This Row],[//CONV]]="","",INDEX(Table2[3],Table17[[#This Row],[//CONV]]))</f>
        <v/>
      </c>
      <c r="P38" t="str">
        <f>IF(Table17[[#This Row],[//CONV]]="",Table17[[#This Row],[ISI DB]],Table17[[#This Row],[ISI NOTA]]*Table17[[#This Row],[CONV VAR]])</f>
        <v>144</v>
      </c>
      <c r="Q38" t="str" cm="1">
        <f t="array" ref="Q38">IF(Table17[[#This Row],[//CONV]]="",Table17[[#This Row],[SATUAN DB]],INDEX(Table2[2],Table17[[#This Row],[//CONV]]))</f>
        <v>LSN</v>
      </c>
      <c r="R38" cm="1">
        <f t="array" ref="R38">IF(Table17[[#This Row],[dbconcat]]="","",INDEX([3]!Table2[ISI],Table17[[#This Row],[dbconcat]]))</f>
        <v>144</v>
      </c>
      <c r="S38" t="str" cm="1">
        <f t="array" ref="S38">IF(Table17[[#This Row],[dbconcat]]="","",INDEX([3]!Table2[[SATUAN ]],Table17[[#This Row],[dbconcat]]))</f>
        <v>LSN</v>
      </c>
      <c r="T38" t="str">
        <f>IF(Table17[[#This Row],[SATUAN S]]="","",IF(_xlfn.NUMBERVALUE(Table17[[#This Row],[ISI DB]])=_xlfn.NUMBERVALUE(Table17[[#This Row],[ISI S]]),"",1))</f>
        <v/>
      </c>
      <c r="U38" t="str">
        <f>IF(Table17[[#This Row],[SATUAN S]]="","",IF(Table17[[#This Row],[SATUAN DB]]=Table17[[#This Row],[SATUAN S]],"",1))</f>
        <v/>
      </c>
      <c r="V38" t="str">
        <f>IF(Table17[[#This Row],[CEK STN S]]="","",MATCH(CONCATENATE(Table17[[#This Row],[SATUAN CONV]],Table17[[#This Row],[SATUAN S]]),Table2[4],0))</f>
        <v/>
      </c>
      <c r="X38" t="str" cm="1">
        <f t="array" ref="X38">IF(Table17[[#This Row],[CONV2_//]]="","",INDEX(Table2[3],Table17[[#This Row],[CONV2_//]]))</f>
        <v/>
      </c>
      <c r="Y38" s="2" t="str">
        <f>IF(Table17[[#This Row],[CEK ISI S]]="",Table17[[#This Row],[ISI DB]],Table17[[#This Row],[ISI S]])</f>
        <v>144</v>
      </c>
      <c r="Z38" t="str">
        <f>IF(Table17[[#This Row],[CEK STN S]]="",Table17[[#This Row],[SATUAN DB]],Table17[[#This Row],[SATUAN S]])</f>
        <v>LSN</v>
      </c>
      <c r="AA38">
        <f>IF(Table17[[#This Row],[//CONV]]="",Table17[[#This Row],[ISI NOTA]]/Table17[[#This Row],[ISI_C]],Table17[[#This Row],[ISI DB CONV]]/Table17[[#This Row],[ISI_C]])</f>
        <v>0.41666666666666669</v>
      </c>
      <c r="AB38">
        <f>INDEX(NOTA[HARGA SATUAN],Sheet1!A:A)</f>
        <v>22500</v>
      </c>
      <c r="AC38">
        <f>IF(Table17[[#This Row],[//CONV]]="",Table17[[#This Row],[HARGA NOTA]],Table17[[#This Row],[HARGA NOTA]]/Table17[[#This Row],[CONV VAR]])</f>
        <v>22500</v>
      </c>
      <c r="AD38">
        <f>IF(Table17[[#This Row],[CEK STN S]]="",Table17[[#This Row],[HARGA CONV]],Table17[[#This Row],[HARGA CONV]]/Table17[[#This Row],[CONV2 VAR]])</f>
        <v>22500</v>
      </c>
      <c r="AE38" s="3" t="str">
        <f>IF(INDEX(NOTA[Column6],Sheet1!A:A)=0,"",INDEX(NOTA[Column6],Sheet1!A:A))</f>
        <v/>
      </c>
      <c r="AF38" s="3" t="str">
        <f>IF(INDEX(NOTA[Column7],Sheet1!A:A)=0,"",INDEX(NOTA[Column7],Sheet1!A:A))</f>
        <v/>
      </c>
      <c r="AG3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8" s="4">
        <f>INDEX(NOTA[HARGA/ CTN_H],Sheet1!A:A)</f>
        <v>1350000</v>
      </c>
      <c r="AI38" s="4">
        <f>IF(Table17[[#This Row],[DISC 3]]="",Table17[[#This Row],[HRG / CTN]],Table17[[#This Row],[HRG / CTN]]-(Table17[[#This Row],[HRG / CTN]]*Table17[[#This Row],[DISC 3]]))</f>
        <v>1350000</v>
      </c>
      <c r="AJ38" s="5" t="e">
        <f>IF(#REF!&lt;1,Table17[[#This Row],[Column9]],Table17[[#This Row],[Column9]]*#REF!)</f>
        <v>#REF!</v>
      </c>
      <c r="AK38" s="4" t="str">
        <f ca="1">IF(NOT(AP39=Table17[[#This Row],[Column6]]),SUMIF(Table17[Column6],Table17[[#This Row],[Column6]],Table17[Column7]),"")</f>
        <v/>
      </c>
      <c r="AL38" s="6">
        <f ca="1">INDEX(NOTA[TGL_H],Sheet1!A:A)</f>
        <v>45481</v>
      </c>
      <c r="AM38" s="6">
        <f ca="1">INDEX(NOTA[TGL.NOTA_H],Sheet1!A:A)</f>
        <v>45472</v>
      </c>
      <c r="AO38" t="str">
        <f>IF(INDEX(NOTA[Column10],A:A)="","",INDEX(NOTA[Column10],A:A))</f>
        <v/>
      </c>
      <c r="AP38" t="str">
        <f ca="1">INDEX(NOTA[NO.NOTA_H],Sheet1!A:A)</f>
        <v>SO2024070086563</v>
      </c>
      <c r="AQ38">
        <f>INDEX(NOTA[Column10],Sheet1!A:A)</f>
        <v>0</v>
      </c>
      <c r="AR38" s="8" t="str">
        <f ca="1">INDEX(NOTA[SUPPLIER_H],Sheet1!A:A)</f>
        <v>BINTANG SAUDARA</v>
      </c>
      <c r="AS38" t="str">
        <f>Table17[[#This Row],[NAMA_C]]</f>
        <v>BP GEL KOALA GP-168-B BR</v>
      </c>
      <c r="AT38" t="str">
        <f ca="1">Table17[[#This Row],[SUPPLIER]]</f>
        <v>BINTANG SAUDARA</v>
      </c>
      <c r="AU38" t="str">
        <f>SUBSTITUTE(Table17[[#This Row],[CTN]],",",".")</f>
        <v>0.416666666666667</v>
      </c>
      <c r="AV38" s="13" t="str">
        <f>Table17[[#This Row],[ISI_C]]</f>
        <v>144</v>
      </c>
      <c r="AW38" t="str">
        <f>Table17[[#This Row],[SATUAN_C]]</f>
        <v>LSN</v>
      </c>
      <c r="AX38">
        <f>Table17[[#This Row],[HARGA CONV2]]</f>
        <v>22500</v>
      </c>
      <c r="AY38" s="9" t="str">
        <f>SUBSTITUTE(Table17[[#This Row],[DISC 3]],",",".")</f>
        <v/>
      </c>
      <c r="AZ38" s="6">
        <f ca="1">Table17[[#This Row],[TGL DATANG]]</f>
        <v>45481</v>
      </c>
      <c r="BA38" s="6">
        <f ca="1">Table17[[#This Row],[Column10]]</f>
        <v>45472</v>
      </c>
      <c r="BB38" s="7"/>
      <c r="BC38" t="str">
        <f>Table17[[#This Row],[KETERANGAN CONDRO]]</f>
        <v/>
      </c>
      <c r="BD38" t="str">
        <f ca="1">Table17[[#This Row],[Column6]]</f>
        <v>SO2024070086563</v>
      </c>
    </row>
    <row r="39" spans="1:56">
      <c r="A39" s="55">
        <v>51</v>
      </c>
      <c r="C39">
        <f>INDEX(NOTA[//DB],Sheet1!A:A)</f>
        <v>3342</v>
      </c>
      <c r="D39">
        <f>_xlfn.IFNA(MATCH(Table17[[#This Row],[//db]],[3]!Table2[\\],0),"")</f>
        <v>779</v>
      </c>
      <c r="E39" t="str">
        <f>INDEX([3]!db[NB NOTA],Table17[[#This Row],[//db]])</f>
        <v>GEL PEN KOALA GP-168-C HJ</v>
      </c>
      <c r="F39" t="str">
        <f>INDEX([3]!db[NB BM],Table17[[#This Row],[//db]])</f>
        <v>BP GEL KOALA GP-168-C HJ</v>
      </c>
      <c r="G39" t="str">
        <f>IF(Table17[[#This Row],[dbconcat]]="","",INDEX([3]!Table2[NAMA],Table17[[#This Row],[dbconcat]]))</f>
        <v>BP GEL KOALA GP-168-C HJ</v>
      </c>
      <c r="H39" t="str">
        <f>INDEX([3]!Table2[KODE BARANG],Table17[[#This Row],[dbconcat]])</f>
        <v>BOL-KO400</v>
      </c>
      <c r="I39" t="str">
        <f>IF(Table17[[#This Row],[NAMA_3]]="",UPPER(Table17[[#This Row],[NAMA_2]]),Table17[[#This Row],[NAMA_3]])</f>
        <v>BP GEL KOALA GP-168-C HJ</v>
      </c>
      <c r="J39">
        <f>INDEX(NOTA[QTY],Sheet1!A:A)</f>
        <v>60</v>
      </c>
      <c r="K39" t="str">
        <f>INDEX(NOTA[STN],Sheet1!A:A)</f>
        <v>LSN</v>
      </c>
      <c r="L39" t="str">
        <f>INDEX([3]!db[QTY B],Table17[[#This Row],[//db]])</f>
        <v>144</v>
      </c>
      <c r="M39" t="str">
        <f>INDEX([3]!db[STN B],Table17[[#This Row],[//db]])</f>
        <v>LSN</v>
      </c>
      <c r="N39" t="str">
        <f>IF(Table17[[#This Row],[SATUAN NOTA]]=Table17[[#This Row],[SATUAN DB]],"", MATCH(CONCATENATE(Table17[[#This Row],[SATUAN NOTA]],Table17[[#This Row],[SATUAN DB]]),Table2[4],0))</f>
        <v/>
      </c>
      <c r="O39" t="str" cm="1">
        <f t="array" ref="O39">IF(Table17[[#This Row],[//CONV]]="","",INDEX(Table2[3],Table17[[#This Row],[//CONV]]))</f>
        <v/>
      </c>
      <c r="P39" t="str">
        <f>IF(Table17[[#This Row],[//CONV]]="",Table17[[#This Row],[ISI DB]],Table17[[#This Row],[ISI NOTA]]*Table17[[#This Row],[CONV VAR]])</f>
        <v>144</v>
      </c>
      <c r="Q39" t="str" cm="1">
        <f t="array" ref="Q39">IF(Table17[[#This Row],[//CONV]]="",Table17[[#This Row],[SATUAN DB]],INDEX(Table2[2],Table17[[#This Row],[//CONV]]))</f>
        <v>LSN</v>
      </c>
      <c r="R39" cm="1">
        <f t="array" ref="R39">IF(Table17[[#This Row],[dbconcat]]="","",INDEX([3]!Table2[ISI],Table17[[#This Row],[dbconcat]]))</f>
        <v>144</v>
      </c>
      <c r="S39" t="str" cm="1">
        <f t="array" ref="S39">IF(Table17[[#This Row],[dbconcat]]="","",INDEX([3]!Table2[[SATUAN ]],Table17[[#This Row],[dbconcat]]))</f>
        <v>LSN</v>
      </c>
      <c r="T39" t="str">
        <f>IF(Table17[[#This Row],[SATUAN S]]="","",IF(_xlfn.NUMBERVALUE(Table17[[#This Row],[ISI DB]])=_xlfn.NUMBERVALUE(Table17[[#This Row],[ISI S]]),"",1))</f>
        <v/>
      </c>
      <c r="U39" t="str">
        <f>IF(Table17[[#This Row],[SATUAN S]]="","",IF(Table17[[#This Row],[SATUAN DB]]=Table17[[#This Row],[SATUAN S]],"",1))</f>
        <v/>
      </c>
      <c r="V39" t="str">
        <f>IF(Table17[[#This Row],[CEK STN S]]="","",MATCH(CONCATENATE(Table17[[#This Row],[SATUAN CONV]],Table17[[#This Row],[SATUAN S]]),Table2[4],0))</f>
        <v/>
      </c>
      <c r="X39" t="str" cm="1">
        <f t="array" ref="X39">IF(Table17[[#This Row],[CONV2_//]]="","",INDEX(Table2[3],Table17[[#This Row],[CONV2_//]]))</f>
        <v/>
      </c>
      <c r="Y39" s="2" t="str">
        <f>IF(Table17[[#This Row],[CEK ISI S]]="",Table17[[#This Row],[ISI DB]],Table17[[#This Row],[ISI S]])</f>
        <v>144</v>
      </c>
      <c r="Z39" t="str">
        <f>IF(Table17[[#This Row],[CEK STN S]]="",Table17[[#This Row],[SATUAN DB]],Table17[[#This Row],[SATUAN S]])</f>
        <v>LSN</v>
      </c>
      <c r="AA39">
        <f>IF(Table17[[#This Row],[//CONV]]="",Table17[[#This Row],[ISI NOTA]]/Table17[[#This Row],[ISI_C]],Table17[[#This Row],[ISI DB CONV]]/Table17[[#This Row],[ISI_C]])</f>
        <v>0.41666666666666669</v>
      </c>
      <c r="AB39">
        <f>INDEX(NOTA[HARGA SATUAN],Sheet1!A:A)</f>
        <v>22500</v>
      </c>
      <c r="AC39">
        <f>IF(Table17[[#This Row],[//CONV]]="",Table17[[#This Row],[HARGA NOTA]],Table17[[#This Row],[HARGA NOTA]]/Table17[[#This Row],[CONV VAR]])</f>
        <v>22500</v>
      </c>
      <c r="AD39">
        <f>IF(Table17[[#This Row],[CEK STN S]]="",Table17[[#This Row],[HARGA CONV]],Table17[[#This Row],[HARGA CONV]]/Table17[[#This Row],[CONV2 VAR]])</f>
        <v>22500</v>
      </c>
      <c r="AE39" s="3" t="str">
        <f>IF(INDEX(NOTA[Column6],Sheet1!A:A)=0,"",INDEX(NOTA[Column6],Sheet1!A:A))</f>
        <v/>
      </c>
      <c r="AF39" s="3" t="str">
        <f>IF(INDEX(NOTA[Column7],Sheet1!A:A)=0,"",INDEX(NOTA[Column7],Sheet1!A:A))</f>
        <v/>
      </c>
      <c r="AG3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39" s="4">
        <f>INDEX(NOTA[HARGA/ CTN_H],Sheet1!A:A)</f>
        <v>1350000</v>
      </c>
      <c r="AI39" s="4">
        <f>IF(Table17[[#This Row],[DISC 3]]="",Table17[[#This Row],[HRG / CTN]],Table17[[#This Row],[HRG / CTN]]-(Table17[[#This Row],[HRG / CTN]]*Table17[[#This Row],[DISC 3]]))</f>
        <v>1350000</v>
      </c>
      <c r="AJ39" s="5" t="e">
        <f>IF(#REF!&lt;1,Table17[[#This Row],[Column9]],Table17[[#This Row],[Column9]]*#REF!)</f>
        <v>#REF!</v>
      </c>
      <c r="AK39" s="4" t="str">
        <f ca="1">IF(NOT(AP40=Table17[[#This Row],[Column6]]),SUMIF(Table17[Column6],Table17[[#This Row],[Column6]],Table17[Column7]),"")</f>
        <v/>
      </c>
      <c r="AL39" s="6">
        <f ca="1">INDEX(NOTA[TGL_H],Sheet1!A:A)</f>
        <v>45481</v>
      </c>
      <c r="AM39" s="6">
        <f ca="1">INDEX(NOTA[TGL.NOTA_H],Sheet1!A:A)</f>
        <v>45472</v>
      </c>
      <c r="AO39" t="str">
        <f>IF(INDEX(NOTA[Column10],A:A)="","",INDEX(NOTA[Column10],A:A))</f>
        <v/>
      </c>
      <c r="AP39" t="str">
        <f ca="1">INDEX(NOTA[NO.NOTA_H],Sheet1!A:A)</f>
        <v>SO2024070086563</v>
      </c>
      <c r="AQ39">
        <f>INDEX(NOTA[Column10],Sheet1!A:A)</f>
        <v>0</v>
      </c>
      <c r="AR39" s="8" t="str">
        <f ca="1">INDEX(NOTA[SUPPLIER_H],Sheet1!A:A)</f>
        <v>BINTANG SAUDARA</v>
      </c>
      <c r="AS39" t="str">
        <f>Table17[[#This Row],[NAMA_C]]</f>
        <v>BP GEL KOALA GP-168-C HJ</v>
      </c>
      <c r="AT39" t="str">
        <f ca="1">Table17[[#This Row],[SUPPLIER]]</f>
        <v>BINTANG SAUDARA</v>
      </c>
      <c r="AU39" t="str">
        <f>SUBSTITUTE(Table17[[#This Row],[CTN]],",",".")</f>
        <v>0.416666666666667</v>
      </c>
      <c r="AV39" s="13" t="str">
        <f>Table17[[#This Row],[ISI_C]]</f>
        <v>144</v>
      </c>
      <c r="AW39" t="str">
        <f>Table17[[#This Row],[SATUAN_C]]</f>
        <v>LSN</v>
      </c>
      <c r="AX39">
        <f>Table17[[#This Row],[HARGA CONV2]]</f>
        <v>22500</v>
      </c>
      <c r="AY39" s="9" t="str">
        <f>SUBSTITUTE(Table17[[#This Row],[DISC 3]],",",".")</f>
        <v/>
      </c>
      <c r="AZ39" s="6">
        <f ca="1">Table17[[#This Row],[TGL DATANG]]</f>
        <v>45481</v>
      </c>
      <c r="BA39" s="6">
        <f ca="1">Table17[[#This Row],[Column10]]</f>
        <v>45472</v>
      </c>
      <c r="BB39" s="7"/>
      <c r="BC39" t="str">
        <f>Table17[[#This Row],[KETERANGAN CONDRO]]</f>
        <v/>
      </c>
      <c r="BD39" t="str">
        <f ca="1">Table17[[#This Row],[Column6]]</f>
        <v>SO2024070086563</v>
      </c>
    </row>
    <row r="40" spans="1:56">
      <c r="A40" s="55">
        <v>52</v>
      </c>
      <c r="C40">
        <f>INDEX(NOTA[//DB],Sheet1!A:A)</f>
        <v>3343</v>
      </c>
      <c r="D40">
        <f>_xlfn.IFNA(MATCH(Table17[[#This Row],[//db]],[3]!Table2[\\],0),"")</f>
        <v>780</v>
      </c>
      <c r="E40" t="str">
        <f>INDEX([3]!db[NB NOTA],Table17[[#This Row],[//db]])</f>
        <v>GEL PEN KOALA GP-168-D VL</v>
      </c>
      <c r="F40" t="str">
        <f>INDEX([3]!db[NB BM],Table17[[#This Row],[//db]])</f>
        <v>BP GEL KOALA GP-168-D VL</v>
      </c>
      <c r="G40" t="str">
        <f>IF(Table17[[#This Row],[dbconcat]]="","",INDEX([3]!Table2[NAMA],Table17[[#This Row],[dbconcat]]))</f>
        <v>BP GEL KOALA GP-168-D VL</v>
      </c>
      <c r="H40" t="str">
        <f>INDEX([3]!Table2[KODE BARANG],Table17[[#This Row],[dbconcat]])</f>
        <v>BOL-KO401</v>
      </c>
      <c r="I40" t="str">
        <f>IF(Table17[[#This Row],[NAMA_3]]="",UPPER(Table17[[#This Row],[NAMA_2]]),Table17[[#This Row],[NAMA_3]])</f>
        <v>BP GEL KOALA GP-168-D VL</v>
      </c>
      <c r="J40">
        <f>INDEX(NOTA[QTY],Sheet1!A:A)</f>
        <v>60</v>
      </c>
      <c r="K40" t="str">
        <f>INDEX(NOTA[STN],Sheet1!A:A)</f>
        <v>LSN</v>
      </c>
      <c r="L40" t="str">
        <f>INDEX([3]!db[QTY B],Table17[[#This Row],[//db]])</f>
        <v>144</v>
      </c>
      <c r="M40" t="str">
        <f>INDEX([3]!db[STN B],Table17[[#This Row],[//db]])</f>
        <v>LSN</v>
      </c>
      <c r="N40" t="str">
        <f>IF(Table17[[#This Row],[SATUAN NOTA]]=Table17[[#This Row],[SATUAN DB]],"", MATCH(CONCATENATE(Table17[[#This Row],[SATUAN NOTA]],Table17[[#This Row],[SATUAN DB]]),Table2[4],0))</f>
        <v/>
      </c>
      <c r="O40" t="str" cm="1">
        <f t="array" ref="O40">IF(Table17[[#This Row],[//CONV]]="","",INDEX(Table2[3],Table17[[#This Row],[//CONV]]))</f>
        <v/>
      </c>
      <c r="P40" t="str">
        <f>IF(Table17[[#This Row],[//CONV]]="",Table17[[#This Row],[ISI DB]],Table17[[#This Row],[ISI NOTA]]*Table17[[#This Row],[CONV VAR]])</f>
        <v>144</v>
      </c>
      <c r="Q40" t="str" cm="1">
        <f t="array" ref="Q40">IF(Table17[[#This Row],[//CONV]]="",Table17[[#This Row],[SATUAN DB]],INDEX(Table2[2],Table17[[#This Row],[//CONV]]))</f>
        <v>LSN</v>
      </c>
      <c r="R40" cm="1">
        <f t="array" ref="R40">IF(Table17[[#This Row],[dbconcat]]="","",INDEX([3]!Table2[ISI],Table17[[#This Row],[dbconcat]]))</f>
        <v>144</v>
      </c>
      <c r="S40" t="str" cm="1">
        <f t="array" ref="S40">IF(Table17[[#This Row],[dbconcat]]="","",INDEX([3]!Table2[[SATUAN ]],Table17[[#This Row],[dbconcat]]))</f>
        <v>LSN</v>
      </c>
      <c r="T40" t="str">
        <f>IF(Table17[[#This Row],[SATUAN S]]="","",IF(_xlfn.NUMBERVALUE(Table17[[#This Row],[ISI DB]])=_xlfn.NUMBERVALUE(Table17[[#This Row],[ISI S]]),"",1))</f>
        <v/>
      </c>
      <c r="U40" t="str">
        <f>IF(Table17[[#This Row],[SATUAN S]]="","",IF(Table17[[#This Row],[SATUAN DB]]=Table17[[#This Row],[SATUAN S]],"",1))</f>
        <v/>
      </c>
      <c r="V40" t="str">
        <f>IF(Table17[[#This Row],[CEK STN S]]="","",MATCH(CONCATENATE(Table17[[#This Row],[SATUAN CONV]],Table17[[#This Row],[SATUAN S]]),Table2[4],0))</f>
        <v/>
      </c>
      <c r="X40" t="str" cm="1">
        <f t="array" ref="X40">IF(Table17[[#This Row],[CONV2_//]]="","",INDEX(Table2[3],Table17[[#This Row],[CONV2_//]]))</f>
        <v/>
      </c>
      <c r="Y40" s="2" t="str">
        <f>IF(Table17[[#This Row],[CEK ISI S]]="",Table17[[#This Row],[ISI DB]],Table17[[#This Row],[ISI S]])</f>
        <v>144</v>
      </c>
      <c r="Z40" t="str">
        <f>IF(Table17[[#This Row],[CEK STN S]]="",Table17[[#This Row],[SATUAN DB]],Table17[[#This Row],[SATUAN S]])</f>
        <v>LSN</v>
      </c>
      <c r="AA40">
        <f>IF(Table17[[#This Row],[//CONV]]="",Table17[[#This Row],[ISI NOTA]]/Table17[[#This Row],[ISI_C]],Table17[[#This Row],[ISI DB CONV]]/Table17[[#This Row],[ISI_C]])</f>
        <v>0.41666666666666669</v>
      </c>
      <c r="AB40">
        <f>INDEX(NOTA[HARGA SATUAN],Sheet1!A:A)</f>
        <v>22500</v>
      </c>
      <c r="AC40">
        <f>IF(Table17[[#This Row],[//CONV]]="",Table17[[#This Row],[HARGA NOTA]],Table17[[#This Row],[HARGA NOTA]]/Table17[[#This Row],[CONV VAR]])</f>
        <v>22500</v>
      </c>
      <c r="AD40">
        <f>IF(Table17[[#This Row],[CEK STN S]]="",Table17[[#This Row],[HARGA CONV]],Table17[[#This Row],[HARGA CONV]]/Table17[[#This Row],[CONV2 VAR]])</f>
        <v>22500</v>
      </c>
      <c r="AE40" s="3" t="str">
        <f>IF(INDEX(NOTA[Column6],Sheet1!A:A)=0,"",INDEX(NOTA[Column6],Sheet1!A:A))</f>
        <v/>
      </c>
      <c r="AF40" s="3" t="str">
        <f>IF(INDEX(NOTA[Column7],Sheet1!A:A)=0,"",INDEX(NOTA[Column7],Sheet1!A:A))</f>
        <v/>
      </c>
      <c r="AG4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0" s="4">
        <f>INDEX(NOTA[HARGA/ CTN_H],Sheet1!A:A)</f>
        <v>1350000</v>
      </c>
      <c r="AI40" s="4">
        <f>IF(Table17[[#This Row],[DISC 3]]="",Table17[[#This Row],[HRG / CTN]],Table17[[#This Row],[HRG / CTN]]-(Table17[[#This Row],[HRG / CTN]]*Table17[[#This Row],[DISC 3]]))</f>
        <v>1350000</v>
      </c>
      <c r="AJ40" s="5" t="e">
        <f>IF(#REF!&lt;1,Table17[[#This Row],[Column9]],Table17[[#This Row],[Column9]]*#REF!)</f>
        <v>#REF!</v>
      </c>
      <c r="AK40" s="4" t="str">
        <f ca="1">IF(NOT(AP41=Table17[[#This Row],[Column6]]),SUMIF(Table17[Column6],Table17[[#This Row],[Column6]],Table17[Column7]),"")</f>
        <v/>
      </c>
      <c r="AL40" s="6">
        <f ca="1">INDEX(NOTA[TGL_H],Sheet1!A:A)</f>
        <v>45481</v>
      </c>
      <c r="AM40" s="6">
        <f ca="1">INDEX(NOTA[TGL.NOTA_H],Sheet1!A:A)</f>
        <v>45472</v>
      </c>
      <c r="AO40" t="str">
        <f>IF(INDEX(NOTA[Column10],A:A)="","",INDEX(NOTA[Column10],A:A))</f>
        <v/>
      </c>
      <c r="AP40" t="str">
        <f ca="1">INDEX(NOTA[NO.NOTA_H],Sheet1!A:A)</f>
        <v>SO2024070086563</v>
      </c>
      <c r="AQ40">
        <f>INDEX(NOTA[Column10],Sheet1!A:A)</f>
        <v>0</v>
      </c>
      <c r="AR40" s="8" t="str">
        <f ca="1">INDEX(NOTA[SUPPLIER_H],Sheet1!A:A)</f>
        <v>BINTANG SAUDARA</v>
      </c>
      <c r="AS40" t="str">
        <f>Table17[[#This Row],[NAMA_C]]</f>
        <v>BP GEL KOALA GP-168-D VL</v>
      </c>
      <c r="AT40" t="str">
        <f ca="1">Table17[[#This Row],[SUPPLIER]]</f>
        <v>BINTANG SAUDARA</v>
      </c>
      <c r="AU40" t="str">
        <f>SUBSTITUTE(Table17[[#This Row],[CTN]],",",".")</f>
        <v>0.416666666666667</v>
      </c>
      <c r="AV40" s="13" t="str">
        <f>Table17[[#This Row],[ISI_C]]</f>
        <v>144</v>
      </c>
      <c r="AW40" t="str">
        <f>Table17[[#This Row],[SATUAN_C]]</f>
        <v>LSN</v>
      </c>
      <c r="AX40">
        <f>Table17[[#This Row],[HARGA CONV2]]</f>
        <v>22500</v>
      </c>
      <c r="AY40" s="9" t="str">
        <f>SUBSTITUTE(Table17[[#This Row],[DISC 3]],",",".")</f>
        <v/>
      </c>
      <c r="AZ40" s="6">
        <f ca="1">Table17[[#This Row],[TGL DATANG]]</f>
        <v>45481</v>
      </c>
      <c r="BA40" s="6">
        <f ca="1">Table17[[#This Row],[Column10]]</f>
        <v>45472</v>
      </c>
      <c r="BB40" s="7"/>
      <c r="BC40" t="str">
        <f>Table17[[#This Row],[KETERANGAN CONDRO]]</f>
        <v/>
      </c>
      <c r="BD40" t="str">
        <f ca="1">Table17[[#This Row],[Column6]]</f>
        <v>SO2024070086563</v>
      </c>
    </row>
    <row r="41" spans="1:56">
      <c r="A41" s="55">
        <v>53</v>
      </c>
      <c r="C41">
        <f>INDEX(NOTA[//DB],Sheet1!A:A)</f>
        <v>3344</v>
      </c>
      <c r="D41">
        <f>_xlfn.IFNA(MATCH(Table17[[#This Row],[//db]],[3]!Table2[\\],0),"")</f>
        <v>781</v>
      </c>
      <c r="E41" t="str">
        <f>INDEX([3]!db[NB NOTA],Table17[[#This Row],[//db]])</f>
        <v>GEL PEN KOALA GP-168-E OR</v>
      </c>
      <c r="F41" t="str">
        <f>INDEX([3]!db[NB BM],Table17[[#This Row],[//db]])</f>
        <v>BP GEL KOALA GP-168-E OR</v>
      </c>
      <c r="G41" t="str">
        <f>IF(Table17[[#This Row],[dbconcat]]="","",INDEX([3]!Table2[NAMA],Table17[[#This Row],[dbconcat]]))</f>
        <v>BP GEL KOALA GP-168-E OR</v>
      </c>
      <c r="H41" t="str">
        <f>INDEX([3]!Table2[KODE BARANG],Table17[[#This Row],[dbconcat]])</f>
        <v>BOL-KO402</v>
      </c>
      <c r="I41" t="str">
        <f>IF(Table17[[#This Row],[NAMA_3]]="",UPPER(Table17[[#This Row],[NAMA_2]]),Table17[[#This Row],[NAMA_3]])</f>
        <v>BP GEL KOALA GP-168-E OR</v>
      </c>
      <c r="J41">
        <f>INDEX(NOTA[QTY],Sheet1!A:A)</f>
        <v>60</v>
      </c>
      <c r="K41" t="str">
        <f>INDEX(NOTA[STN],Sheet1!A:A)</f>
        <v>LSN</v>
      </c>
      <c r="L41" t="str">
        <f>INDEX([3]!db[QTY B],Table17[[#This Row],[//db]])</f>
        <v>144</v>
      </c>
      <c r="M41" t="str">
        <f>INDEX([3]!db[STN B],Table17[[#This Row],[//db]])</f>
        <v>LSN</v>
      </c>
      <c r="N41" t="str">
        <f>IF(Table17[[#This Row],[SATUAN NOTA]]=Table17[[#This Row],[SATUAN DB]],"", MATCH(CONCATENATE(Table17[[#This Row],[SATUAN NOTA]],Table17[[#This Row],[SATUAN DB]]),Table2[4],0))</f>
        <v/>
      </c>
      <c r="O41" t="str" cm="1">
        <f t="array" ref="O41">IF(Table17[[#This Row],[//CONV]]="","",INDEX(Table2[3],Table17[[#This Row],[//CONV]]))</f>
        <v/>
      </c>
      <c r="P41" t="str">
        <f>IF(Table17[[#This Row],[//CONV]]="",Table17[[#This Row],[ISI DB]],Table17[[#This Row],[ISI NOTA]]*Table17[[#This Row],[CONV VAR]])</f>
        <v>144</v>
      </c>
      <c r="Q41" t="str" cm="1">
        <f t="array" ref="Q41">IF(Table17[[#This Row],[//CONV]]="",Table17[[#This Row],[SATUAN DB]],INDEX(Table2[2],Table17[[#This Row],[//CONV]]))</f>
        <v>LSN</v>
      </c>
      <c r="R41" cm="1">
        <f t="array" ref="R41">IF(Table17[[#This Row],[dbconcat]]="","",INDEX([3]!Table2[ISI],Table17[[#This Row],[dbconcat]]))</f>
        <v>144</v>
      </c>
      <c r="S41" t="str" cm="1">
        <f t="array" ref="S41">IF(Table17[[#This Row],[dbconcat]]="","",INDEX([3]!Table2[[SATUAN ]],Table17[[#This Row],[dbconcat]]))</f>
        <v>LSN</v>
      </c>
      <c r="T41" t="str">
        <f>IF(Table17[[#This Row],[SATUAN S]]="","",IF(_xlfn.NUMBERVALUE(Table17[[#This Row],[ISI DB]])=_xlfn.NUMBERVALUE(Table17[[#This Row],[ISI S]]),"",1))</f>
        <v/>
      </c>
      <c r="U41" t="str">
        <f>IF(Table17[[#This Row],[SATUAN S]]="","",IF(Table17[[#This Row],[SATUAN DB]]=Table17[[#This Row],[SATUAN S]],"",1))</f>
        <v/>
      </c>
      <c r="V41" t="str">
        <f>IF(Table17[[#This Row],[CEK STN S]]="","",MATCH(CONCATENATE(Table17[[#This Row],[SATUAN CONV]],Table17[[#This Row],[SATUAN S]]),Table2[4],0))</f>
        <v/>
      </c>
      <c r="X41" t="str" cm="1">
        <f t="array" ref="X41">IF(Table17[[#This Row],[CONV2_//]]="","",INDEX(Table2[3],Table17[[#This Row],[CONV2_//]]))</f>
        <v/>
      </c>
      <c r="Y41" s="2" t="str">
        <f>IF(Table17[[#This Row],[CEK ISI S]]="",Table17[[#This Row],[ISI DB]],Table17[[#This Row],[ISI S]])</f>
        <v>144</v>
      </c>
      <c r="Z41" t="str">
        <f>IF(Table17[[#This Row],[CEK STN S]]="",Table17[[#This Row],[SATUAN DB]],Table17[[#This Row],[SATUAN S]])</f>
        <v>LSN</v>
      </c>
      <c r="AA41">
        <f>IF(Table17[[#This Row],[//CONV]]="",Table17[[#This Row],[ISI NOTA]]/Table17[[#This Row],[ISI_C]],Table17[[#This Row],[ISI DB CONV]]/Table17[[#This Row],[ISI_C]])</f>
        <v>0.41666666666666669</v>
      </c>
      <c r="AB41">
        <f>INDEX(NOTA[HARGA SATUAN],Sheet1!A:A)</f>
        <v>22500</v>
      </c>
      <c r="AC41">
        <f>IF(Table17[[#This Row],[//CONV]]="",Table17[[#This Row],[HARGA NOTA]],Table17[[#This Row],[HARGA NOTA]]/Table17[[#This Row],[CONV VAR]])</f>
        <v>22500</v>
      </c>
      <c r="AD41">
        <f>IF(Table17[[#This Row],[CEK STN S]]="",Table17[[#This Row],[HARGA CONV]],Table17[[#This Row],[HARGA CONV]]/Table17[[#This Row],[CONV2 VAR]])</f>
        <v>22500</v>
      </c>
      <c r="AE41" s="3" t="str">
        <f>IF(INDEX(NOTA[Column6],Sheet1!A:A)=0,"",INDEX(NOTA[Column6],Sheet1!A:A))</f>
        <v/>
      </c>
      <c r="AF41" s="3" t="str">
        <f>IF(INDEX(NOTA[Column7],Sheet1!A:A)=0,"",INDEX(NOTA[Column7],Sheet1!A:A))</f>
        <v/>
      </c>
      <c r="AG4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1" s="4">
        <f>INDEX(NOTA[HARGA/ CTN_H],Sheet1!A:A)</f>
        <v>1350000</v>
      </c>
      <c r="AI41" s="4">
        <f>IF(Table17[[#This Row],[DISC 3]]="",Table17[[#This Row],[HRG / CTN]],Table17[[#This Row],[HRG / CTN]]-(Table17[[#This Row],[HRG / CTN]]*Table17[[#This Row],[DISC 3]]))</f>
        <v>1350000</v>
      </c>
      <c r="AJ41" s="5" t="e">
        <f>IF(#REF!&lt;1,Table17[[#This Row],[Column9]],Table17[[#This Row],[Column9]]*#REF!)</f>
        <v>#REF!</v>
      </c>
      <c r="AK41" s="4" t="str">
        <f ca="1">IF(NOT(AP42=Table17[[#This Row],[Column6]]),SUMIF(Table17[Column6],Table17[[#This Row],[Column6]],Table17[Column7]),"")</f>
        <v/>
      </c>
      <c r="AL41" s="6">
        <f ca="1">INDEX(NOTA[TGL_H],Sheet1!A:A)</f>
        <v>45481</v>
      </c>
      <c r="AM41" s="6">
        <f ca="1">INDEX(NOTA[TGL.NOTA_H],Sheet1!A:A)</f>
        <v>45472</v>
      </c>
      <c r="AO41" t="str">
        <f>IF(INDEX(NOTA[Column10],A:A)="","",INDEX(NOTA[Column10],A:A))</f>
        <v/>
      </c>
      <c r="AP41" t="str">
        <f ca="1">INDEX(NOTA[NO.NOTA_H],Sheet1!A:A)</f>
        <v>SO2024070086563</v>
      </c>
      <c r="AQ41">
        <f>INDEX(NOTA[Column10],Sheet1!A:A)</f>
        <v>0</v>
      </c>
      <c r="AR41" s="8" t="str">
        <f ca="1">INDEX(NOTA[SUPPLIER_H],Sheet1!A:A)</f>
        <v>BINTANG SAUDARA</v>
      </c>
      <c r="AS41" t="str">
        <f>Table17[[#This Row],[NAMA_C]]</f>
        <v>BP GEL KOALA GP-168-E OR</v>
      </c>
      <c r="AT41" t="str">
        <f ca="1">Table17[[#This Row],[SUPPLIER]]</f>
        <v>BINTANG SAUDARA</v>
      </c>
      <c r="AU41" t="str">
        <f>SUBSTITUTE(Table17[[#This Row],[CTN]],",",".")</f>
        <v>0.416666666666667</v>
      </c>
      <c r="AV41" s="13" t="str">
        <f>Table17[[#This Row],[ISI_C]]</f>
        <v>144</v>
      </c>
      <c r="AW41" t="str">
        <f>Table17[[#This Row],[SATUAN_C]]</f>
        <v>LSN</v>
      </c>
      <c r="AX41">
        <f>Table17[[#This Row],[HARGA CONV2]]</f>
        <v>22500</v>
      </c>
      <c r="AY41" s="9" t="str">
        <f>SUBSTITUTE(Table17[[#This Row],[DISC 3]],",",".")</f>
        <v/>
      </c>
      <c r="AZ41" s="6">
        <f ca="1">Table17[[#This Row],[TGL DATANG]]</f>
        <v>45481</v>
      </c>
      <c r="BA41" s="6">
        <f ca="1">Table17[[#This Row],[Column10]]</f>
        <v>45472</v>
      </c>
      <c r="BB41" s="7"/>
      <c r="BC41" t="str">
        <f>Table17[[#This Row],[KETERANGAN CONDRO]]</f>
        <v/>
      </c>
      <c r="BD41" t="str">
        <f ca="1">Table17[[#This Row],[Column6]]</f>
        <v>SO2024070086563</v>
      </c>
    </row>
    <row r="42" spans="1:56">
      <c r="A42" s="55">
        <v>54</v>
      </c>
      <c r="C42">
        <f>INDEX(NOTA[//DB],Sheet1!A:A)</f>
        <v>3345</v>
      </c>
      <c r="D42">
        <f>_xlfn.IFNA(MATCH(Table17[[#This Row],[//db]],[3]!Table2[\\],0),"")</f>
        <v>782</v>
      </c>
      <c r="E42" t="str">
        <f>INDEX([3]!db[NB NOTA],Table17[[#This Row],[//db]])</f>
        <v>GEL PEN KOALA GP-168-F BR TUA</v>
      </c>
      <c r="F42" t="str">
        <f>INDEX([3]!db[NB BM],Table17[[#This Row],[//db]])</f>
        <v>BP GEL KOALA GP-168-F BR TUA</v>
      </c>
      <c r="G42" t="str">
        <f>IF(Table17[[#This Row],[dbconcat]]="","",INDEX([3]!Table2[NAMA],Table17[[#This Row],[dbconcat]]))</f>
        <v>BP GEL KOALA GP-168-F BR TUA</v>
      </c>
      <c r="H42" t="str">
        <f>INDEX([3]!Table2[KODE BARANG],Table17[[#This Row],[dbconcat]])</f>
        <v>BOL-KO403</v>
      </c>
      <c r="I42" t="str">
        <f>IF(Table17[[#This Row],[NAMA_3]]="",UPPER(Table17[[#This Row],[NAMA_2]]),Table17[[#This Row],[NAMA_3]])</f>
        <v>BP GEL KOALA GP-168-F BR TUA</v>
      </c>
      <c r="J42">
        <f>INDEX(NOTA[QTY],Sheet1!A:A)</f>
        <v>60</v>
      </c>
      <c r="K42" t="str">
        <f>INDEX(NOTA[STN],Sheet1!A:A)</f>
        <v>LSN</v>
      </c>
      <c r="L42" t="str">
        <f>INDEX([3]!db[QTY B],Table17[[#This Row],[//db]])</f>
        <v>144</v>
      </c>
      <c r="M42" t="str">
        <f>INDEX([3]!db[STN B],Table17[[#This Row],[//db]])</f>
        <v>LSN</v>
      </c>
      <c r="N42" t="str">
        <f>IF(Table17[[#This Row],[SATUAN NOTA]]=Table17[[#This Row],[SATUAN DB]],"", MATCH(CONCATENATE(Table17[[#This Row],[SATUAN NOTA]],Table17[[#This Row],[SATUAN DB]]),Table2[4],0))</f>
        <v/>
      </c>
      <c r="O42" t="str" cm="1">
        <f t="array" ref="O42">IF(Table17[[#This Row],[//CONV]]="","",INDEX(Table2[3],Table17[[#This Row],[//CONV]]))</f>
        <v/>
      </c>
      <c r="P42" t="str">
        <f>IF(Table17[[#This Row],[//CONV]]="",Table17[[#This Row],[ISI DB]],Table17[[#This Row],[ISI NOTA]]*Table17[[#This Row],[CONV VAR]])</f>
        <v>144</v>
      </c>
      <c r="Q42" t="str" cm="1">
        <f t="array" ref="Q42">IF(Table17[[#This Row],[//CONV]]="",Table17[[#This Row],[SATUAN DB]],INDEX(Table2[2],Table17[[#This Row],[//CONV]]))</f>
        <v>LSN</v>
      </c>
      <c r="R42" cm="1">
        <f t="array" ref="R42">IF(Table17[[#This Row],[dbconcat]]="","",INDEX([3]!Table2[ISI],Table17[[#This Row],[dbconcat]]))</f>
        <v>144</v>
      </c>
      <c r="S42" t="str" cm="1">
        <f t="array" ref="S42">IF(Table17[[#This Row],[dbconcat]]="","",INDEX([3]!Table2[[SATUAN ]],Table17[[#This Row],[dbconcat]]))</f>
        <v>LSN</v>
      </c>
      <c r="T42" t="str">
        <f>IF(Table17[[#This Row],[SATUAN S]]="","",IF(_xlfn.NUMBERVALUE(Table17[[#This Row],[ISI DB]])=_xlfn.NUMBERVALUE(Table17[[#This Row],[ISI S]]),"",1))</f>
        <v/>
      </c>
      <c r="U42" t="str">
        <f>IF(Table17[[#This Row],[SATUAN S]]="","",IF(Table17[[#This Row],[SATUAN DB]]=Table17[[#This Row],[SATUAN S]],"",1))</f>
        <v/>
      </c>
      <c r="V42" t="str">
        <f>IF(Table17[[#This Row],[CEK STN S]]="","",MATCH(CONCATENATE(Table17[[#This Row],[SATUAN CONV]],Table17[[#This Row],[SATUAN S]]),Table2[4],0))</f>
        <v/>
      </c>
      <c r="X42" t="str" cm="1">
        <f t="array" ref="X42">IF(Table17[[#This Row],[CONV2_//]]="","",INDEX(Table2[3],Table17[[#This Row],[CONV2_//]]))</f>
        <v/>
      </c>
      <c r="Y42" s="2" t="str">
        <f>IF(Table17[[#This Row],[CEK ISI S]]="",Table17[[#This Row],[ISI DB]],Table17[[#This Row],[ISI S]])</f>
        <v>144</v>
      </c>
      <c r="Z42" t="str">
        <f>IF(Table17[[#This Row],[CEK STN S]]="",Table17[[#This Row],[SATUAN DB]],Table17[[#This Row],[SATUAN S]])</f>
        <v>LSN</v>
      </c>
      <c r="AA42">
        <f>IF(Table17[[#This Row],[//CONV]]="",Table17[[#This Row],[ISI NOTA]]/Table17[[#This Row],[ISI_C]],Table17[[#This Row],[ISI DB CONV]]/Table17[[#This Row],[ISI_C]])</f>
        <v>0.41666666666666669</v>
      </c>
      <c r="AB42">
        <f>INDEX(NOTA[HARGA SATUAN],Sheet1!A:A)</f>
        <v>22500</v>
      </c>
      <c r="AC42">
        <f>IF(Table17[[#This Row],[//CONV]]="",Table17[[#This Row],[HARGA NOTA]],Table17[[#This Row],[HARGA NOTA]]/Table17[[#This Row],[CONV VAR]])</f>
        <v>22500</v>
      </c>
      <c r="AD42">
        <f>IF(Table17[[#This Row],[CEK STN S]]="",Table17[[#This Row],[HARGA CONV]],Table17[[#This Row],[HARGA CONV]]/Table17[[#This Row],[CONV2 VAR]])</f>
        <v>22500</v>
      </c>
      <c r="AE42" s="3" t="str">
        <f>IF(INDEX(NOTA[Column6],Sheet1!A:A)=0,"",INDEX(NOTA[Column6],Sheet1!A:A))</f>
        <v/>
      </c>
      <c r="AF42" s="3" t="str">
        <f>IF(INDEX(NOTA[Column7],Sheet1!A:A)=0,"",INDEX(NOTA[Column7],Sheet1!A:A))</f>
        <v/>
      </c>
      <c r="AG4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2" s="4">
        <f>INDEX(NOTA[HARGA/ CTN_H],Sheet1!A:A)</f>
        <v>1350000</v>
      </c>
      <c r="AI42" s="4">
        <f>IF(Table17[[#This Row],[DISC 3]]="",Table17[[#This Row],[HRG / CTN]],Table17[[#This Row],[HRG / CTN]]-(Table17[[#This Row],[HRG / CTN]]*Table17[[#This Row],[DISC 3]]))</f>
        <v>1350000</v>
      </c>
      <c r="AJ42" s="5" t="e">
        <f>IF(#REF!&lt;1,Table17[[#This Row],[Column9]],Table17[[#This Row],[Column9]]*#REF!)</f>
        <v>#REF!</v>
      </c>
      <c r="AK42" s="4" t="str">
        <f ca="1">IF(NOT(AP43=Table17[[#This Row],[Column6]]),SUMIF(Table17[Column6],Table17[[#This Row],[Column6]],Table17[Column7]),"")</f>
        <v/>
      </c>
      <c r="AL42" s="6">
        <f ca="1">INDEX(NOTA[TGL_H],Sheet1!A:A)</f>
        <v>45481</v>
      </c>
      <c r="AM42" s="6">
        <f ca="1">INDEX(NOTA[TGL.NOTA_H],Sheet1!A:A)</f>
        <v>45472</v>
      </c>
      <c r="AO42" t="str">
        <f>IF(INDEX(NOTA[Column10],A:A)="","",INDEX(NOTA[Column10],A:A))</f>
        <v/>
      </c>
      <c r="AP42" t="str">
        <f ca="1">INDEX(NOTA[NO.NOTA_H],Sheet1!A:A)</f>
        <v>SO2024070086563</v>
      </c>
      <c r="AQ42">
        <f>INDEX(NOTA[Column10],Sheet1!A:A)</f>
        <v>0</v>
      </c>
      <c r="AR42" s="8" t="str">
        <f ca="1">INDEX(NOTA[SUPPLIER_H],Sheet1!A:A)</f>
        <v>BINTANG SAUDARA</v>
      </c>
      <c r="AS42" t="str">
        <f>Table17[[#This Row],[NAMA_C]]</f>
        <v>BP GEL KOALA GP-168-F BR TUA</v>
      </c>
      <c r="AT42" t="str">
        <f ca="1">Table17[[#This Row],[SUPPLIER]]</f>
        <v>BINTANG SAUDARA</v>
      </c>
      <c r="AU42" t="str">
        <f>SUBSTITUTE(Table17[[#This Row],[CTN]],",",".")</f>
        <v>0.416666666666667</v>
      </c>
      <c r="AV42" s="13" t="str">
        <f>Table17[[#This Row],[ISI_C]]</f>
        <v>144</v>
      </c>
      <c r="AW42" t="str">
        <f>Table17[[#This Row],[SATUAN_C]]</f>
        <v>LSN</v>
      </c>
      <c r="AX42">
        <f>Table17[[#This Row],[HARGA CONV2]]</f>
        <v>22500</v>
      </c>
      <c r="AY42" s="9" t="str">
        <f>SUBSTITUTE(Table17[[#This Row],[DISC 3]],",",".")</f>
        <v/>
      </c>
      <c r="AZ42" s="6">
        <f ca="1">Table17[[#This Row],[TGL DATANG]]</f>
        <v>45481</v>
      </c>
      <c r="BA42" s="6">
        <f ca="1">Table17[[#This Row],[Column10]]</f>
        <v>45472</v>
      </c>
      <c r="BB42" s="7"/>
      <c r="BC42" t="str">
        <f>Table17[[#This Row],[KETERANGAN CONDRO]]</f>
        <v/>
      </c>
      <c r="BD42" t="str">
        <f ca="1">Table17[[#This Row],[Column6]]</f>
        <v>SO2024070086563</v>
      </c>
    </row>
    <row r="43" spans="1:56">
      <c r="A43" s="55">
        <v>55</v>
      </c>
      <c r="C43">
        <f>INDEX(NOTA[//DB],Sheet1!A:A)</f>
        <v>3346</v>
      </c>
      <c r="D43">
        <f>_xlfn.IFNA(MATCH(Table17[[#This Row],[//db]],[3]!Table2[\\],0),"")</f>
        <v>783</v>
      </c>
      <c r="E43" t="str">
        <f>INDEX([3]!db[NB NOTA],Table17[[#This Row],[//db]])</f>
        <v>GEL PEN KOALA GP-168-G PK</v>
      </c>
      <c r="F43" t="str">
        <f>INDEX([3]!db[NB BM],Table17[[#This Row],[//db]])</f>
        <v>BP GEL KOALA GP-168-G PK</v>
      </c>
      <c r="G43" t="str">
        <f>IF(Table17[[#This Row],[dbconcat]]="","",INDEX([3]!Table2[NAMA],Table17[[#This Row],[dbconcat]]))</f>
        <v>BP GEL KOALA GP-168-G PK</v>
      </c>
      <c r="H43" t="str">
        <f>INDEX([3]!Table2[KODE BARANG],Table17[[#This Row],[dbconcat]])</f>
        <v>BOL-KO404</v>
      </c>
      <c r="I43" t="str">
        <f>IF(Table17[[#This Row],[NAMA_3]]="",UPPER(Table17[[#This Row],[NAMA_2]]),Table17[[#This Row],[NAMA_3]])</f>
        <v>BP GEL KOALA GP-168-G PK</v>
      </c>
      <c r="J43">
        <f>INDEX(NOTA[QTY],Sheet1!A:A)</f>
        <v>60</v>
      </c>
      <c r="K43" t="str">
        <f>INDEX(NOTA[STN],Sheet1!A:A)</f>
        <v>LSN</v>
      </c>
      <c r="L43" t="str">
        <f>INDEX([3]!db[QTY B],Table17[[#This Row],[//db]])</f>
        <v>144</v>
      </c>
      <c r="M43" t="str">
        <f>INDEX([3]!db[STN B],Table17[[#This Row],[//db]])</f>
        <v>LSN</v>
      </c>
      <c r="N43" t="str">
        <f>IF(Table17[[#This Row],[SATUAN NOTA]]=Table17[[#This Row],[SATUAN DB]],"", MATCH(CONCATENATE(Table17[[#This Row],[SATUAN NOTA]],Table17[[#This Row],[SATUAN DB]]),Table2[4],0))</f>
        <v/>
      </c>
      <c r="O43" t="str" cm="1">
        <f t="array" ref="O43">IF(Table17[[#This Row],[//CONV]]="","",INDEX(Table2[3],Table17[[#This Row],[//CONV]]))</f>
        <v/>
      </c>
      <c r="P43" t="str">
        <f>IF(Table17[[#This Row],[//CONV]]="",Table17[[#This Row],[ISI DB]],Table17[[#This Row],[ISI NOTA]]*Table17[[#This Row],[CONV VAR]])</f>
        <v>144</v>
      </c>
      <c r="Q43" t="str" cm="1">
        <f t="array" ref="Q43">IF(Table17[[#This Row],[//CONV]]="",Table17[[#This Row],[SATUAN DB]],INDEX(Table2[2],Table17[[#This Row],[//CONV]]))</f>
        <v>LSN</v>
      </c>
      <c r="R43" cm="1">
        <f t="array" ref="R43">IF(Table17[[#This Row],[dbconcat]]="","",INDEX([3]!Table2[ISI],Table17[[#This Row],[dbconcat]]))</f>
        <v>144</v>
      </c>
      <c r="S43" t="str" cm="1">
        <f t="array" ref="S43">IF(Table17[[#This Row],[dbconcat]]="","",INDEX([3]!Table2[[SATUAN ]],Table17[[#This Row],[dbconcat]]))</f>
        <v>LSN</v>
      </c>
      <c r="T43" t="str">
        <f>IF(Table17[[#This Row],[SATUAN S]]="","",IF(_xlfn.NUMBERVALUE(Table17[[#This Row],[ISI DB]])=_xlfn.NUMBERVALUE(Table17[[#This Row],[ISI S]]),"",1))</f>
        <v/>
      </c>
      <c r="U43" t="str">
        <f>IF(Table17[[#This Row],[SATUAN S]]="","",IF(Table17[[#This Row],[SATUAN DB]]=Table17[[#This Row],[SATUAN S]],"",1))</f>
        <v/>
      </c>
      <c r="V43" t="str">
        <f>IF(Table17[[#This Row],[CEK STN S]]="","",MATCH(CONCATENATE(Table17[[#This Row],[SATUAN CONV]],Table17[[#This Row],[SATUAN S]]),Table2[4],0))</f>
        <v/>
      </c>
      <c r="X43" t="str" cm="1">
        <f t="array" ref="X43">IF(Table17[[#This Row],[CONV2_//]]="","",INDEX(Table2[3],Table17[[#This Row],[CONV2_//]]))</f>
        <v/>
      </c>
      <c r="Y43" s="2" t="str">
        <f>IF(Table17[[#This Row],[CEK ISI S]]="",Table17[[#This Row],[ISI DB]],Table17[[#This Row],[ISI S]])</f>
        <v>144</v>
      </c>
      <c r="Z43" t="str">
        <f>IF(Table17[[#This Row],[CEK STN S]]="",Table17[[#This Row],[SATUAN DB]],Table17[[#This Row],[SATUAN S]])</f>
        <v>LSN</v>
      </c>
      <c r="AA43">
        <f>IF(Table17[[#This Row],[//CONV]]="",Table17[[#This Row],[ISI NOTA]]/Table17[[#This Row],[ISI_C]],Table17[[#This Row],[ISI DB CONV]]/Table17[[#This Row],[ISI_C]])</f>
        <v>0.41666666666666669</v>
      </c>
      <c r="AB43">
        <f>INDEX(NOTA[HARGA SATUAN],Sheet1!A:A)</f>
        <v>22500</v>
      </c>
      <c r="AC43">
        <f>IF(Table17[[#This Row],[//CONV]]="",Table17[[#This Row],[HARGA NOTA]],Table17[[#This Row],[HARGA NOTA]]/Table17[[#This Row],[CONV VAR]])</f>
        <v>22500</v>
      </c>
      <c r="AD43">
        <f>IF(Table17[[#This Row],[CEK STN S]]="",Table17[[#This Row],[HARGA CONV]],Table17[[#This Row],[HARGA CONV]]/Table17[[#This Row],[CONV2 VAR]])</f>
        <v>22500</v>
      </c>
      <c r="AE43" s="3" t="str">
        <f>IF(INDEX(NOTA[Column6],Sheet1!A:A)=0,"",INDEX(NOTA[Column6],Sheet1!A:A))</f>
        <v/>
      </c>
      <c r="AF43" s="3" t="str">
        <f>IF(INDEX(NOTA[Column7],Sheet1!A:A)=0,"",INDEX(NOTA[Column7],Sheet1!A:A))</f>
        <v/>
      </c>
      <c r="AG4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3" s="4">
        <f>INDEX(NOTA[HARGA/ CTN_H],Sheet1!A:A)</f>
        <v>1350000</v>
      </c>
      <c r="AI43" s="4">
        <f>IF(Table17[[#This Row],[DISC 3]]="",Table17[[#This Row],[HRG / CTN]],Table17[[#This Row],[HRG / CTN]]-(Table17[[#This Row],[HRG / CTN]]*Table17[[#This Row],[DISC 3]]))</f>
        <v>1350000</v>
      </c>
      <c r="AJ43" s="5" t="e">
        <f>IF(#REF!&lt;1,Table17[[#This Row],[Column9]],Table17[[#This Row],[Column9]]*#REF!)</f>
        <v>#REF!</v>
      </c>
      <c r="AK43" s="4" t="str">
        <f ca="1">IF(NOT(AP44=Table17[[#This Row],[Column6]]),SUMIF(Table17[Column6],Table17[[#This Row],[Column6]],Table17[Column7]),"")</f>
        <v/>
      </c>
      <c r="AL43" s="6">
        <f ca="1">INDEX(NOTA[TGL_H],Sheet1!A:A)</f>
        <v>45481</v>
      </c>
      <c r="AM43" s="6">
        <f ca="1">INDEX(NOTA[TGL.NOTA_H],Sheet1!A:A)</f>
        <v>45472</v>
      </c>
      <c r="AO43" t="str">
        <f>IF(INDEX(NOTA[Column10],A:A)="","",INDEX(NOTA[Column10],A:A))</f>
        <v/>
      </c>
      <c r="AP43" t="str">
        <f ca="1">INDEX(NOTA[NO.NOTA_H],Sheet1!A:A)</f>
        <v>SO2024070086563</v>
      </c>
      <c r="AQ43">
        <f>INDEX(NOTA[Column10],Sheet1!A:A)</f>
        <v>0</v>
      </c>
      <c r="AR43" s="8" t="str">
        <f ca="1">INDEX(NOTA[SUPPLIER_H],Sheet1!A:A)</f>
        <v>BINTANG SAUDARA</v>
      </c>
      <c r="AS43" t="str">
        <f>Table17[[#This Row],[NAMA_C]]</f>
        <v>BP GEL KOALA GP-168-G PK</v>
      </c>
      <c r="AT43" t="str">
        <f ca="1">Table17[[#This Row],[SUPPLIER]]</f>
        <v>BINTANG SAUDARA</v>
      </c>
      <c r="AU43" t="str">
        <f>SUBSTITUTE(Table17[[#This Row],[CTN]],",",".")</f>
        <v>0.416666666666667</v>
      </c>
      <c r="AV43" s="13" t="str">
        <f>Table17[[#This Row],[ISI_C]]</f>
        <v>144</v>
      </c>
      <c r="AW43" t="str">
        <f>Table17[[#This Row],[SATUAN_C]]</f>
        <v>LSN</v>
      </c>
      <c r="AX43">
        <f>Table17[[#This Row],[HARGA CONV2]]</f>
        <v>22500</v>
      </c>
      <c r="AY43" s="9" t="str">
        <f>SUBSTITUTE(Table17[[#This Row],[DISC 3]],",",".")</f>
        <v/>
      </c>
      <c r="AZ43" s="6">
        <f ca="1">Table17[[#This Row],[TGL DATANG]]</f>
        <v>45481</v>
      </c>
      <c r="BA43" s="6">
        <f ca="1">Table17[[#This Row],[Column10]]</f>
        <v>45472</v>
      </c>
      <c r="BB43" s="7"/>
      <c r="BC43" t="str">
        <f>Table17[[#This Row],[KETERANGAN CONDRO]]</f>
        <v/>
      </c>
      <c r="BD43" t="str">
        <f ca="1">Table17[[#This Row],[Column6]]</f>
        <v>SO2024070086563</v>
      </c>
    </row>
    <row r="44" spans="1:56">
      <c r="A44" s="55">
        <v>56</v>
      </c>
      <c r="C44">
        <f>INDEX(NOTA[//DB],Sheet1!A:A)</f>
        <v>3347</v>
      </c>
      <c r="D44">
        <f>_xlfn.IFNA(MATCH(Table17[[#This Row],[//db]],[3]!Table2[\\],0),"")</f>
        <v>784</v>
      </c>
      <c r="E44" t="str">
        <f>INDEX([3]!db[NB NOTA],Table17[[#This Row],[//db]])</f>
        <v>GEL PEN KOALA GP-168-H HJ MUDA</v>
      </c>
      <c r="F44" t="str">
        <f>INDEX([3]!db[NB BM],Table17[[#This Row],[//db]])</f>
        <v>BP GEL KOALA GP-168-H HJ MUDA</v>
      </c>
      <c r="G44" t="str">
        <f>IF(Table17[[#This Row],[dbconcat]]="","",INDEX([3]!Table2[NAMA],Table17[[#This Row],[dbconcat]]))</f>
        <v>BP GEL KOALA GP-168-H HJ MUDA</v>
      </c>
      <c r="H44" t="str">
        <f>INDEX([3]!Table2[KODE BARANG],Table17[[#This Row],[dbconcat]])</f>
        <v>BOL-KO405</v>
      </c>
      <c r="I44" t="str">
        <f>IF(Table17[[#This Row],[NAMA_3]]="",UPPER(Table17[[#This Row],[NAMA_2]]),Table17[[#This Row],[NAMA_3]])</f>
        <v>BP GEL KOALA GP-168-H HJ MUDA</v>
      </c>
      <c r="J44">
        <f>INDEX(NOTA[QTY],Sheet1!A:A)</f>
        <v>60</v>
      </c>
      <c r="K44" t="str">
        <f>INDEX(NOTA[STN],Sheet1!A:A)</f>
        <v>LSN</v>
      </c>
      <c r="L44" t="str">
        <f>INDEX([3]!db[QTY B],Table17[[#This Row],[//db]])</f>
        <v>144</v>
      </c>
      <c r="M44" t="str">
        <f>INDEX([3]!db[STN B],Table17[[#This Row],[//db]])</f>
        <v>LSN</v>
      </c>
      <c r="N44" t="str">
        <f>IF(Table17[[#This Row],[SATUAN NOTA]]=Table17[[#This Row],[SATUAN DB]],"", MATCH(CONCATENATE(Table17[[#This Row],[SATUAN NOTA]],Table17[[#This Row],[SATUAN DB]]),Table2[4],0))</f>
        <v/>
      </c>
      <c r="O44" t="str" cm="1">
        <f t="array" ref="O44">IF(Table17[[#This Row],[//CONV]]="","",INDEX(Table2[3],Table17[[#This Row],[//CONV]]))</f>
        <v/>
      </c>
      <c r="P44" t="str">
        <f>IF(Table17[[#This Row],[//CONV]]="",Table17[[#This Row],[ISI DB]],Table17[[#This Row],[ISI NOTA]]*Table17[[#This Row],[CONV VAR]])</f>
        <v>144</v>
      </c>
      <c r="Q44" t="str" cm="1">
        <f t="array" ref="Q44">IF(Table17[[#This Row],[//CONV]]="",Table17[[#This Row],[SATUAN DB]],INDEX(Table2[2],Table17[[#This Row],[//CONV]]))</f>
        <v>LSN</v>
      </c>
      <c r="R44" cm="1">
        <f t="array" ref="R44">IF(Table17[[#This Row],[dbconcat]]="","",INDEX([3]!Table2[ISI],Table17[[#This Row],[dbconcat]]))</f>
        <v>144</v>
      </c>
      <c r="S44" t="str" cm="1">
        <f t="array" ref="S44">IF(Table17[[#This Row],[dbconcat]]="","",INDEX([3]!Table2[[SATUAN ]],Table17[[#This Row],[dbconcat]]))</f>
        <v>LSN</v>
      </c>
      <c r="T44" t="str">
        <f>IF(Table17[[#This Row],[SATUAN S]]="","",IF(_xlfn.NUMBERVALUE(Table17[[#This Row],[ISI DB]])=_xlfn.NUMBERVALUE(Table17[[#This Row],[ISI S]]),"",1))</f>
        <v/>
      </c>
      <c r="U44" t="str">
        <f>IF(Table17[[#This Row],[SATUAN S]]="","",IF(Table17[[#This Row],[SATUAN DB]]=Table17[[#This Row],[SATUAN S]],"",1))</f>
        <v/>
      </c>
      <c r="V44" t="str">
        <f>IF(Table17[[#This Row],[CEK STN S]]="","",MATCH(CONCATENATE(Table17[[#This Row],[SATUAN CONV]],Table17[[#This Row],[SATUAN S]]),Table2[4],0))</f>
        <v/>
      </c>
      <c r="X44" t="str" cm="1">
        <f t="array" ref="X44">IF(Table17[[#This Row],[CONV2_//]]="","",INDEX(Table2[3],Table17[[#This Row],[CONV2_//]]))</f>
        <v/>
      </c>
      <c r="Y44" s="2" t="str">
        <f>IF(Table17[[#This Row],[CEK ISI S]]="",Table17[[#This Row],[ISI DB]],Table17[[#This Row],[ISI S]])</f>
        <v>144</v>
      </c>
      <c r="Z44" t="str">
        <f>IF(Table17[[#This Row],[CEK STN S]]="",Table17[[#This Row],[SATUAN DB]],Table17[[#This Row],[SATUAN S]])</f>
        <v>LSN</v>
      </c>
      <c r="AA44">
        <f>IF(Table17[[#This Row],[//CONV]]="",Table17[[#This Row],[ISI NOTA]]/Table17[[#This Row],[ISI_C]],Table17[[#This Row],[ISI DB CONV]]/Table17[[#This Row],[ISI_C]])</f>
        <v>0.41666666666666669</v>
      </c>
      <c r="AB44">
        <f>INDEX(NOTA[HARGA SATUAN],Sheet1!A:A)</f>
        <v>22500</v>
      </c>
      <c r="AC44">
        <f>IF(Table17[[#This Row],[//CONV]]="",Table17[[#This Row],[HARGA NOTA]],Table17[[#This Row],[HARGA NOTA]]/Table17[[#This Row],[CONV VAR]])</f>
        <v>22500</v>
      </c>
      <c r="AD44">
        <f>IF(Table17[[#This Row],[CEK STN S]]="",Table17[[#This Row],[HARGA CONV]],Table17[[#This Row],[HARGA CONV]]/Table17[[#This Row],[CONV2 VAR]])</f>
        <v>22500</v>
      </c>
      <c r="AE44" s="3" t="str">
        <f>IF(INDEX(NOTA[Column6],Sheet1!A:A)=0,"",INDEX(NOTA[Column6],Sheet1!A:A))</f>
        <v/>
      </c>
      <c r="AF44" s="3" t="str">
        <f>IF(INDEX(NOTA[Column7],Sheet1!A:A)=0,"",INDEX(NOTA[Column7],Sheet1!A:A))</f>
        <v/>
      </c>
      <c r="AG4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4" s="4">
        <f>INDEX(NOTA[HARGA/ CTN_H],Sheet1!A:A)</f>
        <v>1350000</v>
      </c>
      <c r="AI44" s="4">
        <f>IF(Table17[[#This Row],[DISC 3]]="",Table17[[#This Row],[HRG / CTN]],Table17[[#This Row],[HRG / CTN]]-(Table17[[#This Row],[HRG / CTN]]*Table17[[#This Row],[DISC 3]]))</f>
        <v>1350000</v>
      </c>
      <c r="AJ44" s="5" t="e">
        <f>IF(#REF!&lt;1,Table17[[#This Row],[Column9]],Table17[[#This Row],[Column9]]*#REF!)</f>
        <v>#REF!</v>
      </c>
      <c r="AK44" s="4" t="str">
        <f ca="1">IF(NOT(AP45=Table17[[#This Row],[Column6]]),SUMIF(Table17[Column6],Table17[[#This Row],[Column6]],Table17[Column7]),"")</f>
        <v/>
      </c>
      <c r="AL44" s="6">
        <f ca="1">INDEX(NOTA[TGL_H],Sheet1!A:A)</f>
        <v>45481</v>
      </c>
      <c r="AM44" s="6">
        <f ca="1">INDEX(NOTA[TGL.NOTA_H],Sheet1!A:A)</f>
        <v>45472</v>
      </c>
      <c r="AO44" t="str">
        <f>IF(INDEX(NOTA[Column10],A:A)="","",INDEX(NOTA[Column10],A:A))</f>
        <v/>
      </c>
      <c r="AP44" t="str">
        <f ca="1">INDEX(NOTA[NO.NOTA_H],Sheet1!A:A)</f>
        <v>SO2024070086563</v>
      </c>
      <c r="AQ44">
        <f>INDEX(NOTA[Column10],Sheet1!A:A)</f>
        <v>0</v>
      </c>
      <c r="AR44" s="8" t="str">
        <f ca="1">INDEX(NOTA[SUPPLIER_H],Sheet1!A:A)</f>
        <v>BINTANG SAUDARA</v>
      </c>
      <c r="AS44" t="str">
        <f>Table17[[#This Row],[NAMA_C]]</f>
        <v>BP GEL KOALA GP-168-H HJ MUDA</v>
      </c>
      <c r="AT44" t="str">
        <f ca="1">Table17[[#This Row],[SUPPLIER]]</f>
        <v>BINTANG SAUDARA</v>
      </c>
      <c r="AU44" t="str">
        <f>SUBSTITUTE(Table17[[#This Row],[CTN]],",",".")</f>
        <v>0.416666666666667</v>
      </c>
      <c r="AV44" s="13" t="str">
        <f>Table17[[#This Row],[ISI_C]]</f>
        <v>144</v>
      </c>
      <c r="AW44" t="str">
        <f>Table17[[#This Row],[SATUAN_C]]</f>
        <v>LSN</v>
      </c>
      <c r="AX44">
        <f>Table17[[#This Row],[HARGA CONV2]]</f>
        <v>22500</v>
      </c>
      <c r="AY44" s="9" t="str">
        <f>SUBSTITUTE(Table17[[#This Row],[DISC 3]],",",".")</f>
        <v/>
      </c>
      <c r="AZ44" s="6">
        <f ca="1">Table17[[#This Row],[TGL DATANG]]</f>
        <v>45481</v>
      </c>
      <c r="BA44" s="6">
        <f ca="1">Table17[[#This Row],[Column10]]</f>
        <v>45472</v>
      </c>
      <c r="BB44" s="7"/>
      <c r="BC44" t="str">
        <f>Table17[[#This Row],[KETERANGAN CONDRO]]</f>
        <v/>
      </c>
      <c r="BD44" t="str">
        <f ca="1">Table17[[#This Row],[Column6]]</f>
        <v>SO2024070086563</v>
      </c>
    </row>
    <row r="45" spans="1:56">
      <c r="A45" s="55">
        <v>57</v>
      </c>
      <c r="C45">
        <f>INDEX(NOTA[//DB],Sheet1!A:A)</f>
        <v>3348</v>
      </c>
      <c r="D45">
        <f>_xlfn.IFNA(MATCH(Table17[[#This Row],[//db]],[3]!Table2[\\],0),"")</f>
        <v>785</v>
      </c>
      <c r="E45" t="str">
        <f>INDEX([3]!db[NB NOTA],Table17[[#This Row],[//db]])</f>
        <v>GEL PEN KOALA GP-168-I COKLAT</v>
      </c>
      <c r="F45" t="str">
        <f>INDEX([3]!db[NB BM],Table17[[#This Row],[//db]])</f>
        <v>BP GEL KOALA GP-168-I COKLAT</v>
      </c>
      <c r="G45" t="str">
        <f>IF(Table17[[#This Row],[dbconcat]]="","",INDEX([3]!Table2[NAMA],Table17[[#This Row],[dbconcat]]))</f>
        <v>BP GEL KOALA GP-168-I COKLAT</v>
      </c>
      <c r="H45" t="str">
        <f>INDEX([3]!Table2[KODE BARANG],Table17[[#This Row],[dbconcat]])</f>
        <v>BOL-KO406</v>
      </c>
      <c r="I45" t="str">
        <f>IF(Table17[[#This Row],[NAMA_3]]="",UPPER(Table17[[#This Row],[NAMA_2]]),Table17[[#This Row],[NAMA_3]])</f>
        <v>BP GEL KOALA GP-168-I COKLAT</v>
      </c>
      <c r="J45">
        <f>INDEX(NOTA[QTY],Sheet1!A:A)</f>
        <v>60</v>
      </c>
      <c r="K45" t="str">
        <f>INDEX(NOTA[STN],Sheet1!A:A)</f>
        <v>LSN</v>
      </c>
      <c r="L45" t="str">
        <f>INDEX([3]!db[QTY B],Table17[[#This Row],[//db]])</f>
        <v>144</v>
      </c>
      <c r="M45" t="str">
        <f>INDEX([3]!db[STN B],Table17[[#This Row],[//db]])</f>
        <v>LSN</v>
      </c>
      <c r="N45" t="str">
        <f>IF(Table17[[#This Row],[SATUAN NOTA]]=Table17[[#This Row],[SATUAN DB]],"", MATCH(CONCATENATE(Table17[[#This Row],[SATUAN NOTA]],Table17[[#This Row],[SATUAN DB]]),Table2[4],0))</f>
        <v/>
      </c>
      <c r="O45" t="str" cm="1">
        <f t="array" ref="O45">IF(Table17[[#This Row],[//CONV]]="","",INDEX(Table2[3],Table17[[#This Row],[//CONV]]))</f>
        <v/>
      </c>
      <c r="P45" t="str">
        <f>IF(Table17[[#This Row],[//CONV]]="",Table17[[#This Row],[ISI DB]],Table17[[#This Row],[ISI NOTA]]*Table17[[#This Row],[CONV VAR]])</f>
        <v>144</v>
      </c>
      <c r="Q45" t="str" cm="1">
        <f t="array" ref="Q45">IF(Table17[[#This Row],[//CONV]]="",Table17[[#This Row],[SATUAN DB]],INDEX(Table2[2],Table17[[#This Row],[//CONV]]))</f>
        <v>LSN</v>
      </c>
      <c r="R45" cm="1">
        <f t="array" ref="R45">IF(Table17[[#This Row],[dbconcat]]="","",INDEX([3]!Table2[ISI],Table17[[#This Row],[dbconcat]]))</f>
        <v>144</v>
      </c>
      <c r="S45" t="str" cm="1">
        <f t="array" ref="S45">IF(Table17[[#This Row],[dbconcat]]="","",INDEX([3]!Table2[[SATUAN ]],Table17[[#This Row],[dbconcat]]))</f>
        <v>LSN</v>
      </c>
      <c r="T45" t="str">
        <f>IF(Table17[[#This Row],[SATUAN S]]="","",IF(_xlfn.NUMBERVALUE(Table17[[#This Row],[ISI DB]])=_xlfn.NUMBERVALUE(Table17[[#This Row],[ISI S]]),"",1))</f>
        <v/>
      </c>
      <c r="U45" t="str">
        <f>IF(Table17[[#This Row],[SATUAN S]]="","",IF(Table17[[#This Row],[SATUAN DB]]=Table17[[#This Row],[SATUAN S]],"",1))</f>
        <v/>
      </c>
      <c r="V45" t="str">
        <f>IF(Table17[[#This Row],[CEK STN S]]="","",MATCH(CONCATENATE(Table17[[#This Row],[SATUAN CONV]],Table17[[#This Row],[SATUAN S]]),Table2[4],0))</f>
        <v/>
      </c>
      <c r="X45" t="str" cm="1">
        <f t="array" ref="X45">IF(Table17[[#This Row],[CONV2_//]]="","",INDEX(Table2[3],Table17[[#This Row],[CONV2_//]]))</f>
        <v/>
      </c>
      <c r="Y45" s="2" t="str">
        <f>IF(Table17[[#This Row],[CEK ISI S]]="",Table17[[#This Row],[ISI DB]],Table17[[#This Row],[ISI S]])</f>
        <v>144</v>
      </c>
      <c r="Z45" t="str">
        <f>IF(Table17[[#This Row],[CEK STN S]]="",Table17[[#This Row],[SATUAN DB]],Table17[[#This Row],[SATUAN S]])</f>
        <v>LSN</v>
      </c>
      <c r="AA45">
        <f>IF(Table17[[#This Row],[//CONV]]="",Table17[[#This Row],[ISI NOTA]]/Table17[[#This Row],[ISI_C]],Table17[[#This Row],[ISI DB CONV]]/Table17[[#This Row],[ISI_C]])</f>
        <v>0.41666666666666669</v>
      </c>
      <c r="AB45">
        <f>INDEX(NOTA[HARGA SATUAN],Sheet1!A:A)</f>
        <v>22500</v>
      </c>
      <c r="AC45">
        <f>IF(Table17[[#This Row],[//CONV]]="",Table17[[#This Row],[HARGA NOTA]],Table17[[#This Row],[HARGA NOTA]]/Table17[[#This Row],[CONV VAR]])</f>
        <v>22500</v>
      </c>
      <c r="AD45">
        <f>IF(Table17[[#This Row],[CEK STN S]]="",Table17[[#This Row],[HARGA CONV]],Table17[[#This Row],[HARGA CONV]]/Table17[[#This Row],[CONV2 VAR]])</f>
        <v>22500</v>
      </c>
      <c r="AE45" s="3" t="str">
        <f>IF(INDEX(NOTA[Column6],Sheet1!A:A)=0,"",INDEX(NOTA[Column6],Sheet1!A:A))</f>
        <v/>
      </c>
      <c r="AF45" s="3" t="str">
        <f>IF(INDEX(NOTA[Column7],Sheet1!A:A)=0,"",INDEX(NOTA[Column7],Sheet1!A:A))</f>
        <v/>
      </c>
      <c r="AG4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5" s="4">
        <f>INDEX(NOTA[HARGA/ CTN_H],Sheet1!A:A)</f>
        <v>1350000</v>
      </c>
      <c r="AI45" s="4">
        <f>IF(Table17[[#This Row],[DISC 3]]="",Table17[[#This Row],[HRG / CTN]],Table17[[#This Row],[HRG / CTN]]-(Table17[[#This Row],[HRG / CTN]]*Table17[[#This Row],[DISC 3]]))</f>
        <v>1350000</v>
      </c>
      <c r="AJ45" s="5" t="e">
        <f>IF(#REF!&lt;1,Table17[[#This Row],[Column9]],Table17[[#This Row],[Column9]]*#REF!)</f>
        <v>#REF!</v>
      </c>
      <c r="AK45" s="4" t="str">
        <f ca="1">IF(NOT(AP46=Table17[[#This Row],[Column6]]),SUMIF(Table17[Column6],Table17[[#This Row],[Column6]],Table17[Column7]),"")</f>
        <v/>
      </c>
      <c r="AL45" s="6">
        <f ca="1">INDEX(NOTA[TGL_H],Sheet1!A:A)</f>
        <v>45481</v>
      </c>
      <c r="AM45" s="6">
        <f ca="1">INDEX(NOTA[TGL.NOTA_H],Sheet1!A:A)</f>
        <v>45472</v>
      </c>
      <c r="AO45" t="str">
        <f>IF(INDEX(NOTA[Column10],A:A)="","",INDEX(NOTA[Column10],A:A))</f>
        <v/>
      </c>
      <c r="AP45" t="str">
        <f ca="1">INDEX(NOTA[NO.NOTA_H],Sheet1!A:A)</f>
        <v>SO2024070086563</v>
      </c>
      <c r="AQ45">
        <f>INDEX(NOTA[Column10],Sheet1!A:A)</f>
        <v>0</v>
      </c>
      <c r="AR45" s="8" t="str">
        <f ca="1">INDEX(NOTA[SUPPLIER_H],Sheet1!A:A)</f>
        <v>BINTANG SAUDARA</v>
      </c>
      <c r="AS45" t="str">
        <f>Table17[[#This Row],[NAMA_C]]</f>
        <v>BP GEL KOALA GP-168-I COKLAT</v>
      </c>
      <c r="AT45" t="str">
        <f ca="1">Table17[[#This Row],[SUPPLIER]]</f>
        <v>BINTANG SAUDARA</v>
      </c>
      <c r="AU45" t="str">
        <f>SUBSTITUTE(Table17[[#This Row],[CTN]],",",".")</f>
        <v>0.416666666666667</v>
      </c>
      <c r="AV45" s="13" t="str">
        <f>Table17[[#This Row],[ISI_C]]</f>
        <v>144</v>
      </c>
      <c r="AW45" t="str">
        <f>Table17[[#This Row],[SATUAN_C]]</f>
        <v>LSN</v>
      </c>
      <c r="AX45">
        <f>Table17[[#This Row],[HARGA CONV2]]</f>
        <v>22500</v>
      </c>
      <c r="AY45" s="9" t="str">
        <f>SUBSTITUTE(Table17[[#This Row],[DISC 3]],",",".")</f>
        <v/>
      </c>
      <c r="AZ45" s="6">
        <f ca="1">Table17[[#This Row],[TGL DATANG]]</f>
        <v>45481</v>
      </c>
      <c r="BA45" s="6">
        <f ca="1">Table17[[#This Row],[Column10]]</f>
        <v>45472</v>
      </c>
      <c r="BB45" s="7"/>
      <c r="BC45" t="str">
        <f>Table17[[#This Row],[KETERANGAN CONDRO]]</f>
        <v/>
      </c>
      <c r="BD45" t="str">
        <f ca="1">Table17[[#This Row],[Column6]]</f>
        <v>SO2024070086563</v>
      </c>
    </row>
    <row r="46" spans="1:56">
      <c r="A46" s="55">
        <v>58</v>
      </c>
      <c r="C46">
        <f>INDEX(NOTA[//DB],Sheet1!A:A)</f>
        <v>3349</v>
      </c>
      <c r="D46">
        <f>_xlfn.IFNA(MATCH(Table17[[#This Row],[//db]],[3]!Table2[\\],0),"")</f>
        <v>786</v>
      </c>
      <c r="E46" t="str">
        <f>INDEX([3]!db[NB NOTA],Table17[[#This Row],[//db]])</f>
        <v>GEL PEN KOALA GP-168-J KNG</v>
      </c>
      <c r="F46" t="str">
        <f>INDEX([3]!db[NB BM],Table17[[#This Row],[//db]])</f>
        <v>BP GEL KOALA GP-168-J KNG</v>
      </c>
      <c r="G46" t="str">
        <f>IF(Table17[[#This Row],[dbconcat]]="","",INDEX([3]!Table2[NAMA],Table17[[#This Row],[dbconcat]]))</f>
        <v>BP GEL KOALA GP-168-J KNG</v>
      </c>
      <c r="H46" t="str">
        <f>INDEX([3]!Table2[KODE BARANG],Table17[[#This Row],[dbconcat]])</f>
        <v>BOL-KO407</v>
      </c>
      <c r="I46" t="str">
        <f>IF(Table17[[#This Row],[NAMA_3]]="",UPPER(Table17[[#This Row],[NAMA_2]]),Table17[[#This Row],[NAMA_3]])</f>
        <v>BP GEL KOALA GP-168-J KNG</v>
      </c>
      <c r="J46">
        <f>INDEX(NOTA[QTY],Sheet1!A:A)</f>
        <v>60</v>
      </c>
      <c r="K46" t="str">
        <f>INDEX(NOTA[STN],Sheet1!A:A)</f>
        <v>LSN</v>
      </c>
      <c r="L46" t="str">
        <f>INDEX([3]!db[QTY B],Table17[[#This Row],[//db]])</f>
        <v>144</v>
      </c>
      <c r="M46" t="str">
        <f>INDEX([3]!db[STN B],Table17[[#This Row],[//db]])</f>
        <v>LSN</v>
      </c>
      <c r="N46" t="str">
        <f>IF(Table17[[#This Row],[SATUAN NOTA]]=Table17[[#This Row],[SATUAN DB]],"", MATCH(CONCATENATE(Table17[[#This Row],[SATUAN NOTA]],Table17[[#This Row],[SATUAN DB]]),Table2[4],0))</f>
        <v/>
      </c>
      <c r="O46" t="str" cm="1">
        <f t="array" ref="O46">IF(Table17[[#This Row],[//CONV]]="","",INDEX(Table2[3],Table17[[#This Row],[//CONV]]))</f>
        <v/>
      </c>
      <c r="P46" t="str">
        <f>IF(Table17[[#This Row],[//CONV]]="",Table17[[#This Row],[ISI DB]],Table17[[#This Row],[ISI NOTA]]*Table17[[#This Row],[CONV VAR]])</f>
        <v>144</v>
      </c>
      <c r="Q46" t="str" cm="1">
        <f t="array" ref="Q46">IF(Table17[[#This Row],[//CONV]]="",Table17[[#This Row],[SATUAN DB]],INDEX(Table2[2],Table17[[#This Row],[//CONV]]))</f>
        <v>LSN</v>
      </c>
      <c r="R46" cm="1">
        <f t="array" ref="R46">IF(Table17[[#This Row],[dbconcat]]="","",INDEX([3]!Table2[ISI],Table17[[#This Row],[dbconcat]]))</f>
        <v>144</v>
      </c>
      <c r="S46" t="str" cm="1">
        <f t="array" ref="S46">IF(Table17[[#This Row],[dbconcat]]="","",INDEX([3]!Table2[[SATUAN ]],Table17[[#This Row],[dbconcat]]))</f>
        <v>LSN</v>
      </c>
      <c r="T46" t="str">
        <f>IF(Table17[[#This Row],[SATUAN S]]="","",IF(_xlfn.NUMBERVALUE(Table17[[#This Row],[ISI DB]])=_xlfn.NUMBERVALUE(Table17[[#This Row],[ISI S]]),"",1))</f>
        <v/>
      </c>
      <c r="U46" t="str">
        <f>IF(Table17[[#This Row],[SATUAN S]]="","",IF(Table17[[#This Row],[SATUAN DB]]=Table17[[#This Row],[SATUAN S]],"",1))</f>
        <v/>
      </c>
      <c r="V46" t="str">
        <f>IF(Table17[[#This Row],[CEK STN S]]="","",MATCH(CONCATENATE(Table17[[#This Row],[SATUAN CONV]],Table17[[#This Row],[SATUAN S]]),Table2[4],0))</f>
        <v/>
      </c>
      <c r="X46" t="str" cm="1">
        <f t="array" ref="X46">IF(Table17[[#This Row],[CONV2_//]]="","",INDEX(Table2[3],Table17[[#This Row],[CONV2_//]]))</f>
        <v/>
      </c>
      <c r="Y46" s="2" t="str">
        <f>IF(Table17[[#This Row],[CEK ISI S]]="",Table17[[#This Row],[ISI DB]],Table17[[#This Row],[ISI S]])</f>
        <v>144</v>
      </c>
      <c r="Z46" t="str">
        <f>IF(Table17[[#This Row],[CEK STN S]]="",Table17[[#This Row],[SATUAN DB]],Table17[[#This Row],[SATUAN S]])</f>
        <v>LSN</v>
      </c>
      <c r="AA46">
        <f>IF(Table17[[#This Row],[//CONV]]="",Table17[[#This Row],[ISI NOTA]]/Table17[[#This Row],[ISI_C]],Table17[[#This Row],[ISI DB CONV]]/Table17[[#This Row],[ISI_C]])</f>
        <v>0.41666666666666669</v>
      </c>
      <c r="AB46">
        <f>INDEX(NOTA[HARGA SATUAN],Sheet1!A:A)</f>
        <v>22500</v>
      </c>
      <c r="AC46">
        <f>IF(Table17[[#This Row],[//CONV]]="",Table17[[#This Row],[HARGA NOTA]],Table17[[#This Row],[HARGA NOTA]]/Table17[[#This Row],[CONV VAR]])</f>
        <v>22500</v>
      </c>
      <c r="AD46">
        <f>IF(Table17[[#This Row],[CEK STN S]]="",Table17[[#This Row],[HARGA CONV]],Table17[[#This Row],[HARGA CONV]]/Table17[[#This Row],[CONV2 VAR]])</f>
        <v>22500</v>
      </c>
      <c r="AE46" s="3" t="str">
        <f>IF(INDEX(NOTA[Column6],Sheet1!A:A)=0,"",INDEX(NOTA[Column6],Sheet1!A:A))</f>
        <v/>
      </c>
      <c r="AF46" s="3" t="str">
        <f>IF(INDEX(NOTA[Column7],Sheet1!A:A)=0,"",INDEX(NOTA[Column7],Sheet1!A:A))</f>
        <v/>
      </c>
      <c r="AG4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6" s="4">
        <f>INDEX(NOTA[HARGA/ CTN_H],Sheet1!A:A)</f>
        <v>1350000</v>
      </c>
      <c r="AI46" s="4">
        <f>IF(Table17[[#This Row],[DISC 3]]="",Table17[[#This Row],[HRG / CTN]],Table17[[#This Row],[HRG / CTN]]-(Table17[[#This Row],[HRG / CTN]]*Table17[[#This Row],[DISC 3]]))</f>
        <v>1350000</v>
      </c>
      <c r="AJ46" s="5" t="e">
        <f>IF(#REF!&lt;1,Table17[[#This Row],[Column9]],Table17[[#This Row],[Column9]]*#REF!)</f>
        <v>#REF!</v>
      </c>
      <c r="AK46" s="4" t="e">
        <f ca="1">IF(NOT(#REF!=Table17[[#This Row],[Column6]]),SUMIF(Table17[Column6],Table17[[#This Row],[Column6]],Table17[Column7]),"")</f>
        <v>#REF!</v>
      </c>
      <c r="AL46" s="6">
        <f ca="1">INDEX(NOTA[TGL_H],Sheet1!A:A)</f>
        <v>45481</v>
      </c>
      <c r="AM46" s="6">
        <f ca="1">INDEX(NOTA[TGL.NOTA_H],Sheet1!A:A)</f>
        <v>45472</v>
      </c>
      <c r="AO46" t="str">
        <f>IF(INDEX(NOTA[Column10],A:A)="","",INDEX(NOTA[Column10],A:A))</f>
        <v/>
      </c>
      <c r="AP46" t="str">
        <f ca="1">INDEX(NOTA[NO.NOTA_H],Sheet1!A:A)</f>
        <v>SO2024070086563</v>
      </c>
      <c r="AQ46">
        <f>INDEX(NOTA[Column10],Sheet1!A:A)</f>
        <v>0</v>
      </c>
      <c r="AR46" s="8" t="str">
        <f ca="1">INDEX(NOTA[SUPPLIER_H],Sheet1!A:A)</f>
        <v>BINTANG SAUDARA</v>
      </c>
      <c r="AS46" t="str">
        <f>Table17[[#This Row],[NAMA_C]]</f>
        <v>BP GEL KOALA GP-168-J KNG</v>
      </c>
      <c r="AT46" t="str">
        <f ca="1">Table17[[#This Row],[SUPPLIER]]</f>
        <v>BINTANG SAUDARA</v>
      </c>
      <c r="AU46" t="str">
        <f>SUBSTITUTE(Table17[[#This Row],[CTN]],",",".")</f>
        <v>0.416666666666667</v>
      </c>
      <c r="AV46" s="13" t="str">
        <f>Table17[[#This Row],[ISI_C]]</f>
        <v>144</v>
      </c>
      <c r="AW46" t="str">
        <f>Table17[[#This Row],[SATUAN_C]]</f>
        <v>LSN</v>
      </c>
      <c r="AX46">
        <f>Table17[[#This Row],[HARGA CONV2]]</f>
        <v>22500</v>
      </c>
      <c r="AY46" s="9" t="str">
        <f>SUBSTITUTE(Table17[[#This Row],[DISC 3]],",",".")</f>
        <v/>
      </c>
      <c r="AZ46" s="6">
        <f ca="1">Table17[[#This Row],[TGL DATANG]]</f>
        <v>45481</v>
      </c>
      <c r="BA46" s="6">
        <f ca="1">Table17[[#This Row],[Column10]]</f>
        <v>45472</v>
      </c>
      <c r="BB46" s="7"/>
      <c r="BC46" t="str">
        <f>Table17[[#This Row],[KETERANGAN CONDRO]]</f>
        <v/>
      </c>
      <c r="BD46" t="str">
        <f ca="1">Table17[[#This Row],[Column6]]</f>
        <v>SO2024070086563</v>
      </c>
    </row>
    <row r="47" spans="1:56">
      <c r="A47" s="55">
        <v>60</v>
      </c>
      <c r="C47">
        <f>INDEX(NOTA[//DB],Sheet1!A:A)</f>
        <v>865</v>
      </c>
      <c r="D47">
        <f>_xlfn.IFNA(MATCH(Table17[[#This Row],[//db]],[3]!Table2[\\],0),"")</f>
        <v>964</v>
      </c>
      <c r="E47" t="str">
        <f>INDEX([3]!db[NB NOTA],Table17[[#This Row],[//db]])</f>
        <v>DOC RIT INFINITY</v>
      </c>
      <c r="F47" t="str">
        <f>INDEX([3]!db[NB BM],Table17[[#This Row],[//db]])</f>
        <v>Dokumen Risleting Infinity</v>
      </c>
      <c r="G47" t="str">
        <f>IF(Table17[[#This Row],[dbconcat]]="","",INDEX([3]!Table2[NAMA],Table17[[#This Row],[dbconcat]]))</f>
        <v>DOKUMEN RISLETING INFINITY</v>
      </c>
      <c r="H47" t="str">
        <f>INDEX([3]!Table2[KODE BARANG],Table17[[#This Row],[dbconcat]])</f>
        <v>DOK-NB1</v>
      </c>
      <c r="I47" t="str">
        <f>IF(Table17[[#This Row],[NAMA_3]]="",UPPER(Table17[[#This Row],[NAMA_2]]),Table17[[#This Row],[NAMA_3]])</f>
        <v>DOKUMEN RISLETING INFINITY</v>
      </c>
      <c r="J47">
        <f>INDEX(NOTA[QTY],Sheet1!A:A)</f>
        <v>16</v>
      </c>
      <c r="K47" t="str">
        <f>INDEX(NOTA[STN],Sheet1!A:A)</f>
        <v>LSN</v>
      </c>
      <c r="L47" t="str">
        <f>INDEX([3]!db[QTY B],Table17[[#This Row],[//db]])</f>
        <v>8</v>
      </c>
      <c r="M47" t="str">
        <f>INDEX([3]!db[STN B],Table17[[#This Row],[//db]])</f>
        <v>LSN</v>
      </c>
      <c r="N47" t="str">
        <f>IF(Table17[[#This Row],[SATUAN NOTA]]=Table17[[#This Row],[SATUAN DB]],"", MATCH(CONCATENATE(Table17[[#This Row],[SATUAN NOTA]],Table17[[#This Row],[SATUAN DB]]),Table2[4],0))</f>
        <v/>
      </c>
      <c r="O47" t="str" cm="1">
        <f t="array" ref="O47">IF(Table17[[#This Row],[//CONV]]="","",INDEX(Table2[3],Table17[[#This Row],[//CONV]]))</f>
        <v/>
      </c>
      <c r="P47" t="str">
        <f>IF(Table17[[#This Row],[//CONV]]="",Table17[[#This Row],[ISI DB]],Table17[[#This Row],[ISI NOTA]]*Table17[[#This Row],[CONV VAR]])</f>
        <v>8</v>
      </c>
      <c r="Q47" t="str" cm="1">
        <f t="array" ref="Q47">IF(Table17[[#This Row],[//CONV]]="",Table17[[#This Row],[SATUAN DB]],INDEX(Table2[2],Table17[[#This Row],[//CONV]]))</f>
        <v>LSN</v>
      </c>
      <c r="R47" cm="1">
        <f t="array" ref="R47">IF(Table17[[#This Row],[dbconcat]]="","",INDEX([3]!Table2[ISI],Table17[[#This Row],[dbconcat]]))</f>
        <v>8</v>
      </c>
      <c r="S47" t="str" cm="1">
        <f t="array" ref="S47">IF(Table17[[#This Row],[dbconcat]]="","",INDEX([3]!Table2[[SATUAN ]],Table17[[#This Row],[dbconcat]]))</f>
        <v>LSN</v>
      </c>
      <c r="T47" t="str">
        <f>IF(Table17[[#This Row],[SATUAN S]]="","",IF(_xlfn.NUMBERVALUE(Table17[[#This Row],[ISI DB]])=_xlfn.NUMBERVALUE(Table17[[#This Row],[ISI S]]),"",1))</f>
        <v/>
      </c>
      <c r="U47" t="str">
        <f>IF(Table17[[#This Row],[SATUAN S]]="","",IF(Table17[[#This Row],[SATUAN DB]]=Table17[[#This Row],[SATUAN S]],"",1))</f>
        <v/>
      </c>
      <c r="V47" t="str">
        <f>IF(Table17[[#This Row],[CEK STN S]]="","",MATCH(CONCATENATE(Table17[[#This Row],[SATUAN CONV]],Table17[[#This Row],[SATUAN S]]),Table2[4],0))</f>
        <v/>
      </c>
      <c r="X47" t="str" cm="1">
        <f t="array" ref="X47">IF(Table17[[#This Row],[CONV2_//]]="","",INDEX(Table2[3],Table17[[#This Row],[CONV2_//]]))</f>
        <v/>
      </c>
      <c r="Y47" s="2" t="str">
        <f>IF(Table17[[#This Row],[CEK ISI S]]="",Table17[[#This Row],[ISI DB]],Table17[[#This Row],[ISI S]])</f>
        <v>8</v>
      </c>
      <c r="Z47" t="str">
        <f>IF(Table17[[#This Row],[CEK STN S]]="",Table17[[#This Row],[SATUAN DB]],Table17[[#This Row],[SATUAN S]])</f>
        <v>LSN</v>
      </c>
      <c r="AA47">
        <f>IF(Table17[[#This Row],[//CONV]]="",Table17[[#This Row],[ISI NOTA]]/Table17[[#This Row],[ISI_C]],Table17[[#This Row],[ISI DB CONV]]/Table17[[#This Row],[ISI_C]])</f>
        <v>2</v>
      </c>
      <c r="AB47">
        <f>INDEX(NOTA[HARGA SATUAN],Sheet1!A:A)</f>
        <v>180000</v>
      </c>
      <c r="AC47">
        <f>IF(Table17[[#This Row],[//CONV]]="",Table17[[#This Row],[HARGA NOTA]],Table17[[#This Row],[HARGA NOTA]]/Table17[[#This Row],[CONV VAR]])</f>
        <v>180000</v>
      </c>
      <c r="AD47">
        <f>IF(Table17[[#This Row],[CEK STN S]]="",Table17[[#This Row],[HARGA CONV]],Table17[[#This Row],[HARGA CONV]]/Table17[[#This Row],[CONV2 VAR]])</f>
        <v>180000</v>
      </c>
      <c r="AE47" s="3" t="str">
        <f>IF(INDEX(NOTA[Column6],Sheet1!A:A)=0,"",INDEX(NOTA[Column6],Sheet1!A:A))</f>
        <v/>
      </c>
      <c r="AF47" s="3" t="str">
        <f>IF(INDEX(NOTA[Column7],Sheet1!A:A)=0,"",INDEX(NOTA[Column7],Sheet1!A:A))</f>
        <v/>
      </c>
      <c r="AG4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7" s="4">
        <f>INDEX(NOTA[HARGA/ CTN_H],Sheet1!A:A)</f>
        <v>2880000</v>
      </c>
      <c r="AI47" s="4">
        <f>IF(Table17[[#This Row],[DISC 3]]="",Table17[[#This Row],[HRG / CTN]],Table17[[#This Row],[HRG / CTN]]-(Table17[[#This Row],[HRG / CTN]]*Table17[[#This Row],[DISC 3]]))</f>
        <v>2880000</v>
      </c>
      <c r="AJ47" s="5" t="e">
        <f>IF(#REF!&lt;1,Table17[[#This Row],[Column9]],Table17[[#This Row],[Column9]]*#REF!)</f>
        <v>#REF!</v>
      </c>
      <c r="AK47" s="4" t="e">
        <f ca="1">IF(NOT(AP48=Table17[[#This Row],[Column6]]),SUMIF(Table17[Column6],Table17[[#This Row],[Column6]],Table17[Column7]),"")</f>
        <v>#REF!</v>
      </c>
      <c r="AL47" s="6">
        <f ca="1">INDEX(NOTA[TGL_H],Sheet1!A:A)</f>
        <v>45483</v>
      </c>
      <c r="AM47" s="6">
        <f ca="1">INDEX(NOTA[TGL.NOTA_H],Sheet1!A:A)</f>
        <v>45483</v>
      </c>
      <c r="AO47" t="str">
        <f>IF(INDEX(NOTA[Column10],A:A)="","",INDEX(NOTA[Column10],A:A))</f>
        <v/>
      </c>
      <c r="AP47" t="str">
        <f ca="1">INDEX(NOTA[NO.NOTA_H],Sheet1!A:A)</f>
        <v>0717</v>
      </c>
      <c r="AQ47">
        <f>INDEX(NOTA[Column10],Sheet1!A:A)</f>
        <v>0</v>
      </c>
      <c r="AR47" s="8" t="str">
        <f ca="1">INDEX(NOTA[SUPPLIER_H],Sheet1!A:A)</f>
        <v>COMBI</v>
      </c>
      <c r="AS47" t="str">
        <f>Table17[[#This Row],[NAMA_C]]</f>
        <v>DOKUMEN RISLETING INFINITY</v>
      </c>
      <c r="AT47" t="str">
        <f ca="1">Table17[[#This Row],[SUPPLIER]]</f>
        <v>COMBI</v>
      </c>
      <c r="AU47" t="str">
        <f>SUBSTITUTE(Table17[[#This Row],[CTN]],",",".")</f>
        <v>2</v>
      </c>
      <c r="AV47" s="13" t="str">
        <f>Table17[[#This Row],[ISI_C]]</f>
        <v>8</v>
      </c>
      <c r="AW47" t="str">
        <f>Table17[[#This Row],[SATUAN_C]]</f>
        <v>LSN</v>
      </c>
      <c r="AX47">
        <f>Table17[[#This Row],[HARGA CONV2]]</f>
        <v>180000</v>
      </c>
      <c r="AY47" s="9" t="str">
        <f>SUBSTITUTE(Table17[[#This Row],[DISC 3]],",",".")</f>
        <v/>
      </c>
      <c r="AZ47" s="6">
        <f ca="1">Table17[[#This Row],[TGL DATANG]]</f>
        <v>45483</v>
      </c>
      <c r="BA47" s="6">
        <f ca="1">Table17[[#This Row],[Column10]]</f>
        <v>45483</v>
      </c>
      <c r="BB47" s="7"/>
      <c r="BC47" t="str">
        <f>Table17[[#This Row],[KETERANGAN CONDRO]]</f>
        <v/>
      </c>
      <c r="BD47" t="str">
        <f ca="1">Table17[[#This Row],[Column6]]</f>
        <v>0717</v>
      </c>
    </row>
    <row r="48" spans="1:56">
      <c r="A48" s="55">
        <v>62</v>
      </c>
      <c r="C48">
        <f>INDEX(NOTA[//DB],Sheet1!A:A)</f>
        <v>3447</v>
      </c>
      <c r="D48">
        <f>_xlfn.IFNA(MATCH(Table17[[#This Row],[//db]],[3]!Table2[\\],0),"")</f>
        <v>961</v>
      </c>
      <c r="E48" t="str">
        <f>INDEX([3]!db[NB NOTA],Table17[[#This Row],[//db]])</f>
        <v>ENTER DISP BESI 505</v>
      </c>
      <c r="F48" t="str">
        <f>INDEX([3]!db[NB BM],Table17[[#This Row],[//db]])</f>
        <v>DISPENSER BESI ENTER 505</v>
      </c>
      <c r="G48" t="str">
        <f>IF(Table17[[#This Row],[dbconcat]]="","",INDEX([3]!Table2[NAMA],Table17[[#This Row],[dbconcat]]))</f>
        <v>DISPENSER BESI ENTER 505</v>
      </c>
      <c r="H48" t="str">
        <f>INDEX([3]!Table2[KODE BARANG],Table17[[#This Row],[dbconcat]])</f>
        <v>DIS-EN11</v>
      </c>
      <c r="I48" t="str">
        <f>IF(Table17[[#This Row],[NAMA_3]]="",UPPER(Table17[[#This Row],[NAMA_2]]),Table17[[#This Row],[NAMA_3]])</f>
        <v>DISPENSER BESI ENTER 505</v>
      </c>
      <c r="J48">
        <f>INDEX(NOTA[QTY],Sheet1!A:A)</f>
        <v>1000</v>
      </c>
      <c r="K48" t="str">
        <f>INDEX(NOTA[STN],Sheet1!A:A)</f>
        <v>PCS</v>
      </c>
      <c r="L48" t="str">
        <f>INDEX([3]!db[QTY B],Table17[[#This Row],[//db]])</f>
        <v>100</v>
      </c>
      <c r="M48" t="str">
        <f>INDEX([3]!db[STN B],Table17[[#This Row],[//db]])</f>
        <v>PCS</v>
      </c>
      <c r="N48" t="str">
        <f>IF(Table17[[#This Row],[SATUAN NOTA]]=Table17[[#This Row],[SATUAN DB]],"", MATCH(CONCATENATE(Table17[[#This Row],[SATUAN NOTA]],Table17[[#This Row],[SATUAN DB]]),Table2[4],0))</f>
        <v/>
      </c>
      <c r="O48" t="str" cm="1">
        <f t="array" ref="O48">IF(Table17[[#This Row],[//CONV]]="","",INDEX(Table2[3],Table17[[#This Row],[//CONV]]))</f>
        <v/>
      </c>
      <c r="P48" t="str">
        <f>IF(Table17[[#This Row],[//CONV]]="",Table17[[#This Row],[ISI DB]],Table17[[#This Row],[ISI NOTA]]*Table17[[#This Row],[CONV VAR]])</f>
        <v>100</v>
      </c>
      <c r="Q48" t="str" cm="1">
        <f t="array" ref="Q48">IF(Table17[[#This Row],[//CONV]]="",Table17[[#This Row],[SATUAN DB]],INDEX(Table2[2],Table17[[#This Row],[//CONV]]))</f>
        <v>PCS</v>
      </c>
      <c r="R48" cm="1">
        <f t="array" ref="R48">IF(Table17[[#This Row],[dbconcat]]="","",INDEX([3]!Table2[ISI],Table17[[#This Row],[dbconcat]]))</f>
        <v>100</v>
      </c>
      <c r="S48" t="str" cm="1">
        <f t="array" ref="S48">IF(Table17[[#This Row],[dbconcat]]="","",INDEX([3]!Table2[[SATUAN ]],Table17[[#This Row],[dbconcat]]))</f>
        <v>PCS</v>
      </c>
      <c r="T48" t="str">
        <f>IF(Table17[[#This Row],[SATUAN S]]="","",IF(_xlfn.NUMBERVALUE(Table17[[#This Row],[ISI DB]])=_xlfn.NUMBERVALUE(Table17[[#This Row],[ISI S]]),"",1))</f>
        <v/>
      </c>
      <c r="U48" t="str">
        <f>IF(Table17[[#This Row],[SATUAN S]]="","",IF(Table17[[#This Row],[SATUAN DB]]=Table17[[#This Row],[SATUAN S]],"",1))</f>
        <v/>
      </c>
      <c r="V48" t="str">
        <f>IF(Table17[[#This Row],[CEK STN S]]="","",MATCH(CONCATENATE(Table17[[#This Row],[SATUAN CONV]],Table17[[#This Row],[SATUAN S]]),Table2[4],0))</f>
        <v/>
      </c>
      <c r="X48" t="str" cm="1">
        <f t="array" ref="X48">IF(Table17[[#This Row],[CONV2_//]]="","",INDEX(Table2[3],Table17[[#This Row],[CONV2_//]]))</f>
        <v/>
      </c>
      <c r="Y48" s="2" t="str">
        <f>IF(Table17[[#This Row],[CEK ISI S]]="",Table17[[#This Row],[ISI DB]],Table17[[#This Row],[ISI S]])</f>
        <v>100</v>
      </c>
      <c r="Z48" t="str">
        <f>IF(Table17[[#This Row],[CEK STN S]]="",Table17[[#This Row],[SATUAN DB]],Table17[[#This Row],[SATUAN S]])</f>
        <v>PCS</v>
      </c>
      <c r="AA48">
        <f>IF(Table17[[#This Row],[//CONV]]="",Table17[[#This Row],[ISI NOTA]]/Table17[[#This Row],[ISI_C]],Table17[[#This Row],[ISI DB CONV]]/Table17[[#This Row],[ISI_C]])</f>
        <v>10</v>
      </c>
      <c r="AB48">
        <f>INDEX(NOTA[HARGA SATUAN],Sheet1!A:A)</f>
        <v>11500</v>
      </c>
      <c r="AC48">
        <f>IF(Table17[[#This Row],[//CONV]]="",Table17[[#This Row],[HARGA NOTA]],Table17[[#This Row],[HARGA NOTA]]/Table17[[#This Row],[CONV VAR]])</f>
        <v>11500</v>
      </c>
      <c r="AD48">
        <f>IF(Table17[[#This Row],[CEK STN S]]="",Table17[[#This Row],[HARGA CONV]],Table17[[#This Row],[HARGA CONV]]/Table17[[#This Row],[CONV2 VAR]])</f>
        <v>11500</v>
      </c>
      <c r="AE48" s="3" t="str">
        <f>IF(INDEX(NOTA[Column6],Sheet1!A:A)=0,"",INDEX(NOTA[Column6],Sheet1!A:A))</f>
        <v/>
      </c>
      <c r="AF48" s="3" t="str">
        <f>IF(INDEX(NOTA[Column7],Sheet1!A:A)=0,"",INDEX(NOTA[Column7],Sheet1!A:A))</f>
        <v/>
      </c>
      <c r="AG4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8" s="4">
        <f>INDEX(NOTA[HARGA/ CTN_H],Sheet1!A:A)</f>
        <v>1150000</v>
      </c>
      <c r="AI48" s="4">
        <f>IF(Table17[[#This Row],[DISC 3]]="",Table17[[#This Row],[HRG / CTN]],Table17[[#This Row],[HRG / CTN]]-(Table17[[#This Row],[HRG / CTN]]*Table17[[#This Row],[DISC 3]]))</f>
        <v>1150000</v>
      </c>
      <c r="AJ48" s="5" t="e">
        <f>IF(#REF!&lt;1,Table17[[#This Row],[Column9]],Table17[[#This Row],[Column9]]*#REF!)</f>
        <v>#REF!</v>
      </c>
      <c r="AK48" s="4" t="str">
        <f ca="1">IF(NOT(AP49=Table17[[#This Row],[Column6]]),SUMIF(Table17[Column6],Table17[[#This Row],[Column6]],Table17[Column7]),"")</f>
        <v/>
      </c>
      <c r="AL48" s="6">
        <f ca="1">INDEX(NOTA[TGL_H],Sheet1!A:A)</f>
        <v>45486</v>
      </c>
      <c r="AM48" s="6">
        <f ca="1">INDEX(NOTA[TGL.NOTA_H],Sheet1!A:A)</f>
        <v>45482</v>
      </c>
      <c r="AO48" t="str">
        <f>IF(INDEX(NOTA[Column10],A:A)="","",INDEX(NOTA[Column10],A:A))</f>
        <v/>
      </c>
      <c r="AP48" t="str">
        <f ca="1">INDEX(NOTA[NO.NOTA_H],Sheet1!A:A)</f>
        <v>JX7,24</v>
      </c>
      <c r="AQ48">
        <f>INDEX(NOTA[Column10],Sheet1!A:A)</f>
        <v>0</v>
      </c>
      <c r="AR48" s="8" t="str">
        <f ca="1">INDEX(NOTA[SUPPLIER_H],Sheet1!A:A)</f>
        <v>ETJ</v>
      </c>
      <c r="AS48" t="str">
        <f>Table17[[#This Row],[NAMA_C]]</f>
        <v>DISPENSER BESI ENTER 505</v>
      </c>
      <c r="AT48" t="str">
        <f ca="1">Table17[[#This Row],[SUPPLIER]]</f>
        <v>ETJ</v>
      </c>
      <c r="AU48" t="str">
        <f>SUBSTITUTE(Table17[[#This Row],[CTN]],",",".")</f>
        <v>10</v>
      </c>
      <c r="AV48" s="13" t="str">
        <f>Table17[[#This Row],[ISI_C]]</f>
        <v>100</v>
      </c>
      <c r="AW48" t="str">
        <f>Table17[[#This Row],[SATUAN_C]]</f>
        <v>PCS</v>
      </c>
      <c r="AX48">
        <f>Table17[[#This Row],[HARGA CONV2]]</f>
        <v>11500</v>
      </c>
      <c r="AY48" s="9" t="str">
        <f>SUBSTITUTE(Table17[[#This Row],[DISC 3]],",",".")</f>
        <v/>
      </c>
      <c r="AZ48" s="6">
        <f ca="1">Table17[[#This Row],[TGL DATANG]]</f>
        <v>45486</v>
      </c>
      <c r="BA48" s="6">
        <f ca="1">Table17[[#This Row],[Column10]]</f>
        <v>45482</v>
      </c>
      <c r="BB48" s="7"/>
      <c r="BC48" t="str">
        <f>Table17[[#This Row],[KETERANGAN CONDRO]]</f>
        <v/>
      </c>
      <c r="BD48" t="str">
        <f ca="1">Table17[[#This Row],[Column6]]</f>
        <v>JX7,24</v>
      </c>
    </row>
    <row r="49" spans="1:56">
      <c r="A49" s="55">
        <v>63</v>
      </c>
      <c r="C49">
        <f>INDEX(NOTA[//DB],Sheet1!A:A)</f>
        <v>923</v>
      </c>
      <c r="D49">
        <f>_xlfn.IFNA(MATCH(Table17[[#This Row],[//db]],[3]!Table2[\\],0),"")</f>
        <v>2656</v>
      </c>
      <c r="E49" t="str">
        <f>INDEX([3]!db[NB NOTA],Table17[[#This Row],[//db]])</f>
        <v>DUST 344</v>
      </c>
      <c r="F49" t="str">
        <f>INDEX([3]!db[NB BM],Table17[[#This Row],[//db]])</f>
        <v>Sampul Roll Dust 344</v>
      </c>
      <c r="G49" t="str">
        <f>IF(Table17[[#This Row],[dbconcat]]="","",INDEX([3]!Table2[NAMA],Table17[[#This Row],[dbconcat]]))</f>
        <v>SAMPUL ROLL DUST 344</v>
      </c>
      <c r="H49" t="str">
        <f>INDEX([3]!Table2[KODE BARANG],Table17[[#This Row],[dbconcat]])</f>
        <v>SAM-DU23</v>
      </c>
      <c r="I49" t="str">
        <f>IF(Table17[[#This Row],[NAMA_3]]="",UPPER(Table17[[#This Row],[NAMA_2]]),Table17[[#This Row],[NAMA_3]])</f>
        <v>SAMPUL ROLL DUST 344</v>
      </c>
      <c r="J49">
        <f>INDEX(NOTA[QTY],Sheet1!A:A)</f>
        <v>2000</v>
      </c>
      <c r="K49" t="str">
        <f>INDEX(NOTA[STN],Sheet1!A:A)</f>
        <v>ROL</v>
      </c>
      <c r="L49" t="str">
        <f>INDEX([3]!db[QTY B],Table17[[#This Row],[//db]])</f>
        <v>500</v>
      </c>
      <c r="M49" t="str">
        <f>INDEX([3]!db[STN B],Table17[[#This Row],[//db]])</f>
        <v>ROL</v>
      </c>
      <c r="N49" t="str">
        <f>IF(Table17[[#This Row],[SATUAN NOTA]]=Table17[[#This Row],[SATUAN DB]],"", MATCH(CONCATENATE(Table17[[#This Row],[SATUAN NOTA]],Table17[[#This Row],[SATUAN DB]]),Table2[4],0))</f>
        <v/>
      </c>
      <c r="O49" t="str" cm="1">
        <f t="array" ref="O49">IF(Table17[[#This Row],[//CONV]]="","",INDEX(Table2[3],Table17[[#This Row],[//CONV]]))</f>
        <v/>
      </c>
      <c r="P49" t="str">
        <f>IF(Table17[[#This Row],[//CONV]]="",Table17[[#This Row],[ISI DB]],Table17[[#This Row],[ISI NOTA]]*Table17[[#This Row],[CONV VAR]])</f>
        <v>500</v>
      </c>
      <c r="Q49" t="str" cm="1">
        <f t="array" ref="Q49">IF(Table17[[#This Row],[//CONV]]="",Table17[[#This Row],[SATUAN DB]],INDEX(Table2[2],Table17[[#This Row],[//CONV]]))</f>
        <v>ROL</v>
      </c>
      <c r="R49" cm="1">
        <f t="array" ref="R49">IF(Table17[[#This Row],[dbconcat]]="","",INDEX([3]!Table2[ISI],Table17[[#This Row],[dbconcat]]))</f>
        <v>500</v>
      </c>
      <c r="S49" t="str" cm="1">
        <f t="array" ref="S49">IF(Table17[[#This Row],[dbconcat]]="","",INDEX([3]!Table2[[SATUAN ]],Table17[[#This Row],[dbconcat]]))</f>
        <v>ROL</v>
      </c>
      <c r="T49" t="str">
        <f>IF(Table17[[#This Row],[SATUAN S]]="","",IF(_xlfn.NUMBERVALUE(Table17[[#This Row],[ISI DB]])=_xlfn.NUMBERVALUE(Table17[[#This Row],[ISI S]]),"",1))</f>
        <v/>
      </c>
      <c r="U49" t="str">
        <f>IF(Table17[[#This Row],[SATUAN S]]="","",IF(Table17[[#This Row],[SATUAN DB]]=Table17[[#This Row],[SATUAN S]],"",1))</f>
        <v/>
      </c>
      <c r="V49" t="str">
        <f>IF(Table17[[#This Row],[CEK STN S]]="","",MATCH(CONCATENATE(Table17[[#This Row],[SATUAN CONV]],Table17[[#This Row],[SATUAN S]]),Table2[4],0))</f>
        <v/>
      </c>
      <c r="X49" t="str" cm="1">
        <f t="array" ref="X49">IF(Table17[[#This Row],[CONV2_//]]="","",INDEX(Table2[3],Table17[[#This Row],[CONV2_//]]))</f>
        <v/>
      </c>
      <c r="Y49" s="2" t="str">
        <f>IF(Table17[[#This Row],[CEK ISI S]]="",Table17[[#This Row],[ISI DB]],Table17[[#This Row],[ISI S]])</f>
        <v>500</v>
      </c>
      <c r="Z49" t="str">
        <f>IF(Table17[[#This Row],[CEK STN S]]="",Table17[[#This Row],[SATUAN DB]],Table17[[#This Row],[SATUAN S]])</f>
        <v>ROL</v>
      </c>
      <c r="AA49">
        <f>IF(Table17[[#This Row],[//CONV]]="",Table17[[#This Row],[ISI NOTA]]/Table17[[#This Row],[ISI_C]],Table17[[#This Row],[ISI DB CONV]]/Table17[[#This Row],[ISI_C]])</f>
        <v>4</v>
      </c>
      <c r="AB49">
        <f>INDEX(NOTA[HARGA SATUAN],Sheet1!A:A)</f>
        <v>5800</v>
      </c>
      <c r="AC49">
        <f>IF(Table17[[#This Row],[//CONV]]="",Table17[[#This Row],[HARGA NOTA]],Table17[[#This Row],[HARGA NOTA]]/Table17[[#This Row],[CONV VAR]])</f>
        <v>5800</v>
      </c>
      <c r="AD49">
        <f>IF(Table17[[#This Row],[CEK STN S]]="",Table17[[#This Row],[HARGA CONV]],Table17[[#This Row],[HARGA CONV]]/Table17[[#This Row],[CONV2 VAR]])</f>
        <v>5800</v>
      </c>
      <c r="AE49" s="3" t="str">
        <f>IF(INDEX(NOTA[Column6],Sheet1!A:A)=0,"",INDEX(NOTA[Column6],Sheet1!A:A))</f>
        <v/>
      </c>
      <c r="AF49" s="3" t="str">
        <f>IF(INDEX(NOTA[Column7],Sheet1!A:A)=0,"",INDEX(NOTA[Column7],Sheet1!A:A))</f>
        <v/>
      </c>
      <c r="AG4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49" s="4">
        <f>INDEX(NOTA[HARGA/ CTN_H],Sheet1!A:A)</f>
        <v>2900000</v>
      </c>
      <c r="AI49" s="4">
        <f>IF(Table17[[#This Row],[DISC 3]]="",Table17[[#This Row],[HRG / CTN]],Table17[[#This Row],[HRG / CTN]]-(Table17[[#This Row],[HRG / CTN]]*Table17[[#This Row],[DISC 3]]))</f>
        <v>2900000</v>
      </c>
      <c r="AJ49" s="5" t="e">
        <f>IF(#REF!&lt;1,Table17[[#This Row],[Column9]],Table17[[#This Row],[Column9]]*#REF!)</f>
        <v>#REF!</v>
      </c>
      <c r="AK49" s="4" t="str">
        <f ca="1">IF(NOT(AP50=Table17[[#This Row],[Column6]]),SUMIF(Table17[Column6],Table17[[#This Row],[Column6]],Table17[Column7]),"")</f>
        <v/>
      </c>
      <c r="AL49" s="6">
        <f ca="1">INDEX(NOTA[TGL_H],Sheet1!A:A)</f>
        <v>45486</v>
      </c>
      <c r="AM49" s="6">
        <f ca="1">INDEX(NOTA[TGL.NOTA_H],Sheet1!A:A)</f>
        <v>45482</v>
      </c>
      <c r="AO49" t="str">
        <f>IF(INDEX(NOTA[Column10],A:A)="","",INDEX(NOTA[Column10],A:A))</f>
        <v/>
      </c>
      <c r="AP49" t="str">
        <f ca="1">INDEX(NOTA[NO.NOTA_H],Sheet1!A:A)</f>
        <v>JX7,24</v>
      </c>
      <c r="AQ49">
        <f>INDEX(NOTA[Column10],Sheet1!A:A)</f>
        <v>0</v>
      </c>
      <c r="AR49" s="8" t="str">
        <f ca="1">INDEX(NOTA[SUPPLIER_H],Sheet1!A:A)</f>
        <v>ETJ</v>
      </c>
      <c r="AS49" t="str">
        <f>Table17[[#This Row],[NAMA_C]]</f>
        <v>SAMPUL ROLL DUST 344</v>
      </c>
      <c r="AT49" t="str">
        <f ca="1">Table17[[#This Row],[SUPPLIER]]</f>
        <v>ETJ</v>
      </c>
      <c r="AU49" t="str">
        <f>SUBSTITUTE(Table17[[#This Row],[CTN]],",",".")</f>
        <v>4</v>
      </c>
      <c r="AV49" s="13" t="str">
        <f>Table17[[#This Row],[ISI_C]]</f>
        <v>500</v>
      </c>
      <c r="AW49" t="str">
        <f>Table17[[#This Row],[SATUAN_C]]</f>
        <v>ROL</v>
      </c>
      <c r="AX49">
        <f>Table17[[#This Row],[HARGA CONV2]]</f>
        <v>5800</v>
      </c>
      <c r="AY49" s="9" t="str">
        <f>SUBSTITUTE(Table17[[#This Row],[DISC 3]],",",".")</f>
        <v/>
      </c>
      <c r="AZ49" s="6">
        <f ca="1">Table17[[#This Row],[TGL DATANG]]</f>
        <v>45486</v>
      </c>
      <c r="BA49" s="6">
        <f ca="1">Table17[[#This Row],[Column10]]</f>
        <v>45482</v>
      </c>
      <c r="BB49" s="7"/>
      <c r="BC49" t="str">
        <f>Table17[[#This Row],[KETERANGAN CONDRO]]</f>
        <v/>
      </c>
      <c r="BD49" t="str">
        <f ca="1">Table17[[#This Row],[Column6]]</f>
        <v>JX7,24</v>
      </c>
    </row>
    <row r="50" spans="1:56">
      <c r="A50" s="55">
        <v>64</v>
      </c>
      <c r="C50">
        <f>INDEX(NOTA[//DB],Sheet1!A:A)</f>
        <v>933</v>
      </c>
      <c r="D50" t="str">
        <f>_xlfn.IFNA(MATCH(Table17[[#This Row],[//db]],[3]!Table2[\\],0),"")</f>
        <v/>
      </c>
      <c r="E50" t="str">
        <f>INDEX([3]!db[NB NOTA],Table17[[#This Row],[//db]])</f>
        <v>ENTER 30CM 675</v>
      </c>
      <c r="F50" t="str">
        <f>INDEX([3]!db[NB BM],Table17[[#This Row],[//db]])</f>
        <v>GARISAN 30 CM ENTER 675</v>
      </c>
      <c r="G50" t="str">
        <f>IF(Table17[[#This Row],[dbconcat]]="","",INDEX([3]!Table2[NAMA],Table17[[#This Row],[dbconcat]]))</f>
        <v/>
      </c>
      <c r="H50" t="e">
        <f>INDEX([3]!Table2[KODE BARANG],Table17[[#This Row],[dbconcat]])</f>
        <v>#VALUE!</v>
      </c>
      <c r="I50" t="str">
        <f>IF(Table17[[#This Row],[NAMA_3]]="",UPPER(Table17[[#This Row],[NAMA_2]]),Table17[[#This Row],[NAMA_3]])</f>
        <v>GARISAN 30 CM ENTER 675</v>
      </c>
      <c r="J50">
        <f>INDEX(NOTA[QTY],Sheet1!A:A)</f>
        <v>3000</v>
      </c>
      <c r="K50" t="str">
        <f>INDEX(NOTA[STN],Sheet1!A:A)</f>
        <v>LSN</v>
      </c>
      <c r="L50" t="str">
        <f>INDEX([3]!db[QTY B],Table17[[#This Row],[//db]])</f>
        <v>200</v>
      </c>
      <c r="M50" t="str">
        <f>INDEX([3]!db[STN B],Table17[[#This Row],[//db]])</f>
        <v>LSN</v>
      </c>
      <c r="N50" t="str">
        <f>IF(Table17[[#This Row],[SATUAN NOTA]]=Table17[[#This Row],[SATUAN DB]],"", MATCH(CONCATENATE(Table17[[#This Row],[SATUAN NOTA]],Table17[[#This Row],[SATUAN DB]]),Table2[4],0))</f>
        <v/>
      </c>
      <c r="O50" t="str" cm="1">
        <f t="array" ref="O50">IF(Table17[[#This Row],[//CONV]]="","",INDEX(Table2[3],Table17[[#This Row],[//CONV]]))</f>
        <v/>
      </c>
      <c r="P50" t="str">
        <f>IF(Table17[[#This Row],[//CONV]]="",Table17[[#This Row],[ISI DB]],Table17[[#This Row],[ISI NOTA]]*Table17[[#This Row],[CONV VAR]])</f>
        <v>200</v>
      </c>
      <c r="Q50" t="str" cm="1">
        <f t="array" ref="Q50">IF(Table17[[#This Row],[//CONV]]="",Table17[[#This Row],[SATUAN DB]],INDEX(Table2[2],Table17[[#This Row],[//CONV]]))</f>
        <v>LSN</v>
      </c>
      <c r="R50" t="str" cm="1">
        <f t="array" ref="R50">IF(Table17[[#This Row],[dbconcat]]="","",INDEX([3]!Table2[ISI],Table17[[#This Row],[dbconcat]]))</f>
        <v/>
      </c>
      <c r="S50" t="str" cm="1">
        <f t="array" ref="S50">IF(Table17[[#This Row],[dbconcat]]="","",INDEX([3]!Table2[[SATUAN ]],Table17[[#This Row],[dbconcat]]))</f>
        <v/>
      </c>
      <c r="T50" t="str">
        <f>IF(Table17[[#This Row],[SATUAN S]]="","",IF(_xlfn.NUMBERVALUE(Table17[[#This Row],[ISI DB]])=_xlfn.NUMBERVALUE(Table17[[#This Row],[ISI S]]),"",1))</f>
        <v/>
      </c>
      <c r="U50" t="str">
        <f>IF(Table17[[#This Row],[SATUAN S]]="","",IF(Table17[[#This Row],[SATUAN DB]]=Table17[[#This Row],[SATUAN S]],"",1))</f>
        <v/>
      </c>
      <c r="V50" t="str">
        <f>IF(Table17[[#This Row],[CEK STN S]]="","",MATCH(CONCATENATE(Table17[[#This Row],[SATUAN CONV]],Table17[[#This Row],[SATUAN S]]),Table2[4],0))</f>
        <v/>
      </c>
      <c r="X50" t="str" cm="1">
        <f t="array" ref="X50">IF(Table17[[#This Row],[CONV2_//]]="","",INDEX(Table2[3],Table17[[#This Row],[CONV2_//]]))</f>
        <v/>
      </c>
      <c r="Y50" s="2" t="str">
        <f>IF(Table17[[#This Row],[CEK ISI S]]="",Table17[[#This Row],[ISI DB]],Table17[[#This Row],[ISI S]])</f>
        <v>200</v>
      </c>
      <c r="Z50" t="str">
        <f>IF(Table17[[#This Row],[CEK STN S]]="",Table17[[#This Row],[SATUAN DB]],Table17[[#This Row],[SATUAN S]])</f>
        <v>LSN</v>
      </c>
      <c r="AA50">
        <f>IF(Table17[[#This Row],[//CONV]]="",Table17[[#This Row],[ISI NOTA]]/Table17[[#This Row],[ISI_C]],Table17[[#This Row],[ISI DB CONV]]/Table17[[#This Row],[ISI_C]])</f>
        <v>15</v>
      </c>
      <c r="AB50">
        <f>INDEX(NOTA[HARGA SATUAN],Sheet1!A:A)</f>
        <v>8750</v>
      </c>
      <c r="AC50">
        <f>IF(Table17[[#This Row],[//CONV]]="",Table17[[#This Row],[HARGA NOTA]],Table17[[#This Row],[HARGA NOTA]]/Table17[[#This Row],[CONV VAR]])</f>
        <v>8750</v>
      </c>
      <c r="AD50">
        <f>IF(Table17[[#This Row],[CEK STN S]]="",Table17[[#This Row],[HARGA CONV]],Table17[[#This Row],[HARGA CONV]]/Table17[[#This Row],[CONV2 VAR]])</f>
        <v>8750</v>
      </c>
      <c r="AE50" s="3" t="str">
        <f>IF(INDEX(NOTA[Column6],Sheet1!A:A)=0,"",INDEX(NOTA[Column6],Sheet1!A:A))</f>
        <v/>
      </c>
      <c r="AF50" s="3" t="str">
        <f>IF(INDEX(NOTA[Column7],Sheet1!A:A)=0,"",INDEX(NOTA[Column7],Sheet1!A:A))</f>
        <v/>
      </c>
      <c r="AG5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0" s="4">
        <f>INDEX(NOTA[HARGA/ CTN_H],Sheet1!A:A)</f>
        <v>1750000</v>
      </c>
      <c r="AI50" s="4">
        <f>IF(Table17[[#This Row],[DISC 3]]="",Table17[[#This Row],[HRG / CTN]],Table17[[#This Row],[HRG / CTN]]-(Table17[[#This Row],[HRG / CTN]]*Table17[[#This Row],[DISC 3]]))</f>
        <v>1750000</v>
      </c>
      <c r="AJ50" s="5" t="e">
        <f>IF(#REF!&lt;1,Table17[[#This Row],[Column9]],Table17[[#This Row],[Column9]]*#REF!)</f>
        <v>#REF!</v>
      </c>
      <c r="AK50" s="4" t="str">
        <f ca="1">IF(NOT(AP51=Table17[[#This Row],[Column6]]),SUMIF(Table17[Column6],Table17[[#This Row],[Column6]],Table17[Column7]),"")</f>
        <v/>
      </c>
      <c r="AL50" s="6">
        <f ca="1">INDEX(NOTA[TGL_H],Sheet1!A:A)</f>
        <v>45486</v>
      </c>
      <c r="AM50" s="6">
        <f ca="1">INDEX(NOTA[TGL.NOTA_H],Sheet1!A:A)</f>
        <v>45482</v>
      </c>
      <c r="AO50" t="str">
        <f>IF(INDEX(NOTA[Column10],A:A)="","",INDEX(NOTA[Column10],A:A))</f>
        <v/>
      </c>
      <c r="AP50" t="str">
        <f ca="1">INDEX(NOTA[NO.NOTA_H],Sheet1!A:A)</f>
        <v>JX7,24</v>
      </c>
      <c r="AQ50">
        <f>INDEX(NOTA[Column10],Sheet1!A:A)</f>
        <v>0</v>
      </c>
      <c r="AR50" s="8" t="str">
        <f ca="1">INDEX(NOTA[SUPPLIER_H],Sheet1!A:A)</f>
        <v>ETJ</v>
      </c>
      <c r="AS50" t="str">
        <f>Table17[[#This Row],[NAMA_C]]</f>
        <v>GARISAN 30 CM ENTER 675</v>
      </c>
      <c r="AT50" t="str">
        <f ca="1">Table17[[#This Row],[SUPPLIER]]</f>
        <v>ETJ</v>
      </c>
      <c r="AU50" t="str">
        <f>SUBSTITUTE(Table17[[#This Row],[CTN]],",",".")</f>
        <v>15</v>
      </c>
      <c r="AV50" s="13" t="str">
        <f>Table17[[#This Row],[ISI_C]]</f>
        <v>200</v>
      </c>
      <c r="AW50" t="str">
        <f>Table17[[#This Row],[SATUAN_C]]</f>
        <v>LSN</v>
      </c>
      <c r="AX50">
        <f>Table17[[#This Row],[HARGA CONV2]]</f>
        <v>8750</v>
      </c>
      <c r="AY50" s="9" t="str">
        <f>SUBSTITUTE(Table17[[#This Row],[DISC 3]],",",".")</f>
        <v/>
      </c>
      <c r="AZ50" s="6">
        <f ca="1">Table17[[#This Row],[TGL DATANG]]</f>
        <v>45486</v>
      </c>
      <c r="BA50" s="6">
        <f ca="1">Table17[[#This Row],[Column10]]</f>
        <v>45482</v>
      </c>
      <c r="BB50" s="7"/>
      <c r="BC50" t="str">
        <f>Table17[[#This Row],[KETERANGAN CONDRO]]</f>
        <v/>
      </c>
      <c r="BD50" t="str">
        <f ca="1">Table17[[#This Row],[Column6]]</f>
        <v>JX7,24</v>
      </c>
    </row>
    <row r="51" spans="1:56">
      <c r="A51" s="55">
        <v>65</v>
      </c>
      <c r="C51">
        <f>INDEX(NOTA[//DB],Sheet1!A:A)</f>
        <v>1901</v>
      </c>
      <c r="D51">
        <f>_xlfn.IFNA(MATCH(Table17[[#This Row],[//db]],[3]!Table2[\\],0),"")</f>
        <v>1592</v>
      </c>
      <c r="E51" t="str">
        <f>INDEX([3]!db[NB NOTA],Table17[[#This Row],[//db]])</f>
        <v>KOJIKO LABEL 99</v>
      </c>
      <c r="F51" t="str">
        <f>INDEX([3]!db[NB BM],Table17[[#This Row],[//db]])</f>
        <v>LABEL HARGA KOJIKO 99</v>
      </c>
      <c r="G51" t="str">
        <f>IF(Table17[[#This Row],[dbconcat]]="","",INDEX([3]!Table2[NAMA],Table17[[#This Row],[dbconcat]]))</f>
        <v>LABEL HARGA KOJIKO 99</v>
      </c>
      <c r="H51" t="str">
        <f>INDEX([3]!Table2[KODE BARANG],Table17[[#This Row],[dbconcat]])</f>
        <v>LAB-KJ3</v>
      </c>
      <c r="I51" t="str">
        <f>IF(Table17[[#This Row],[NAMA_3]]="",UPPER(Table17[[#This Row],[NAMA_2]]),Table17[[#This Row],[NAMA_3]])</f>
        <v>LABEL HARGA KOJIKO 99</v>
      </c>
      <c r="J51">
        <f>INDEX(NOTA[QTY],Sheet1!A:A)</f>
        <v>4000</v>
      </c>
      <c r="K51" t="str">
        <f>INDEX(NOTA[STN],Sheet1!A:A)</f>
        <v>PAK</v>
      </c>
      <c r="L51" t="str">
        <f>INDEX([3]!db[QTY B],Table17[[#This Row],[//db]])</f>
        <v>800</v>
      </c>
      <c r="M51" t="str">
        <f>INDEX([3]!db[STN B],Table17[[#This Row],[//db]])</f>
        <v>PAK</v>
      </c>
      <c r="N51" t="str">
        <f>IF(Table17[[#This Row],[SATUAN NOTA]]=Table17[[#This Row],[SATUAN DB]],"", MATCH(CONCATENATE(Table17[[#This Row],[SATUAN NOTA]],Table17[[#This Row],[SATUAN DB]]),Table2[4],0))</f>
        <v/>
      </c>
      <c r="O51" t="str" cm="1">
        <f t="array" ref="O51">IF(Table17[[#This Row],[//CONV]]="","",INDEX(Table2[3],Table17[[#This Row],[//CONV]]))</f>
        <v/>
      </c>
      <c r="P51" t="str">
        <f>IF(Table17[[#This Row],[//CONV]]="",Table17[[#This Row],[ISI DB]],Table17[[#This Row],[ISI NOTA]]*Table17[[#This Row],[CONV VAR]])</f>
        <v>800</v>
      </c>
      <c r="Q51" t="str" cm="1">
        <f t="array" ref="Q51">IF(Table17[[#This Row],[//CONV]]="",Table17[[#This Row],[SATUAN DB]],INDEX(Table2[2],Table17[[#This Row],[//CONV]]))</f>
        <v>PAK</v>
      </c>
      <c r="R51" cm="1">
        <f t="array" ref="R51">IF(Table17[[#This Row],[dbconcat]]="","",INDEX([3]!Table2[ISI],Table17[[#This Row],[dbconcat]]))</f>
        <v>800</v>
      </c>
      <c r="S51" t="str" cm="1">
        <f t="array" ref="S51">IF(Table17[[#This Row],[dbconcat]]="","",INDEX([3]!Table2[[SATUAN ]],Table17[[#This Row],[dbconcat]]))</f>
        <v>PCS</v>
      </c>
      <c r="T51" t="str">
        <f>IF(Table17[[#This Row],[SATUAN S]]="","",IF(_xlfn.NUMBERVALUE(Table17[[#This Row],[ISI DB]])=_xlfn.NUMBERVALUE(Table17[[#This Row],[ISI S]]),"",1))</f>
        <v/>
      </c>
      <c r="U51">
        <f>IF(Table17[[#This Row],[SATUAN S]]="","",IF(Table17[[#This Row],[SATUAN DB]]=Table17[[#This Row],[SATUAN S]],"",1))</f>
        <v>1</v>
      </c>
      <c r="V51" t="e">
        <f>IF(Table17[[#This Row],[CEK STN S]]="","",MATCH(CONCATENATE(Table17[[#This Row],[SATUAN CONV]],Table17[[#This Row],[SATUAN S]]),Table2[4],0))</f>
        <v>#N/A</v>
      </c>
      <c r="X51" t="e" cm="1">
        <f t="array" ref="X51">IF(Table17[[#This Row],[CONV2_//]]="","",INDEX(Table2[3],Table17[[#This Row],[CONV2_//]]))</f>
        <v>#N/A</v>
      </c>
      <c r="Y51" s="2" t="str">
        <f>IF(Table17[[#This Row],[CEK ISI S]]="",Table17[[#This Row],[ISI DB]],Table17[[#This Row],[ISI S]])</f>
        <v>800</v>
      </c>
      <c r="Z51" t="str">
        <f>IF(Table17[[#This Row],[CEK STN S]]="",Table17[[#This Row],[SATUAN DB]],Table17[[#This Row],[SATUAN S]])</f>
        <v>PCS</v>
      </c>
      <c r="AA51">
        <f>IF(Table17[[#This Row],[//CONV]]="",Table17[[#This Row],[ISI NOTA]]/Table17[[#This Row],[ISI_C]],Table17[[#This Row],[ISI DB CONV]]/Table17[[#This Row],[ISI_C]])</f>
        <v>5</v>
      </c>
      <c r="AB51">
        <f>INDEX(NOTA[HARGA SATUAN],Sheet1!A:A)</f>
        <v>2100</v>
      </c>
      <c r="AC51">
        <f>IF(Table17[[#This Row],[//CONV]]="",Table17[[#This Row],[HARGA NOTA]],Table17[[#This Row],[HARGA NOTA]]/Table17[[#This Row],[CONV VAR]])</f>
        <v>2100</v>
      </c>
      <c r="AD51" t="e">
        <f>IF(Table17[[#This Row],[CEK STN S]]="",Table17[[#This Row],[HARGA CONV]],Table17[[#This Row],[HARGA CONV]]/Table17[[#This Row],[CONV2 VAR]])</f>
        <v>#N/A</v>
      </c>
      <c r="AE51" s="3" t="str">
        <f>IF(INDEX(NOTA[Column6],Sheet1!A:A)=0,"",INDEX(NOTA[Column6],Sheet1!A:A))</f>
        <v/>
      </c>
      <c r="AF51" s="3" t="str">
        <f>IF(INDEX(NOTA[Column7],Sheet1!A:A)=0,"",INDEX(NOTA[Column7],Sheet1!A:A))</f>
        <v/>
      </c>
      <c r="AG5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1" s="4">
        <f>INDEX(NOTA[HARGA/ CTN_H],Sheet1!A:A)</f>
        <v>1680000</v>
      </c>
      <c r="AI51" s="4">
        <f>IF(Table17[[#This Row],[DISC 3]]="",Table17[[#This Row],[HRG / CTN]],Table17[[#This Row],[HRG / CTN]]-(Table17[[#This Row],[HRG / CTN]]*Table17[[#This Row],[DISC 3]]))</f>
        <v>1680000</v>
      </c>
      <c r="AJ51" s="5" t="e">
        <f>IF(#REF!&lt;1,Table17[[#This Row],[Column9]],Table17[[#This Row],[Column9]]*#REF!)</f>
        <v>#REF!</v>
      </c>
      <c r="AK51" s="4" t="str">
        <f ca="1">IF(NOT(AP52=Table17[[#This Row],[Column6]]),SUMIF(Table17[Column6],Table17[[#This Row],[Column6]],Table17[Column7]),"")</f>
        <v/>
      </c>
      <c r="AL51" s="6">
        <f ca="1">INDEX(NOTA[TGL_H],Sheet1!A:A)</f>
        <v>45486</v>
      </c>
      <c r="AM51" s="6">
        <f ca="1">INDEX(NOTA[TGL.NOTA_H],Sheet1!A:A)</f>
        <v>45482</v>
      </c>
      <c r="AO51" t="str">
        <f>IF(INDEX(NOTA[Column10],A:A)="","",INDEX(NOTA[Column10],A:A))</f>
        <v/>
      </c>
      <c r="AP51" t="str">
        <f ca="1">INDEX(NOTA[NO.NOTA_H],Sheet1!A:A)</f>
        <v>JX7,24</v>
      </c>
      <c r="AQ51">
        <f>INDEX(NOTA[Column10],Sheet1!A:A)</f>
        <v>0</v>
      </c>
      <c r="AR51" s="8" t="str">
        <f ca="1">INDEX(NOTA[SUPPLIER_H],Sheet1!A:A)</f>
        <v>ETJ</v>
      </c>
      <c r="AS51" t="str">
        <f>Table17[[#This Row],[NAMA_C]]</f>
        <v>LABEL HARGA KOJIKO 99</v>
      </c>
      <c r="AT51" t="str">
        <f ca="1">Table17[[#This Row],[SUPPLIER]]</f>
        <v>ETJ</v>
      </c>
      <c r="AU51" t="str">
        <f>SUBSTITUTE(Table17[[#This Row],[CTN]],",",".")</f>
        <v>5</v>
      </c>
      <c r="AV51" s="13" t="str">
        <f>Table17[[#This Row],[ISI_C]]</f>
        <v>800</v>
      </c>
      <c r="AW51" t="str">
        <f>Table17[[#This Row],[SATUAN_C]]</f>
        <v>PCS</v>
      </c>
      <c r="AX51" t="e">
        <f>Table17[[#This Row],[HARGA CONV2]]</f>
        <v>#N/A</v>
      </c>
      <c r="AY51" s="9" t="str">
        <f>SUBSTITUTE(Table17[[#This Row],[DISC 3]],",",".")</f>
        <v/>
      </c>
      <c r="AZ51" s="6">
        <f ca="1">Table17[[#This Row],[TGL DATANG]]</f>
        <v>45486</v>
      </c>
      <c r="BA51" s="6">
        <f ca="1">Table17[[#This Row],[Column10]]</f>
        <v>45482</v>
      </c>
      <c r="BB51" s="7"/>
      <c r="BC51" t="str">
        <f>Table17[[#This Row],[KETERANGAN CONDRO]]</f>
        <v/>
      </c>
      <c r="BD51" t="str">
        <f ca="1">Table17[[#This Row],[Column6]]</f>
        <v>JX7,24</v>
      </c>
    </row>
    <row r="52" spans="1:56">
      <c r="A52" s="55">
        <v>66</v>
      </c>
      <c r="C52">
        <f>INDEX(NOTA[//DB],Sheet1!A:A)</f>
        <v>3461</v>
      </c>
      <c r="D52" t="str">
        <f>_xlfn.IFNA(MATCH(Table17[[#This Row],[//db]],[3]!Table2[\\],0),"")</f>
        <v/>
      </c>
      <c r="E52" t="str">
        <f>INDEX([3]!db[NB NOTA],Table17[[#This Row],[//db]])</f>
        <v>ENTER BUSUR NO 110</v>
      </c>
      <c r="F52" t="str">
        <f>INDEX([3]!db[NB BM],Table17[[#This Row],[//db]])</f>
        <v>GARISAN BUSUR ENTER NO,110</v>
      </c>
      <c r="G52" t="str">
        <f>IF(Table17[[#This Row],[dbconcat]]="","",INDEX([3]!Table2[NAMA],Table17[[#This Row],[dbconcat]]))</f>
        <v/>
      </c>
      <c r="H52" t="e">
        <f>INDEX([3]!Table2[KODE BARANG],Table17[[#This Row],[dbconcat]])</f>
        <v>#VALUE!</v>
      </c>
      <c r="I52" t="str">
        <f>IF(Table17[[#This Row],[NAMA_3]]="",UPPER(Table17[[#This Row],[NAMA_2]]),Table17[[#This Row],[NAMA_3]])</f>
        <v>GARISAN BUSUR ENTER NO,110</v>
      </c>
      <c r="J52">
        <f>INDEX(NOTA[QTY],Sheet1!A:A)</f>
        <v>200</v>
      </c>
      <c r="K52" t="str">
        <f>INDEX(NOTA[STN],Sheet1!A:A)</f>
        <v>LSN</v>
      </c>
      <c r="L52" t="str">
        <f>INDEX([3]!db[QTY B],Table17[[#This Row],[//db]])</f>
        <v>200</v>
      </c>
      <c r="M52" t="str">
        <f>INDEX([3]!db[STN B],Table17[[#This Row],[//db]])</f>
        <v>LSN</v>
      </c>
      <c r="N52" t="str">
        <f>IF(Table17[[#This Row],[SATUAN NOTA]]=Table17[[#This Row],[SATUAN DB]],"", MATCH(CONCATENATE(Table17[[#This Row],[SATUAN NOTA]],Table17[[#This Row],[SATUAN DB]]),Table2[4],0))</f>
        <v/>
      </c>
      <c r="O52" t="str" cm="1">
        <f t="array" ref="O52">IF(Table17[[#This Row],[//CONV]]="","",INDEX(Table2[3],Table17[[#This Row],[//CONV]]))</f>
        <v/>
      </c>
      <c r="P52" t="str">
        <f>IF(Table17[[#This Row],[//CONV]]="",Table17[[#This Row],[ISI DB]],Table17[[#This Row],[ISI NOTA]]*Table17[[#This Row],[CONV VAR]])</f>
        <v>200</v>
      </c>
      <c r="Q52" t="str" cm="1">
        <f t="array" ref="Q52">IF(Table17[[#This Row],[//CONV]]="",Table17[[#This Row],[SATUAN DB]],INDEX(Table2[2],Table17[[#This Row],[//CONV]]))</f>
        <v>LSN</v>
      </c>
      <c r="R52" t="str" cm="1">
        <f t="array" ref="R52">IF(Table17[[#This Row],[dbconcat]]="","",INDEX([3]!Table2[ISI],Table17[[#This Row],[dbconcat]]))</f>
        <v/>
      </c>
      <c r="S52" t="str" cm="1">
        <f t="array" ref="S52">IF(Table17[[#This Row],[dbconcat]]="","",INDEX([3]!Table2[[SATUAN ]],Table17[[#This Row],[dbconcat]]))</f>
        <v/>
      </c>
      <c r="T52" t="str">
        <f>IF(Table17[[#This Row],[SATUAN S]]="","",IF(_xlfn.NUMBERVALUE(Table17[[#This Row],[ISI DB]])=_xlfn.NUMBERVALUE(Table17[[#This Row],[ISI S]]),"",1))</f>
        <v/>
      </c>
      <c r="U52" t="str">
        <f>IF(Table17[[#This Row],[SATUAN S]]="","",IF(Table17[[#This Row],[SATUAN DB]]=Table17[[#This Row],[SATUAN S]],"",1))</f>
        <v/>
      </c>
      <c r="V52" t="str">
        <f>IF(Table17[[#This Row],[CEK STN S]]="","",MATCH(CONCATENATE(Table17[[#This Row],[SATUAN CONV]],Table17[[#This Row],[SATUAN S]]),Table2[4],0))</f>
        <v/>
      </c>
      <c r="X52" t="str" cm="1">
        <f t="array" ref="X52">IF(Table17[[#This Row],[CONV2_//]]="","",INDEX(Table2[3],Table17[[#This Row],[CONV2_//]]))</f>
        <v/>
      </c>
      <c r="Y52" s="2" t="str">
        <f>IF(Table17[[#This Row],[CEK ISI S]]="",Table17[[#This Row],[ISI DB]],Table17[[#This Row],[ISI S]])</f>
        <v>200</v>
      </c>
      <c r="Z52" t="str">
        <f>IF(Table17[[#This Row],[CEK STN S]]="",Table17[[#This Row],[SATUAN DB]],Table17[[#This Row],[SATUAN S]])</f>
        <v>LSN</v>
      </c>
      <c r="AA52">
        <f>IF(Table17[[#This Row],[//CONV]]="",Table17[[#This Row],[ISI NOTA]]/Table17[[#This Row],[ISI_C]],Table17[[#This Row],[ISI DB CONV]]/Table17[[#This Row],[ISI_C]])</f>
        <v>1</v>
      </c>
      <c r="AB52">
        <f>INDEX(NOTA[HARGA SATUAN],Sheet1!A:A)</f>
        <v>12000</v>
      </c>
      <c r="AC52">
        <f>IF(Table17[[#This Row],[//CONV]]="",Table17[[#This Row],[HARGA NOTA]],Table17[[#This Row],[HARGA NOTA]]/Table17[[#This Row],[CONV VAR]])</f>
        <v>12000</v>
      </c>
      <c r="AD52">
        <f>IF(Table17[[#This Row],[CEK STN S]]="",Table17[[#This Row],[HARGA CONV]],Table17[[#This Row],[HARGA CONV]]/Table17[[#This Row],[CONV2 VAR]])</f>
        <v>12000</v>
      </c>
      <c r="AE52" s="3" t="str">
        <f>IF(INDEX(NOTA[Column6],Sheet1!A:A)=0,"",INDEX(NOTA[Column6],Sheet1!A:A))</f>
        <v/>
      </c>
      <c r="AF52" s="3" t="str">
        <f>IF(INDEX(NOTA[Column7],Sheet1!A:A)=0,"",INDEX(NOTA[Column7],Sheet1!A:A))</f>
        <v/>
      </c>
      <c r="AG5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2" s="4">
        <f>INDEX(NOTA[HARGA/ CTN_H],Sheet1!A:A)</f>
        <v>2400000</v>
      </c>
      <c r="AI52" s="4">
        <f>IF(Table17[[#This Row],[DISC 3]]="",Table17[[#This Row],[HRG / CTN]],Table17[[#This Row],[HRG / CTN]]-(Table17[[#This Row],[HRG / CTN]]*Table17[[#This Row],[DISC 3]]))</f>
        <v>2400000</v>
      </c>
      <c r="AJ52" s="5" t="e">
        <f>IF(#REF!&lt;1,Table17[[#This Row],[Column9]],Table17[[#This Row],[Column9]]*#REF!)</f>
        <v>#REF!</v>
      </c>
      <c r="AK52" s="4" t="str">
        <f ca="1">IF(NOT(AP53=Table17[[#This Row],[Column6]]),SUMIF(Table17[Column6],Table17[[#This Row],[Column6]],Table17[Column7]),"")</f>
        <v/>
      </c>
      <c r="AL52" s="6">
        <f ca="1">INDEX(NOTA[TGL_H],Sheet1!A:A)</f>
        <v>45486</v>
      </c>
      <c r="AM52" s="6">
        <f ca="1">INDEX(NOTA[TGL.NOTA_H],Sheet1!A:A)</f>
        <v>45482</v>
      </c>
      <c r="AO52" t="str">
        <f>IF(INDEX(NOTA[Column10],A:A)="","",INDEX(NOTA[Column10],A:A))</f>
        <v/>
      </c>
      <c r="AP52" t="str">
        <f ca="1">INDEX(NOTA[NO.NOTA_H],Sheet1!A:A)</f>
        <v>JX7,24</v>
      </c>
      <c r="AQ52">
        <f>INDEX(NOTA[Column10],Sheet1!A:A)</f>
        <v>0</v>
      </c>
      <c r="AR52" s="8" t="str">
        <f ca="1">INDEX(NOTA[SUPPLIER_H],Sheet1!A:A)</f>
        <v>ETJ</v>
      </c>
      <c r="AS52" t="str">
        <f>Table17[[#This Row],[NAMA_C]]</f>
        <v>GARISAN BUSUR ENTER NO,110</v>
      </c>
      <c r="AT52" t="str">
        <f ca="1">Table17[[#This Row],[SUPPLIER]]</f>
        <v>ETJ</v>
      </c>
      <c r="AU52" t="str">
        <f>SUBSTITUTE(Table17[[#This Row],[CTN]],",",".")</f>
        <v>1</v>
      </c>
      <c r="AV52" s="13" t="str">
        <f>Table17[[#This Row],[ISI_C]]</f>
        <v>200</v>
      </c>
      <c r="AW52" t="str">
        <f>Table17[[#This Row],[SATUAN_C]]</f>
        <v>LSN</v>
      </c>
      <c r="AX52">
        <f>Table17[[#This Row],[HARGA CONV2]]</f>
        <v>12000</v>
      </c>
      <c r="AY52" s="9" t="str">
        <f>SUBSTITUTE(Table17[[#This Row],[DISC 3]],",",".")</f>
        <v/>
      </c>
      <c r="AZ52" s="6">
        <f ca="1">Table17[[#This Row],[TGL DATANG]]</f>
        <v>45486</v>
      </c>
      <c r="BA52" s="6">
        <f ca="1">Table17[[#This Row],[Column10]]</f>
        <v>45482</v>
      </c>
      <c r="BB52" s="7"/>
      <c r="BC52" t="str">
        <f>Table17[[#This Row],[KETERANGAN CONDRO]]</f>
        <v/>
      </c>
      <c r="BD52" t="str">
        <f ca="1">Table17[[#This Row],[Column6]]</f>
        <v>JX7,24</v>
      </c>
    </row>
    <row r="53" spans="1:56">
      <c r="A53" s="55">
        <v>67</v>
      </c>
      <c r="C53">
        <f>INDEX(NOTA[//DB],Sheet1!A:A)</f>
        <v>3442</v>
      </c>
      <c r="D53" t="str">
        <f>_xlfn.IFNA(MATCH(Table17[[#This Row],[//db]],[3]!Table2[\\],0),"")</f>
        <v/>
      </c>
      <c r="E53" t="str">
        <f>INDEX([3]!db[NB NOTA],Table17[[#This Row],[//db]])</f>
        <v>ENTER BUSUR NO 120</v>
      </c>
      <c r="F53" t="str">
        <f>INDEX([3]!db[NB BM],Table17[[#This Row],[//db]])</f>
        <v>GARISAN BUSUR ENTER NO.120</v>
      </c>
      <c r="G53" t="str">
        <f>IF(Table17[[#This Row],[dbconcat]]="","",INDEX([3]!Table2[NAMA],Table17[[#This Row],[dbconcat]]))</f>
        <v/>
      </c>
      <c r="H53" t="e">
        <f>INDEX([3]!Table2[KODE BARANG],Table17[[#This Row],[dbconcat]])</f>
        <v>#VALUE!</v>
      </c>
      <c r="I53" t="str">
        <f>IF(Table17[[#This Row],[NAMA_3]]="",UPPER(Table17[[#This Row],[NAMA_2]]),Table17[[#This Row],[NAMA_3]])</f>
        <v>GARISAN BUSUR ENTER NO.120</v>
      </c>
      <c r="J53">
        <f>INDEX(NOTA[QTY],Sheet1!A:A)</f>
        <v>400</v>
      </c>
      <c r="K53" t="str">
        <f>INDEX(NOTA[STN],Sheet1!A:A)</f>
        <v>LSN</v>
      </c>
      <c r="L53" t="str">
        <f>INDEX([3]!db[QTY B],Table17[[#This Row],[//db]])</f>
        <v>200</v>
      </c>
      <c r="M53" t="str">
        <f>INDEX([3]!db[STN B],Table17[[#This Row],[//db]])</f>
        <v>LSN</v>
      </c>
      <c r="N53" t="str">
        <f>IF(Table17[[#This Row],[SATUAN NOTA]]=Table17[[#This Row],[SATUAN DB]],"", MATCH(CONCATENATE(Table17[[#This Row],[SATUAN NOTA]],Table17[[#This Row],[SATUAN DB]]),Table2[4],0))</f>
        <v/>
      </c>
      <c r="O53" t="str" cm="1">
        <f t="array" ref="O53">IF(Table17[[#This Row],[//CONV]]="","",INDEX(Table2[3],Table17[[#This Row],[//CONV]]))</f>
        <v/>
      </c>
      <c r="P53" t="str">
        <f>IF(Table17[[#This Row],[//CONV]]="",Table17[[#This Row],[ISI DB]],Table17[[#This Row],[ISI NOTA]]*Table17[[#This Row],[CONV VAR]])</f>
        <v>200</v>
      </c>
      <c r="Q53" t="str" cm="1">
        <f t="array" ref="Q53">IF(Table17[[#This Row],[//CONV]]="",Table17[[#This Row],[SATUAN DB]],INDEX(Table2[2],Table17[[#This Row],[//CONV]]))</f>
        <v>LSN</v>
      </c>
      <c r="R53" t="str" cm="1">
        <f t="array" ref="R53">IF(Table17[[#This Row],[dbconcat]]="","",INDEX([3]!Table2[ISI],Table17[[#This Row],[dbconcat]]))</f>
        <v/>
      </c>
      <c r="S53" t="str" cm="1">
        <f t="array" ref="S53">IF(Table17[[#This Row],[dbconcat]]="","",INDEX([3]!Table2[[SATUAN ]],Table17[[#This Row],[dbconcat]]))</f>
        <v/>
      </c>
      <c r="T53" t="str">
        <f>IF(Table17[[#This Row],[SATUAN S]]="","",IF(_xlfn.NUMBERVALUE(Table17[[#This Row],[ISI DB]])=_xlfn.NUMBERVALUE(Table17[[#This Row],[ISI S]]),"",1))</f>
        <v/>
      </c>
      <c r="U53" t="str">
        <f>IF(Table17[[#This Row],[SATUAN S]]="","",IF(Table17[[#This Row],[SATUAN DB]]=Table17[[#This Row],[SATUAN S]],"",1))</f>
        <v/>
      </c>
      <c r="V53" t="str">
        <f>IF(Table17[[#This Row],[CEK STN S]]="","",MATCH(CONCATENATE(Table17[[#This Row],[SATUAN CONV]],Table17[[#This Row],[SATUAN S]]),Table2[4],0))</f>
        <v/>
      </c>
      <c r="X53" t="str" cm="1">
        <f t="array" ref="X53">IF(Table17[[#This Row],[CONV2_//]]="","",INDEX(Table2[3],Table17[[#This Row],[CONV2_//]]))</f>
        <v/>
      </c>
      <c r="Y53" s="2" t="str">
        <f>IF(Table17[[#This Row],[CEK ISI S]]="",Table17[[#This Row],[ISI DB]],Table17[[#This Row],[ISI S]])</f>
        <v>200</v>
      </c>
      <c r="Z53" t="str">
        <f>IF(Table17[[#This Row],[CEK STN S]]="",Table17[[#This Row],[SATUAN DB]],Table17[[#This Row],[SATUAN S]])</f>
        <v>LSN</v>
      </c>
      <c r="AA53">
        <f>IF(Table17[[#This Row],[//CONV]]="",Table17[[#This Row],[ISI NOTA]]/Table17[[#This Row],[ISI_C]],Table17[[#This Row],[ISI DB CONV]]/Table17[[#This Row],[ISI_C]])</f>
        <v>2</v>
      </c>
      <c r="AB53">
        <f>INDEX(NOTA[HARGA SATUAN],Sheet1!A:A)</f>
        <v>15500</v>
      </c>
      <c r="AC53">
        <f>IF(Table17[[#This Row],[//CONV]]="",Table17[[#This Row],[HARGA NOTA]],Table17[[#This Row],[HARGA NOTA]]/Table17[[#This Row],[CONV VAR]])</f>
        <v>15500</v>
      </c>
      <c r="AD53">
        <f>IF(Table17[[#This Row],[CEK STN S]]="",Table17[[#This Row],[HARGA CONV]],Table17[[#This Row],[HARGA CONV]]/Table17[[#This Row],[CONV2 VAR]])</f>
        <v>15500</v>
      </c>
      <c r="AE53" s="3" t="str">
        <f>IF(INDEX(NOTA[Column6],Sheet1!A:A)=0,"",INDEX(NOTA[Column6],Sheet1!A:A))</f>
        <v/>
      </c>
      <c r="AF53" s="3" t="str">
        <f>IF(INDEX(NOTA[Column7],Sheet1!A:A)=0,"",INDEX(NOTA[Column7],Sheet1!A:A))</f>
        <v/>
      </c>
      <c r="AG5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3" s="4">
        <f>INDEX(NOTA[HARGA/ CTN_H],Sheet1!A:A)</f>
        <v>3100000</v>
      </c>
      <c r="AI53" s="4">
        <f>IF(Table17[[#This Row],[DISC 3]]="",Table17[[#This Row],[HRG / CTN]],Table17[[#This Row],[HRG / CTN]]-(Table17[[#This Row],[HRG / CTN]]*Table17[[#This Row],[DISC 3]]))</f>
        <v>3100000</v>
      </c>
      <c r="AJ53" s="5" t="e">
        <f>IF(#REF!&lt;1,Table17[[#This Row],[Column9]],Table17[[#This Row],[Column9]]*#REF!)</f>
        <v>#REF!</v>
      </c>
      <c r="AK53" s="4" t="str">
        <f ca="1">IF(NOT(AP54=Table17[[#This Row],[Column6]]),SUMIF(Table17[Column6],Table17[[#This Row],[Column6]],Table17[Column7]),"")</f>
        <v/>
      </c>
      <c r="AL53" s="6">
        <f ca="1">INDEX(NOTA[TGL_H],Sheet1!A:A)</f>
        <v>45486</v>
      </c>
      <c r="AM53" s="6">
        <f ca="1">INDEX(NOTA[TGL.NOTA_H],Sheet1!A:A)</f>
        <v>45482</v>
      </c>
      <c r="AO53" t="str">
        <f>IF(INDEX(NOTA[Column10],A:A)="","",INDEX(NOTA[Column10],A:A))</f>
        <v/>
      </c>
      <c r="AP53" t="str">
        <f ca="1">INDEX(NOTA[NO.NOTA_H],Sheet1!A:A)</f>
        <v>JX7,24</v>
      </c>
      <c r="AQ53">
        <f>INDEX(NOTA[Column10],Sheet1!A:A)</f>
        <v>0</v>
      </c>
      <c r="AR53" s="8" t="str">
        <f ca="1">INDEX(NOTA[SUPPLIER_H],Sheet1!A:A)</f>
        <v>ETJ</v>
      </c>
      <c r="AS53" t="str">
        <f>Table17[[#This Row],[NAMA_C]]</f>
        <v>GARISAN BUSUR ENTER NO.120</v>
      </c>
      <c r="AT53" t="str">
        <f ca="1">Table17[[#This Row],[SUPPLIER]]</f>
        <v>ETJ</v>
      </c>
      <c r="AU53" t="str">
        <f>SUBSTITUTE(Table17[[#This Row],[CTN]],",",".")</f>
        <v>2</v>
      </c>
      <c r="AV53" s="13" t="str">
        <f>Table17[[#This Row],[ISI_C]]</f>
        <v>200</v>
      </c>
      <c r="AW53" t="str">
        <f>Table17[[#This Row],[SATUAN_C]]</f>
        <v>LSN</v>
      </c>
      <c r="AX53">
        <f>Table17[[#This Row],[HARGA CONV2]]</f>
        <v>15500</v>
      </c>
      <c r="AY53" s="9" t="str">
        <f>SUBSTITUTE(Table17[[#This Row],[DISC 3]],",",".")</f>
        <v/>
      </c>
      <c r="AZ53" s="6">
        <f ca="1">Table17[[#This Row],[TGL DATANG]]</f>
        <v>45486</v>
      </c>
      <c r="BA53" s="6">
        <f ca="1">Table17[[#This Row],[Column10]]</f>
        <v>45482</v>
      </c>
      <c r="BB53" s="7"/>
      <c r="BC53" t="str">
        <f>Table17[[#This Row],[KETERANGAN CONDRO]]</f>
        <v/>
      </c>
      <c r="BD53" t="str">
        <f ca="1">Table17[[#This Row],[Column6]]</f>
        <v>JX7,24</v>
      </c>
    </row>
    <row r="54" spans="1:56">
      <c r="A54" s="55">
        <v>68</v>
      </c>
      <c r="C54">
        <f>INDEX(NOTA[//DB],Sheet1!A:A)</f>
        <v>3444</v>
      </c>
      <c r="D54">
        <f>_xlfn.IFNA(MATCH(Table17[[#This Row],[//db]],[3]!Table2[\\],0),"")</f>
        <v>1033</v>
      </c>
      <c r="E54" t="str">
        <f>INDEX([3]!db[NB NOTA],Table17[[#This Row],[//db]])</f>
        <v>ENTER GB 40 CM TBL</v>
      </c>
      <c r="F54" t="str">
        <f>INDEX([3]!db[NB BM],Table17[[#This Row],[//db]])</f>
        <v>GARISAN BESI 40CM ENTER TEBAL</v>
      </c>
      <c r="G54" t="str">
        <f>IF(Table17[[#This Row],[dbconcat]]="","",INDEX([3]!Table2[NAMA],Table17[[#This Row],[dbconcat]]))</f>
        <v>GARISAN BESI 40CM ENTER TEBAL</v>
      </c>
      <c r="H54" t="str">
        <f>INDEX([3]!Table2[KODE BARANG],Table17[[#This Row],[dbconcat]])</f>
        <v>GAR-EN11</v>
      </c>
      <c r="I54" t="str">
        <f>IF(Table17[[#This Row],[NAMA_3]]="",UPPER(Table17[[#This Row],[NAMA_2]]),Table17[[#This Row],[NAMA_3]])</f>
        <v>GARISAN BESI 40CM ENTER TEBAL</v>
      </c>
      <c r="J54">
        <f>INDEX(NOTA[QTY],Sheet1!A:A)</f>
        <v>50</v>
      </c>
      <c r="K54" t="str">
        <f>INDEX(NOTA[STN],Sheet1!A:A)</f>
        <v>LSN</v>
      </c>
      <c r="L54" t="str">
        <f>INDEX([3]!db[QTY B],Table17[[#This Row],[//db]])</f>
        <v>25</v>
      </c>
      <c r="M54" t="str">
        <f>INDEX([3]!db[STN B],Table17[[#This Row],[//db]])</f>
        <v>LSN</v>
      </c>
      <c r="N54" t="str">
        <f>IF(Table17[[#This Row],[SATUAN NOTA]]=Table17[[#This Row],[SATUAN DB]],"", MATCH(CONCATENATE(Table17[[#This Row],[SATUAN NOTA]],Table17[[#This Row],[SATUAN DB]]),Table2[4],0))</f>
        <v/>
      </c>
      <c r="O54" t="str" cm="1">
        <f t="array" ref="O54">IF(Table17[[#This Row],[//CONV]]="","",INDEX(Table2[3],Table17[[#This Row],[//CONV]]))</f>
        <v/>
      </c>
      <c r="P54" t="str">
        <f>IF(Table17[[#This Row],[//CONV]]="",Table17[[#This Row],[ISI DB]],Table17[[#This Row],[ISI NOTA]]*Table17[[#This Row],[CONV VAR]])</f>
        <v>25</v>
      </c>
      <c r="Q54" t="str" cm="1">
        <f t="array" ref="Q54">IF(Table17[[#This Row],[//CONV]]="",Table17[[#This Row],[SATUAN DB]],INDEX(Table2[2],Table17[[#This Row],[//CONV]]))</f>
        <v>LSN</v>
      </c>
      <c r="R54" cm="1">
        <f t="array" ref="R54">IF(Table17[[#This Row],[dbconcat]]="","",INDEX([3]!Table2[ISI],Table17[[#This Row],[dbconcat]]))</f>
        <v>25</v>
      </c>
      <c r="S54" t="str" cm="1">
        <f t="array" ref="S54">IF(Table17[[#This Row],[dbconcat]]="","",INDEX([3]!Table2[[SATUAN ]],Table17[[#This Row],[dbconcat]]))</f>
        <v>LSN</v>
      </c>
      <c r="T54" t="str">
        <f>IF(Table17[[#This Row],[SATUAN S]]="","",IF(_xlfn.NUMBERVALUE(Table17[[#This Row],[ISI DB]])=_xlfn.NUMBERVALUE(Table17[[#This Row],[ISI S]]),"",1))</f>
        <v/>
      </c>
      <c r="U54" t="str">
        <f>IF(Table17[[#This Row],[SATUAN S]]="","",IF(Table17[[#This Row],[SATUAN DB]]=Table17[[#This Row],[SATUAN S]],"",1))</f>
        <v/>
      </c>
      <c r="V54" t="str">
        <f>IF(Table17[[#This Row],[CEK STN S]]="","",MATCH(CONCATENATE(Table17[[#This Row],[SATUAN CONV]],Table17[[#This Row],[SATUAN S]]),Table2[4],0))</f>
        <v/>
      </c>
      <c r="X54" t="str" cm="1">
        <f t="array" ref="X54">IF(Table17[[#This Row],[CONV2_//]]="","",INDEX(Table2[3],Table17[[#This Row],[CONV2_//]]))</f>
        <v/>
      </c>
      <c r="Y54" s="2" t="str">
        <f>IF(Table17[[#This Row],[CEK ISI S]]="",Table17[[#This Row],[ISI DB]],Table17[[#This Row],[ISI S]])</f>
        <v>25</v>
      </c>
      <c r="Z54" t="str">
        <f>IF(Table17[[#This Row],[CEK STN S]]="",Table17[[#This Row],[SATUAN DB]],Table17[[#This Row],[SATUAN S]])</f>
        <v>LSN</v>
      </c>
      <c r="AA54">
        <f>IF(Table17[[#This Row],[//CONV]]="",Table17[[#This Row],[ISI NOTA]]/Table17[[#This Row],[ISI_C]],Table17[[#This Row],[ISI DB CONV]]/Table17[[#This Row],[ISI_C]])</f>
        <v>2</v>
      </c>
      <c r="AB54">
        <f>INDEX(NOTA[HARGA SATUAN],Sheet1!A:A)</f>
        <v>55000</v>
      </c>
      <c r="AC54">
        <f>IF(Table17[[#This Row],[//CONV]]="",Table17[[#This Row],[HARGA NOTA]],Table17[[#This Row],[HARGA NOTA]]/Table17[[#This Row],[CONV VAR]])</f>
        <v>55000</v>
      </c>
      <c r="AD54">
        <f>IF(Table17[[#This Row],[CEK STN S]]="",Table17[[#This Row],[HARGA CONV]],Table17[[#This Row],[HARGA CONV]]/Table17[[#This Row],[CONV2 VAR]])</f>
        <v>55000</v>
      </c>
      <c r="AE54" s="3" t="str">
        <f>IF(INDEX(NOTA[Column6],Sheet1!A:A)=0,"",INDEX(NOTA[Column6],Sheet1!A:A))</f>
        <v/>
      </c>
      <c r="AF54" s="3" t="str">
        <f>IF(INDEX(NOTA[Column7],Sheet1!A:A)=0,"",INDEX(NOTA[Column7],Sheet1!A:A))</f>
        <v/>
      </c>
      <c r="AG5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4" s="4">
        <f>INDEX(NOTA[HARGA/ CTN_H],Sheet1!A:A)</f>
        <v>1375000</v>
      </c>
      <c r="AI54" s="4">
        <f>IF(Table17[[#This Row],[DISC 3]]="",Table17[[#This Row],[HRG / CTN]],Table17[[#This Row],[HRG / CTN]]-(Table17[[#This Row],[HRG / CTN]]*Table17[[#This Row],[DISC 3]]))</f>
        <v>1375000</v>
      </c>
      <c r="AJ54" s="5" t="e">
        <f>IF(#REF!&lt;1,Table17[[#This Row],[Column9]],Table17[[#This Row],[Column9]]*#REF!)</f>
        <v>#REF!</v>
      </c>
      <c r="AK54" s="4" t="str">
        <f ca="1">IF(NOT(AP55=Table17[[#This Row],[Column6]]),SUMIF(Table17[Column6],Table17[[#This Row],[Column6]],Table17[Column7]),"")</f>
        <v/>
      </c>
      <c r="AL54" s="6">
        <f ca="1">INDEX(NOTA[TGL_H],Sheet1!A:A)</f>
        <v>45486</v>
      </c>
      <c r="AM54" s="6">
        <f ca="1">INDEX(NOTA[TGL.NOTA_H],Sheet1!A:A)</f>
        <v>45482</v>
      </c>
      <c r="AO54" t="str">
        <f>IF(INDEX(NOTA[Column10],A:A)="","",INDEX(NOTA[Column10],A:A))</f>
        <v/>
      </c>
      <c r="AP54" t="str">
        <f ca="1">INDEX(NOTA[NO.NOTA_H],Sheet1!A:A)</f>
        <v>JX7,24</v>
      </c>
      <c r="AQ54">
        <f>INDEX(NOTA[Column10],Sheet1!A:A)</f>
        <v>0</v>
      </c>
      <c r="AR54" s="8" t="str">
        <f ca="1">INDEX(NOTA[SUPPLIER_H],Sheet1!A:A)</f>
        <v>ETJ</v>
      </c>
      <c r="AS54" t="str">
        <f>Table17[[#This Row],[NAMA_C]]</f>
        <v>GARISAN BESI 40CM ENTER TEBAL</v>
      </c>
      <c r="AT54" t="str">
        <f ca="1">Table17[[#This Row],[SUPPLIER]]</f>
        <v>ETJ</v>
      </c>
      <c r="AU54" t="str">
        <f>SUBSTITUTE(Table17[[#This Row],[CTN]],",",".")</f>
        <v>2</v>
      </c>
      <c r="AV54" s="13" t="str">
        <f>Table17[[#This Row],[ISI_C]]</f>
        <v>25</v>
      </c>
      <c r="AW54" t="str">
        <f>Table17[[#This Row],[SATUAN_C]]</f>
        <v>LSN</v>
      </c>
      <c r="AX54">
        <f>Table17[[#This Row],[HARGA CONV2]]</f>
        <v>55000</v>
      </c>
      <c r="AY54" s="9" t="str">
        <f>SUBSTITUTE(Table17[[#This Row],[DISC 3]],",",".")</f>
        <v/>
      </c>
      <c r="AZ54" s="6">
        <f ca="1">Table17[[#This Row],[TGL DATANG]]</f>
        <v>45486</v>
      </c>
      <c r="BA54" s="6">
        <f ca="1">Table17[[#This Row],[Column10]]</f>
        <v>45482</v>
      </c>
      <c r="BB54" s="7"/>
      <c r="BC54" t="str">
        <f>Table17[[#This Row],[KETERANGAN CONDRO]]</f>
        <v/>
      </c>
      <c r="BD54" t="str">
        <f ca="1">Table17[[#This Row],[Column6]]</f>
        <v>JX7,24</v>
      </c>
    </row>
    <row r="55" spans="1:56">
      <c r="A55" s="55">
        <v>69</v>
      </c>
      <c r="C55">
        <f>INDEX(NOTA[//DB],Sheet1!A:A)</f>
        <v>3445</v>
      </c>
      <c r="D55">
        <f>_xlfn.IFNA(MATCH(Table17[[#This Row],[//db]],[3]!Table2[\\],0),"")</f>
        <v>1034</v>
      </c>
      <c r="E55" t="str">
        <f>INDEX([3]!db[NB NOTA],Table17[[#This Row],[//db]])</f>
        <v>ENTER GB 50 CM TBL</v>
      </c>
      <c r="F55" t="str">
        <f>INDEX([3]!db[NB BM],Table17[[#This Row],[//db]])</f>
        <v>GARISAN BESI 50CM ENTER TEBAL</v>
      </c>
      <c r="G55" t="str">
        <f>IF(Table17[[#This Row],[dbconcat]]="","",INDEX([3]!Table2[NAMA],Table17[[#This Row],[dbconcat]]))</f>
        <v>GARISAN BESI 50CM ENTER TEBAL</v>
      </c>
      <c r="H55" t="str">
        <f>INDEX([3]!Table2[KODE BARANG],Table17[[#This Row],[dbconcat]])</f>
        <v>GAR-EN12</v>
      </c>
      <c r="I55" t="str">
        <f>IF(Table17[[#This Row],[NAMA_3]]="",UPPER(Table17[[#This Row],[NAMA_2]]),Table17[[#This Row],[NAMA_3]])</f>
        <v>GARISAN BESI 50CM ENTER TEBAL</v>
      </c>
      <c r="J55">
        <f>INDEX(NOTA[QTY],Sheet1!A:A)</f>
        <v>50</v>
      </c>
      <c r="K55" t="str">
        <f>INDEX(NOTA[STN],Sheet1!A:A)</f>
        <v>LSN</v>
      </c>
      <c r="L55" t="str">
        <f>INDEX([3]!db[QTY B],Table17[[#This Row],[//db]])</f>
        <v>25</v>
      </c>
      <c r="M55" t="str">
        <f>INDEX([3]!db[STN B],Table17[[#This Row],[//db]])</f>
        <v>LSN</v>
      </c>
      <c r="N55" t="str">
        <f>IF(Table17[[#This Row],[SATUAN NOTA]]=Table17[[#This Row],[SATUAN DB]],"", MATCH(CONCATENATE(Table17[[#This Row],[SATUAN NOTA]],Table17[[#This Row],[SATUAN DB]]),Table2[4],0))</f>
        <v/>
      </c>
      <c r="O55" t="str" cm="1">
        <f t="array" ref="O55">IF(Table17[[#This Row],[//CONV]]="","",INDEX(Table2[3],Table17[[#This Row],[//CONV]]))</f>
        <v/>
      </c>
      <c r="P55" t="str">
        <f>IF(Table17[[#This Row],[//CONV]]="",Table17[[#This Row],[ISI DB]],Table17[[#This Row],[ISI NOTA]]*Table17[[#This Row],[CONV VAR]])</f>
        <v>25</v>
      </c>
      <c r="Q55" t="str" cm="1">
        <f t="array" ref="Q55">IF(Table17[[#This Row],[//CONV]]="",Table17[[#This Row],[SATUAN DB]],INDEX(Table2[2],Table17[[#This Row],[//CONV]]))</f>
        <v>LSN</v>
      </c>
      <c r="R55" cm="1">
        <f t="array" ref="R55">IF(Table17[[#This Row],[dbconcat]]="","",INDEX([3]!Table2[ISI],Table17[[#This Row],[dbconcat]]))</f>
        <v>25</v>
      </c>
      <c r="S55" t="str" cm="1">
        <f t="array" ref="S55">IF(Table17[[#This Row],[dbconcat]]="","",INDEX([3]!Table2[[SATUAN ]],Table17[[#This Row],[dbconcat]]))</f>
        <v>LSN</v>
      </c>
      <c r="T55" t="str">
        <f>IF(Table17[[#This Row],[SATUAN S]]="","",IF(_xlfn.NUMBERVALUE(Table17[[#This Row],[ISI DB]])=_xlfn.NUMBERVALUE(Table17[[#This Row],[ISI S]]),"",1))</f>
        <v/>
      </c>
      <c r="U55" t="str">
        <f>IF(Table17[[#This Row],[SATUAN S]]="","",IF(Table17[[#This Row],[SATUAN DB]]=Table17[[#This Row],[SATUAN S]],"",1))</f>
        <v/>
      </c>
      <c r="V55" t="str">
        <f>IF(Table17[[#This Row],[CEK STN S]]="","",MATCH(CONCATENATE(Table17[[#This Row],[SATUAN CONV]],Table17[[#This Row],[SATUAN S]]),Table2[4],0))</f>
        <v/>
      </c>
      <c r="X55" t="str" cm="1">
        <f t="array" ref="X55">IF(Table17[[#This Row],[CONV2_//]]="","",INDEX(Table2[3],Table17[[#This Row],[CONV2_//]]))</f>
        <v/>
      </c>
      <c r="Y55" s="2" t="str">
        <f>IF(Table17[[#This Row],[CEK ISI S]]="",Table17[[#This Row],[ISI DB]],Table17[[#This Row],[ISI S]])</f>
        <v>25</v>
      </c>
      <c r="Z55" t="str">
        <f>IF(Table17[[#This Row],[CEK STN S]]="",Table17[[#This Row],[SATUAN DB]],Table17[[#This Row],[SATUAN S]])</f>
        <v>LSN</v>
      </c>
      <c r="AA55">
        <f>IF(Table17[[#This Row],[//CONV]]="",Table17[[#This Row],[ISI NOTA]]/Table17[[#This Row],[ISI_C]],Table17[[#This Row],[ISI DB CONV]]/Table17[[#This Row],[ISI_C]])</f>
        <v>2</v>
      </c>
      <c r="AB55">
        <f>INDEX(NOTA[HARGA SATUAN],Sheet1!A:A)</f>
        <v>65000</v>
      </c>
      <c r="AC55">
        <f>IF(Table17[[#This Row],[//CONV]]="",Table17[[#This Row],[HARGA NOTA]],Table17[[#This Row],[HARGA NOTA]]/Table17[[#This Row],[CONV VAR]])</f>
        <v>65000</v>
      </c>
      <c r="AD55">
        <f>IF(Table17[[#This Row],[CEK STN S]]="",Table17[[#This Row],[HARGA CONV]],Table17[[#This Row],[HARGA CONV]]/Table17[[#This Row],[CONV2 VAR]])</f>
        <v>65000</v>
      </c>
      <c r="AE55" s="3" t="str">
        <f>IF(INDEX(NOTA[Column6],Sheet1!A:A)=0,"",INDEX(NOTA[Column6],Sheet1!A:A))</f>
        <v/>
      </c>
      <c r="AF55" s="3" t="str">
        <f>IF(INDEX(NOTA[Column7],Sheet1!A:A)=0,"",INDEX(NOTA[Column7],Sheet1!A:A))</f>
        <v/>
      </c>
      <c r="AG5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5" s="4">
        <f>INDEX(NOTA[HARGA/ CTN_H],Sheet1!A:A)</f>
        <v>1625000</v>
      </c>
      <c r="AI55" s="4">
        <f>IF(Table17[[#This Row],[DISC 3]]="",Table17[[#This Row],[HRG / CTN]],Table17[[#This Row],[HRG / CTN]]-(Table17[[#This Row],[HRG / CTN]]*Table17[[#This Row],[DISC 3]]))</f>
        <v>1625000</v>
      </c>
      <c r="AJ55" s="5" t="e">
        <f>IF(#REF!&lt;1,Table17[[#This Row],[Column9]],Table17[[#This Row],[Column9]]*#REF!)</f>
        <v>#REF!</v>
      </c>
      <c r="AK55" s="4" t="str">
        <f ca="1">IF(NOT(AP56=Table17[[#This Row],[Column6]]),SUMIF(Table17[Column6],Table17[[#This Row],[Column6]],Table17[Column7]),"")</f>
        <v/>
      </c>
      <c r="AL55" s="6">
        <f ca="1">INDEX(NOTA[TGL_H],Sheet1!A:A)</f>
        <v>45486</v>
      </c>
      <c r="AM55" s="6">
        <f ca="1">INDEX(NOTA[TGL.NOTA_H],Sheet1!A:A)</f>
        <v>45482</v>
      </c>
      <c r="AO55" t="str">
        <f>IF(INDEX(NOTA[Column10],A:A)="","",INDEX(NOTA[Column10],A:A))</f>
        <v/>
      </c>
      <c r="AP55" t="str">
        <f ca="1">INDEX(NOTA[NO.NOTA_H],Sheet1!A:A)</f>
        <v>JX7,24</v>
      </c>
      <c r="AQ55">
        <f>INDEX(NOTA[Column10],Sheet1!A:A)</f>
        <v>0</v>
      </c>
      <c r="AR55" s="8" t="str">
        <f ca="1">INDEX(NOTA[SUPPLIER_H],Sheet1!A:A)</f>
        <v>ETJ</v>
      </c>
      <c r="AS55" t="str">
        <f>Table17[[#This Row],[NAMA_C]]</f>
        <v>GARISAN BESI 50CM ENTER TEBAL</v>
      </c>
      <c r="AT55" t="str">
        <f ca="1">Table17[[#This Row],[SUPPLIER]]</f>
        <v>ETJ</v>
      </c>
      <c r="AU55" t="str">
        <f>SUBSTITUTE(Table17[[#This Row],[CTN]],",",".")</f>
        <v>2</v>
      </c>
      <c r="AV55" s="13" t="str">
        <f>Table17[[#This Row],[ISI_C]]</f>
        <v>25</v>
      </c>
      <c r="AW55" t="str">
        <f>Table17[[#This Row],[SATUAN_C]]</f>
        <v>LSN</v>
      </c>
      <c r="AX55">
        <f>Table17[[#This Row],[HARGA CONV2]]</f>
        <v>65000</v>
      </c>
      <c r="AY55" s="9" t="str">
        <f>SUBSTITUTE(Table17[[#This Row],[DISC 3]],",",".")</f>
        <v/>
      </c>
      <c r="AZ55" s="6">
        <f ca="1">Table17[[#This Row],[TGL DATANG]]</f>
        <v>45486</v>
      </c>
      <c r="BA55" s="6">
        <f ca="1">Table17[[#This Row],[Column10]]</f>
        <v>45482</v>
      </c>
      <c r="BB55" s="7"/>
      <c r="BC55" t="str">
        <f>Table17[[#This Row],[KETERANGAN CONDRO]]</f>
        <v/>
      </c>
      <c r="BD55" t="str">
        <f ca="1">Table17[[#This Row],[Column6]]</f>
        <v>JX7,24</v>
      </c>
    </row>
    <row r="56" spans="1:56">
      <c r="A56" s="55">
        <v>70</v>
      </c>
      <c r="C56">
        <f>INDEX(NOTA[//DB],Sheet1!A:A)</f>
        <v>3446</v>
      </c>
      <c r="D56">
        <f>_xlfn.IFNA(MATCH(Table17[[#This Row],[//db]],[3]!Table2[\\],0),"")</f>
        <v>1035</v>
      </c>
      <c r="E56" t="str">
        <f>INDEX([3]!db[NB NOTA],Table17[[#This Row],[//db]])</f>
        <v>ENTER GB 60 CM TBL</v>
      </c>
      <c r="F56" t="str">
        <f>INDEX([3]!db[NB BM],Table17[[#This Row],[//db]])</f>
        <v>GARISAN BESI 60CM ENTER TEBAL</v>
      </c>
      <c r="G56" t="str">
        <f>IF(Table17[[#This Row],[dbconcat]]="","",INDEX([3]!Table2[NAMA],Table17[[#This Row],[dbconcat]]))</f>
        <v>GARISAN BESI 60CM ENTER TEBAL</v>
      </c>
      <c r="H56" t="str">
        <f>INDEX([3]!Table2[KODE BARANG],Table17[[#This Row],[dbconcat]])</f>
        <v>GAR-EN13</v>
      </c>
      <c r="I56" t="str">
        <f>IF(Table17[[#This Row],[NAMA_3]]="",UPPER(Table17[[#This Row],[NAMA_2]]),Table17[[#This Row],[NAMA_3]])</f>
        <v>GARISAN BESI 60CM ENTER TEBAL</v>
      </c>
      <c r="J56">
        <f>INDEX(NOTA[QTY],Sheet1!A:A)</f>
        <v>50</v>
      </c>
      <c r="K56" t="str">
        <f>INDEX(NOTA[STN],Sheet1!A:A)</f>
        <v>LSN</v>
      </c>
      <c r="L56" t="str">
        <f>INDEX([3]!db[QTY B],Table17[[#This Row],[//db]])</f>
        <v>25</v>
      </c>
      <c r="M56" t="str">
        <f>INDEX([3]!db[STN B],Table17[[#This Row],[//db]])</f>
        <v>LSN</v>
      </c>
      <c r="N56" t="str">
        <f>IF(Table17[[#This Row],[SATUAN NOTA]]=Table17[[#This Row],[SATUAN DB]],"", MATCH(CONCATENATE(Table17[[#This Row],[SATUAN NOTA]],Table17[[#This Row],[SATUAN DB]]),Table2[4],0))</f>
        <v/>
      </c>
      <c r="O56" t="str" cm="1">
        <f t="array" ref="O56">IF(Table17[[#This Row],[//CONV]]="","",INDEX(Table2[3],Table17[[#This Row],[//CONV]]))</f>
        <v/>
      </c>
      <c r="P56" t="str">
        <f>IF(Table17[[#This Row],[//CONV]]="",Table17[[#This Row],[ISI DB]],Table17[[#This Row],[ISI NOTA]]*Table17[[#This Row],[CONV VAR]])</f>
        <v>25</v>
      </c>
      <c r="Q56" t="str" cm="1">
        <f t="array" ref="Q56">IF(Table17[[#This Row],[//CONV]]="",Table17[[#This Row],[SATUAN DB]],INDEX(Table2[2],Table17[[#This Row],[//CONV]]))</f>
        <v>LSN</v>
      </c>
      <c r="R56" cm="1">
        <f t="array" ref="R56">IF(Table17[[#This Row],[dbconcat]]="","",INDEX([3]!Table2[ISI],Table17[[#This Row],[dbconcat]]))</f>
        <v>25</v>
      </c>
      <c r="S56" t="str" cm="1">
        <f t="array" ref="S56">IF(Table17[[#This Row],[dbconcat]]="","",INDEX([3]!Table2[[SATUAN ]],Table17[[#This Row],[dbconcat]]))</f>
        <v>LSN</v>
      </c>
      <c r="T56" t="str">
        <f>IF(Table17[[#This Row],[SATUAN S]]="","",IF(_xlfn.NUMBERVALUE(Table17[[#This Row],[ISI DB]])=_xlfn.NUMBERVALUE(Table17[[#This Row],[ISI S]]),"",1))</f>
        <v/>
      </c>
      <c r="U56" t="str">
        <f>IF(Table17[[#This Row],[SATUAN S]]="","",IF(Table17[[#This Row],[SATUAN DB]]=Table17[[#This Row],[SATUAN S]],"",1))</f>
        <v/>
      </c>
      <c r="V56" t="str">
        <f>IF(Table17[[#This Row],[CEK STN S]]="","",MATCH(CONCATENATE(Table17[[#This Row],[SATUAN CONV]],Table17[[#This Row],[SATUAN S]]),Table2[4],0))</f>
        <v/>
      </c>
      <c r="X56" t="str" cm="1">
        <f t="array" ref="X56">IF(Table17[[#This Row],[CONV2_//]]="","",INDEX(Table2[3],Table17[[#This Row],[CONV2_//]]))</f>
        <v/>
      </c>
      <c r="Y56" s="2" t="str">
        <f>IF(Table17[[#This Row],[CEK ISI S]]="",Table17[[#This Row],[ISI DB]],Table17[[#This Row],[ISI S]])</f>
        <v>25</v>
      </c>
      <c r="Z56" t="str">
        <f>IF(Table17[[#This Row],[CEK STN S]]="",Table17[[#This Row],[SATUAN DB]],Table17[[#This Row],[SATUAN S]])</f>
        <v>LSN</v>
      </c>
      <c r="AA56">
        <f>IF(Table17[[#This Row],[//CONV]]="",Table17[[#This Row],[ISI NOTA]]/Table17[[#This Row],[ISI_C]],Table17[[#This Row],[ISI DB CONV]]/Table17[[#This Row],[ISI_C]])</f>
        <v>2</v>
      </c>
      <c r="AB56">
        <f>INDEX(NOTA[HARGA SATUAN],Sheet1!A:A)</f>
        <v>75000</v>
      </c>
      <c r="AC56">
        <f>IF(Table17[[#This Row],[//CONV]]="",Table17[[#This Row],[HARGA NOTA]],Table17[[#This Row],[HARGA NOTA]]/Table17[[#This Row],[CONV VAR]])</f>
        <v>75000</v>
      </c>
      <c r="AD56">
        <f>IF(Table17[[#This Row],[CEK STN S]]="",Table17[[#This Row],[HARGA CONV]],Table17[[#This Row],[HARGA CONV]]/Table17[[#This Row],[CONV2 VAR]])</f>
        <v>75000</v>
      </c>
      <c r="AE56" s="3" t="str">
        <f>IF(INDEX(NOTA[Column6],Sheet1!A:A)=0,"",INDEX(NOTA[Column6],Sheet1!A:A))</f>
        <v/>
      </c>
      <c r="AF56" s="3" t="str">
        <f>IF(INDEX(NOTA[Column7],Sheet1!A:A)=0,"",INDEX(NOTA[Column7],Sheet1!A:A))</f>
        <v/>
      </c>
      <c r="AG5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6" s="4">
        <f>INDEX(NOTA[HARGA/ CTN_H],Sheet1!A:A)</f>
        <v>1875000</v>
      </c>
      <c r="AI56" s="4">
        <f>IF(Table17[[#This Row],[DISC 3]]="",Table17[[#This Row],[HRG / CTN]],Table17[[#This Row],[HRG / CTN]]-(Table17[[#This Row],[HRG / CTN]]*Table17[[#This Row],[DISC 3]]))</f>
        <v>1875000</v>
      </c>
      <c r="AJ56" s="5" t="e">
        <f>IF(#REF!&lt;1,Table17[[#This Row],[Column9]],Table17[[#This Row],[Column9]]*#REF!)</f>
        <v>#REF!</v>
      </c>
      <c r="AK56" s="4" t="str">
        <f ca="1">IF(NOT(AP57=Table17[[#This Row],[Column6]]),SUMIF(Table17[Column6],Table17[[#This Row],[Column6]],Table17[Column7]),"")</f>
        <v/>
      </c>
      <c r="AL56" s="6">
        <f ca="1">INDEX(NOTA[TGL_H],Sheet1!A:A)</f>
        <v>45486</v>
      </c>
      <c r="AM56" s="6">
        <f ca="1">INDEX(NOTA[TGL.NOTA_H],Sheet1!A:A)</f>
        <v>45482</v>
      </c>
      <c r="AO56" t="str">
        <f>IF(INDEX(NOTA[Column10],A:A)="","",INDEX(NOTA[Column10],A:A))</f>
        <v/>
      </c>
      <c r="AP56" t="str">
        <f ca="1">INDEX(NOTA[NO.NOTA_H],Sheet1!A:A)</f>
        <v>JX7,24</v>
      </c>
      <c r="AQ56">
        <f>INDEX(NOTA[Column10],Sheet1!A:A)</f>
        <v>0</v>
      </c>
      <c r="AR56" s="8" t="str">
        <f ca="1">INDEX(NOTA[SUPPLIER_H],Sheet1!A:A)</f>
        <v>ETJ</v>
      </c>
      <c r="AS56" t="str">
        <f>Table17[[#This Row],[NAMA_C]]</f>
        <v>GARISAN BESI 60CM ENTER TEBAL</v>
      </c>
      <c r="AT56" t="str">
        <f ca="1">Table17[[#This Row],[SUPPLIER]]</f>
        <v>ETJ</v>
      </c>
      <c r="AU56" t="str">
        <f>SUBSTITUTE(Table17[[#This Row],[CTN]],",",".")</f>
        <v>2</v>
      </c>
      <c r="AV56" s="13" t="str">
        <f>Table17[[#This Row],[ISI_C]]</f>
        <v>25</v>
      </c>
      <c r="AW56" t="str">
        <f>Table17[[#This Row],[SATUAN_C]]</f>
        <v>LSN</v>
      </c>
      <c r="AX56">
        <f>Table17[[#This Row],[HARGA CONV2]]</f>
        <v>75000</v>
      </c>
      <c r="AY56" s="9" t="str">
        <f>SUBSTITUTE(Table17[[#This Row],[DISC 3]],",",".")</f>
        <v/>
      </c>
      <c r="AZ56" s="6">
        <f ca="1">Table17[[#This Row],[TGL DATANG]]</f>
        <v>45486</v>
      </c>
      <c r="BA56" s="6">
        <f ca="1">Table17[[#This Row],[Column10]]</f>
        <v>45482</v>
      </c>
      <c r="BB56" s="7"/>
      <c r="BC56" t="str">
        <f>Table17[[#This Row],[KETERANGAN CONDRO]]</f>
        <v/>
      </c>
      <c r="BD56" t="str">
        <f ca="1">Table17[[#This Row],[Column6]]</f>
        <v>JX7,24</v>
      </c>
    </row>
    <row r="57" spans="1:56">
      <c r="A57" s="55">
        <v>71</v>
      </c>
      <c r="C57">
        <f>INDEX(NOTA[//DB],Sheet1!A:A)</f>
        <v>3462</v>
      </c>
      <c r="D57">
        <f>_xlfn.IFNA(MATCH(Table17[[#This Row],[//db]],[3]!Table2[\\],0),"")</f>
        <v>821</v>
      </c>
      <c r="E57" t="str">
        <f>INDEX([3]!db[NB NOTA],Table17[[#This Row],[//db]])</f>
        <v>KOJIKO BK TABUNGAN</v>
      </c>
      <c r="F57" t="str">
        <f>INDEX([3]!db[NB BM],Table17[[#This Row],[//db]])</f>
        <v>BUKU TABUNGAN KOJIKO</v>
      </c>
      <c r="G57" t="str">
        <f>IF(Table17[[#This Row],[dbconcat]]="","",INDEX([3]!Table2[NAMA],Table17[[#This Row],[dbconcat]]))</f>
        <v>BUKU TABUNGAN KOJIKO</v>
      </c>
      <c r="H57" t="str">
        <f>INDEX([3]!Table2[KODE BARANG],Table17[[#This Row],[dbconcat]])</f>
        <v>BUK-KJ17</v>
      </c>
      <c r="I57" t="str">
        <f>IF(Table17[[#This Row],[NAMA_3]]="",UPPER(Table17[[#This Row],[NAMA_2]]),Table17[[#This Row],[NAMA_3]])</f>
        <v>BUKU TABUNGAN KOJIKO</v>
      </c>
      <c r="J57">
        <f>INDEX(NOTA[QTY],Sheet1!A:A)</f>
        <v>12000</v>
      </c>
      <c r="K57" t="str">
        <f>INDEX(NOTA[STN],Sheet1!A:A)</f>
        <v>PCS</v>
      </c>
      <c r="L57" t="str">
        <f>INDEX([3]!db[QTY B],Table17[[#This Row],[//db]])</f>
        <v>6000</v>
      </c>
      <c r="M57" t="str">
        <f>INDEX([3]!db[STN B],Table17[[#This Row],[//db]])</f>
        <v>PCS</v>
      </c>
      <c r="N57" t="str">
        <f>IF(Table17[[#This Row],[SATUAN NOTA]]=Table17[[#This Row],[SATUAN DB]],"", MATCH(CONCATENATE(Table17[[#This Row],[SATUAN NOTA]],Table17[[#This Row],[SATUAN DB]]),Table2[4],0))</f>
        <v/>
      </c>
      <c r="O57" t="str" cm="1">
        <f t="array" ref="O57">IF(Table17[[#This Row],[//CONV]]="","",INDEX(Table2[3],Table17[[#This Row],[//CONV]]))</f>
        <v/>
      </c>
      <c r="P57" t="str">
        <f>IF(Table17[[#This Row],[//CONV]]="",Table17[[#This Row],[ISI DB]],Table17[[#This Row],[ISI NOTA]]*Table17[[#This Row],[CONV VAR]])</f>
        <v>6000</v>
      </c>
      <c r="Q57" t="str" cm="1">
        <f t="array" ref="Q57">IF(Table17[[#This Row],[//CONV]]="",Table17[[#This Row],[SATUAN DB]],INDEX(Table2[2],Table17[[#This Row],[//CONV]]))</f>
        <v>PCS</v>
      </c>
      <c r="R57" cm="1">
        <f t="array" ref="R57">IF(Table17[[#This Row],[dbconcat]]="","",INDEX([3]!Table2[ISI],Table17[[#This Row],[dbconcat]]))</f>
        <v>6000</v>
      </c>
      <c r="S57" t="str" cm="1">
        <f t="array" ref="S57">IF(Table17[[#This Row],[dbconcat]]="","",INDEX([3]!Table2[[SATUAN ]],Table17[[#This Row],[dbconcat]]))</f>
        <v>PCS</v>
      </c>
      <c r="T57" t="str">
        <f>IF(Table17[[#This Row],[SATUAN S]]="","",IF(_xlfn.NUMBERVALUE(Table17[[#This Row],[ISI DB]])=_xlfn.NUMBERVALUE(Table17[[#This Row],[ISI S]]),"",1))</f>
        <v/>
      </c>
      <c r="U57" t="str">
        <f>IF(Table17[[#This Row],[SATUAN S]]="","",IF(Table17[[#This Row],[SATUAN DB]]=Table17[[#This Row],[SATUAN S]],"",1))</f>
        <v/>
      </c>
      <c r="V57" t="str">
        <f>IF(Table17[[#This Row],[CEK STN S]]="","",MATCH(CONCATENATE(Table17[[#This Row],[SATUAN CONV]],Table17[[#This Row],[SATUAN S]]),Table2[4],0))</f>
        <v/>
      </c>
      <c r="X57" t="str" cm="1">
        <f t="array" ref="X57">IF(Table17[[#This Row],[CONV2_//]]="","",INDEX(Table2[3],Table17[[#This Row],[CONV2_//]]))</f>
        <v/>
      </c>
      <c r="Y57" s="2" t="str">
        <f>IF(Table17[[#This Row],[CEK ISI S]]="",Table17[[#This Row],[ISI DB]],Table17[[#This Row],[ISI S]])</f>
        <v>6000</v>
      </c>
      <c r="Z57" t="str">
        <f>IF(Table17[[#This Row],[CEK STN S]]="",Table17[[#This Row],[SATUAN DB]],Table17[[#This Row],[SATUAN S]])</f>
        <v>PCS</v>
      </c>
      <c r="AA57">
        <f>IF(Table17[[#This Row],[//CONV]]="",Table17[[#This Row],[ISI NOTA]]/Table17[[#This Row],[ISI_C]],Table17[[#This Row],[ISI DB CONV]]/Table17[[#This Row],[ISI_C]])</f>
        <v>2</v>
      </c>
      <c r="AB57">
        <f>INDEX(NOTA[HARGA SATUAN],Sheet1!A:A)</f>
        <v>325</v>
      </c>
      <c r="AC57">
        <f>IF(Table17[[#This Row],[//CONV]]="",Table17[[#This Row],[HARGA NOTA]],Table17[[#This Row],[HARGA NOTA]]/Table17[[#This Row],[CONV VAR]])</f>
        <v>325</v>
      </c>
      <c r="AD57">
        <f>IF(Table17[[#This Row],[CEK STN S]]="",Table17[[#This Row],[HARGA CONV]],Table17[[#This Row],[HARGA CONV]]/Table17[[#This Row],[CONV2 VAR]])</f>
        <v>325</v>
      </c>
      <c r="AE57" s="3" t="str">
        <f>IF(INDEX(NOTA[Column6],Sheet1!A:A)=0,"",INDEX(NOTA[Column6],Sheet1!A:A))</f>
        <v/>
      </c>
      <c r="AF57" s="3" t="str">
        <f>IF(INDEX(NOTA[Column7],Sheet1!A:A)=0,"",INDEX(NOTA[Column7],Sheet1!A:A))</f>
        <v/>
      </c>
      <c r="AG5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7" s="4">
        <f>INDEX(NOTA[HARGA/ CTN_H],Sheet1!A:A)</f>
        <v>1950000</v>
      </c>
      <c r="AI57" s="4">
        <f>IF(Table17[[#This Row],[DISC 3]]="",Table17[[#This Row],[HRG / CTN]],Table17[[#This Row],[HRG / CTN]]-(Table17[[#This Row],[HRG / CTN]]*Table17[[#This Row],[DISC 3]]))</f>
        <v>1950000</v>
      </c>
      <c r="AJ57" s="5" t="e">
        <f>IF(#REF!&lt;1,Table17[[#This Row],[Column9]],Table17[[#This Row],[Column9]]*#REF!)</f>
        <v>#REF!</v>
      </c>
      <c r="AK57" s="4" t="e">
        <f ca="1">IF(NOT(AP58=Table17[[#This Row],[Column6]]),SUMIF(Table17[Column6],Table17[[#This Row],[Column6]],Table17[Column7]),"")</f>
        <v>#REF!</v>
      </c>
      <c r="AL57" s="6">
        <f ca="1">INDEX(NOTA[TGL_H],Sheet1!A:A)</f>
        <v>45486</v>
      </c>
      <c r="AM57" s="6">
        <f ca="1">INDEX(NOTA[TGL.NOTA_H],Sheet1!A:A)</f>
        <v>45482</v>
      </c>
      <c r="AO57" t="str">
        <f>IF(INDEX(NOTA[Column10],A:A)="","",INDEX(NOTA[Column10],A:A))</f>
        <v/>
      </c>
      <c r="AP57" t="str">
        <f ca="1">INDEX(NOTA[NO.NOTA_H],Sheet1!A:A)</f>
        <v>JX7,24</v>
      </c>
      <c r="AQ57">
        <f>INDEX(NOTA[Column10],Sheet1!A:A)</f>
        <v>0</v>
      </c>
      <c r="AR57" s="8" t="str">
        <f ca="1">INDEX(NOTA[SUPPLIER_H],Sheet1!A:A)</f>
        <v>ETJ</v>
      </c>
      <c r="AS57" t="str">
        <f>Table17[[#This Row],[NAMA_C]]</f>
        <v>BUKU TABUNGAN KOJIKO</v>
      </c>
      <c r="AT57" t="str">
        <f ca="1">Table17[[#This Row],[SUPPLIER]]</f>
        <v>ETJ</v>
      </c>
      <c r="AU57" t="str">
        <f>SUBSTITUTE(Table17[[#This Row],[CTN]],",",".")</f>
        <v>2</v>
      </c>
      <c r="AV57" s="13" t="str">
        <f>Table17[[#This Row],[ISI_C]]</f>
        <v>6000</v>
      </c>
      <c r="AW57" t="str">
        <f>Table17[[#This Row],[SATUAN_C]]</f>
        <v>PCS</v>
      </c>
      <c r="AX57">
        <f>Table17[[#This Row],[HARGA CONV2]]</f>
        <v>325</v>
      </c>
      <c r="AY57" s="9" t="str">
        <f>SUBSTITUTE(Table17[[#This Row],[DISC 3]],",",".")</f>
        <v/>
      </c>
      <c r="AZ57" s="6">
        <f ca="1">Table17[[#This Row],[TGL DATANG]]</f>
        <v>45486</v>
      </c>
      <c r="BA57" s="6">
        <f ca="1">Table17[[#This Row],[Column10]]</f>
        <v>45482</v>
      </c>
      <c r="BB57" s="7"/>
      <c r="BC57" t="str">
        <f>Table17[[#This Row],[KETERANGAN CONDRO]]</f>
        <v/>
      </c>
      <c r="BD57" t="str">
        <f ca="1">Table17[[#This Row],[Column6]]</f>
        <v>JX7,24</v>
      </c>
    </row>
    <row r="58" spans="1:56">
      <c r="A58" s="55">
        <v>73</v>
      </c>
      <c r="C58">
        <f>INDEX(NOTA[//DB],Sheet1!A:A)</f>
        <v>1882</v>
      </c>
      <c r="D58" t="str">
        <f>_xlfn.IFNA(MATCH(Table17[[#This Row],[//db]],[3]!Table2[\\],0),"")</f>
        <v/>
      </c>
      <c r="E58" t="str">
        <f>INDEX([3]!db[NB NOTA],Table17[[#This Row],[//db]])</f>
        <v>KERTAS CREPE SMALL JERSY</v>
      </c>
      <c r="F58" t="str">
        <f>INDEX([3]!db[NB BM],Table17[[#This Row],[//db]])</f>
        <v>KERTAS KREP POTONGAN JERSY KECIL</v>
      </c>
      <c r="G58" t="str">
        <f>IF(Table17[[#This Row],[dbconcat]]="","",INDEX([3]!Table2[NAMA],Table17[[#This Row],[dbconcat]]))</f>
        <v/>
      </c>
      <c r="H58" t="e">
        <f>INDEX([3]!Table2[KODE BARANG],Table17[[#This Row],[dbconcat]])</f>
        <v>#VALUE!</v>
      </c>
      <c r="I58" t="str">
        <f>IF(Table17[[#This Row],[NAMA_3]]="",UPPER(Table17[[#This Row],[NAMA_2]]),Table17[[#This Row],[NAMA_3]])</f>
        <v>KERTAS KREP POTONGAN JERSY KECIL</v>
      </c>
      <c r="J58">
        <f>INDEX(NOTA[QTY],Sheet1!A:A)</f>
        <v>7050</v>
      </c>
      <c r="K58" t="str">
        <f>INDEX(NOTA[STN],Sheet1!A:A)</f>
        <v>PAK</v>
      </c>
      <c r="L58" t="str">
        <f>INDEX([3]!db[QTY B],Table17[[#This Row],[//db]])</f>
        <v>235</v>
      </c>
      <c r="M58" t="str">
        <f>INDEX([3]!db[STN B],Table17[[#This Row],[//db]])</f>
        <v>PAK</v>
      </c>
      <c r="N58" t="str">
        <f>IF(Table17[[#This Row],[SATUAN NOTA]]=Table17[[#This Row],[SATUAN DB]],"", MATCH(CONCATENATE(Table17[[#This Row],[SATUAN NOTA]],Table17[[#This Row],[SATUAN DB]]),Table2[4],0))</f>
        <v/>
      </c>
      <c r="O58" t="str" cm="1">
        <f t="array" ref="O58">IF(Table17[[#This Row],[//CONV]]="","",INDEX(Table2[3],Table17[[#This Row],[//CONV]]))</f>
        <v/>
      </c>
      <c r="P58" t="str">
        <f>IF(Table17[[#This Row],[//CONV]]="",Table17[[#This Row],[ISI DB]],Table17[[#This Row],[ISI NOTA]]*Table17[[#This Row],[CONV VAR]])</f>
        <v>235</v>
      </c>
      <c r="Q58" t="str" cm="1">
        <f t="array" ref="Q58">IF(Table17[[#This Row],[//CONV]]="",Table17[[#This Row],[SATUAN DB]],INDEX(Table2[2],Table17[[#This Row],[//CONV]]))</f>
        <v>PAK</v>
      </c>
      <c r="R58" t="str" cm="1">
        <f t="array" ref="R58">IF(Table17[[#This Row],[dbconcat]]="","",INDEX([3]!Table2[ISI],Table17[[#This Row],[dbconcat]]))</f>
        <v/>
      </c>
      <c r="S58" t="str" cm="1">
        <f t="array" ref="S58">IF(Table17[[#This Row],[dbconcat]]="","",INDEX([3]!Table2[[SATUAN ]],Table17[[#This Row],[dbconcat]]))</f>
        <v/>
      </c>
      <c r="T58" t="str">
        <f>IF(Table17[[#This Row],[SATUAN S]]="","",IF(_xlfn.NUMBERVALUE(Table17[[#This Row],[ISI DB]])=_xlfn.NUMBERVALUE(Table17[[#This Row],[ISI S]]),"",1))</f>
        <v/>
      </c>
      <c r="U58" t="str">
        <f>IF(Table17[[#This Row],[SATUAN S]]="","",IF(Table17[[#This Row],[SATUAN DB]]=Table17[[#This Row],[SATUAN S]],"",1))</f>
        <v/>
      </c>
      <c r="V58" t="str">
        <f>IF(Table17[[#This Row],[CEK STN S]]="","",MATCH(CONCATENATE(Table17[[#This Row],[SATUAN CONV]],Table17[[#This Row],[SATUAN S]]),Table2[4],0))</f>
        <v/>
      </c>
      <c r="X58" t="str" cm="1">
        <f t="array" ref="X58">IF(Table17[[#This Row],[CONV2_//]]="","",INDEX(Table2[3],Table17[[#This Row],[CONV2_//]]))</f>
        <v/>
      </c>
      <c r="Y58" s="2" t="str">
        <f>IF(Table17[[#This Row],[CEK ISI S]]="",Table17[[#This Row],[ISI DB]],Table17[[#This Row],[ISI S]])</f>
        <v>235</v>
      </c>
      <c r="Z58" t="str">
        <f>IF(Table17[[#This Row],[CEK STN S]]="",Table17[[#This Row],[SATUAN DB]],Table17[[#This Row],[SATUAN S]])</f>
        <v>PAK</v>
      </c>
      <c r="AA58">
        <f>IF(Table17[[#This Row],[//CONV]]="",Table17[[#This Row],[ISI NOTA]]/Table17[[#This Row],[ISI_C]],Table17[[#This Row],[ISI DB CONV]]/Table17[[#This Row],[ISI_C]])</f>
        <v>30</v>
      </c>
      <c r="AB58">
        <f>INDEX(NOTA[HARGA SATUAN],Sheet1!A:A)</f>
        <v>5750</v>
      </c>
      <c r="AC58">
        <f>IF(Table17[[#This Row],[//CONV]]="",Table17[[#This Row],[HARGA NOTA]],Table17[[#This Row],[HARGA NOTA]]/Table17[[#This Row],[CONV VAR]])</f>
        <v>5750</v>
      </c>
      <c r="AD58">
        <f>IF(Table17[[#This Row],[CEK STN S]]="",Table17[[#This Row],[HARGA CONV]],Table17[[#This Row],[HARGA CONV]]/Table17[[#This Row],[CONV2 VAR]])</f>
        <v>5750</v>
      </c>
      <c r="AE58" s="3" t="str">
        <f>IF(INDEX(NOTA[Column6],Sheet1!A:A)=0,"",INDEX(NOTA[Column6],Sheet1!A:A))</f>
        <v/>
      </c>
      <c r="AF58" s="3" t="str">
        <f>IF(INDEX(NOTA[Column7],Sheet1!A:A)=0,"",INDEX(NOTA[Column7],Sheet1!A:A))</f>
        <v/>
      </c>
      <c r="AG5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8" s="4">
        <f>INDEX(NOTA[HARGA/ CTN_H],Sheet1!A:A)</f>
        <v>1351250</v>
      </c>
      <c r="AI58" s="4">
        <f>IF(Table17[[#This Row],[DISC 3]]="",Table17[[#This Row],[HRG / CTN]],Table17[[#This Row],[HRG / CTN]]-(Table17[[#This Row],[HRG / CTN]]*Table17[[#This Row],[DISC 3]]))</f>
        <v>1351250</v>
      </c>
      <c r="AJ58" s="5" t="e">
        <f>IF(#REF!&lt;1,Table17[[#This Row],[Column9]],Table17[[#This Row],[Column9]]*#REF!)</f>
        <v>#REF!</v>
      </c>
      <c r="AK58" s="4" t="e">
        <f ca="1">IF(NOT(AP59=Table17[[#This Row],[Column6]]),SUMIF(Table17[Column6],Table17[[#This Row],[Column6]],Table17[Column7]),"")</f>
        <v>#REF!</v>
      </c>
      <c r="AL58" s="6">
        <f ca="1">INDEX(NOTA[TGL_H],Sheet1!A:A)</f>
        <v>45482</v>
      </c>
      <c r="AM58" s="6">
        <f ca="1">INDEX(NOTA[TGL.NOTA_H],Sheet1!A:A)</f>
        <v>45481</v>
      </c>
      <c r="AO58" t="str">
        <f>IF(INDEX(NOTA[Column10],A:A)="","",INDEX(NOTA[Column10],A:A))</f>
        <v/>
      </c>
      <c r="AP58">
        <f ca="1">INDEX(NOTA[NO.NOTA_H],Sheet1!A:A)</f>
        <v>0</v>
      </c>
      <c r="AQ58">
        <f>INDEX(NOTA[Column10],Sheet1!A:A)</f>
        <v>0</v>
      </c>
      <c r="AR58" s="8" t="str">
        <f ca="1">INDEX(NOTA[SUPPLIER_H],Sheet1!A:A)</f>
        <v>MIRACLE ABADI</v>
      </c>
      <c r="AS58" t="str">
        <f>Table17[[#This Row],[NAMA_C]]</f>
        <v>KERTAS KREP POTONGAN JERSY KECIL</v>
      </c>
      <c r="AT58" t="str">
        <f ca="1">Table17[[#This Row],[SUPPLIER]]</f>
        <v>MIRACLE ABADI</v>
      </c>
      <c r="AU58" t="str">
        <f>SUBSTITUTE(Table17[[#This Row],[CTN]],",",".")</f>
        <v>30</v>
      </c>
      <c r="AV58" s="13" t="str">
        <f>Table17[[#This Row],[ISI_C]]</f>
        <v>235</v>
      </c>
      <c r="AW58" t="str">
        <f>Table17[[#This Row],[SATUAN_C]]</f>
        <v>PAK</v>
      </c>
      <c r="AX58">
        <f>Table17[[#This Row],[HARGA CONV2]]</f>
        <v>5750</v>
      </c>
      <c r="AY58" s="9" t="str">
        <f>SUBSTITUTE(Table17[[#This Row],[DISC 3]],",",".")</f>
        <v/>
      </c>
      <c r="AZ58" s="6">
        <f ca="1">Table17[[#This Row],[TGL DATANG]]</f>
        <v>45482</v>
      </c>
      <c r="BA58" s="6">
        <f ca="1">Table17[[#This Row],[Column10]]</f>
        <v>45481</v>
      </c>
      <c r="BB58" s="7"/>
      <c r="BC58" t="str">
        <f>Table17[[#This Row],[KETERANGAN CONDRO]]</f>
        <v/>
      </c>
      <c r="BD58">
        <f ca="1">Table17[[#This Row],[Column6]]</f>
        <v>0</v>
      </c>
    </row>
    <row r="59" spans="1:56">
      <c r="A59" s="55">
        <v>75</v>
      </c>
      <c r="C59">
        <f>INDEX(NOTA[//DB],Sheet1!A:A)</f>
        <v>2927</v>
      </c>
      <c r="D59">
        <f>_xlfn.IFNA(MATCH(Table17[[#This Row],[//db]],[3]!Table2[\\],0),"")</f>
        <v>2680</v>
      </c>
      <c r="E59" t="str">
        <f>INDEX([3]!db[NB NOTA],Table17[[#This Row],[//db]])</f>
        <v>STAMP PAD HERO (K)</v>
      </c>
      <c r="F59" t="str">
        <f>INDEX([3]!db[NB BM],Table17[[#This Row],[//db]])</f>
        <v>STAMP PAD HERO K</v>
      </c>
      <c r="G59" t="str">
        <f>IF(Table17[[#This Row],[dbconcat]]="","",INDEX([3]!Table2[NAMA],Table17[[#This Row],[dbconcat]]))</f>
        <v>STAMP PAD HERO K</v>
      </c>
      <c r="H59" t="str">
        <f>INDEX([3]!Table2[KODE BARANG],Table17[[#This Row],[dbconcat]])</f>
        <v>SPA-HR2</v>
      </c>
      <c r="I59" t="str">
        <f>IF(Table17[[#This Row],[NAMA_3]]="",UPPER(Table17[[#This Row],[NAMA_2]]),Table17[[#This Row],[NAMA_3]])</f>
        <v>STAMP PAD HERO K</v>
      </c>
      <c r="J59">
        <f>INDEX(NOTA[QTY],Sheet1!A:A)</f>
        <v>120</v>
      </c>
      <c r="K59" t="str">
        <f>INDEX(NOTA[STN],Sheet1!A:A)</f>
        <v>LSN</v>
      </c>
      <c r="L59" t="str">
        <f>INDEX([3]!db[QTY B],Table17[[#This Row],[//db]])</f>
        <v>24</v>
      </c>
      <c r="M59" t="str">
        <f>INDEX([3]!db[STN B],Table17[[#This Row],[//db]])</f>
        <v>LSN</v>
      </c>
      <c r="N59" t="str">
        <f>IF(Table17[[#This Row],[SATUAN NOTA]]=Table17[[#This Row],[SATUAN DB]],"", MATCH(CONCATENATE(Table17[[#This Row],[SATUAN NOTA]],Table17[[#This Row],[SATUAN DB]]),Table2[4],0))</f>
        <v/>
      </c>
      <c r="O59" t="str" cm="1">
        <f t="array" ref="O59">IF(Table17[[#This Row],[//CONV]]="","",INDEX(Table2[3],Table17[[#This Row],[//CONV]]))</f>
        <v/>
      </c>
      <c r="P59" t="str">
        <f>IF(Table17[[#This Row],[//CONV]]="",Table17[[#This Row],[ISI DB]],Table17[[#This Row],[ISI NOTA]]*Table17[[#This Row],[CONV VAR]])</f>
        <v>24</v>
      </c>
      <c r="Q59" t="str" cm="1">
        <f t="array" ref="Q59">IF(Table17[[#This Row],[//CONV]]="",Table17[[#This Row],[SATUAN DB]],INDEX(Table2[2],Table17[[#This Row],[//CONV]]))</f>
        <v>LSN</v>
      </c>
      <c r="R59" cm="1">
        <f t="array" ref="R59">IF(Table17[[#This Row],[dbconcat]]="","",INDEX([3]!Table2[ISI],Table17[[#This Row],[dbconcat]]))</f>
        <v>24</v>
      </c>
      <c r="S59" t="str" cm="1">
        <f t="array" ref="S59">IF(Table17[[#This Row],[dbconcat]]="","",INDEX([3]!Table2[[SATUAN ]],Table17[[#This Row],[dbconcat]]))</f>
        <v>LSN</v>
      </c>
      <c r="T59" t="str">
        <f>IF(Table17[[#This Row],[SATUAN S]]="","",IF(_xlfn.NUMBERVALUE(Table17[[#This Row],[ISI DB]])=_xlfn.NUMBERVALUE(Table17[[#This Row],[ISI S]]),"",1))</f>
        <v/>
      </c>
      <c r="U59" t="str">
        <f>IF(Table17[[#This Row],[SATUAN S]]="","",IF(Table17[[#This Row],[SATUAN DB]]=Table17[[#This Row],[SATUAN S]],"",1))</f>
        <v/>
      </c>
      <c r="V59" t="str">
        <f>IF(Table17[[#This Row],[CEK STN S]]="","",MATCH(CONCATENATE(Table17[[#This Row],[SATUAN CONV]],Table17[[#This Row],[SATUAN S]]),Table2[4],0))</f>
        <v/>
      </c>
      <c r="X59" t="str" cm="1">
        <f t="array" ref="X59">IF(Table17[[#This Row],[CONV2_//]]="","",INDEX(Table2[3],Table17[[#This Row],[CONV2_//]]))</f>
        <v/>
      </c>
      <c r="Y59" s="2" t="str">
        <f>IF(Table17[[#This Row],[CEK ISI S]]="",Table17[[#This Row],[ISI DB]],Table17[[#This Row],[ISI S]])</f>
        <v>24</v>
      </c>
      <c r="Z59" t="str">
        <f>IF(Table17[[#This Row],[CEK STN S]]="",Table17[[#This Row],[SATUAN DB]],Table17[[#This Row],[SATUAN S]])</f>
        <v>LSN</v>
      </c>
      <c r="AA59">
        <f>IF(Table17[[#This Row],[//CONV]]="",Table17[[#This Row],[ISI NOTA]]/Table17[[#This Row],[ISI_C]],Table17[[#This Row],[ISI DB CONV]]/Table17[[#This Row],[ISI_C]])</f>
        <v>5</v>
      </c>
      <c r="AB59">
        <f>INDEX(NOTA[HARGA SATUAN],Sheet1!A:A)</f>
        <v>52500</v>
      </c>
      <c r="AC59">
        <f>IF(Table17[[#This Row],[//CONV]]="",Table17[[#This Row],[HARGA NOTA]],Table17[[#This Row],[HARGA NOTA]]/Table17[[#This Row],[CONV VAR]])</f>
        <v>52500</v>
      </c>
      <c r="AD59">
        <f>IF(Table17[[#This Row],[CEK STN S]]="",Table17[[#This Row],[HARGA CONV]],Table17[[#This Row],[HARGA CONV]]/Table17[[#This Row],[CONV2 VAR]])</f>
        <v>52500</v>
      </c>
      <c r="AE59" s="3" t="str">
        <f>IF(INDEX(NOTA[Column6],Sheet1!A:A)=0,"",INDEX(NOTA[Column6],Sheet1!A:A))</f>
        <v/>
      </c>
      <c r="AF59" s="3" t="str">
        <f>IF(INDEX(NOTA[Column7],Sheet1!A:A)=0,"",INDEX(NOTA[Column7],Sheet1!A:A))</f>
        <v/>
      </c>
      <c r="AG5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59" s="4">
        <f>INDEX(NOTA[HARGA/ CTN_H],Sheet1!A:A)</f>
        <v>1260000</v>
      </c>
      <c r="AI59" s="4">
        <f>IF(Table17[[#This Row],[DISC 3]]="",Table17[[#This Row],[HRG / CTN]],Table17[[#This Row],[HRG / CTN]]-(Table17[[#This Row],[HRG / CTN]]*Table17[[#This Row],[DISC 3]]))</f>
        <v>1260000</v>
      </c>
      <c r="AJ59" s="5" t="e">
        <f>IF(#REF!&lt;1,Table17[[#This Row],[Column9]],Table17[[#This Row],[Column9]]*#REF!)</f>
        <v>#REF!</v>
      </c>
      <c r="AK59" s="4" t="e">
        <f ca="1">IF(NOT(AP60=Table17[[#This Row],[Column6]]),SUMIF(Table17[Column6],Table17[[#This Row],[Column6]],Table17[Column7]),"")</f>
        <v>#REF!</v>
      </c>
      <c r="AL59" s="6">
        <f ca="1">INDEX(NOTA[TGL_H],Sheet1!A:A)</f>
        <v>45479</v>
      </c>
      <c r="AM59" s="6">
        <f ca="1">INDEX(NOTA[TGL.NOTA_H],Sheet1!A:A)</f>
        <v>45474</v>
      </c>
      <c r="AO59" t="str">
        <f>IF(INDEX(NOTA[Column10],A:A)="","",INDEX(NOTA[Column10],A:A))</f>
        <v/>
      </c>
      <c r="AP59" t="str">
        <f ca="1">INDEX(NOTA[NO.NOTA_H],Sheet1!A:A)</f>
        <v>W0001BB</v>
      </c>
      <c r="AQ59">
        <f>INDEX(NOTA[Column10],Sheet1!A:A)</f>
        <v>0</v>
      </c>
      <c r="AR59" s="8" t="str">
        <f ca="1">INDEX(NOTA[SUPPLIER_H],Sheet1!A:A)</f>
        <v>SBS</v>
      </c>
      <c r="AS59" t="str">
        <f>Table17[[#This Row],[NAMA_C]]</f>
        <v>STAMP PAD HERO K</v>
      </c>
      <c r="AT59" t="str">
        <f ca="1">Table17[[#This Row],[SUPPLIER]]</f>
        <v>SBS</v>
      </c>
      <c r="AU59" t="str">
        <f>SUBSTITUTE(Table17[[#This Row],[CTN]],",",".")</f>
        <v>5</v>
      </c>
      <c r="AV59" s="13" t="str">
        <f>Table17[[#This Row],[ISI_C]]</f>
        <v>24</v>
      </c>
      <c r="AW59" t="str">
        <f>Table17[[#This Row],[SATUAN_C]]</f>
        <v>LSN</v>
      </c>
      <c r="AX59">
        <f>Table17[[#This Row],[HARGA CONV2]]</f>
        <v>52500</v>
      </c>
      <c r="AY59" s="9" t="str">
        <f>SUBSTITUTE(Table17[[#This Row],[DISC 3]],",",".")</f>
        <v/>
      </c>
      <c r="AZ59" s="6">
        <f ca="1">Table17[[#This Row],[TGL DATANG]]</f>
        <v>45479</v>
      </c>
      <c r="BA59" s="6">
        <f ca="1">Table17[[#This Row],[Column10]]</f>
        <v>45474</v>
      </c>
      <c r="BB59" s="7"/>
      <c r="BC59" t="str">
        <f>Table17[[#This Row],[KETERANGAN CONDRO]]</f>
        <v/>
      </c>
      <c r="BD59" t="str">
        <f ca="1">Table17[[#This Row],[Column6]]</f>
        <v>W0001BB</v>
      </c>
    </row>
    <row r="60" spans="1:56">
      <c r="A60" s="55">
        <v>77</v>
      </c>
      <c r="C60">
        <f>INDEX(NOTA[//DB],Sheet1!A:A)</f>
        <v>515</v>
      </c>
      <c r="D60">
        <f>_xlfn.IFNA(MATCH(Table17[[#This Row],[//db]],[3]!Table2[\\],0),"")</f>
        <v>1046</v>
      </c>
      <c r="E60" t="str">
        <f>INDEX([3]!db[NB NOTA],Table17[[#This Row],[//db]])</f>
        <v>BT 30 CM</v>
      </c>
      <c r="F60" t="str">
        <f>INDEX([3]!db[NB BM],Table17[[#This Row],[//db]])</f>
        <v>GARISAN BUTTERFLY BT 30 CM</v>
      </c>
      <c r="G60" t="str">
        <f>IF(Table17[[#This Row],[dbconcat]]="","",INDEX([3]!Table2[NAMA],Table17[[#This Row],[dbconcat]]))</f>
        <v>GARISAN BUTTERFLY BT 30 CM</v>
      </c>
      <c r="H60" t="str">
        <f>INDEX([3]!Table2[KODE BARANG],Table17[[#This Row],[dbconcat]])</f>
        <v>GAR-BT25</v>
      </c>
      <c r="I60" t="str">
        <f>IF(Table17[[#This Row],[NAMA_3]]="",UPPER(Table17[[#This Row],[NAMA_2]]),Table17[[#This Row],[NAMA_3]])</f>
        <v>GARISAN BUTTERFLY BT 30 CM</v>
      </c>
      <c r="J60">
        <f>INDEX(NOTA[QTY],Sheet1!A:A)</f>
        <v>500</v>
      </c>
      <c r="K60" t="str">
        <f>INDEX(NOTA[STN],Sheet1!A:A)</f>
        <v>LSN</v>
      </c>
      <c r="L60" t="str">
        <f>INDEX([3]!db[QTY B],Table17[[#This Row],[//db]])</f>
        <v>100</v>
      </c>
      <c r="M60" t="str">
        <f>INDEX([3]!db[STN B],Table17[[#This Row],[//db]])</f>
        <v>LSN</v>
      </c>
      <c r="N60" t="str">
        <f>IF(Table17[[#This Row],[SATUAN NOTA]]=Table17[[#This Row],[SATUAN DB]],"", MATCH(CONCATENATE(Table17[[#This Row],[SATUAN NOTA]],Table17[[#This Row],[SATUAN DB]]),Table2[4],0))</f>
        <v/>
      </c>
      <c r="O60" t="str" cm="1">
        <f t="array" ref="O60">IF(Table17[[#This Row],[//CONV]]="","",INDEX(Table2[3],Table17[[#This Row],[//CONV]]))</f>
        <v/>
      </c>
      <c r="P60" t="str">
        <f>IF(Table17[[#This Row],[//CONV]]="",Table17[[#This Row],[ISI DB]],Table17[[#This Row],[ISI NOTA]]*Table17[[#This Row],[CONV VAR]])</f>
        <v>100</v>
      </c>
      <c r="Q60" t="str" cm="1">
        <f t="array" ref="Q60">IF(Table17[[#This Row],[//CONV]]="",Table17[[#This Row],[SATUAN DB]],INDEX(Table2[2],Table17[[#This Row],[//CONV]]))</f>
        <v>LSN</v>
      </c>
      <c r="R60" cm="1">
        <f t="array" ref="R60">IF(Table17[[#This Row],[dbconcat]]="","",INDEX([3]!Table2[ISI],Table17[[#This Row],[dbconcat]]))</f>
        <v>100</v>
      </c>
      <c r="S60" t="str" cm="1">
        <f t="array" ref="S60">IF(Table17[[#This Row],[dbconcat]]="","",INDEX([3]!Table2[[SATUAN ]],Table17[[#This Row],[dbconcat]]))</f>
        <v>LSN</v>
      </c>
      <c r="T60" t="str">
        <f>IF(Table17[[#This Row],[SATUAN S]]="","",IF(_xlfn.NUMBERVALUE(Table17[[#This Row],[ISI DB]])=_xlfn.NUMBERVALUE(Table17[[#This Row],[ISI S]]),"",1))</f>
        <v/>
      </c>
      <c r="U60" t="str">
        <f>IF(Table17[[#This Row],[SATUAN S]]="","",IF(Table17[[#This Row],[SATUAN DB]]=Table17[[#This Row],[SATUAN S]],"",1))</f>
        <v/>
      </c>
      <c r="V60" t="str">
        <f>IF(Table17[[#This Row],[CEK STN S]]="","",MATCH(CONCATENATE(Table17[[#This Row],[SATUAN CONV]],Table17[[#This Row],[SATUAN S]]),Table2[4],0))</f>
        <v/>
      </c>
      <c r="X60" t="str" cm="1">
        <f t="array" ref="X60">IF(Table17[[#This Row],[CONV2_//]]="","",INDEX(Table2[3],Table17[[#This Row],[CONV2_//]]))</f>
        <v/>
      </c>
      <c r="Y60" s="2" t="str">
        <f>IF(Table17[[#This Row],[CEK ISI S]]="",Table17[[#This Row],[ISI DB]],Table17[[#This Row],[ISI S]])</f>
        <v>100</v>
      </c>
      <c r="Z60" t="str">
        <f>IF(Table17[[#This Row],[CEK STN S]]="",Table17[[#This Row],[SATUAN DB]],Table17[[#This Row],[SATUAN S]])</f>
        <v>LSN</v>
      </c>
      <c r="AA60">
        <f>IF(Table17[[#This Row],[//CONV]]="",Table17[[#This Row],[ISI NOTA]]/Table17[[#This Row],[ISI_C]],Table17[[#This Row],[ISI DB CONV]]/Table17[[#This Row],[ISI_C]])</f>
        <v>5</v>
      </c>
      <c r="AB60">
        <f>INDEX(NOTA[HARGA SATUAN],Sheet1!A:A)</f>
        <v>26780</v>
      </c>
      <c r="AC60">
        <f>IF(Table17[[#This Row],[//CONV]]="",Table17[[#This Row],[HARGA NOTA]],Table17[[#This Row],[HARGA NOTA]]/Table17[[#This Row],[CONV VAR]])</f>
        <v>26780</v>
      </c>
      <c r="AD60">
        <f>IF(Table17[[#This Row],[CEK STN S]]="",Table17[[#This Row],[HARGA CONV]],Table17[[#This Row],[HARGA CONV]]/Table17[[#This Row],[CONV2 VAR]])</f>
        <v>26780</v>
      </c>
      <c r="AE60" s="3">
        <f>IF(INDEX(NOTA[Column6],Sheet1!A:A)=0,"",INDEX(NOTA[Column6],Sheet1!A:A))</f>
        <v>0.2</v>
      </c>
      <c r="AF60" s="3">
        <f>IF(INDEX(NOTA[Column7],Sheet1!A:A)=0,"",INDEX(NOTA[Column7],Sheet1!A:A))</f>
        <v>0.04</v>
      </c>
      <c r="AG60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60" s="4">
        <f>INDEX(NOTA[HARGA/ CTN_H],Sheet1!A:A)</f>
        <v>2678000</v>
      </c>
      <c r="AI60" s="4">
        <f>IF(Table17[[#This Row],[DISC 3]]="",Table17[[#This Row],[HRG / CTN]],Table17[[#This Row],[HRG / CTN]]-(Table17[[#This Row],[HRG / CTN]]*Table17[[#This Row],[DISC 3]]))</f>
        <v>2056704</v>
      </c>
      <c r="AJ60" s="5" t="e">
        <f>IF(#REF!&lt;1,Table17[[#This Row],[Column9]],Table17[[#This Row],[Column9]]*#REF!)</f>
        <v>#REF!</v>
      </c>
      <c r="AK60" s="4" t="e">
        <f ca="1">IF(NOT(AP61=Table17[[#This Row],[Column6]]),SUMIF(Table17[Column6],Table17[[#This Row],[Column6]],Table17[Column7]),"")</f>
        <v>#REF!</v>
      </c>
      <c r="AL60" s="6">
        <f ca="1">INDEX(NOTA[TGL_H],Sheet1!A:A)</f>
        <v>45481</v>
      </c>
      <c r="AM60" s="6">
        <f ca="1">INDEX(NOTA[TGL.NOTA_H],Sheet1!A:A)</f>
        <v>45475</v>
      </c>
      <c r="AO60" t="str">
        <f>IF(INDEX(NOTA[Column10],A:A)="","",INDEX(NOTA[Column10],A:A))</f>
        <v/>
      </c>
      <c r="AP60" t="str">
        <f ca="1">INDEX(NOTA[NO.NOTA_H],Sheet1!A:A)</f>
        <v>0033/HW/VII/24</v>
      </c>
      <c r="AQ60">
        <f>INDEX(NOTA[Column10],Sheet1!A:A)</f>
        <v>0</v>
      </c>
      <c r="AR60" s="8" t="str">
        <f ca="1">INDEX(NOTA[SUPPLIER_H],Sheet1!A:A)</f>
        <v>PPW</v>
      </c>
      <c r="AS60" t="str">
        <f>Table17[[#This Row],[NAMA_C]]</f>
        <v>GARISAN BUTTERFLY BT 30 CM</v>
      </c>
      <c r="AT60" t="str">
        <f ca="1">Table17[[#This Row],[SUPPLIER]]</f>
        <v>PPW</v>
      </c>
      <c r="AU60" t="str">
        <f>SUBSTITUTE(Table17[[#This Row],[CTN]],",",".")</f>
        <v>5</v>
      </c>
      <c r="AV60" s="13" t="str">
        <f>Table17[[#This Row],[ISI_C]]</f>
        <v>100</v>
      </c>
      <c r="AW60" t="str">
        <f>Table17[[#This Row],[SATUAN_C]]</f>
        <v>LSN</v>
      </c>
      <c r="AX60">
        <f>Table17[[#This Row],[HARGA CONV2]]</f>
        <v>26780</v>
      </c>
      <c r="AY60" s="9" t="str">
        <f>SUBSTITUTE(Table17[[#This Row],[DISC 3]],",",".")</f>
        <v>0.232</v>
      </c>
      <c r="AZ60" s="6">
        <f ca="1">Table17[[#This Row],[TGL DATANG]]</f>
        <v>45481</v>
      </c>
      <c r="BA60" s="6">
        <f ca="1">Table17[[#This Row],[Column10]]</f>
        <v>45475</v>
      </c>
      <c r="BB60" s="7"/>
      <c r="BC60" t="str">
        <f>Table17[[#This Row],[KETERANGAN CONDRO]]</f>
        <v/>
      </c>
      <c r="BD60" t="str">
        <f ca="1">Table17[[#This Row],[Column6]]</f>
        <v>0033/HW/VII/24</v>
      </c>
    </row>
    <row r="61" spans="1:56">
      <c r="A61" s="55">
        <v>79</v>
      </c>
      <c r="C61">
        <f>INDEX(NOTA[//DB],Sheet1!A:A)</f>
        <v>2929</v>
      </c>
      <c r="D61">
        <f>_xlfn.IFNA(MATCH(Table17[[#This Row],[//db]],[3]!Table2[\\],0),"")</f>
        <v>2681</v>
      </c>
      <c r="E61" t="str">
        <f>INDEX([3]!db[NB NOTA],Table17[[#This Row],[//db]])</f>
        <v>STAMP PAD HERO NO.2 E-1460 BIG</v>
      </c>
      <c r="F61" t="str">
        <f>INDEX([3]!db[NB BM],Table17[[#This Row],[//db]])</f>
        <v>STAMP PAD HERO BESAR</v>
      </c>
      <c r="G61" t="str">
        <f>IF(Table17[[#This Row],[dbconcat]]="","",INDEX([3]!Table2[NAMA],Table17[[#This Row],[dbconcat]]))</f>
        <v>STAMP PAD HERO BESAR</v>
      </c>
      <c r="H61" t="str">
        <f>INDEX([3]!Table2[KODE BARANG],Table17[[#This Row],[dbconcat]])</f>
        <v>SPA-HR3</v>
      </c>
      <c r="I61" t="str">
        <f>IF(Table17[[#This Row],[NAMA_3]]="",UPPER(Table17[[#This Row],[NAMA_2]]),Table17[[#This Row],[NAMA_3]])</f>
        <v>STAMP PAD HERO BESAR</v>
      </c>
      <c r="J61">
        <f>INDEX(NOTA[QTY],Sheet1!A:A)</f>
        <v>220</v>
      </c>
      <c r="K61" t="str">
        <f>INDEX(NOTA[STN],Sheet1!A:A)</f>
        <v>LSN</v>
      </c>
      <c r="L61" t="str">
        <f>INDEX([3]!db[QTY B],Table17[[#This Row],[//db]])</f>
        <v>20</v>
      </c>
      <c r="M61" t="str">
        <f>INDEX([3]!db[STN B],Table17[[#This Row],[//db]])</f>
        <v>LSN</v>
      </c>
      <c r="N61" t="str">
        <f>IF(Table17[[#This Row],[SATUAN NOTA]]=Table17[[#This Row],[SATUAN DB]],"", MATCH(CONCATENATE(Table17[[#This Row],[SATUAN NOTA]],Table17[[#This Row],[SATUAN DB]]),Table2[4],0))</f>
        <v/>
      </c>
      <c r="O61" t="str" cm="1">
        <f t="array" ref="O61">IF(Table17[[#This Row],[//CONV]]="","",INDEX(Table2[3],Table17[[#This Row],[//CONV]]))</f>
        <v/>
      </c>
      <c r="P61" t="str">
        <f>IF(Table17[[#This Row],[//CONV]]="",Table17[[#This Row],[ISI DB]],Table17[[#This Row],[ISI NOTA]]*Table17[[#This Row],[CONV VAR]])</f>
        <v>20</v>
      </c>
      <c r="Q61" t="str" cm="1">
        <f t="array" ref="Q61">IF(Table17[[#This Row],[//CONV]]="",Table17[[#This Row],[SATUAN DB]],INDEX(Table2[2],Table17[[#This Row],[//CONV]]))</f>
        <v>LSN</v>
      </c>
      <c r="R61" cm="1">
        <f t="array" ref="R61">IF(Table17[[#This Row],[dbconcat]]="","",INDEX([3]!Table2[ISI],Table17[[#This Row],[dbconcat]]))</f>
        <v>20</v>
      </c>
      <c r="S61" t="str" cm="1">
        <f t="array" ref="S61">IF(Table17[[#This Row],[dbconcat]]="","",INDEX([3]!Table2[[SATUAN ]],Table17[[#This Row],[dbconcat]]))</f>
        <v>LSN</v>
      </c>
      <c r="T61" t="str">
        <f>IF(Table17[[#This Row],[SATUAN S]]="","",IF(_xlfn.NUMBERVALUE(Table17[[#This Row],[ISI DB]])=_xlfn.NUMBERVALUE(Table17[[#This Row],[ISI S]]),"",1))</f>
        <v/>
      </c>
      <c r="U61" t="str">
        <f>IF(Table17[[#This Row],[SATUAN S]]="","",IF(Table17[[#This Row],[SATUAN DB]]=Table17[[#This Row],[SATUAN S]],"",1))</f>
        <v/>
      </c>
      <c r="V61" t="str">
        <f>IF(Table17[[#This Row],[CEK STN S]]="","",MATCH(CONCATENATE(Table17[[#This Row],[SATUAN CONV]],Table17[[#This Row],[SATUAN S]]),Table2[4],0))</f>
        <v/>
      </c>
      <c r="X61" t="str" cm="1">
        <f t="array" ref="X61">IF(Table17[[#This Row],[CONV2_//]]="","",INDEX(Table2[3],Table17[[#This Row],[CONV2_//]]))</f>
        <v/>
      </c>
      <c r="Y61" s="2" t="str">
        <f>IF(Table17[[#This Row],[CEK ISI S]]="",Table17[[#This Row],[ISI DB]],Table17[[#This Row],[ISI S]])</f>
        <v>20</v>
      </c>
      <c r="Z61" t="str">
        <f>IF(Table17[[#This Row],[CEK STN S]]="",Table17[[#This Row],[SATUAN DB]],Table17[[#This Row],[SATUAN S]])</f>
        <v>LSN</v>
      </c>
      <c r="AA61">
        <f>IF(Table17[[#This Row],[//CONV]]="",Table17[[#This Row],[ISI NOTA]]/Table17[[#This Row],[ISI_C]],Table17[[#This Row],[ISI DB CONV]]/Table17[[#This Row],[ISI_C]])</f>
        <v>11</v>
      </c>
      <c r="AB61">
        <f>INDEX(NOTA[HARGA SATUAN],Sheet1!A:A)</f>
        <v>61500</v>
      </c>
      <c r="AC61">
        <f>IF(Table17[[#This Row],[//CONV]]="",Table17[[#This Row],[HARGA NOTA]],Table17[[#This Row],[HARGA NOTA]]/Table17[[#This Row],[CONV VAR]])</f>
        <v>61500</v>
      </c>
      <c r="AD61">
        <f>IF(Table17[[#This Row],[CEK STN S]]="",Table17[[#This Row],[HARGA CONV]],Table17[[#This Row],[HARGA CONV]]/Table17[[#This Row],[CONV2 VAR]])</f>
        <v>61500</v>
      </c>
      <c r="AE61" s="3" t="str">
        <f>IF(INDEX(NOTA[Column6],Sheet1!A:A)=0,"",INDEX(NOTA[Column6],Sheet1!A:A))</f>
        <v/>
      </c>
      <c r="AF61" s="3" t="str">
        <f>IF(INDEX(NOTA[Column7],Sheet1!A:A)=0,"",INDEX(NOTA[Column7],Sheet1!A:A))</f>
        <v/>
      </c>
      <c r="AG6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1" s="4">
        <f>INDEX(NOTA[HARGA/ CTN_H],Sheet1!A:A)</f>
        <v>1230000</v>
      </c>
      <c r="AI61" s="4">
        <f>IF(Table17[[#This Row],[DISC 3]]="",Table17[[#This Row],[HRG / CTN]],Table17[[#This Row],[HRG / CTN]]-(Table17[[#This Row],[HRG / CTN]]*Table17[[#This Row],[DISC 3]]))</f>
        <v>1230000</v>
      </c>
      <c r="AJ61" s="5" t="e">
        <f>IF(#REF!&lt;1,Table17[[#This Row],[Column9]],Table17[[#This Row],[Column9]]*#REF!)</f>
        <v>#REF!</v>
      </c>
      <c r="AK61" s="4" t="str">
        <f ca="1">IF(NOT(AP62=Table17[[#This Row],[Column6]]),SUMIF(Table17[Column6],Table17[[#This Row],[Column6]],Table17[Column7]),"")</f>
        <v/>
      </c>
      <c r="AL61" s="6">
        <f ca="1">INDEX(NOTA[TGL_H],Sheet1!A:A)</f>
        <v>45481</v>
      </c>
      <c r="AM61" s="6">
        <f ca="1">INDEX(NOTA[TGL.NOTA_H],Sheet1!A:A)</f>
        <v>45474</v>
      </c>
      <c r="AO61" t="str">
        <f>IF(INDEX(NOTA[Column10],A:A)="","",INDEX(NOTA[Column10],A:A))</f>
        <v/>
      </c>
      <c r="AP61" t="str">
        <f ca="1">INDEX(NOTA[NO.NOTA_H],Sheet1!A:A)</f>
        <v>24/VII/024</v>
      </c>
      <c r="AQ61">
        <f>INDEX(NOTA[Column10],Sheet1!A:A)</f>
        <v>0</v>
      </c>
      <c r="AR61" s="8" t="str">
        <f ca="1">INDEX(NOTA[SUPPLIER_H],Sheet1!A:A)</f>
        <v>MSI</v>
      </c>
      <c r="AS61" t="str">
        <f>Table17[[#This Row],[NAMA_C]]</f>
        <v>STAMP PAD HERO BESAR</v>
      </c>
      <c r="AT61" t="str">
        <f ca="1">Table17[[#This Row],[SUPPLIER]]</f>
        <v>MSI</v>
      </c>
      <c r="AU61" t="str">
        <f>SUBSTITUTE(Table17[[#This Row],[CTN]],",",".")</f>
        <v>11</v>
      </c>
      <c r="AV61" s="13" t="str">
        <f>Table17[[#This Row],[ISI_C]]</f>
        <v>20</v>
      </c>
      <c r="AW61" t="str">
        <f>Table17[[#This Row],[SATUAN_C]]</f>
        <v>LSN</v>
      </c>
      <c r="AX61">
        <f>Table17[[#This Row],[HARGA CONV2]]</f>
        <v>61500</v>
      </c>
      <c r="AY61" s="9" t="str">
        <f>SUBSTITUTE(Table17[[#This Row],[DISC 3]],",",".")</f>
        <v/>
      </c>
      <c r="AZ61" s="6">
        <f ca="1">Table17[[#This Row],[TGL DATANG]]</f>
        <v>45481</v>
      </c>
      <c r="BA61" s="6">
        <f ca="1">Table17[[#This Row],[Column10]]</f>
        <v>45474</v>
      </c>
      <c r="BB61" s="7"/>
      <c r="BC61" t="str">
        <f>Table17[[#This Row],[KETERANGAN CONDRO]]</f>
        <v/>
      </c>
      <c r="BD61" t="str">
        <f ca="1">Table17[[#This Row],[Column6]]</f>
        <v>24/VII/024</v>
      </c>
    </row>
    <row r="62" spans="1:56">
      <c r="A62" s="55">
        <v>80</v>
      </c>
      <c r="C62">
        <f>INDEX(NOTA[//DB],Sheet1!A:A)</f>
        <v>2930</v>
      </c>
      <c r="D62" t="str">
        <f>_xlfn.IFNA(MATCH(Table17[[#This Row],[//db]],[3]!Table2[\\],0),"")</f>
        <v/>
      </c>
      <c r="E62" t="str">
        <f>INDEX([3]!db[NB NOTA],Table17[[#This Row],[//db]])</f>
        <v>STAMP PAD HERO NO.3 E-2460 SMALL</v>
      </c>
      <c r="F62" t="str">
        <f>INDEX([3]!db[NB BM],Table17[[#This Row],[//db]])</f>
        <v>STAMP PAD HERO K</v>
      </c>
      <c r="G62" t="str">
        <f>IF(Table17[[#This Row],[dbconcat]]="","",INDEX([3]!Table2[NAMA],Table17[[#This Row],[dbconcat]]))</f>
        <v/>
      </c>
      <c r="H62" t="e">
        <f>INDEX([3]!Table2[KODE BARANG],Table17[[#This Row],[dbconcat]])</f>
        <v>#VALUE!</v>
      </c>
      <c r="I62" t="str">
        <f>IF(Table17[[#This Row],[NAMA_3]]="",UPPER(Table17[[#This Row],[NAMA_2]]),Table17[[#This Row],[NAMA_3]])</f>
        <v>STAMP PAD HERO K</v>
      </c>
      <c r="J62">
        <f>INDEX(NOTA[QTY],Sheet1!A:A)</f>
        <v>72</v>
      </c>
      <c r="K62" t="str">
        <f>INDEX(NOTA[STN],Sheet1!A:A)</f>
        <v>LSN</v>
      </c>
      <c r="L62" t="str">
        <f>INDEX([3]!db[QTY B],Table17[[#This Row],[//db]])</f>
        <v>24</v>
      </c>
      <c r="M62" t="str">
        <f>INDEX([3]!db[STN B],Table17[[#This Row],[//db]])</f>
        <v>LSN</v>
      </c>
      <c r="N62" t="str">
        <f>IF(Table17[[#This Row],[SATUAN NOTA]]=Table17[[#This Row],[SATUAN DB]],"", MATCH(CONCATENATE(Table17[[#This Row],[SATUAN NOTA]],Table17[[#This Row],[SATUAN DB]]),Table2[4],0))</f>
        <v/>
      </c>
      <c r="O62" t="str" cm="1">
        <f t="array" ref="O62">IF(Table17[[#This Row],[//CONV]]="","",INDEX(Table2[3],Table17[[#This Row],[//CONV]]))</f>
        <v/>
      </c>
      <c r="P62" t="str">
        <f>IF(Table17[[#This Row],[//CONV]]="",Table17[[#This Row],[ISI DB]],Table17[[#This Row],[ISI NOTA]]*Table17[[#This Row],[CONV VAR]])</f>
        <v>24</v>
      </c>
      <c r="Q62" t="str" cm="1">
        <f t="array" ref="Q62">IF(Table17[[#This Row],[//CONV]]="",Table17[[#This Row],[SATUAN DB]],INDEX(Table2[2],Table17[[#This Row],[//CONV]]))</f>
        <v>LSN</v>
      </c>
      <c r="R62" t="str" cm="1">
        <f t="array" ref="R62">IF(Table17[[#This Row],[dbconcat]]="","",INDEX([3]!Table2[ISI],Table17[[#This Row],[dbconcat]]))</f>
        <v/>
      </c>
      <c r="S62" t="str" cm="1">
        <f t="array" ref="S62">IF(Table17[[#This Row],[dbconcat]]="","",INDEX([3]!Table2[[SATUAN ]],Table17[[#This Row],[dbconcat]]))</f>
        <v/>
      </c>
      <c r="T62" t="str">
        <f>IF(Table17[[#This Row],[SATUAN S]]="","",IF(_xlfn.NUMBERVALUE(Table17[[#This Row],[ISI DB]])=_xlfn.NUMBERVALUE(Table17[[#This Row],[ISI S]]),"",1))</f>
        <v/>
      </c>
      <c r="U62" t="str">
        <f>IF(Table17[[#This Row],[SATUAN S]]="","",IF(Table17[[#This Row],[SATUAN DB]]=Table17[[#This Row],[SATUAN S]],"",1))</f>
        <v/>
      </c>
      <c r="V62" t="str">
        <f>IF(Table17[[#This Row],[CEK STN S]]="","",MATCH(CONCATENATE(Table17[[#This Row],[SATUAN CONV]],Table17[[#This Row],[SATUAN S]]),Table2[4],0))</f>
        <v/>
      </c>
      <c r="X62" t="str" cm="1">
        <f t="array" ref="X62">IF(Table17[[#This Row],[CONV2_//]]="","",INDEX(Table2[3],Table17[[#This Row],[CONV2_//]]))</f>
        <v/>
      </c>
      <c r="Y62" s="2" t="str">
        <f>IF(Table17[[#This Row],[CEK ISI S]]="",Table17[[#This Row],[ISI DB]],Table17[[#This Row],[ISI S]])</f>
        <v>24</v>
      </c>
      <c r="Z62" t="str">
        <f>IF(Table17[[#This Row],[CEK STN S]]="",Table17[[#This Row],[SATUAN DB]],Table17[[#This Row],[SATUAN S]])</f>
        <v>LSN</v>
      </c>
      <c r="AA62">
        <f>IF(Table17[[#This Row],[//CONV]]="",Table17[[#This Row],[ISI NOTA]]/Table17[[#This Row],[ISI_C]],Table17[[#This Row],[ISI DB CONV]]/Table17[[#This Row],[ISI_C]])</f>
        <v>3</v>
      </c>
      <c r="AB62">
        <f>INDEX(NOTA[HARGA SATUAN],Sheet1!A:A)</f>
        <v>50000</v>
      </c>
      <c r="AC62">
        <f>IF(Table17[[#This Row],[//CONV]]="",Table17[[#This Row],[HARGA NOTA]],Table17[[#This Row],[HARGA NOTA]]/Table17[[#This Row],[CONV VAR]])</f>
        <v>50000</v>
      </c>
      <c r="AD62">
        <f>IF(Table17[[#This Row],[CEK STN S]]="",Table17[[#This Row],[HARGA CONV]],Table17[[#This Row],[HARGA CONV]]/Table17[[#This Row],[CONV2 VAR]])</f>
        <v>50000</v>
      </c>
      <c r="AE62" s="3" t="str">
        <f>IF(INDEX(NOTA[Column6],Sheet1!A:A)=0,"",INDEX(NOTA[Column6],Sheet1!A:A))</f>
        <v/>
      </c>
      <c r="AF62" s="3" t="str">
        <f>IF(INDEX(NOTA[Column7],Sheet1!A:A)=0,"",INDEX(NOTA[Column7],Sheet1!A:A))</f>
        <v/>
      </c>
      <c r="AG6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2" s="4">
        <f>INDEX(NOTA[HARGA/ CTN_H],Sheet1!A:A)</f>
        <v>1200000</v>
      </c>
      <c r="AI62" s="4">
        <f>IF(Table17[[#This Row],[DISC 3]]="",Table17[[#This Row],[HRG / CTN]],Table17[[#This Row],[HRG / CTN]]-(Table17[[#This Row],[HRG / CTN]]*Table17[[#This Row],[DISC 3]]))</f>
        <v>1200000</v>
      </c>
      <c r="AJ62" s="5" t="e">
        <f>IF(#REF!&lt;1,Table17[[#This Row],[Column9]],Table17[[#This Row],[Column9]]*#REF!)</f>
        <v>#REF!</v>
      </c>
      <c r="AK62" s="4" t="str">
        <f ca="1">IF(NOT(AP63=Table17[[#This Row],[Column6]]),SUMIF(Table17[Column6],Table17[[#This Row],[Column6]],Table17[Column7]),"")</f>
        <v/>
      </c>
      <c r="AL62" s="6">
        <f ca="1">INDEX(NOTA[TGL_H],Sheet1!A:A)</f>
        <v>45481</v>
      </c>
      <c r="AM62" s="6">
        <f ca="1">INDEX(NOTA[TGL.NOTA_H],Sheet1!A:A)</f>
        <v>45474</v>
      </c>
      <c r="AO62" t="str">
        <f>IF(INDEX(NOTA[Column10],A:A)="","",INDEX(NOTA[Column10],A:A))</f>
        <v/>
      </c>
      <c r="AP62" t="str">
        <f ca="1">INDEX(NOTA[NO.NOTA_H],Sheet1!A:A)</f>
        <v>24/VII/024</v>
      </c>
      <c r="AQ62">
        <f>INDEX(NOTA[Column10],Sheet1!A:A)</f>
        <v>0</v>
      </c>
      <c r="AR62" s="8" t="str">
        <f ca="1">INDEX(NOTA[SUPPLIER_H],Sheet1!A:A)</f>
        <v>MSI</v>
      </c>
      <c r="AS62" t="str">
        <f>Table17[[#This Row],[NAMA_C]]</f>
        <v>STAMP PAD HERO K</v>
      </c>
      <c r="AT62" t="str">
        <f ca="1">Table17[[#This Row],[SUPPLIER]]</f>
        <v>MSI</v>
      </c>
      <c r="AU62" t="str">
        <f>SUBSTITUTE(Table17[[#This Row],[CTN]],",",".")</f>
        <v>3</v>
      </c>
      <c r="AV62" s="13" t="str">
        <f>Table17[[#This Row],[ISI_C]]</f>
        <v>24</v>
      </c>
      <c r="AW62" t="str">
        <f>Table17[[#This Row],[SATUAN_C]]</f>
        <v>LSN</v>
      </c>
      <c r="AX62">
        <f>Table17[[#This Row],[HARGA CONV2]]</f>
        <v>50000</v>
      </c>
      <c r="AY62" s="9" t="str">
        <f>SUBSTITUTE(Table17[[#This Row],[DISC 3]],",",".")</f>
        <v/>
      </c>
      <c r="AZ62" s="6">
        <f ca="1">Table17[[#This Row],[TGL DATANG]]</f>
        <v>45481</v>
      </c>
      <c r="BA62" s="6">
        <f ca="1">Table17[[#This Row],[Column10]]</f>
        <v>45474</v>
      </c>
      <c r="BB62" s="7"/>
      <c r="BC62" t="str">
        <f>Table17[[#This Row],[KETERANGAN CONDRO]]</f>
        <v/>
      </c>
      <c r="BD62" t="str">
        <f ca="1">Table17[[#This Row],[Column6]]</f>
        <v>24/VII/024</v>
      </c>
    </row>
    <row r="63" spans="1:56">
      <c r="A63" s="55">
        <v>81</v>
      </c>
      <c r="C63">
        <f>INDEX(NOTA[//DB],Sheet1!A:A)</f>
        <v>3377</v>
      </c>
      <c r="D63">
        <f>_xlfn.IFNA(MATCH(Table17[[#This Row],[//db]],[3]!Table2[\\],0),"")</f>
        <v>878</v>
      </c>
      <c r="E63" t="str">
        <f>INDEX([3]!db[NB NOTA],Table17[[#This Row],[//db]])</f>
        <v>POSTER COLORS PAINT</v>
      </c>
      <c r="F63" t="str">
        <f>INDEX([3]!db[NB BM],Table17[[#This Row],[//db]])</f>
        <v>CAT POSTER COLORS PAINT V-TRO</v>
      </c>
      <c r="G63" t="str">
        <f>IF(Table17[[#This Row],[dbconcat]]="","",INDEX([3]!Table2[NAMA],Table17[[#This Row],[dbconcat]]))</f>
        <v>CAT POSTER COLORS PAINT V-TRO</v>
      </c>
      <c r="H63" t="str">
        <f>INDEX([3]!Table2[KODE BARANG],Table17[[#This Row],[dbconcat]])</f>
        <v>CAT-VO17</v>
      </c>
      <c r="I63" t="str">
        <f>IF(Table17[[#This Row],[NAMA_3]]="",UPPER(Table17[[#This Row],[NAMA_2]]),Table17[[#This Row],[NAMA_3]])</f>
        <v>CAT POSTER COLORS PAINT V-TRO</v>
      </c>
      <c r="J63">
        <f>INDEX(NOTA[QTY],Sheet1!A:A)</f>
        <v>300</v>
      </c>
      <c r="K63" t="str">
        <f>INDEX(NOTA[STN],Sheet1!A:A)</f>
        <v>PCS</v>
      </c>
      <c r="L63" t="str">
        <f>INDEX([3]!db[QTY B],Table17[[#This Row],[//db]])</f>
        <v>100</v>
      </c>
      <c r="M63" t="str">
        <f>INDEX([3]!db[STN B],Table17[[#This Row],[//db]])</f>
        <v>PCS</v>
      </c>
      <c r="N63" t="str">
        <f>IF(Table17[[#This Row],[SATUAN NOTA]]=Table17[[#This Row],[SATUAN DB]],"", MATCH(CONCATENATE(Table17[[#This Row],[SATUAN NOTA]],Table17[[#This Row],[SATUAN DB]]),Table2[4],0))</f>
        <v/>
      </c>
      <c r="O63" t="str" cm="1">
        <f t="array" ref="O63">IF(Table17[[#This Row],[//CONV]]="","",INDEX(Table2[3],Table17[[#This Row],[//CONV]]))</f>
        <v/>
      </c>
      <c r="P63" t="str">
        <f>IF(Table17[[#This Row],[//CONV]]="",Table17[[#This Row],[ISI DB]],Table17[[#This Row],[ISI NOTA]]*Table17[[#This Row],[CONV VAR]])</f>
        <v>100</v>
      </c>
      <c r="Q63" t="str" cm="1">
        <f t="array" ref="Q63">IF(Table17[[#This Row],[//CONV]]="",Table17[[#This Row],[SATUAN DB]],INDEX(Table2[2],Table17[[#This Row],[//CONV]]))</f>
        <v>PCS</v>
      </c>
      <c r="R63" cm="1">
        <f t="array" ref="R63">IF(Table17[[#This Row],[dbconcat]]="","",INDEX([3]!Table2[ISI],Table17[[#This Row],[dbconcat]]))</f>
        <v>100</v>
      </c>
      <c r="S63" t="str" cm="1">
        <f t="array" ref="S63">IF(Table17[[#This Row],[dbconcat]]="","",INDEX([3]!Table2[[SATUAN ]],Table17[[#This Row],[dbconcat]]))</f>
        <v>PCS</v>
      </c>
      <c r="T63" t="str">
        <f>IF(Table17[[#This Row],[SATUAN S]]="","",IF(_xlfn.NUMBERVALUE(Table17[[#This Row],[ISI DB]])=_xlfn.NUMBERVALUE(Table17[[#This Row],[ISI S]]),"",1))</f>
        <v/>
      </c>
      <c r="U63" t="str">
        <f>IF(Table17[[#This Row],[SATUAN S]]="","",IF(Table17[[#This Row],[SATUAN DB]]=Table17[[#This Row],[SATUAN S]],"",1))</f>
        <v/>
      </c>
      <c r="V63" t="str">
        <f>IF(Table17[[#This Row],[CEK STN S]]="","",MATCH(CONCATENATE(Table17[[#This Row],[SATUAN CONV]],Table17[[#This Row],[SATUAN S]]),Table2[4],0))</f>
        <v/>
      </c>
      <c r="X63" t="str" cm="1">
        <f t="array" ref="X63">IF(Table17[[#This Row],[CONV2_//]]="","",INDEX(Table2[3],Table17[[#This Row],[CONV2_//]]))</f>
        <v/>
      </c>
      <c r="Y63" s="2" t="str">
        <f>IF(Table17[[#This Row],[CEK ISI S]]="",Table17[[#This Row],[ISI DB]],Table17[[#This Row],[ISI S]])</f>
        <v>100</v>
      </c>
      <c r="Z63" t="str">
        <f>IF(Table17[[#This Row],[CEK STN S]]="",Table17[[#This Row],[SATUAN DB]],Table17[[#This Row],[SATUAN S]])</f>
        <v>PCS</v>
      </c>
      <c r="AA63">
        <f>IF(Table17[[#This Row],[//CONV]]="",Table17[[#This Row],[ISI NOTA]]/Table17[[#This Row],[ISI_C]],Table17[[#This Row],[ISI DB CONV]]/Table17[[#This Row],[ISI_C]])</f>
        <v>3</v>
      </c>
      <c r="AB63">
        <f>INDEX(NOTA[HARGA SATUAN],Sheet1!A:A)</f>
        <v>12500</v>
      </c>
      <c r="AC63">
        <f>IF(Table17[[#This Row],[//CONV]]="",Table17[[#This Row],[HARGA NOTA]],Table17[[#This Row],[HARGA NOTA]]/Table17[[#This Row],[CONV VAR]])</f>
        <v>12500</v>
      </c>
      <c r="AD63">
        <f>IF(Table17[[#This Row],[CEK STN S]]="",Table17[[#This Row],[HARGA CONV]],Table17[[#This Row],[HARGA CONV]]/Table17[[#This Row],[CONV2 VAR]])</f>
        <v>12500</v>
      </c>
      <c r="AE63" s="3" t="str">
        <f>IF(INDEX(NOTA[Column6],Sheet1!A:A)=0,"",INDEX(NOTA[Column6],Sheet1!A:A))</f>
        <v/>
      </c>
      <c r="AF63" s="3" t="str">
        <f>IF(INDEX(NOTA[Column7],Sheet1!A:A)=0,"",INDEX(NOTA[Column7],Sheet1!A:A))</f>
        <v/>
      </c>
      <c r="AG6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3" s="4">
        <f>INDEX(NOTA[HARGA/ CTN_H],Sheet1!A:A)</f>
        <v>1250000</v>
      </c>
      <c r="AI63" s="4">
        <f>IF(Table17[[#This Row],[DISC 3]]="",Table17[[#This Row],[HRG / CTN]],Table17[[#This Row],[HRG / CTN]]-(Table17[[#This Row],[HRG / CTN]]*Table17[[#This Row],[DISC 3]]))</f>
        <v>1250000</v>
      </c>
      <c r="AJ63" s="5" t="e">
        <f>IF(#REF!&lt;1,Table17[[#This Row],[Column9]],Table17[[#This Row],[Column9]]*#REF!)</f>
        <v>#REF!</v>
      </c>
      <c r="AK63" s="4" t="e">
        <f ca="1">IF(NOT(AP64=Table17[[#This Row],[Column6]]),SUMIF(Table17[Column6],Table17[[#This Row],[Column6]],Table17[Column7]),"")</f>
        <v>#REF!</v>
      </c>
      <c r="AL63" s="6">
        <f ca="1">INDEX(NOTA[TGL_H],Sheet1!A:A)</f>
        <v>45481</v>
      </c>
      <c r="AM63" s="6">
        <f ca="1">INDEX(NOTA[TGL.NOTA_H],Sheet1!A:A)</f>
        <v>45474</v>
      </c>
      <c r="AO63" t="str">
        <f>IF(INDEX(NOTA[Column10],A:A)="","",INDEX(NOTA[Column10],A:A))</f>
        <v/>
      </c>
      <c r="AP63" t="str">
        <f ca="1">INDEX(NOTA[NO.NOTA_H],Sheet1!A:A)</f>
        <v>24/VII/024</v>
      </c>
      <c r="AQ63">
        <f>INDEX(NOTA[Column10],Sheet1!A:A)</f>
        <v>0</v>
      </c>
      <c r="AR63" s="8" t="str">
        <f ca="1">INDEX(NOTA[SUPPLIER_H],Sheet1!A:A)</f>
        <v>MSI</v>
      </c>
      <c r="AS63" t="str">
        <f>Table17[[#This Row],[NAMA_C]]</f>
        <v>CAT POSTER COLORS PAINT V-TRO</v>
      </c>
      <c r="AT63" t="str">
        <f ca="1">Table17[[#This Row],[SUPPLIER]]</f>
        <v>MSI</v>
      </c>
      <c r="AU63" t="str">
        <f>SUBSTITUTE(Table17[[#This Row],[CTN]],",",".")</f>
        <v>3</v>
      </c>
      <c r="AV63" s="13" t="str">
        <f>Table17[[#This Row],[ISI_C]]</f>
        <v>100</v>
      </c>
      <c r="AW63" t="str">
        <f>Table17[[#This Row],[SATUAN_C]]</f>
        <v>PCS</v>
      </c>
      <c r="AX63">
        <f>Table17[[#This Row],[HARGA CONV2]]</f>
        <v>12500</v>
      </c>
      <c r="AY63" s="9" t="str">
        <f>SUBSTITUTE(Table17[[#This Row],[DISC 3]],",",".")</f>
        <v/>
      </c>
      <c r="AZ63" s="6">
        <f ca="1">Table17[[#This Row],[TGL DATANG]]</f>
        <v>45481</v>
      </c>
      <c r="BA63" s="6">
        <f ca="1">Table17[[#This Row],[Column10]]</f>
        <v>45474</v>
      </c>
      <c r="BB63" s="7"/>
      <c r="BC63" t="str">
        <f>Table17[[#This Row],[KETERANGAN CONDRO]]</f>
        <v/>
      </c>
      <c r="BD63" t="str">
        <f ca="1">Table17[[#This Row],[Column6]]</f>
        <v>24/VII/024</v>
      </c>
    </row>
    <row r="64" spans="1:56">
      <c r="A64" s="55">
        <v>83</v>
      </c>
      <c r="C64">
        <f>INDEX(NOTA[//DB],Sheet1!A:A)</f>
        <v>1138</v>
      </c>
      <c r="D64">
        <f>_xlfn.IFNA(MATCH(Table17[[#This Row],[//db]],[3]!Table2[\\],0),"")</f>
        <v>716</v>
      </c>
      <c r="E64" t="str">
        <f>INDEX([3]!db[NB NOTA],Table17[[#This Row],[//db]])</f>
        <v>GEL PEN ZUI ZHUA HY-1020 HITAM</v>
      </c>
      <c r="F64" t="str">
        <f>INDEX([3]!db[NB BM],Table17[[#This Row],[//db]])</f>
        <v>Bp Gel Zui Xua HY-1020 Hitam</v>
      </c>
      <c r="G64" t="str">
        <f>IF(Table17[[#This Row],[dbconcat]]="","",INDEX([3]!Table2[NAMA],Table17[[#This Row],[dbconcat]]))</f>
        <v>BP GEL ZUI XUA HY-1020 HITAM</v>
      </c>
      <c r="H64" t="str">
        <f>INDEX([3]!Table2[KODE BARANG],Table17[[#This Row],[dbconcat]])</f>
        <v>BOL-ZX335</v>
      </c>
      <c r="I64" t="str">
        <f>IF(Table17[[#This Row],[NAMA_3]]="",UPPER(Table17[[#This Row],[NAMA_2]]),Table17[[#This Row],[NAMA_3]])</f>
        <v>BP GEL ZUI XUA HY-1020 HITAM</v>
      </c>
      <c r="J64">
        <f>INDEX(NOTA[QTY],Sheet1!A:A)</f>
        <v>5760</v>
      </c>
      <c r="K64" t="str">
        <f>INDEX(NOTA[STN],Sheet1!A:A)</f>
        <v>LSN</v>
      </c>
      <c r="L64" t="str">
        <f>INDEX([3]!db[QTY B],Table17[[#This Row],[//db]])</f>
        <v>192</v>
      </c>
      <c r="M64" t="str">
        <f>INDEX([3]!db[STN B],Table17[[#This Row],[//db]])</f>
        <v>LSN</v>
      </c>
      <c r="N64" t="str">
        <f>IF(Table17[[#This Row],[SATUAN NOTA]]=Table17[[#This Row],[SATUAN DB]],"", MATCH(CONCATENATE(Table17[[#This Row],[SATUAN NOTA]],Table17[[#This Row],[SATUAN DB]]),Table2[4],0))</f>
        <v/>
      </c>
      <c r="O64" t="str" cm="1">
        <f t="array" ref="O64">IF(Table17[[#This Row],[//CONV]]="","",INDEX(Table2[3],Table17[[#This Row],[//CONV]]))</f>
        <v/>
      </c>
      <c r="P64" t="str">
        <f>IF(Table17[[#This Row],[//CONV]]="",Table17[[#This Row],[ISI DB]],Table17[[#This Row],[ISI NOTA]]*Table17[[#This Row],[CONV VAR]])</f>
        <v>192</v>
      </c>
      <c r="Q64" t="str" cm="1">
        <f t="array" ref="Q64">IF(Table17[[#This Row],[//CONV]]="",Table17[[#This Row],[SATUAN DB]],INDEX(Table2[2],Table17[[#This Row],[//CONV]]))</f>
        <v>LSN</v>
      </c>
      <c r="R64" cm="1">
        <f t="array" ref="R64">IF(Table17[[#This Row],[dbconcat]]="","",INDEX([3]!Table2[ISI],Table17[[#This Row],[dbconcat]]))</f>
        <v>192</v>
      </c>
      <c r="S64" t="str" cm="1">
        <f t="array" ref="S64">IF(Table17[[#This Row],[dbconcat]]="","",INDEX([3]!Table2[[SATUAN ]],Table17[[#This Row],[dbconcat]]))</f>
        <v>LSN</v>
      </c>
      <c r="T64" t="str">
        <f>IF(Table17[[#This Row],[SATUAN S]]="","",IF(_xlfn.NUMBERVALUE(Table17[[#This Row],[ISI DB]])=_xlfn.NUMBERVALUE(Table17[[#This Row],[ISI S]]),"",1))</f>
        <v/>
      </c>
      <c r="U64" t="str">
        <f>IF(Table17[[#This Row],[SATUAN S]]="","",IF(Table17[[#This Row],[SATUAN DB]]=Table17[[#This Row],[SATUAN S]],"",1))</f>
        <v/>
      </c>
      <c r="V64" t="str">
        <f>IF(Table17[[#This Row],[CEK STN S]]="","",MATCH(CONCATENATE(Table17[[#This Row],[SATUAN CONV]],Table17[[#This Row],[SATUAN S]]),Table2[4],0))</f>
        <v/>
      </c>
      <c r="X64" t="str" cm="1">
        <f t="array" ref="X64">IF(Table17[[#This Row],[CONV2_//]]="","",INDEX(Table2[3],Table17[[#This Row],[CONV2_//]]))</f>
        <v/>
      </c>
      <c r="Y64" s="2" t="str">
        <f>IF(Table17[[#This Row],[CEK ISI S]]="",Table17[[#This Row],[ISI DB]],Table17[[#This Row],[ISI S]])</f>
        <v>192</v>
      </c>
      <c r="Z64" t="str">
        <f>IF(Table17[[#This Row],[CEK STN S]]="",Table17[[#This Row],[SATUAN DB]],Table17[[#This Row],[SATUAN S]])</f>
        <v>LSN</v>
      </c>
      <c r="AA64">
        <f>IF(Table17[[#This Row],[//CONV]]="",Table17[[#This Row],[ISI NOTA]]/Table17[[#This Row],[ISI_C]],Table17[[#This Row],[ISI DB CONV]]/Table17[[#This Row],[ISI_C]])</f>
        <v>30</v>
      </c>
      <c r="AB64">
        <f>INDEX(NOTA[HARGA SATUAN],Sheet1!A:A)</f>
        <v>10000</v>
      </c>
      <c r="AC64">
        <f>IF(Table17[[#This Row],[//CONV]]="",Table17[[#This Row],[HARGA NOTA]],Table17[[#This Row],[HARGA NOTA]]/Table17[[#This Row],[CONV VAR]])</f>
        <v>10000</v>
      </c>
      <c r="AD64">
        <f>IF(Table17[[#This Row],[CEK STN S]]="",Table17[[#This Row],[HARGA CONV]],Table17[[#This Row],[HARGA CONV]]/Table17[[#This Row],[CONV2 VAR]])</f>
        <v>10000</v>
      </c>
      <c r="AE64" s="3" t="str">
        <f>IF(INDEX(NOTA[Column6],Sheet1!A:A)=0,"",INDEX(NOTA[Column6],Sheet1!A:A))</f>
        <v/>
      </c>
      <c r="AF64" s="3" t="str">
        <f>IF(INDEX(NOTA[Column7],Sheet1!A:A)=0,"",INDEX(NOTA[Column7],Sheet1!A:A))</f>
        <v/>
      </c>
      <c r="AG6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4" s="4">
        <f>INDEX(NOTA[HARGA/ CTN_H],Sheet1!A:A)</f>
        <v>1920000</v>
      </c>
      <c r="AI64" s="4">
        <f>IF(Table17[[#This Row],[DISC 3]]="",Table17[[#This Row],[HRG / CTN]],Table17[[#This Row],[HRG / CTN]]-(Table17[[#This Row],[HRG / CTN]]*Table17[[#This Row],[DISC 3]]))</f>
        <v>1920000</v>
      </c>
      <c r="AJ64" s="5" t="e">
        <f>IF(#REF!&lt;1,Table17[[#This Row],[Column9]],Table17[[#This Row],[Column9]]*#REF!)</f>
        <v>#REF!</v>
      </c>
      <c r="AK64" s="4" t="e">
        <f ca="1">IF(NOT(AP65=Table17[[#This Row],[Column6]]),SUMIF(Table17[Column6],Table17[[#This Row],[Column6]],Table17[Column7]),"")</f>
        <v>#REF!</v>
      </c>
      <c r="AL64" s="6">
        <f ca="1">INDEX(NOTA[TGL_H],Sheet1!A:A)</f>
        <v>45481</v>
      </c>
      <c r="AM64" s="6">
        <f ca="1">INDEX(NOTA[TGL.NOTA_H],Sheet1!A:A)</f>
        <v>45476</v>
      </c>
      <c r="AO64" t="str">
        <f>IF(INDEX(NOTA[Column10],A:A)="","",INDEX(NOTA[Column10],A:A))</f>
        <v/>
      </c>
      <c r="AP64" t="str">
        <f ca="1">INDEX(NOTA[NO.NOTA_H],Sheet1!A:A)</f>
        <v>24/VII/058</v>
      </c>
      <c r="AQ64">
        <f>INDEX(NOTA[Column10],Sheet1!A:A)</f>
        <v>0</v>
      </c>
      <c r="AR64" s="8" t="str">
        <f ca="1">INDEX(NOTA[SUPPLIER_H],Sheet1!A:A)</f>
        <v>MSI</v>
      </c>
      <c r="AS64" t="str">
        <f>Table17[[#This Row],[NAMA_C]]</f>
        <v>BP GEL ZUI XUA HY-1020 HITAM</v>
      </c>
      <c r="AT64" t="str">
        <f ca="1">Table17[[#This Row],[SUPPLIER]]</f>
        <v>MSI</v>
      </c>
      <c r="AU64" t="str">
        <f>SUBSTITUTE(Table17[[#This Row],[CTN]],",",".")</f>
        <v>30</v>
      </c>
      <c r="AV64" s="13" t="str">
        <f>Table17[[#This Row],[ISI_C]]</f>
        <v>192</v>
      </c>
      <c r="AW64" t="str">
        <f>Table17[[#This Row],[SATUAN_C]]</f>
        <v>LSN</v>
      </c>
      <c r="AX64">
        <f>Table17[[#This Row],[HARGA CONV2]]</f>
        <v>10000</v>
      </c>
      <c r="AY64" s="9" t="str">
        <f>SUBSTITUTE(Table17[[#This Row],[DISC 3]],",",".")</f>
        <v/>
      </c>
      <c r="AZ64" s="6">
        <f ca="1">Table17[[#This Row],[TGL DATANG]]</f>
        <v>45481</v>
      </c>
      <c r="BA64" s="6">
        <f ca="1">Table17[[#This Row],[Column10]]</f>
        <v>45476</v>
      </c>
      <c r="BB64" s="7"/>
      <c r="BC64" t="str">
        <f>Table17[[#This Row],[KETERANGAN CONDRO]]</f>
        <v/>
      </c>
      <c r="BD64" t="str">
        <f ca="1">Table17[[#This Row],[Column6]]</f>
        <v>24/VII/058</v>
      </c>
    </row>
    <row r="65" spans="1:56">
      <c r="A65" s="55">
        <v>85</v>
      </c>
      <c r="C65">
        <f>INDEX(NOTA[//DB],Sheet1!A:A)</f>
        <v>1987</v>
      </c>
      <c r="D65">
        <f>_xlfn.IFNA(MATCH(Table17[[#This Row],[//db]],[3]!Table2[\\],0),"")</f>
        <v>1625</v>
      </c>
      <c r="E65" t="str">
        <f>INDEX([3]!db[NB NOTA],Table17[[#This Row],[//db]])</f>
        <v>LILIN SHINTOENG 12 BTG</v>
      </c>
      <c r="F65" t="str">
        <f>INDEX([3]!db[NB BM],Table17[[#This Row],[//db]])</f>
        <v>LILIN SHINTOENG 12 BATANG</v>
      </c>
      <c r="G65" t="str">
        <f>IF(Table17[[#This Row],[dbconcat]]="","",INDEX([3]!Table2[NAMA],Table17[[#This Row],[dbconcat]]))</f>
        <v>LILIN SHINTOENG 12 BATANG</v>
      </c>
      <c r="H65" t="str">
        <f>INDEX([3]!Table2[KODE BARANG],Table17[[#This Row],[dbconcat]])</f>
        <v>LIL-SH4</v>
      </c>
      <c r="I65" t="str">
        <f>IF(Table17[[#This Row],[NAMA_3]]="",UPPER(Table17[[#This Row],[NAMA_2]]),Table17[[#This Row],[NAMA_3]])</f>
        <v>LILIN SHINTOENG 12 BATANG</v>
      </c>
      <c r="J65">
        <f>INDEX(NOTA[QTY],Sheet1!A:A)</f>
        <v>2</v>
      </c>
      <c r="K65" t="str">
        <f>INDEX(NOTA[STN],Sheet1!A:A)</f>
        <v>LSN</v>
      </c>
      <c r="L65" t="str">
        <f>INDEX([3]!db[QTY B],Table17[[#This Row],[//db]])</f>
        <v>50</v>
      </c>
      <c r="M65" t="str">
        <f>INDEX([3]!db[STN B],Table17[[#This Row],[//db]])</f>
        <v>LSN</v>
      </c>
      <c r="N65" t="str">
        <f>IF(Table17[[#This Row],[SATUAN NOTA]]=Table17[[#This Row],[SATUAN DB]],"", MATCH(CONCATENATE(Table17[[#This Row],[SATUAN NOTA]],Table17[[#This Row],[SATUAN DB]]),Table2[4],0))</f>
        <v/>
      </c>
      <c r="O65" t="str" cm="1">
        <f t="array" ref="O65">IF(Table17[[#This Row],[//CONV]]="","",INDEX(Table2[3],Table17[[#This Row],[//CONV]]))</f>
        <v/>
      </c>
      <c r="P65" t="str">
        <f>IF(Table17[[#This Row],[//CONV]]="",Table17[[#This Row],[ISI DB]],Table17[[#This Row],[ISI NOTA]]*Table17[[#This Row],[CONV VAR]])</f>
        <v>50</v>
      </c>
      <c r="Q65" t="str" cm="1">
        <f t="array" ref="Q65">IF(Table17[[#This Row],[//CONV]]="",Table17[[#This Row],[SATUAN DB]],INDEX(Table2[2],Table17[[#This Row],[//CONV]]))</f>
        <v>LSN</v>
      </c>
      <c r="R65" cm="1">
        <f t="array" ref="R65">IF(Table17[[#This Row],[dbconcat]]="","",INDEX([3]!Table2[ISI],Table17[[#This Row],[dbconcat]]))</f>
        <v>50</v>
      </c>
      <c r="S65" t="str" cm="1">
        <f t="array" ref="S65">IF(Table17[[#This Row],[dbconcat]]="","",INDEX([3]!Table2[[SATUAN ]],Table17[[#This Row],[dbconcat]]))</f>
        <v>LSN</v>
      </c>
      <c r="T65" t="str">
        <f>IF(Table17[[#This Row],[SATUAN S]]="","",IF(_xlfn.NUMBERVALUE(Table17[[#This Row],[ISI DB]])=_xlfn.NUMBERVALUE(Table17[[#This Row],[ISI S]]),"",1))</f>
        <v/>
      </c>
      <c r="U65" t="str">
        <f>IF(Table17[[#This Row],[SATUAN S]]="","",IF(Table17[[#This Row],[SATUAN DB]]=Table17[[#This Row],[SATUAN S]],"",1))</f>
        <v/>
      </c>
      <c r="V65" t="str">
        <f>IF(Table17[[#This Row],[CEK STN S]]="","",MATCH(CONCATENATE(Table17[[#This Row],[SATUAN CONV]],Table17[[#This Row],[SATUAN S]]),Table2[4],0))</f>
        <v/>
      </c>
      <c r="X65" t="str" cm="1">
        <f t="array" ref="X65">IF(Table17[[#This Row],[CONV2_//]]="","",INDEX(Table2[3],Table17[[#This Row],[CONV2_//]]))</f>
        <v/>
      </c>
      <c r="Y65" s="2" t="str">
        <f>IF(Table17[[#This Row],[CEK ISI S]]="",Table17[[#This Row],[ISI DB]],Table17[[#This Row],[ISI S]])</f>
        <v>50</v>
      </c>
      <c r="Z65" t="str">
        <f>IF(Table17[[#This Row],[CEK STN S]]="",Table17[[#This Row],[SATUAN DB]],Table17[[#This Row],[SATUAN S]])</f>
        <v>LSN</v>
      </c>
      <c r="AA65">
        <f>IF(Table17[[#This Row],[//CONV]]="",Table17[[#This Row],[ISI NOTA]]/Table17[[#This Row],[ISI_C]],Table17[[#This Row],[ISI DB CONV]]/Table17[[#This Row],[ISI_C]])</f>
        <v>0.04</v>
      </c>
      <c r="AB65">
        <f>INDEX(NOTA[HARGA SATUAN],Sheet1!A:A)</f>
        <v>39000</v>
      </c>
      <c r="AC65">
        <f>IF(Table17[[#This Row],[//CONV]]="",Table17[[#This Row],[HARGA NOTA]],Table17[[#This Row],[HARGA NOTA]]/Table17[[#This Row],[CONV VAR]])</f>
        <v>39000</v>
      </c>
      <c r="AD65">
        <f>IF(Table17[[#This Row],[CEK STN S]]="",Table17[[#This Row],[HARGA CONV]],Table17[[#This Row],[HARGA CONV]]/Table17[[#This Row],[CONV2 VAR]])</f>
        <v>39000</v>
      </c>
      <c r="AE65" s="3" t="str">
        <f>IF(INDEX(NOTA[Column6],Sheet1!A:A)=0,"",INDEX(NOTA[Column6],Sheet1!A:A))</f>
        <v/>
      </c>
      <c r="AF65" s="3" t="str">
        <f>IF(INDEX(NOTA[Column7],Sheet1!A:A)=0,"",INDEX(NOTA[Column7],Sheet1!A:A))</f>
        <v/>
      </c>
      <c r="AG6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5" s="4">
        <f>INDEX(NOTA[HARGA/ CTN_H],Sheet1!A:A)</f>
        <v>78000</v>
      </c>
      <c r="AI65" s="4">
        <f>IF(Table17[[#This Row],[DISC 3]]="",Table17[[#This Row],[HRG / CTN]],Table17[[#This Row],[HRG / CTN]]-(Table17[[#This Row],[HRG / CTN]]*Table17[[#This Row],[DISC 3]]))</f>
        <v>78000</v>
      </c>
      <c r="AJ65" s="5" t="e">
        <f>IF(#REF!&lt;1,Table17[[#This Row],[Column9]],Table17[[#This Row],[Column9]]*#REF!)</f>
        <v>#REF!</v>
      </c>
      <c r="AK65" s="4" t="str">
        <f ca="1">IF(NOT(AP66=Table17[[#This Row],[Column6]]),SUMIF(Table17[Column6],Table17[[#This Row],[Column6]],Table17[Column7]),"")</f>
        <v/>
      </c>
      <c r="AL65" s="6">
        <f ca="1">INDEX(NOTA[TGL_H],Sheet1!A:A)</f>
        <v>45483</v>
      </c>
      <c r="AM65" s="6">
        <f ca="1">INDEX(NOTA[TGL.NOTA_H],Sheet1!A:A)</f>
        <v>45483</v>
      </c>
      <c r="AO65" t="str">
        <f>IF(INDEX(NOTA[Column10],A:A)="","",INDEX(NOTA[Column10],A:A))</f>
        <v/>
      </c>
      <c r="AP65" t="str">
        <f ca="1">INDEX(NOTA[NO.NOTA_H],Sheet1!A:A)</f>
        <v>HN072024137</v>
      </c>
      <c r="AQ65">
        <f>INDEX(NOTA[Column10],Sheet1!A:A)</f>
        <v>0</v>
      </c>
      <c r="AR65" s="8" t="str">
        <f ca="1">INDEX(NOTA[SUPPLIER_H],Sheet1!A:A)</f>
        <v>HANSA</v>
      </c>
      <c r="AS65" t="str">
        <f>Table17[[#This Row],[NAMA_C]]</f>
        <v>LILIN SHINTOENG 12 BATANG</v>
      </c>
      <c r="AT65" t="str">
        <f ca="1">Table17[[#This Row],[SUPPLIER]]</f>
        <v>HANSA</v>
      </c>
      <c r="AU65" t="str">
        <f>SUBSTITUTE(Table17[[#This Row],[CTN]],",",".")</f>
        <v>0.04</v>
      </c>
      <c r="AV65" s="13" t="str">
        <f>Table17[[#This Row],[ISI_C]]</f>
        <v>50</v>
      </c>
      <c r="AW65" t="str">
        <f>Table17[[#This Row],[SATUAN_C]]</f>
        <v>LSN</v>
      </c>
      <c r="AX65">
        <f>Table17[[#This Row],[HARGA CONV2]]</f>
        <v>39000</v>
      </c>
      <c r="AY65" s="9" t="str">
        <f>SUBSTITUTE(Table17[[#This Row],[DISC 3]],",",".")</f>
        <v/>
      </c>
      <c r="AZ65" s="6">
        <f ca="1">Table17[[#This Row],[TGL DATANG]]</f>
        <v>45483</v>
      </c>
      <c r="BA65" s="6">
        <f ca="1">Table17[[#This Row],[Column10]]</f>
        <v>45483</v>
      </c>
      <c r="BB65" s="7"/>
      <c r="BC65" t="str">
        <f>Table17[[#This Row],[KETERANGAN CONDRO]]</f>
        <v/>
      </c>
      <c r="BD65" t="str">
        <f ca="1">Table17[[#This Row],[Column6]]</f>
        <v>HN072024137</v>
      </c>
    </row>
    <row r="66" spans="1:56">
      <c r="A66" s="55">
        <v>86</v>
      </c>
      <c r="C66">
        <f>INDEX(NOTA[//DB],Sheet1!A:A)</f>
        <v>1988</v>
      </c>
      <c r="D66">
        <f>_xlfn.IFNA(MATCH(Table17[[#This Row],[//db]],[3]!Table2[\\],0),"")</f>
        <v>1626</v>
      </c>
      <c r="E66" t="str">
        <f>INDEX([3]!db[NB NOTA],Table17[[#This Row],[//db]])</f>
        <v>LILIN SHINTOENG 24 BTG</v>
      </c>
      <c r="F66" t="str">
        <f>INDEX([3]!db[NB BM],Table17[[#This Row],[//db]])</f>
        <v>Lilin Shintoeng 24 BATANG</v>
      </c>
      <c r="G66" t="str">
        <f>IF(Table17[[#This Row],[dbconcat]]="","",INDEX([3]!Table2[NAMA],Table17[[#This Row],[dbconcat]]))</f>
        <v>LILIN SHINTOENG 24 BATANG</v>
      </c>
      <c r="H66" t="str">
        <f>INDEX([3]!Table2[KODE BARANG],Table17[[#This Row],[dbconcat]])</f>
        <v>LIL-SH6</v>
      </c>
      <c r="I66" t="str">
        <f>IF(Table17[[#This Row],[NAMA_3]]="",UPPER(Table17[[#This Row],[NAMA_2]]),Table17[[#This Row],[NAMA_3]])</f>
        <v>LILIN SHINTOENG 24 BATANG</v>
      </c>
      <c r="J66">
        <f>INDEX(NOTA[QTY],Sheet1!A:A)</f>
        <v>2</v>
      </c>
      <c r="K66" t="str">
        <f>INDEX(NOTA[STN],Sheet1!A:A)</f>
        <v>LSN</v>
      </c>
      <c r="L66" t="str">
        <f>INDEX([3]!db[QTY B],Table17[[#This Row],[//db]])</f>
        <v>40</v>
      </c>
      <c r="M66" t="str">
        <f>INDEX([3]!db[STN B],Table17[[#This Row],[//db]])</f>
        <v>LSN</v>
      </c>
      <c r="N66" t="str">
        <f>IF(Table17[[#This Row],[SATUAN NOTA]]=Table17[[#This Row],[SATUAN DB]],"", MATCH(CONCATENATE(Table17[[#This Row],[SATUAN NOTA]],Table17[[#This Row],[SATUAN DB]]),Table2[4],0))</f>
        <v/>
      </c>
      <c r="O66" t="str" cm="1">
        <f t="array" ref="O66">IF(Table17[[#This Row],[//CONV]]="","",INDEX(Table2[3],Table17[[#This Row],[//CONV]]))</f>
        <v/>
      </c>
      <c r="P66" t="str">
        <f>IF(Table17[[#This Row],[//CONV]]="",Table17[[#This Row],[ISI DB]],Table17[[#This Row],[ISI NOTA]]*Table17[[#This Row],[CONV VAR]])</f>
        <v>40</v>
      </c>
      <c r="Q66" t="str" cm="1">
        <f t="array" ref="Q66">IF(Table17[[#This Row],[//CONV]]="",Table17[[#This Row],[SATUAN DB]],INDEX(Table2[2],Table17[[#This Row],[//CONV]]))</f>
        <v>LSN</v>
      </c>
      <c r="R66" cm="1">
        <f t="array" ref="R66">IF(Table17[[#This Row],[dbconcat]]="","",INDEX([3]!Table2[ISI],Table17[[#This Row],[dbconcat]]))</f>
        <v>40</v>
      </c>
      <c r="S66" t="str" cm="1">
        <f t="array" ref="S66">IF(Table17[[#This Row],[dbconcat]]="","",INDEX([3]!Table2[[SATUAN ]],Table17[[#This Row],[dbconcat]]))</f>
        <v>LSN</v>
      </c>
      <c r="T66" t="str">
        <f>IF(Table17[[#This Row],[SATUAN S]]="","",IF(_xlfn.NUMBERVALUE(Table17[[#This Row],[ISI DB]])=_xlfn.NUMBERVALUE(Table17[[#This Row],[ISI S]]),"",1))</f>
        <v/>
      </c>
      <c r="U66" t="str">
        <f>IF(Table17[[#This Row],[SATUAN S]]="","",IF(Table17[[#This Row],[SATUAN DB]]=Table17[[#This Row],[SATUAN S]],"",1))</f>
        <v/>
      </c>
      <c r="V66" t="str">
        <f>IF(Table17[[#This Row],[CEK STN S]]="","",MATCH(CONCATENATE(Table17[[#This Row],[SATUAN CONV]],Table17[[#This Row],[SATUAN S]]),Table2[4],0))</f>
        <v/>
      </c>
      <c r="X66" t="str" cm="1">
        <f t="array" ref="X66">IF(Table17[[#This Row],[CONV2_//]]="","",INDEX(Table2[3],Table17[[#This Row],[CONV2_//]]))</f>
        <v/>
      </c>
      <c r="Y66" s="2" t="str">
        <f>IF(Table17[[#This Row],[CEK ISI S]]="",Table17[[#This Row],[ISI DB]],Table17[[#This Row],[ISI S]])</f>
        <v>40</v>
      </c>
      <c r="Z66" t="str">
        <f>IF(Table17[[#This Row],[CEK STN S]]="",Table17[[#This Row],[SATUAN DB]],Table17[[#This Row],[SATUAN S]])</f>
        <v>LSN</v>
      </c>
      <c r="AA66">
        <f>IF(Table17[[#This Row],[//CONV]]="",Table17[[#This Row],[ISI NOTA]]/Table17[[#This Row],[ISI_C]],Table17[[#This Row],[ISI DB CONV]]/Table17[[#This Row],[ISI_C]])</f>
        <v>0.05</v>
      </c>
      <c r="AB66">
        <f>INDEX(NOTA[HARGA SATUAN],Sheet1!A:A)</f>
        <v>41000</v>
      </c>
      <c r="AC66">
        <f>IF(Table17[[#This Row],[//CONV]]="",Table17[[#This Row],[HARGA NOTA]],Table17[[#This Row],[HARGA NOTA]]/Table17[[#This Row],[CONV VAR]])</f>
        <v>41000</v>
      </c>
      <c r="AD66">
        <f>IF(Table17[[#This Row],[CEK STN S]]="",Table17[[#This Row],[HARGA CONV]],Table17[[#This Row],[HARGA CONV]]/Table17[[#This Row],[CONV2 VAR]])</f>
        <v>41000</v>
      </c>
      <c r="AE66" s="3" t="str">
        <f>IF(INDEX(NOTA[Column6],Sheet1!A:A)=0,"",INDEX(NOTA[Column6],Sheet1!A:A))</f>
        <v/>
      </c>
      <c r="AF66" s="3" t="str">
        <f>IF(INDEX(NOTA[Column7],Sheet1!A:A)=0,"",INDEX(NOTA[Column7],Sheet1!A:A))</f>
        <v/>
      </c>
      <c r="AG6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6" s="4">
        <f>INDEX(NOTA[HARGA/ CTN_H],Sheet1!A:A)</f>
        <v>82000</v>
      </c>
      <c r="AI66" s="4">
        <f>IF(Table17[[#This Row],[DISC 3]]="",Table17[[#This Row],[HRG / CTN]],Table17[[#This Row],[HRG / CTN]]-(Table17[[#This Row],[HRG / CTN]]*Table17[[#This Row],[DISC 3]]))</f>
        <v>82000</v>
      </c>
      <c r="AJ66" s="5" t="e">
        <f>IF(#REF!&lt;1,Table17[[#This Row],[Column9]],Table17[[#This Row],[Column9]]*#REF!)</f>
        <v>#REF!</v>
      </c>
      <c r="AK66" s="4" t="str">
        <f ca="1">IF(NOT(AP67=Table17[[#This Row],[Column6]]),SUMIF(Table17[Column6],Table17[[#This Row],[Column6]],Table17[Column7]),"")</f>
        <v/>
      </c>
      <c r="AL66" s="6">
        <f ca="1">INDEX(NOTA[TGL_H],Sheet1!A:A)</f>
        <v>45483</v>
      </c>
      <c r="AM66" s="6">
        <f ca="1">INDEX(NOTA[TGL.NOTA_H],Sheet1!A:A)</f>
        <v>45483</v>
      </c>
      <c r="AO66" t="str">
        <f>IF(INDEX(NOTA[Column10],A:A)="","",INDEX(NOTA[Column10],A:A))</f>
        <v/>
      </c>
      <c r="AP66" t="str">
        <f ca="1">INDEX(NOTA[NO.NOTA_H],Sheet1!A:A)</f>
        <v>HN072024137</v>
      </c>
      <c r="AQ66">
        <f>INDEX(NOTA[Column10],Sheet1!A:A)</f>
        <v>0</v>
      </c>
      <c r="AR66" s="8" t="str">
        <f ca="1">INDEX(NOTA[SUPPLIER_H],Sheet1!A:A)</f>
        <v>HANSA</v>
      </c>
      <c r="AS66" t="str">
        <f>Table17[[#This Row],[NAMA_C]]</f>
        <v>LILIN SHINTOENG 24 BATANG</v>
      </c>
      <c r="AT66" t="str">
        <f ca="1">Table17[[#This Row],[SUPPLIER]]</f>
        <v>HANSA</v>
      </c>
      <c r="AU66" t="str">
        <f>SUBSTITUTE(Table17[[#This Row],[CTN]],",",".")</f>
        <v>0.05</v>
      </c>
      <c r="AV66" s="13" t="str">
        <f>Table17[[#This Row],[ISI_C]]</f>
        <v>40</v>
      </c>
      <c r="AW66" t="str">
        <f>Table17[[#This Row],[SATUAN_C]]</f>
        <v>LSN</v>
      </c>
      <c r="AX66">
        <f>Table17[[#This Row],[HARGA CONV2]]</f>
        <v>41000</v>
      </c>
      <c r="AY66" s="9" t="str">
        <f>SUBSTITUTE(Table17[[#This Row],[DISC 3]],",",".")</f>
        <v/>
      </c>
      <c r="AZ66" s="6">
        <f ca="1">Table17[[#This Row],[TGL DATANG]]</f>
        <v>45483</v>
      </c>
      <c r="BA66" s="6">
        <f ca="1">Table17[[#This Row],[Column10]]</f>
        <v>45483</v>
      </c>
      <c r="BB66" s="7"/>
      <c r="BC66" t="str">
        <f>Table17[[#This Row],[KETERANGAN CONDRO]]</f>
        <v/>
      </c>
      <c r="BD66" t="str">
        <f ca="1">Table17[[#This Row],[Column6]]</f>
        <v>HN072024137</v>
      </c>
    </row>
    <row r="67" spans="1:56">
      <c r="A67" s="55">
        <v>87</v>
      </c>
      <c r="C67">
        <f>INDEX(NOTA[//DB],Sheet1!A:A)</f>
        <v>1963</v>
      </c>
      <c r="D67" t="str">
        <f>_xlfn.IFNA(MATCH(Table17[[#This Row],[//db]],[3]!Table2[\\],0),"")</f>
        <v/>
      </c>
      <c r="E67" t="str">
        <f>INDEX([3]!db[NB NOTA],Table17[[#This Row],[//db]])</f>
        <v>LILIN ANGKA SHINTOENG</v>
      </c>
      <c r="F67" t="str">
        <f>INDEX([3]!db[NB BM],Table17[[#This Row],[//db]])</f>
        <v>Lilin Angka Shintoeng</v>
      </c>
      <c r="G67" t="str">
        <f>IF(Table17[[#This Row],[dbconcat]]="","",INDEX([3]!Table2[NAMA],Table17[[#This Row],[dbconcat]]))</f>
        <v/>
      </c>
      <c r="H67" t="e">
        <f>INDEX([3]!Table2[KODE BARANG],Table17[[#This Row],[dbconcat]])</f>
        <v>#VALUE!</v>
      </c>
      <c r="I67" t="str">
        <f>IF(Table17[[#This Row],[NAMA_3]]="",UPPER(Table17[[#This Row],[NAMA_2]]),Table17[[#This Row],[NAMA_3]])</f>
        <v>LILIN ANGKA SHINTOENG</v>
      </c>
      <c r="J67">
        <f>INDEX(NOTA[QTY],Sheet1!A:A)</f>
        <v>6</v>
      </c>
      <c r="K67" t="str">
        <f>INDEX(NOTA[STN],Sheet1!A:A)</f>
        <v>LSN</v>
      </c>
      <c r="L67" t="str">
        <f>INDEX([3]!db[QTY B],Table17[[#This Row],[//db]])</f>
        <v>100</v>
      </c>
      <c r="M67" t="str">
        <f>INDEX([3]!db[STN B],Table17[[#This Row],[//db]])</f>
        <v>LSN</v>
      </c>
      <c r="N67" t="str">
        <f>IF(Table17[[#This Row],[SATUAN NOTA]]=Table17[[#This Row],[SATUAN DB]],"", MATCH(CONCATENATE(Table17[[#This Row],[SATUAN NOTA]],Table17[[#This Row],[SATUAN DB]]),Table2[4],0))</f>
        <v/>
      </c>
      <c r="O67" t="str" cm="1">
        <f t="array" ref="O67">IF(Table17[[#This Row],[//CONV]]="","",INDEX(Table2[3],Table17[[#This Row],[//CONV]]))</f>
        <v/>
      </c>
      <c r="P67" t="str">
        <f>IF(Table17[[#This Row],[//CONV]]="",Table17[[#This Row],[ISI DB]],Table17[[#This Row],[ISI NOTA]]*Table17[[#This Row],[CONV VAR]])</f>
        <v>100</v>
      </c>
      <c r="Q67" t="str" cm="1">
        <f t="array" ref="Q67">IF(Table17[[#This Row],[//CONV]]="",Table17[[#This Row],[SATUAN DB]],INDEX(Table2[2],Table17[[#This Row],[//CONV]]))</f>
        <v>LSN</v>
      </c>
      <c r="R67" t="str" cm="1">
        <f t="array" ref="R67">IF(Table17[[#This Row],[dbconcat]]="","",INDEX([3]!Table2[ISI],Table17[[#This Row],[dbconcat]]))</f>
        <v/>
      </c>
      <c r="S67" t="str" cm="1">
        <f t="array" ref="S67">IF(Table17[[#This Row],[dbconcat]]="","",INDEX([3]!Table2[[SATUAN ]],Table17[[#This Row],[dbconcat]]))</f>
        <v/>
      </c>
      <c r="T67" t="str">
        <f>IF(Table17[[#This Row],[SATUAN S]]="","",IF(_xlfn.NUMBERVALUE(Table17[[#This Row],[ISI DB]])=_xlfn.NUMBERVALUE(Table17[[#This Row],[ISI S]]),"",1))</f>
        <v/>
      </c>
      <c r="U67" t="str">
        <f>IF(Table17[[#This Row],[SATUAN S]]="","",IF(Table17[[#This Row],[SATUAN DB]]=Table17[[#This Row],[SATUAN S]],"",1))</f>
        <v/>
      </c>
      <c r="V67" t="str">
        <f>IF(Table17[[#This Row],[CEK STN S]]="","",MATCH(CONCATENATE(Table17[[#This Row],[SATUAN CONV]],Table17[[#This Row],[SATUAN S]]),Table2[4],0))</f>
        <v/>
      </c>
      <c r="X67" t="str" cm="1">
        <f t="array" ref="X67">IF(Table17[[#This Row],[CONV2_//]]="","",INDEX(Table2[3],Table17[[#This Row],[CONV2_//]]))</f>
        <v/>
      </c>
      <c r="Y67" s="2" t="str">
        <f>IF(Table17[[#This Row],[CEK ISI S]]="",Table17[[#This Row],[ISI DB]],Table17[[#This Row],[ISI S]])</f>
        <v>100</v>
      </c>
      <c r="Z67" t="str">
        <f>IF(Table17[[#This Row],[CEK STN S]]="",Table17[[#This Row],[SATUAN DB]],Table17[[#This Row],[SATUAN S]])</f>
        <v>LSN</v>
      </c>
      <c r="AA67">
        <f>IF(Table17[[#This Row],[//CONV]]="",Table17[[#This Row],[ISI NOTA]]/Table17[[#This Row],[ISI_C]],Table17[[#This Row],[ISI DB CONV]]/Table17[[#This Row],[ISI_C]])</f>
        <v>0.06</v>
      </c>
      <c r="AB67">
        <f>INDEX(NOTA[HARGA SATUAN],Sheet1!A:A)</f>
        <v>13000</v>
      </c>
      <c r="AC67">
        <f>IF(Table17[[#This Row],[//CONV]]="",Table17[[#This Row],[HARGA NOTA]],Table17[[#This Row],[HARGA NOTA]]/Table17[[#This Row],[CONV VAR]])</f>
        <v>13000</v>
      </c>
      <c r="AD67">
        <f>IF(Table17[[#This Row],[CEK STN S]]="",Table17[[#This Row],[HARGA CONV]],Table17[[#This Row],[HARGA CONV]]/Table17[[#This Row],[CONV2 VAR]])</f>
        <v>13000</v>
      </c>
      <c r="AE67" s="3" t="str">
        <f>IF(INDEX(NOTA[Column6],Sheet1!A:A)=0,"",INDEX(NOTA[Column6],Sheet1!A:A))</f>
        <v/>
      </c>
      <c r="AF67" s="3" t="str">
        <f>IF(INDEX(NOTA[Column7],Sheet1!A:A)=0,"",INDEX(NOTA[Column7],Sheet1!A:A))</f>
        <v/>
      </c>
      <c r="AG6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7" s="4">
        <f>INDEX(NOTA[HARGA/ CTN_H],Sheet1!A:A)</f>
        <v>78000</v>
      </c>
      <c r="AI67" s="4">
        <f>IF(Table17[[#This Row],[DISC 3]]="",Table17[[#This Row],[HRG / CTN]],Table17[[#This Row],[HRG / CTN]]-(Table17[[#This Row],[HRG / CTN]]*Table17[[#This Row],[DISC 3]]))</f>
        <v>78000</v>
      </c>
      <c r="AJ67" s="5" t="e">
        <f>IF(#REF!&lt;1,Table17[[#This Row],[Column9]],Table17[[#This Row],[Column9]]*#REF!)</f>
        <v>#REF!</v>
      </c>
      <c r="AK67" s="4" t="e">
        <f ca="1">IF(NOT(AP68=Table17[[#This Row],[Column6]]),SUMIF(Table17[Column6],Table17[[#This Row],[Column6]],Table17[Column7]),"")</f>
        <v>#REF!</v>
      </c>
      <c r="AL67" s="6">
        <f ca="1">INDEX(NOTA[TGL_H],Sheet1!A:A)</f>
        <v>45483</v>
      </c>
      <c r="AM67" s="6">
        <f ca="1">INDEX(NOTA[TGL.NOTA_H],Sheet1!A:A)</f>
        <v>45483</v>
      </c>
      <c r="AO67" t="str">
        <f>IF(INDEX(NOTA[Column10],A:A)="","",INDEX(NOTA[Column10],A:A))</f>
        <v>NO 1/2/7 @2LSN</v>
      </c>
      <c r="AP67" t="str">
        <f ca="1">INDEX(NOTA[NO.NOTA_H],Sheet1!A:A)</f>
        <v>HN072024137</v>
      </c>
      <c r="AQ67" t="str">
        <f>INDEX(NOTA[Column10],Sheet1!A:A)</f>
        <v>NO 1/2/7 @2LSN</v>
      </c>
      <c r="AR67" s="8" t="str">
        <f ca="1">INDEX(NOTA[SUPPLIER_H],Sheet1!A:A)</f>
        <v>HANSA</v>
      </c>
      <c r="AS67" t="str">
        <f>Table17[[#This Row],[NAMA_C]]</f>
        <v>LILIN ANGKA SHINTOENG</v>
      </c>
      <c r="AT67" t="str">
        <f ca="1">Table17[[#This Row],[SUPPLIER]]</f>
        <v>HANSA</v>
      </c>
      <c r="AU67" t="str">
        <f>SUBSTITUTE(Table17[[#This Row],[CTN]],",",".")</f>
        <v>0.06</v>
      </c>
      <c r="AV67" s="13" t="str">
        <f>Table17[[#This Row],[ISI_C]]</f>
        <v>100</v>
      </c>
      <c r="AW67" t="str">
        <f>Table17[[#This Row],[SATUAN_C]]</f>
        <v>LSN</v>
      </c>
      <c r="AX67">
        <f>Table17[[#This Row],[HARGA CONV2]]</f>
        <v>13000</v>
      </c>
      <c r="AY67" s="9" t="str">
        <f>SUBSTITUTE(Table17[[#This Row],[DISC 3]],",",".")</f>
        <v/>
      </c>
      <c r="AZ67" s="6">
        <f ca="1">Table17[[#This Row],[TGL DATANG]]</f>
        <v>45483</v>
      </c>
      <c r="BA67" s="6">
        <f ca="1">Table17[[#This Row],[Column10]]</f>
        <v>45483</v>
      </c>
      <c r="BB67" s="7"/>
      <c r="BC67" t="str">
        <f>Table17[[#This Row],[KETERANGAN CONDRO]]</f>
        <v>NO 1/2/7 @2LSN</v>
      </c>
      <c r="BD67" t="str">
        <f ca="1">Table17[[#This Row],[Column6]]</f>
        <v>HN072024137</v>
      </c>
    </row>
    <row r="68" spans="1:56">
      <c r="A68" s="55">
        <v>89</v>
      </c>
      <c r="C68">
        <f>INDEX(NOTA[//DB],Sheet1!A:A)</f>
        <v>3453</v>
      </c>
      <c r="D68">
        <f>_xlfn.IFNA(MATCH(Table17[[#This Row],[//db]],[3]!Table2[\\],0),"")</f>
        <v>1478</v>
      </c>
      <c r="E68" t="str">
        <f>INDEX([3]!db[NB NOTA],Table17[[#This Row],[//db]])</f>
        <v>KARET PENTIL MINI SWAN (KECIL</v>
      </c>
      <c r="F68" t="str">
        <f>INDEX([3]!db[NB BM],Table17[[#This Row],[//db]])</f>
        <v>KARET PENTIL MINI SWAN KECIL</v>
      </c>
      <c r="G68" t="str">
        <f>IF(Table17[[#This Row],[dbconcat]]="","",INDEX([3]!Table2[NAMA],Table17[[#This Row],[dbconcat]]))</f>
        <v>KARET PENTIL MINI SWAN KECIL</v>
      </c>
      <c r="H68" t="str">
        <f>INDEX([3]!Table2[KODE BARANG],Table17[[#This Row],[dbconcat]])</f>
        <v>KAR-NB4</v>
      </c>
      <c r="I68" t="str">
        <f>IF(Table17[[#This Row],[NAMA_3]]="",UPPER(Table17[[#This Row],[NAMA_2]]),Table17[[#This Row],[NAMA_3]])</f>
        <v>KARET PENTIL MINI SWAN KECIL</v>
      </c>
      <c r="J68">
        <f>INDEX(NOTA[QTY],Sheet1!A:A)</f>
        <v>1000</v>
      </c>
      <c r="K68" t="str">
        <f>INDEX(NOTA[STN],Sheet1!A:A)</f>
        <v>PAK</v>
      </c>
      <c r="L68" t="str">
        <f>INDEX([3]!db[QTY B],Table17[[#This Row],[//db]])</f>
        <v>500</v>
      </c>
      <c r="M68" t="str">
        <f>INDEX([3]!db[STN B],Table17[[#This Row],[//db]])</f>
        <v>PAK</v>
      </c>
      <c r="N68" t="str">
        <f>IF(Table17[[#This Row],[SATUAN NOTA]]=Table17[[#This Row],[SATUAN DB]],"", MATCH(CONCATENATE(Table17[[#This Row],[SATUAN NOTA]],Table17[[#This Row],[SATUAN DB]]),Table2[4],0))</f>
        <v/>
      </c>
      <c r="O68" t="str" cm="1">
        <f t="array" ref="O68">IF(Table17[[#This Row],[//CONV]]="","",INDEX(Table2[3],Table17[[#This Row],[//CONV]]))</f>
        <v/>
      </c>
      <c r="P68" t="str">
        <f>IF(Table17[[#This Row],[//CONV]]="",Table17[[#This Row],[ISI DB]],Table17[[#This Row],[ISI NOTA]]*Table17[[#This Row],[CONV VAR]])</f>
        <v>500</v>
      </c>
      <c r="Q68" t="str" cm="1">
        <f t="array" ref="Q68">IF(Table17[[#This Row],[//CONV]]="",Table17[[#This Row],[SATUAN DB]],INDEX(Table2[2],Table17[[#This Row],[//CONV]]))</f>
        <v>PAK</v>
      </c>
      <c r="R68" cm="1">
        <f t="array" ref="R68">IF(Table17[[#This Row],[dbconcat]]="","",INDEX([3]!Table2[ISI],Table17[[#This Row],[dbconcat]]))</f>
        <v>500</v>
      </c>
      <c r="S68" t="str" cm="1">
        <f t="array" ref="S68">IF(Table17[[#This Row],[dbconcat]]="","",INDEX([3]!Table2[[SATUAN ]],Table17[[#This Row],[dbconcat]]))</f>
        <v>PAK</v>
      </c>
      <c r="T68" t="str">
        <f>IF(Table17[[#This Row],[SATUAN S]]="","",IF(_xlfn.NUMBERVALUE(Table17[[#This Row],[ISI DB]])=_xlfn.NUMBERVALUE(Table17[[#This Row],[ISI S]]),"",1))</f>
        <v/>
      </c>
      <c r="U68" t="str">
        <f>IF(Table17[[#This Row],[SATUAN S]]="","",IF(Table17[[#This Row],[SATUAN DB]]=Table17[[#This Row],[SATUAN S]],"",1))</f>
        <v/>
      </c>
      <c r="V68" t="str">
        <f>IF(Table17[[#This Row],[CEK STN S]]="","",MATCH(CONCATENATE(Table17[[#This Row],[SATUAN CONV]],Table17[[#This Row],[SATUAN S]]),Table2[4],0))</f>
        <v/>
      </c>
      <c r="X68" t="str" cm="1">
        <f t="array" ref="X68">IF(Table17[[#This Row],[CONV2_//]]="","",INDEX(Table2[3],Table17[[#This Row],[CONV2_//]]))</f>
        <v/>
      </c>
      <c r="Y68" s="2" t="str">
        <f>IF(Table17[[#This Row],[CEK ISI S]]="",Table17[[#This Row],[ISI DB]],Table17[[#This Row],[ISI S]])</f>
        <v>500</v>
      </c>
      <c r="Z68" t="str">
        <f>IF(Table17[[#This Row],[CEK STN S]]="",Table17[[#This Row],[SATUAN DB]],Table17[[#This Row],[SATUAN S]])</f>
        <v>PAK</v>
      </c>
      <c r="AA68">
        <f>IF(Table17[[#This Row],[//CONV]]="",Table17[[#This Row],[ISI NOTA]]/Table17[[#This Row],[ISI_C]],Table17[[#This Row],[ISI DB CONV]]/Table17[[#This Row],[ISI_C]])</f>
        <v>2</v>
      </c>
      <c r="AB68">
        <f>INDEX(NOTA[HARGA SATUAN],Sheet1!A:A)</f>
        <v>4900</v>
      </c>
      <c r="AC68">
        <f>IF(Table17[[#This Row],[//CONV]]="",Table17[[#This Row],[HARGA NOTA]],Table17[[#This Row],[HARGA NOTA]]/Table17[[#This Row],[CONV VAR]])</f>
        <v>4900</v>
      </c>
      <c r="AD68">
        <f>IF(Table17[[#This Row],[CEK STN S]]="",Table17[[#This Row],[HARGA CONV]],Table17[[#This Row],[HARGA CONV]]/Table17[[#This Row],[CONV2 VAR]])</f>
        <v>4900</v>
      </c>
      <c r="AE68" s="3" t="str">
        <f>IF(INDEX(NOTA[Column6],Sheet1!A:A)=0,"",INDEX(NOTA[Column6],Sheet1!A:A))</f>
        <v/>
      </c>
      <c r="AF68" s="3" t="str">
        <f>IF(INDEX(NOTA[Column7],Sheet1!A:A)=0,"",INDEX(NOTA[Column7],Sheet1!A:A))</f>
        <v/>
      </c>
      <c r="AG6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68" s="4">
        <f>INDEX(NOTA[HARGA/ CTN_H],Sheet1!A:A)</f>
        <v>2450000</v>
      </c>
      <c r="AI68" s="4">
        <f>IF(Table17[[#This Row],[DISC 3]]="",Table17[[#This Row],[HRG / CTN]],Table17[[#This Row],[HRG / CTN]]-(Table17[[#This Row],[HRG / CTN]]*Table17[[#This Row],[DISC 3]]))</f>
        <v>2450000</v>
      </c>
      <c r="AJ68" s="5" t="e">
        <f>IF(#REF!&lt;1,Table17[[#This Row],[Column9]],Table17[[#This Row],[Column9]]*#REF!)</f>
        <v>#REF!</v>
      </c>
      <c r="AK68" s="4" t="e">
        <f ca="1">IF(NOT(AP69=Table17[[#This Row],[Column6]]),SUMIF(Table17[Column6],Table17[[#This Row],[Column6]],Table17[Column7]),"")</f>
        <v>#REF!</v>
      </c>
      <c r="AL68" s="6">
        <f ca="1">INDEX(NOTA[TGL_H],Sheet1!A:A)</f>
        <v>45484</v>
      </c>
      <c r="AM68" s="6">
        <f ca="1">INDEX(NOTA[TGL.NOTA_H],Sheet1!A:A)</f>
        <v>45478</v>
      </c>
      <c r="AO68" t="str">
        <f>IF(INDEX(NOTA[Column10],A:A)="","",INDEX(NOTA[Column10],A:A))</f>
        <v/>
      </c>
      <c r="AP68">
        <f ca="1">INDEX(NOTA[NO.NOTA_H],Sheet1!A:A)</f>
        <v>0</v>
      </c>
      <c r="AQ68">
        <f>INDEX(NOTA[Column10],Sheet1!A:A)</f>
        <v>0</v>
      </c>
      <c r="AR68" s="8" t="str">
        <f ca="1">INDEX(NOTA[SUPPLIER_H],Sheet1!A:A)</f>
        <v>JEFFRY</v>
      </c>
      <c r="AS68" t="str">
        <f>Table17[[#This Row],[NAMA_C]]</f>
        <v>KARET PENTIL MINI SWAN KECIL</v>
      </c>
      <c r="AT68" t="str">
        <f ca="1">Table17[[#This Row],[SUPPLIER]]</f>
        <v>JEFFRY</v>
      </c>
      <c r="AU68" t="str">
        <f>SUBSTITUTE(Table17[[#This Row],[CTN]],",",".")</f>
        <v>2</v>
      </c>
      <c r="AV68" s="13" t="str">
        <f>Table17[[#This Row],[ISI_C]]</f>
        <v>500</v>
      </c>
      <c r="AW68" t="str">
        <f>Table17[[#This Row],[SATUAN_C]]</f>
        <v>PAK</v>
      </c>
      <c r="AX68">
        <f>Table17[[#This Row],[HARGA CONV2]]</f>
        <v>4900</v>
      </c>
      <c r="AY68" s="9" t="str">
        <f>SUBSTITUTE(Table17[[#This Row],[DISC 3]],",",".")</f>
        <v/>
      </c>
      <c r="AZ68" s="6">
        <f ca="1">Table17[[#This Row],[TGL DATANG]]</f>
        <v>45484</v>
      </c>
      <c r="BA68" s="6">
        <f ca="1">Table17[[#This Row],[Column10]]</f>
        <v>45478</v>
      </c>
      <c r="BB68" s="7"/>
      <c r="BC68" t="str">
        <f>Table17[[#This Row],[KETERANGAN CONDRO]]</f>
        <v/>
      </c>
      <c r="BD68">
        <f ca="1">Table17[[#This Row],[Column6]]</f>
        <v>0</v>
      </c>
    </row>
    <row r="69" spans="1:56">
      <c r="A69" s="55">
        <v>91</v>
      </c>
      <c r="C69">
        <f>INDEX(NOTA[//DB],Sheet1!A:A)</f>
        <v>994</v>
      </c>
      <c r="D69">
        <f>_xlfn.IFNA(MATCH(Table17[[#This Row],[//db]],[3]!Table2[\\],0),"")</f>
        <v>458</v>
      </c>
      <c r="E69" t="str">
        <f>INDEX([3]!db[NB NOTA],Table17[[#This Row],[//db]])</f>
        <v>FINETECH GEL PEN 0.3 BLACK</v>
      </c>
      <c r="F69" t="str">
        <f>INDEX([3]!db[NB BM],Table17[[#This Row],[//db]])</f>
        <v>BP Gel Finetech 0.3 hitam</v>
      </c>
      <c r="G69" t="str">
        <f>IF(Table17[[#This Row],[dbconcat]]="","",INDEX([3]!Table2[NAMA],Table17[[#This Row],[dbconcat]]))</f>
        <v>BP GEL FINETECH 0.3 HITAM</v>
      </c>
      <c r="H69" t="str">
        <f>INDEX([3]!Table2[KODE BARANG],Table17[[#This Row],[dbconcat]])</f>
        <v>BOL-FN73</v>
      </c>
      <c r="I69" t="str">
        <f>IF(Table17[[#This Row],[NAMA_3]]="",UPPER(Table17[[#This Row],[NAMA_2]]),Table17[[#This Row],[NAMA_3]])</f>
        <v>BP GEL FINETECH 0.3 HITAM</v>
      </c>
      <c r="J69">
        <f>INDEX(NOTA[QTY],Sheet1!A:A)</f>
        <v>192</v>
      </c>
      <c r="K69" t="str">
        <f>INDEX(NOTA[STN],Sheet1!A:A)</f>
        <v>LSN</v>
      </c>
      <c r="L69" t="str">
        <f>INDEX([3]!db[QTY B],Table17[[#This Row],[//db]])</f>
        <v>96</v>
      </c>
      <c r="M69" t="str">
        <f>INDEX([3]!db[STN B],Table17[[#This Row],[//db]])</f>
        <v>LSN</v>
      </c>
      <c r="N69" t="str">
        <f>IF(Table17[[#This Row],[SATUAN NOTA]]=Table17[[#This Row],[SATUAN DB]],"", MATCH(CONCATENATE(Table17[[#This Row],[SATUAN NOTA]],Table17[[#This Row],[SATUAN DB]]),Table2[4],0))</f>
        <v/>
      </c>
      <c r="O69" t="str" cm="1">
        <f t="array" ref="O69">IF(Table17[[#This Row],[//CONV]]="","",INDEX(Table2[3],Table17[[#This Row],[//CONV]]))</f>
        <v/>
      </c>
      <c r="P69" t="str">
        <f>IF(Table17[[#This Row],[//CONV]]="",Table17[[#This Row],[ISI DB]],Table17[[#This Row],[ISI NOTA]]*Table17[[#This Row],[CONV VAR]])</f>
        <v>96</v>
      </c>
      <c r="Q69" t="str" cm="1">
        <f t="array" ref="Q69">IF(Table17[[#This Row],[//CONV]]="",Table17[[#This Row],[SATUAN DB]],INDEX(Table2[2],Table17[[#This Row],[//CONV]]))</f>
        <v>LSN</v>
      </c>
      <c r="R69" cm="1">
        <f t="array" ref="R69">IF(Table17[[#This Row],[dbconcat]]="","",INDEX([3]!Table2[ISI],Table17[[#This Row],[dbconcat]]))</f>
        <v>96</v>
      </c>
      <c r="S69" t="str" cm="1">
        <f t="array" ref="S69">IF(Table17[[#This Row],[dbconcat]]="","",INDEX([3]!Table2[[SATUAN ]],Table17[[#This Row],[dbconcat]]))</f>
        <v>LSN</v>
      </c>
      <c r="T69" t="str">
        <f>IF(Table17[[#This Row],[SATUAN S]]="","",IF(_xlfn.NUMBERVALUE(Table17[[#This Row],[ISI DB]])=_xlfn.NUMBERVALUE(Table17[[#This Row],[ISI S]]),"",1))</f>
        <v/>
      </c>
      <c r="U69" t="str">
        <f>IF(Table17[[#This Row],[SATUAN S]]="","",IF(Table17[[#This Row],[SATUAN DB]]=Table17[[#This Row],[SATUAN S]],"",1))</f>
        <v/>
      </c>
      <c r="V69" t="str">
        <f>IF(Table17[[#This Row],[CEK STN S]]="","",MATCH(CONCATENATE(Table17[[#This Row],[SATUAN CONV]],Table17[[#This Row],[SATUAN S]]),Table2[4],0))</f>
        <v/>
      </c>
      <c r="X69" t="str" cm="1">
        <f t="array" ref="X69">IF(Table17[[#This Row],[CONV2_//]]="","",INDEX(Table2[3],Table17[[#This Row],[CONV2_//]]))</f>
        <v/>
      </c>
      <c r="Y69" s="2" t="str">
        <f>IF(Table17[[#This Row],[CEK ISI S]]="",Table17[[#This Row],[ISI DB]],Table17[[#This Row],[ISI S]])</f>
        <v>96</v>
      </c>
      <c r="Z69" t="str">
        <f>IF(Table17[[#This Row],[CEK STN S]]="",Table17[[#This Row],[SATUAN DB]],Table17[[#This Row],[SATUAN S]])</f>
        <v>LSN</v>
      </c>
      <c r="AA69">
        <f>IF(Table17[[#This Row],[//CONV]]="",Table17[[#This Row],[ISI NOTA]]/Table17[[#This Row],[ISI_C]],Table17[[#This Row],[ISI DB CONV]]/Table17[[#This Row],[ISI_C]])</f>
        <v>2</v>
      </c>
      <c r="AB69">
        <f>INDEX(NOTA[HARGA SATUAN],Sheet1!A:A)</f>
        <v>63000</v>
      </c>
      <c r="AC69">
        <f>IF(Table17[[#This Row],[//CONV]]="",Table17[[#This Row],[HARGA NOTA]],Table17[[#This Row],[HARGA NOTA]]/Table17[[#This Row],[CONV VAR]])</f>
        <v>63000</v>
      </c>
      <c r="AD69">
        <f>IF(Table17[[#This Row],[CEK STN S]]="",Table17[[#This Row],[HARGA CONV]],Table17[[#This Row],[HARGA CONV]]/Table17[[#This Row],[CONV2 VAR]])</f>
        <v>63000</v>
      </c>
      <c r="AE69" s="3">
        <f>IF(INDEX(NOTA[Column6],Sheet1!A:A)=0,"",INDEX(NOTA[Column6],Sheet1!A:A))</f>
        <v>0.1</v>
      </c>
      <c r="AF69" s="3" t="str">
        <f>IF(INDEX(NOTA[Column7],Sheet1!A:A)=0,"",INDEX(NOTA[Column7],Sheet1!A:A))</f>
        <v/>
      </c>
      <c r="AG69" s="3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H69" s="4">
        <f>INDEX(NOTA[HARGA/ CTN_H],Sheet1!A:A)</f>
        <v>6048000</v>
      </c>
      <c r="AI69" s="4">
        <f>IF(Table17[[#This Row],[DISC 3]]="",Table17[[#This Row],[HRG / CTN]],Table17[[#This Row],[HRG / CTN]]-(Table17[[#This Row],[HRG / CTN]]*Table17[[#This Row],[DISC 3]]))</f>
        <v>5443200</v>
      </c>
      <c r="AJ69" s="5" t="e">
        <f>IF(#REF!&lt;1,Table17[[#This Row],[Column9]],Table17[[#This Row],[Column9]]*#REF!)</f>
        <v>#REF!</v>
      </c>
      <c r="AK69" s="4" t="e">
        <f ca="1">IF(NOT(AP70=Table17[[#This Row],[Column6]]),SUMIF(Table17[Column6],Table17[[#This Row],[Column6]],Table17[Column7]),"")</f>
        <v>#REF!</v>
      </c>
      <c r="AL69" s="6">
        <f ca="1">INDEX(NOTA[TGL_H],Sheet1!A:A)</f>
        <v>45481</v>
      </c>
      <c r="AM69" s="6">
        <f ca="1">INDEX(NOTA[TGL.NOTA_H],Sheet1!A:A)</f>
        <v>45477</v>
      </c>
      <c r="AO69" t="str">
        <f>IF(INDEX(NOTA[Column10],A:A)="","",INDEX(NOTA[Column10],A:A))</f>
        <v/>
      </c>
      <c r="AP69" t="str">
        <f ca="1">INDEX(NOTA[NO.NOTA_H],Sheet1!A:A)</f>
        <v>J2407002</v>
      </c>
      <c r="AQ69">
        <f>INDEX(NOTA[Column10],Sheet1!A:A)</f>
        <v>0</v>
      </c>
      <c r="AR69" s="8" t="str">
        <f ca="1">INDEX(NOTA[SUPPLIER_H],Sheet1!A:A)</f>
        <v>EMICO</v>
      </c>
      <c r="AS69" t="str">
        <f>Table17[[#This Row],[NAMA_C]]</f>
        <v>BP GEL FINETECH 0.3 HITAM</v>
      </c>
      <c r="AT69" t="str">
        <f ca="1">Table17[[#This Row],[SUPPLIER]]</f>
        <v>EMICO</v>
      </c>
      <c r="AU69" t="str">
        <f>SUBSTITUTE(Table17[[#This Row],[CTN]],",",".")</f>
        <v>2</v>
      </c>
      <c r="AV69" s="13" t="str">
        <f>Table17[[#This Row],[ISI_C]]</f>
        <v>96</v>
      </c>
      <c r="AW69" t="str">
        <f>Table17[[#This Row],[SATUAN_C]]</f>
        <v>LSN</v>
      </c>
      <c r="AX69">
        <f>Table17[[#This Row],[HARGA CONV2]]</f>
        <v>63000</v>
      </c>
      <c r="AY69" s="9" t="str">
        <f>SUBSTITUTE(Table17[[#This Row],[DISC 3]],",",".")</f>
        <v>0.1</v>
      </c>
      <c r="AZ69" s="6">
        <f ca="1">Table17[[#This Row],[TGL DATANG]]</f>
        <v>45481</v>
      </c>
      <c r="BA69" s="6">
        <f ca="1">Table17[[#This Row],[Column10]]</f>
        <v>45477</v>
      </c>
      <c r="BB69" s="7"/>
      <c r="BC69" t="str">
        <f>Table17[[#This Row],[KETERANGAN CONDRO]]</f>
        <v/>
      </c>
      <c r="BD69" t="str">
        <f ca="1">Table17[[#This Row],[Column6]]</f>
        <v>J2407002</v>
      </c>
    </row>
    <row r="70" spans="1:56">
      <c r="A70" s="55">
        <v>93</v>
      </c>
      <c r="C70">
        <f>INDEX(NOTA[//DB],Sheet1!A:A)</f>
        <v>1416</v>
      </c>
      <c r="D70">
        <f>_xlfn.IFNA(MATCH(Table17[[#This Row],[//db]],[3]!Table2[\\],0),"")</f>
        <v>1277</v>
      </c>
      <c r="E70" t="str">
        <f>INDEX([3]!db[NB NOTA],Table17[[#This Row],[//db]])</f>
        <v>GUNTING DR5 IDEAL</v>
      </c>
      <c r="F70" t="str">
        <f>INDEX([3]!db[NB BM],Table17[[#This Row],[//db]])</f>
        <v>Gunting Ideal DR5</v>
      </c>
      <c r="G70" t="str">
        <f>IF(Table17[[#This Row],[dbconcat]]="","",INDEX([3]!Table2[NAMA],Table17[[#This Row],[dbconcat]]))</f>
        <v>GUNTING IDEAL DR 5</v>
      </c>
      <c r="H70" t="str">
        <f>INDEX([3]!Table2[KODE BARANG],Table17[[#This Row],[dbconcat]])</f>
        <v>GUN-ID35</v>
      </c>
      <c r="I70" t="str">
        <f>IF(Table17[[#This Row],[NAMA_3]]="",UPPER(Table17[[#This Row],[NAMA_2]]),Table17[[#This Row],[NAMA_3]])</f>
        <v>GUNTING IDEAL DR 5</v>
      </c>
      <c r="J70">
        <f>INDEX(NOTA[QTY],Sheet1!A:A)</f>
        <v>180</v>
      </c>
      <c r="K70" t="str">
        <f>INDEX(NOTA[STN],Sheet1!A:A)</f>
        <v>LSN</v>
      </c>
      <c r="L70" t="str">
        <f>INDEX([3]!db[QTY B],Table17[[#This Row],[//db]])</f>
        <v>60</v>
      </c>
      <c r="M70" t="str">
        <f>INDEX([3]!db[STN B],Table17[[#This Row],[//db]])</f>
        <v>LSN</v>
      </c>
      <c r="N70" t="str">
        <f>IF(Table17[[#This Row],[SATUAN NOTA]]=Table17[[#This Row],[SATUAN DB]],"", MATCH(CONCATENATE(Table17[[#This Row],[SATUAN NOTA]],Table17[[#This Row],[SATUAN DB]]),Table2[4],0))</f>
        <v/>
      </c>
      <c r="O70" t="str" cm="1">
        <f t="array" ref="O70">IF(Table17[[#This Row],[//CONV]]="","",INDEX(Table2[3],Table17[[#This Row],[//CONV]]))</f>
        <v/>
      </c>
      <c r="P70" t="str">
        <f>IF(Table17[[#This Row],[//CONV]]="",Table17[[#This Row],[ISI DB]],Table17[[#This Row],[ISI NOTA]]*Table17[[#This Row],[CONV VAR]])</f>
        <v>60</v>
      </c>
      <c r="Q70" t="str" cm="1">
        <f t="array" ref="Q70">IF(Table17[[#This Row],[//CONV]]="",Table17[[#This Row],[SATUAN DB]],INDEX(Table2[2],Table17[[#This Row],[//CONV]]))</f>
        <v>LSN</v>
      </c>
      <c r="R70" cm="1">
        <f t="array" ref="R70">IF(Table17[[#This Row],[dbconcat]]="","",INDEX([3]!Table2[ISI],Table17[[#This Row],[dbconcat]]))</f>
        <v>60</v>
      </c>
      <c r="S70" t="str" cm="1">
        <f t="array" ref="S70">IF(Table17[[#This Row],[dbconcat]]="","",INDEX([3]!Table2[[SATUAN ]],Table17[[#This Row],[dbconcat]]))</f>
        <v>LSN</v>
      </c>
      <c r="T70" t="str">
        <f>IF(Table17[[#This Row],[SATUAN S]]="","",IF(_xlfn.NUMBERVALUE(Table17[[#This Row],[ISI DB]])=_xlfn.NUMBERVALUE(Table17[[#This Row],[ISI S]]),"",1))</f>
        <v/>
      </c>
      <c r="U70" t="str">
        <f>IF(Table17[[#This Row],[SATUAN S]]="","",IF(Table17[[#This Row],[SATUAN DB]]=Table17[[#This Row],[SATUAN S]],"",1))</f>
        <v/>
      </c>
      <c r="V70" t="str">
        <f>IF(Table17[[#This Row],[CEK STN S]]="","",MATCH(CONCATENATE(Table17[[#This Row],[SATUAN CONV]],Table17[[#This Row],[SATUAN S]]),Table2[4],0))</f>
        <v/>
      </c>
      <c r="X70" t="str" cm="1">
        <f t="array" ref="X70">IF(Table17[[#This Row],[CONV2_//]]="","",INDEX(Table2[3],Table17[[#This Row],[CONV2_//]]))</f>
        <v/>
      </c>
      <c r="Y70" s="2" t="str">
        <f>IF(Table17[[#This Row],[CEK ISI S]]="",Table17[[#This Row],[ISI DB]],Table17[[#This Row],[ISI S]])</f>
        <v>60</v>
      </c>
      <c r="Z70" t="str">
        <f>IF(Table17[[#This Row],[CEK STN S]]="",Table17[[#This Row],[SATUAN DB]],Table17[[#This Row],[SATUAN S]])</f>
        <v>LSN</v>
      </c>
      <c r="AA70">
        <f>IF(Table17[[#This Row],[//CONV]]="",Table17[[#This Row],[ISI NOTA]]/Table17[[#This Row],[ISI_C]],Table17[[#This Row],[ISI DB CONV]]/Table17[[#This Row],[ISI_C]])</f>
        <v>3</v>
      </c>
      <c r="AB70">
        <f>INDEX(NOTA[HARGA SATUAN],Sheet1!A:A)</f>
        <v>54000</v>
      </c>
      <c r="AC70">
        <f>IF(Table17[[#This Row],[//CONV]]="",Table17[[#This Row],[HARGA NOTA]],Table17[[#This Row],[HARGA NOTA]]/Table17[[#This Row],[CONV VAR]])</f>
        <v>54000</v>
      </c>
      <c r="AD70">
        <f>IF(Table17[[#This Row],[CEK STN S]]="",Table17[[#This Row],[HARGA CONV]],Table17[[#This Row],[HARGA CONV]]/Table17[[#This Row],[CONV2 VAR]])</f>
        <v>54000</v>
      </c>
      <c r="AE70" s="3">
        <f>IF(INDEX(NOTA[Column6],Sheet1!A:A)=0,"",INDEX(NOTA[Column6],Sheet1!A:A))</f>
        <v>0.1</v>
      </c>
      <c r="AF70" s="3">
        <f>IF(INDEX(NOTA[Column7],Sheet1!A:A)=0,"",INDEX(NOTA[Column7],Sheet1!A:A))</f>
        <v>0.1</v>
      </c>
      <c r="AG70" s="3">
        <f>IF(Table17[[#This Row],[DISC 1]]="","",IF(Table17[[#This Row],[DISC 2]]="",Table17[[#This Row],[DISC 1]],Table17[[#This Row],[DISC 1]]+Table17[[#This Row],[DISC 2]]-(Table17[[#This Row],[DISC 1]]*Table17[[#This Row],[DISC 2]])))</f>
        <v>0.19</v>
      </c>
      <c r="AH70" s="4">
        <f>INDEX(NOTA[HARGA/ CTN_H],Sheet1!A:A)</f>
        <v>3240000</v>
      </c>
      <c r="AI70" s="4">
        <f>IF(Table17[[#This Row],[DISC 3]]="",Table17[[#This Row],[HRG / CTN]],Table17[[#This Row],[HRG / CTN]]-(Table17[[#This Row],[HRG / CTN]]*Table17[[#This Row],[DISC 3]]))</f>
        <v>2624400</v>
      </c>
      <c r="AJ70" s="5" t="e">
        <f>IF(#REF!&lt;1,Table17[[#This Row],[Column9]],Table17[[#This Row],[Column9]]*#REF!)</f>
        <v>#REF!</v>
      </c>
      <c r="AK70" s="4" t="str">
        <f ca="1">IF(NOT(AP71=Table17[[#This Row],[Column6]]),SUMIF(Table17[Column6],Table17[[#This Row],[Column6]],Table17[Column7]),"")</f>
        <v/>
      </c>
      <c r="AL70" s="6">
        <f ca="1">INDEX(NOTA[TGL_H],Sheet1!A:A)</f>
        <v>45485</v>
      </c>
      <c r="AM70" s="6">
        <f ca="1">INDEX(NOTA[TGL.NOTA_H],Sheet1!A:A)</f>
        <v>45483</v>
      </c>
      <c r="AO70" t="str">
        <f>IF(INDEX(NOTA[Column10],A:A)="","",INDEX(NOTA[Column10],A:A))</f>
        <v/>
      </c>
      <c r="AP70">
        <f ca="1">INDEX(NOTA[NO.NOTA_H],Sheet1!A:A)</f>
        <v>0</v>
      </c>
      <c r="AQ70">
        <f>INDEX(NOTA[Column10],Sheet1!A:A)</f>
        <v>0</v>
      </c>
      <c r="AR70" s="8" t="str">
        <f ca="1">INDEX(NOTA[SUPPLIER_H],Sheet1!A:A)</f>
        <v>D-R ORIGINAL</v>
      </c>
      <c r="AS70" t="str">
        <f>Table17[[#This Row],[NAMA_C]]</f>
        <v>GUNTING IDEAL DR 5</v>
      </c>
      <c r="AT70" t="str">
        <f ca="1">Table17[[#This Row],[SUPPLIER]]</f>
        <v>D-R ORIGINAL</v>
      </c>
      <c r="AU70" t="str">
        <f>SUBSTITUTE(Table17[[#This Row],[CTN]],",",".")</f>
        <v>3</v>
      </c>
      <c r="AV70" s="13" t="str">
        <f>Table17[[#This Row],[ISI_C]]</f>
        <v>60</v>
      </c>
      <c r="AW70" t="str">
        <f>Table17[[#This Row],[SATUAN_C]]</f>
        <v>LSN</v>
      </c>
      <c r="AX70">
        <f>Table17[[#This Row],[HARGA CONV2]]</f>
        <v>54000</v>
      </c>
      <c r="AY70" s="9" t="str">
        <f>SUBSTITUTE(Table17[[#This Row],[DISC 3]],",",".")</f>
        <v>0.19</v>
      </c>
      <c r="AZ70" s="6">
        <f ca="1">Table17[[#This Row],[TGL DATANG]]</f>
        <v>45485</v>
      </c>
      <c r="BA70" s="6">
        <f ca="1">Table17[[#This Row],[Column10]]</f>
        <v>45483</v>
      </c>
      <c r="BB70" s="7"/>
      <c r="BC70" t="str">
        <f>Table17[[#This Row],[KETERANGAN CONDRO]]</f>
        <v/>
      </c>
      <c r="BD70">
        <f ca="1">Table17[[#This Row],[Column6]]</f>
        <v>0</v>
      </c>
    </row>
    <row r="71" spans="1:56">
      <c r="A71" s="55">
        <v>94</v>
      </c>
      <c r="C71">
        <f>INDEX(NOTA[//DB],Sheet1!A:A)</f>
        <v>3454</v>
      </c>
      <c r="D71">
        <f>_xlfn.IFNA(MATCH(Table17[[#This Row],[//db]],[3]!Table2[\\],0),"")</f>
        <v>1275</v>
      </c>
      <c r="E71" t="str">
        <f>INDEX([3]!db[NB NOTA],Table17[[#This Row],[//db]])</f>
        <v>GUNTING DR2 IDEAL</v>
      </c>
      <c r="F71" t="str">
        <f>INDEX([3]!db[NB BM],Table17[[#This Row],[//db]])</f>
        <v>GUNTING IDEAL DR 2</v>
      </c>
      <c r="G71" t="str">
        <f>IF(Table17[[#This Row],[dbconcat]]="","",INDEX([3]!Table2[NAMA],Table17[[#This Row],[dbconcat]]))</f>
        <v>GUNTING IDEAL DR 2</v>
      </c>
      <c r="H71" t="str">
        <f>INDEX([3]!Table2[KODE BARANG],Table17[[#This Row],[dbconcat]])</f>
        <v>GUN-ID33</v>
      </c>
      <c r="I71" t="str">
        <f>IF(Table17[[#This Row],[NAMA_3]]="",UPPER(Table17[[#This Row],[NAMA_2]]),Table17[[#This Row],[NAMA_3]])</f>
        <v>GUNTING IDEAL DR 2</v>
      </c>
      <c r="J71">
        <f>INDEX(NOTA[QTY],Sheet1!A:A)</f>
        <v>120</v>
      </c>
      <c r="K71" t="str">
        <f>INDEX(NOTA[STN],Sheet1!A:A)</f>
        <v>LSN</v>
      </c>
      <c r="L71" t="str">
        <f>INDEX([3]!db[QTY B],Table17[[#This Row],[//db]])</f>
        <v>60</v>
      </c>
      <c r="M71" t="str">
        <f>INDEX([3]!db[STN B],Table17[[#This Row],[//db]])</f>
        <v>LSN</v>
      </c>
      <c r="N71" t="str">
        <f>IF(Table17[[#This Row],[SATUAN NOTA]]=Table17[[#This Row],[SATUAN DB]],"", MATCH(CONCATENATE(Table17[[#This Row],[SATUAN NOTA]],Table17[[#This Row],[SATUAN DB]]),Table2[4],0))</f>
        <v/>
      </c>
      <c r="O71" t="str" cm="1">
        <f t="array" ref="O71">IF(Table17[[#This Row],[//CONV]]="","",INDEX(Table2[3],Table17[[#This Row],[//CONV]]))</f>
        <v/>
      </c>
      <c r="P71" t="str">
        <f>IF(Table17[[#This Row],[//CONV]]="",Table17[[#This Row],[ISI DB]],Table17[[#This Row],[ISI NOTA]]*Table17[[#This Row],[CONV VAR]])</f>
        <v>60</v>
      </c>
      <c r="Q71" t="str" cm="1">
        <f t="array" ref="Q71">IF(Table17[[#This Row],[//CONV]]="",Table17[[#This Row],[SATUAN DB]],INDEX(Table2[2],Table17[[#This Row],[//CONV]]))</f>
        <v>LSN</v>
      </c>
      <c r="R71" cm="1">
        <f t="array" ref="R71">IF(Table17[[#This Row],[dbconcat]]="","",INDEX([3]!Table2[ISI],Table17[[#This Row],[dbconcat]]))</f>
        <v>60</v>
      </c>
      <c r="S71" t="str" cm="1">
        <f t="array" ref="S71">IF(Table17[[#This Row],[dbconcat]]="","",INDEX([3]!Table2[[SATUAN ]],Table17[[#This Row],[dbconcat]]))</f>
        <v>LSN</v>
      </c>
      <c r="T71" t="str">
        <f>IF(Table17[[#This Row],[SATUAN S]]="","",IF(_xlfn.NUMBERVALUE(Table17[[#This Row],[ISI DB]])=_xlfn.NUMBERVALUE(Table17[[#This Row],[ISI S]]),"",1))</f>
        <v/>
      </c>
      <c r="U71" t="str">
        <f>IF(Table17[[#This Row],[SATUAN S]]="","",IF(Table17[[#This Row],[SATUAN DB]]=Table17[[#This Row],[SATUAN S]],"",1))</f>
        <v/>
      </c>
      <c r="V71" t="str">
        <f>IF(Table17[[#This Row],[CEK STN S]]="","",MATCH(CONCATENATE(Table17[[#This Row],[SATUAN CONV]],Table17[[#This Row],[SATUAN S]]),Table2[4],0))</f>
        <v/>
      </c>
      <c r="X71" t="str" cm="1">
        <f t="array" ref="X71">IF(Table17[[#This Row],[CONV2_//]]="","",INDEX(Table2[3],Table17[[#This Row],[CONV2_//]]))</f>
        <v/>
      </c>
      <c r="Y71" s="2" t="str">
        <f>IF(Table17[[#This Row],[CEK ISI S]]="",Table17[[#This Row],[ISI DB]],Table17[[#This Row],[ISI S]])</f>
        <v>60</v>
      </c>
      <c r="Z71" t="str">
        <f>IF(Table17[[#This Row],[CEK STN S]]="",Table17[[#This Row],[SATUAN DB]],Table17[[#This Row],[SATUAN S]])</f>
        <v>LSN</v>
      </c>
      <c r="AA71">
        <f>IF(Table17[[#This Row],[//CONV]]="",Table17[[#This Row],[ISI NOTA]]/Table17[[#This Row],[ISI_C]],Table17[[#This Row],[ISI DB CONV]]/Table17[[#This Row],[ISI_C]])</f>
        <v>2</v>
      </c>
      <c r="AB71">
        <f>INDEX(NOTA[HARGA SATUAN],Sheet1!A:A)</f>
        <v>73000</v>
      </c>
      <c r="AC71">
        <f>IF(Table17[[#This Row],[//CONV]]="",Table17[[#This Row],[HARGA NOTA]],Table17[[#This Row],[HARGA NOTA]]/Table17[[#This Row],[CONV VAR]])</f>
        <v>73000</v>
      </c>
      <c r="AD71">
        <f>IF(Table17[[#This Row],[CEK STN S]]="",Table17[[#This Row],[HARGA CONV]],Table17[[#This Row],[HARGA CONV]]/Table17[[#This Row],[CONV2 VAR]])</f>
        <v>73000</v>
      </c>
      <c r="AE71" s="3">
        <f>IF(INDEX(NOTA[Column6],Sheet1!A:A)=0,"",INDEX(NOTA[Column6],Sheet1!A:A))</f>
        <v>0.1</v>
      </c>
      <c r="AF71" s="3">
        <f>IF(INDEX(NOTA[Column7],Sheet1!A:A)=0,"",INDEX(NOTA[Column7],Sheet1!A:A))</f>
        <v>0.1</v>
      </c>
      <c r="AG71" s="3">
        <f>IF(Table17[[#This Row],[DISC 1]]="","",IF(Table17[[#This Row],[DISC 2]]="",Table17[[#This Row],[DISC 1]],Table17[[#This Row],[DISC 1]]+Table17[[#This Row],[DISC 2]]-(Table17[[#This Row],[DISC 1]]*Table17[[#This Row],[DISC 2]])))</f>
        <v>0.19</v>
      </c>
      <c r="AH71" s="4">
        <f>INDEX(NOTA[HARGA/ CTN_H],Sheet1!A:A)</f>
        <v>4380000</v>
      </c>
      <c r="AI71" s="4">
        <f>IF(Table17[[#This Row],[DISC 3]]="",Table17[[#This Row],[HRG / CTN]],Table17[[#This Row],[HRG / CTN]]-(Table17[[#This Row],[HRG / CTN]]*Table17[[#This Row],[DISC 3]]))</f>
        <v>3547800</v>
      </c>
      <c r="AJ71" s="5" t="e">
        <f>IF(#REF!&lt;1,Table17[[#This Row],[Column9]],Table17[[#This Row],[Column9]]*#REF!)</f>
        <v>#REF!</v>
      </c>
      <c r="AK71" s="4" t="str">
        <f ca="1">IF(NOT(AP72=Table17[[#This Row],[Column6]]),SUMIF(Table17[Column6],Table17[[#This Row],[Column6]],Table17[Column7]),"")</f>
        <v/>
      </c>
      <c r="AL71" s="6">
        <f ca="1">INDEX(NOTA[TGL_H],Sheet1!A:A)</f>
        <v>45485</v>
      </c>
      <c r="AM71" s="6">
        <f ca="1">INDEX(NOTA[TGL.NOTA_H],Sheet1!A:A)</f>
        <v>45483</v>
      </c>
      <c r="AO71" t="str">
        <f>IF(INDEX(NOTA[Column10],A:A)="","",INDEX(NOTA[Column10],A:A))</f>
        <v/>
      </c>
      <c r="AP71">
        <f ca="1">INDEX(NOTA[NO.NOTA_H],Sheet1!A:A)</f>
        <v>0</v>
      </c>
      <c r="AQ71">
        <f>INDEX(NOTA[Column10],Sheet1!A:A)</f>
        <v>0</v>
      </c>
      <c r="AR71" s="8" t="str">
        <f ca="1">INDEX(NOTA[SUPPLIER_H],Sheet1!A:A)</f>
        <v>D-R ORIGINAL</v>
      </c>
      <c r="AS71" t="str">
        <f>Table17[[#This Row],[NAMA_C]]</f>
        <v>GUNTING IDEAL DR 2</v>
      </c>
      <c r="AT71" t="str">
        <f ca="1">Table17[[#This Row],[SUPPLIER]]</f>
        <v>D-R ORIGINAL</v>
      </c>
      <c r="AU71" t="str">
        <f>SUBSTITUTE(Table17[[#This Row],[CTN]],",",".")</f>
        <v>2</v>
      </c>
      <c r="AV71" s="13" t="str">
        <f>Table17[[#This Row],[ISI_C]]</f>
        <v>60</v>
      </c>
      <c r="AW71" t="str">
        <f>Table17[[#This Row],[SATUAN_C]]</f>
        <v>LSN</v>
      </c>
      <c r="AX71">
        <f>Table17[[#This Row],[HARGA CONV2]]</f>
        <v>73000</v>
      </c>
      <c r="AY71" s="9" t="str">
        <f>SUBSTITUTE(Table17[[#This Row],[DISC 3]],",",".")</f>
        <v>0.19</v>
      </c>
      <c r="AZ71" s="6">
        <f ca="1">Table17[[#This Row],[TGL DATANG]]</f>
        <v>45485</v>
      </c>
      <c r="BA71" s="6">
        <f ca="1">Table17[[#This Row],[Column10]]</f>
        <v>45483</v>
      </c>
      <c r="BB71" s="7"/>
      <c r="BC71" t="str">
        <f>Table17[[#This Row],[KETERANGAN CONDRO]]</f>
        <v/>
      </c>
      <c r="BD71">
        <f ca="1">Table17[[#This Row],[Column6]]</f>
        <v>0</v>
      </c>
    </row>
    <row r="72" spans="1:56">
      <c r="A72" s="55">
        <v>95</v>
      </c>
      <c r="C72">
        <f>INDEX(NOTA[//DB],Sheet1!A:A)</f>
        <v>1416</v>
      </c>
      <c r="D72">
        <f>_xlfn.IFNA(MATCH(Table17[[#This Row],[//db]],[3]!Table2[\\],0),"")</f>
        <v>1277</v>
      </c>
      <c r="E72" t="str">
        <f>INDEX([3]!db[NB NOTA],Table17[[#This Row],[//db]])</f>
        <v>GUNTING DR5 IDEAL</v>
      </c>
      <c r="F72" t="str">
        <f>INDEX([3]!db[NB BM],Table17[[#This Row],[//db]])</f>
        <v>Gunting Ideal DR5</v>
      </c>
      <c r="G72" t="str">
        <f>IF(Table17[[#This Row],[dbconcat]]="","",INDEX([3]!Table2[NAMA],Table17[[#This Row],[dbconcat]]))</f>
        <v>GUNTING IDEAL DR 5</v>
      </c>
      <c r="H72" t="str">
        <f>INDEX([3]!Table2[KODE BARANG],Table17[[#This Row],[dbconcat]])</f>
        <v>GUN-ID35</v>
      </c>
      <c r="I72" t="str">
        <f>IF(Table17[[#This Row],[NAMA_3]]="",UPPER(Table17[[#This Row],[NAMA_2]]),Table17[[#This Row],[NAMA_3]])</f>
        <v>GUNTING IDEAL DR 5</v>
      </c>
      <c r="J72">
        <f>INDEX(NOTA[QTY],Sheet1!A:A)</f>
        <v>60</v>
      </c>
      <c r="K72" t="str">
        <f>INDEX(NOTA[STN],Sheet1!A:A)</f>
        <v>LSN</v>
      </c>
      <c r="L72" t="str">
        <f>INDEX([3]!db[QTY B],Table17[[#This Row],[//db]])</f>
        <v>60</v>
      </c>
      <c r="M72" t="str">
        <f>INDEX([3]!db[STN B],Table17[[#This Row],[//db]])</f>
        <v>LSN</v>
      </c>
      <c r="N72" t="str">
        <f>IF(Table17[[#This Row],[SATUAN NOTA]]=Table17[[#This Row],[SATUAN DB]],"", MATCH(CONCATENATE(Table17[[#This Row],[SATUAN NOTA]],Table17[[#This Row],[SATUAN DB]]),Table2[4],0))</f>
        <v/>
      </c>
      <c r="O72" t="str" cm="1">
        <f t="array" ref="O72">IF(Table17[[#This Row],[//CONV]]="","",INDEX(Table2[3],Table17[[#This Row],[//CONV]]))</f>
        <v/>
      </c>
      <c r="P72" t="str">
        <f>IF(Table17[[#This Row],[//CONV]]="",Table17[[#This Row],[ISI DB]],Table17[[#This Row],[ISI NOTA]]*Table17[[#This Row],[CONV VAR]])</f>
        <v>60</v>
      </c>
      <c r="Q72" t="str" cm="1">
        <f t="array" ref="Q72">IF(Table17[[#This Row],[//CONV]]="",Table17[[#This Row],[SATUAN DB]],INDEX(Table2[2],Table17[[#This Row],[//CONV]]))</f>
        <v>LSN</v>
      </c>
      <c r="R72" cm="1">
        <f t="array" ref="R72">IF(Table17[[#This Row],[dbconcat]]="","",INDEX([3]!Table2[ISI],Table17[[#This Row],[dbconcat]]))</f>
        <v>60</v>
      </c>
      <c r="S72" t="str" cm="1">
        <f t="array" ref="S72">IF(Table17[[#This Row],[dbconcat]]="","",INDEX([3]!Table2[[SATUAN ]],Table17[[#This Row],[dbconcat]]))</f>
        <v>LSN</v>
      </c>
      <c r="T72" t="str">
        <f>IF(Table17[[#This Row],[SATUAN S]]="","",IF(_xlfn.NUMBERVALUE(Table17[[#This Row],[ISI DB]])=_xlfn.NUMBERVALUE(Table17[[#This Row],[ISI S]]),"",1))</f>
        <v/>
      </c>
      <c r="U72" t="str">
        <f>IF(Table17[[#This Row],[SATUAN S]]="","",IF(Table17[[#This Row],[SATUAN DB]]=Table17[[#This Row],[SATUAN S]],"",1))</f>
        <v/>
      </c>
      <c r="V72" t="str">
        <f>IF(Table17[[#This Row],[CEK STN S]]="","",MATCH(CONCATENATE(Table17[[#This Row],[SATUAN CONV]],Table17[[#This Row],[SATUAN S]]),Table2[4],0))</f>
        <v/>
      </c>
      <c r="X72" t="str" cm="1">
        <f t="array" ref="X72">IF(Table17[[#This Row],[CONV2_//]]="","",INDEX(Table2[3],Table17[[#This Row],[CONV2_//]]))</f>
        <v/>
      </c>
      <c r="Y72" s="2" t="str">
        <f>IF(Table17[[#This Row],[CEK ISI S]]="",Table17[[#This Row],[ISI DB]],Table17[[#This Row],[ISI S]])</f>
        <v>60</v>
      </c>
      <c r="Z72" t="str">
        <f>IF(Table17[[#This Row],[CEK STN S]]="",Table17[[#This Row],[SATUAN DB]],Table17[[#This Row],[SATUAN S]])</f>
        <v>LSN</v>
      </c>
      <c r="AA72">
        <f>IF(Table17[[#This Row],[//CONV]]="",Table17[[#This Row],[ISI NOTA]]/Table17[[#This Row],[ISI_C]],Table17[[#This Row],[ISI DB CONV]]/Table17[[#This Row],[ISI_C]])</f>
        <v>1</v>
      </c>
      <c r="AB72">
        <f>INDEX(NOTA[HARGA SATUAN],Sheet1!A:A)</f>
        <v>54000</v>
      </c>
      <c r="AC72">
        <f>IF(Table17[[#This Row],[//CONV]]="",Table17[[#This Row],[HARGA NOTA]],Table17[[#This Row],[HARGA NOTA]]/Table17[[#This Row],[CONV VAR]])</f>
        <v>54000</v>
      </c>
      <c r="AD72">
        <f>IF(Table17[[#This Row],[CEK STN S]]="",Table17[[#This Row],[HARGA CONV]],Table17[[#This Row],[HARGA CONV]]/Table17[[#This Row],[CONV2 VAR]])</f>
        <v>54000</v>
      </c>
      <c r="AE72" s="3">
        <f>IF(INDEX(NOTA[Column6],Sheet1!A:A)=0,"",INDEX(NOTA[Column6],Sheet1!A:A))</f>
        <v>1</v>
      </c>
      <c r="AF72" s="3" t="str">
        <f>IF(INDEX(NOTA[Column7],Sheet1!A:A)=0,"",INDEX(NOTA[Column7],Sheet1!A:A))</f>
        <v/>
      </c>
      <c r="AG72" s="3">
        <f>IF(Table17[[#This Row],[DISC 1]]="","",IF(Table17[[#This Row],[DISC 2]]="",Table17[[#This Row],[DISC 1]],Table17[[#This Row],[DISC 1]]+Table17[[#This Row],[DISC 2]]-(Table17[[#This Row],[DISC 1]]*Table17[[#This Row],[DISC 2]])))</f>
        <v>1</v>
      </c>
      <c r="AH72" s="4">
        <f>INDEX(NOTA[HARGA/ CTN_H],Sheet1!A:A)</f>
        <v>3240000</v>
      </c>
      <c r="AI72" s="4">
        <f>IF(Table17[[#This Row],[DISC 3]]="",Table17[[#This Row],[HRG / CTN]],Table17[[#This Row],[HRG / CTN]]-(Table17[[#This Row],[HRG / CTN]]*Table17[[#This Row],[DISC 3]]))</f>
        <v>0</v>
      </c>
      <c r="AJ72" s="5" t="e">
        <f>IF(#REF!&lt;1,Table17[[#This Row],[Column9]],Table17[[#This Row],[Column9]]*#REF!)</f>
        <v>#REF!</v>
      </c>
      <c r="AK72" s="4" t="str">
        <f ca="1">IF(NOT(AP73=Table17[[#This Row],[Column6]]),SUMIF(Table17[Column6],Table17[[#This Row],[Column6]],Table17[Column7]),"")</f>
        <v/>
      </c>
      <c r="AL72" s="6">
        <f ca="1">INDEX(NOTA[TGL_H],Sheet1!A:A)</f>
        <v>45485</v>
      </c>
      <c r="AM72" s="6">
        <f ca="1">INDEX(NOTA[TGL.NOTA_H],Sheet1!A:A)</f>
        <v>45483</v>
      </c>
      <c r="AO72" t="str">
        <f>IF(INDEX(NOTA[Column10],A:A)="","",INDEX(NOTA[Column10],A:A))</f>
        <v>BONUS</v>
      </c>
      <c r="AP72">
        <f ca="1">INDEX(NOTA[NO.NOTA_H],Sheet1!A:A)</f>
        <v>0</v>
      </c>
      <c r="AQ72" t="str">
        <f>INDEX(NOTA[Column10],Sheet1!A:A)</f>
        <v>BONUS</v>
      </c>
      <c r="AR72" s="8" t="str">
        <f ca="1">INDEX(NOTA[SUPPLIER_H],Sheet1!A:A)</f>
        <v>D-R ORIGINAL</v>
      </c>
      <c r="AS72" t="str">
        <f>Table17[[#This Row],[NAMA_C]]</f>
        <v>GUNTING IDEAL DR 5</v>
      </c>
      <c r="AT72" t="str">
        <f ca="1">Table17[[#This Row],[SUPPLIER]]</f>
        <v>D-R ORIGINAL</v>
      </c>
      <c r="AU72" t="str">
        <f>SUBSTITUTE(Table17[[#This Row],[CTN]],",",".")</f>
        <v>1</v>
      </c>
      <c r="AV72" s="13" t="str">
        <f>Table17[[#This Row],[ISI_C]]</f>
        <v>60</v>
      </c>
      <c r="AW72" t="str">
        <f>Table17[[#This Row],[SATUAN_C]]</f>
        <v>LSN</v>
      </c>
      <c r="AX72">
        <f>Table17[[#This Row],[HARGA CONV2]]</f>
        <v>54000</v>
      </c>
      <c r="AY72" s="9" t="str">
        <f>SUBSTITUTE(Table17[[#This Row],[DISC 3]],",",".")</f>
        <v>1</v>
      </c>
      <c r="AZ72" s="6">
        <f ca="1">Table17[[#This Row],[TGL DATANG]]</f>
        <v>45485</v>
      </c>
      <c r="BA72" s="6">
        <f ca="1">Table17[[#This Row],[Column10]]</f>
        <v>45483</v>
      </c>
      <c r="BB72" s="7"/>
      <c r="BC72" t="str">
        <f>Table17[[#This Row],[KETERANGAN CONDRO]]</f>
        <v>BONUS</v>
      </c>
      <c r="BD72">
        <f ca="1">Table17[[#This Row],[Column6]]</f>
        <v>0</v>
      </c>
    </row>
    <row r="73" spans="1:56">
      <c r="A73" s="55">
        <v>97</v>
      </c>
      <c r="C73">
        <f>INDEX(NOTA[//DB],Sheet1!A:A)</f>
        <v>791</v>
      </c>
      <c r="D73">
        <f>_xlfn.IFNA(MATCH(Table17[[#This Row],[//db]],[3]!Table2[\\],0),"")</f>
        <v>937</v>
      </c>
      <c r="E73" t="str">
        <f>INDEX([3]!db[NB NOTA],Table17[[#This Row],[//db]])</f>
        <v>CUTTER BESAR 88 TACO</v>
      </c>
      <c r="F73" t="str">
        <f>INDEX([3]!db[NB BM],Table17[[#This Row],[//db]])</f>
        <v>CUTTER TACO 88 BESAR</v>
      </c>
      <c r="G73" t="str">
        <f>IF(Table17[[#This Row],[dbconcat]]="","",INDEX([3]!Table2[NAMA],Table17[[#This Row],[dbconcat]]))</f>
        <v>CUTTER TACO 88 BESAR</v>
      </c>
      <c r="H73" t="str">
        <f>INDEX([3]!Table2[KODE BARANG],Table17[[#This Row],[dbconcat]])</f>
        <v>CUT-TC8</v>
      </c>
      <c r="I73" t="str">
        <f>IF(Table17[[#This Row],[NAMA_3]]="",UPPER(Table17[[#This Row],[NAMA_2]]),Table17[[#This Row],[NAMA_3]])</f>
        <v>CUTTER TACO 88 BESAR</v>
      </c>
      <c r="J73">
        <f>INDEX(NOTA[QTY],Sheet1!A:A)</f>
        <v>720</v>
      </c>
      <c r="K73" t="str">
        <f>INDEX(NOTA[STN],Sheet1!A:A)</f>
        <v>LSN</v>
      </c>
      <c r="L73" t="str">
        <f>INDEX([3]!db[QTY B],Table17[[#This Row],[//db]])</f>
        <v>60</v>
      </c>
      <c r="M73" t="str">
        <f>INDEX([3]!db[STN B],Table17[[#This Row],[//db]])</f>
        <v>LSN</v>
      </c>
      <c r="N73" t="str">
        <f>IF(Table17[[#This Row],[SATUAN NOTA]]=Table17[[#This Row],[SATUAN DB]],"", MATCH(CONCATENATE(Table17[[#This Row],[SATUAN NOTA]],Table17[[#This Row],[SATUAN DB]]),Table2[4],0))</f>
        <v/>
      </c>
      <c r="O73" t="str" cm="1">
        <f t="array" ref="O73">IF(Table17[[#This Row],[//CONV]]="","",INDEX(Table2[3],Table17[[#This Row],[//CONV]]))</f>
        <v/>
      </c>
      <c r="P73" t="str">
        <f>IF(Table17[[#This Row],[//CONV]]="",Table17[[#This Row],[ISI DB]],Table17[[#This Row],[ISI NOTA]]*Table17[[#This Row],[CONV VAR]])</f>
        <v>60</v>
      </c>
      <c r="Q73" t="str" cm="1">
        <f t="array" ref="Q73">IF(Table17[[#This Row],[//CONV]]="",Table17[[#This Row],[SATUAN DB]],INDEX(Table2[2],Table17[[#This Row],[//CONV]]))</f>
        <v>LSN</v>
      </c>
      <c r="R73" cm="1">
        <f t="array" ref="R73">IF(Table17[[#This Row],[dbconcat]]="","",INDEX([3]!Table2[ISI],Table17[[#This Row],[dbconcat]]))</f>
        <v>60</v>
      </c>
      <c r="S73" t="str" cm="1">
        <f t="array" ref="S73">IF(Table17[[#This Row],[dbconcat]]="","",INDEX([3]!Table2[[SATUAN ]],Table17[[#This Row],[dbconcat]]))</f>
        <v>LSN</v>
      </c>
      <c r="T73" t="str">
        <f>IF(Table17[[#This Row],[SATUAN S]]="","",IF(_xlfn.NUMBERVALUE(Table17[[#This Row],[ISI DB]])=_xlfn.NUMBERVALUE(Table17[[#This Row],[ISI S]]),"",1))</f>
        <v/>
      </c>
      <c r="U73" t="str">
        <f>IF(Table17[[#This Row],[SATUAN S]]="","",IF(Table17[[#This Row],[SATUAN DB]]=Table17[[#This Row],[SATUAN S]],"",1))</f>
        <v/>
      </c>
      <c r="V73" t="str">
        <f>IF(Table17[[#This Row],[CEK STN S]]="","",MATCH(CONCATENATE(Table17[[#This Row],[SATUAN CONV]],Table17[[#This Row],[SATUAN S]]),Table2[4],0))</f>
        <v/>
      </c>
      <c r="X73" t="str" cm="1">
        <f t="array" ref="X73">IF(Table17[[#This Row],[CONV2_//]]="","",INDEX(Table2[3],Table17[[#This Row],[CONV2_//]]))</f>
        <v/>
      </c>
      <c r="Y73" s="2" t="str">
        <f>IF(Table17[[#This Row],[CEK ISI S]]="",Table17[[#This Row],[ISI DB]],Table17[[#This Row],[ISI S]])</f>
        <v>60</v>
      </c>
      <c r="Z73" t="str">
        <f>IF(Table17[[#This Row],[CEK STN S]]="",Table17[[#This Row],[SATUAN DB]],Table17[[#This Row],[SATUAN S]])</f>
        <v>LSN</v>
      </c>
      <c r="AA73">
        <f>IF(Table17[[#This Row],[//CONV]]="",Table17[[#This Row],[ISI NOTA]]/Table17[[#This Row],[ISI_C]],Table17[[#This Row],[ISI DB CONV]]/Table17[[#This Row],[ISI_C]])</f>
        <v>12</v>
      </c>
      <c r="AB73">
        <f>INDEX(NOTA[HARGA SATUAN],Sheet1!A:A)</f>
        <v>31000</v>
      </c>
      <c r="AC73">
        <f>IF(Table17[[#This Row],[//CONV]]="",Table17[[#This Row],[HARGA NOTA]],Table17[[#This Row],[HARGA NOTA]]/Table17[[#This Row],[CONV VAR]])</f>
        <v>31000</v>
      </c>
      <c r="AD73">
        <f>IF(Table17[[#This Row],[CEK STN S]]="",Table17[[#This Row],[HARGA CONV]],Table17[[#This Row],[HARGA CONV]]/Table17[[#This Row],[CONV2 VAR]])</f>
        <v>31000</v>
      </c>
      <c r="AE73" s="3">
        <f>IF(INDEX(NOTA[Column6],Sheet1!A:A)=0,"",INDEX(NOTA[Column6],Sheet1!A:A))</f>
        <v>0.1</v>
      </c>
      <c r="AF73" s="3">
        <f>IF(INDEX(NOTA[Column7],Sheet1!A:A)=0,"",INDEX(NOTA[Column7],Sheet1!A:A))</f>
        <v>0.1</v>
      </c>
      <c r="AG73" s="3">
        <f>IF(Table17[[#This Row],[DISC 1]]="","",IF(Table17[[#This Row],[DISC 2]]="",Table17[[#This Row],[DISC 1]],Table17[[#This Row],[DISC 1]]+Table17[[#This Row],[DISC 2]]-(Table17[[#This Row],[DISC 1]]*Table17[[#This Row],[DISC 2]])))</f>
        <v>0.19</v>
      </c>
      <c r="AH73" s="4">
        <f>INDEX(NOTA[HARGA/ CTN_H],Sheet1!A:A)</f>
        <v>1860000</v>
      </c>
      <c r="AI73" s="4">
        <f>IF(Table17[[#This Row],[DISC 3]]="",Table17[[#This Row],[HRG / CTN]],Table17[[#This Row],[HRG / CTN]]-(Table17[[#This Row],[HRG / CTN]]*Table17[[#This Row],[DISC 3]]))</f>
        <v>1506600</v>
      </c>
      <c r="AJ73" s="5" t="e">
        <f>IF(#REF!&lt;1,Table17[[#This Row],[Column9]],Table17[[#This Row],[Column9]]*#REF!)</f>
        <v>#REF!</v>
      </c>
      <c r="AK73" s="4" t="str">
        <f ca="1">IF(NOT(AP74=Table17[[#This Row],[Column6]]),SUMIF(Table17[Column6],Table17[[#This Row],[Column6]],Table17[Column7]),"")</f>
        <v/>
      </c>
      <c r="AL73" s="6">
        <f ca="1">INDEX(NOTA[TGL_H],Sheet1!A:A)</f>
        <v>45485</v>
      </c>
      <c r="AM73" s="6">
        <f ca="1">INDEX(NOTA[TGL.NOTA_H],Sheet1!A:A)</f>
        <v>45483</v>
      </c>
      <c r="AO73" t="str">
        <f>IF(INDEX(NOTA[Column10],A:A)="","",INDEX(NOTA[Column10],A:A))</f>
        <v/>
      </c>
      <c r="AP73">
        <f ca="1">INDEX(NOTA[NO.NOTA_H],Sheet1!A:A)</f>
        <v>0</v>
      </c>
      <c r="AQ73">
        <f>INDEX(NOTA[Column10],Sheet1!A:A)</f>
        <v>0</v>
      </c>
      <c r="AR73" s="8" t="str">
        <f ca="1">INDEX(NOTA[SUPPLIER_H],Sheet1!A:A)</f>
        <v>D-R ORIGINAL</v>
      </c>
      <c r="AS73" t="str">
        <f>Table17[[#This Row],[NAMA_C]]</f>
        <v>CUTTER TACO 88 BESAR</v>
      </c>
      <c r="AT73" t="str">
        <f ca="1">Table17[[#This Row],[SUPPLIER]]</f>
        <v>D-R ORIGINAL</v>
      </c>
      <c r="AU73" t="str">
        <f>SUBSTITUTE(Table17[[#This Row],[CTN]],",",".")</f>
        <v>12</v>
      </c>
      <c r="AV73" s="13" t="str">
        <f>Table17[[#This Row],[ISI_C]]</f>
        <v>60</v>
      </c>
      <c r="AW73" t="str">
        <f>Table17[[#This Row],[SATUAN_C]]</f>
        <v>LSN</v>
      </c>
      <c r="AX73">
        <f>Table17[[#This Row],[HARGA CONV2]]</f>
        <v>31000</v>
      </c>
      <c r="AY73" s="9" t="str">
        <f>SUBSTITUTE(Table17[[#This Row],[DISC 3]],",",".")</f>
        <v>0.19</v>
      </c>
      <c r="AZ73" s="6">
        <f ca="1">Table17[[#This Row],[TGL DATANG]]</f>
        <v>45485</v>
      </c>
      <c r="BA73" s="6">
        <f ca="1">Table17[[#This Row],[Column10]]</f>
        <v>45483</v>
      </c>
      <c r="BB73" s="7"/>
      <c r="BC73" t="str">
        <f>Table17[[#This Row],[KETERANGAN CONDRO]]</f>
        <v/>
      </c>
      <c r="BD73">
        <f ca="1">Table17[[#This Row],[Column6]]</f>
        <v>0</v>
      </c>
    </row>
    <row r="74" spans="1:56">
      <c r="A74" s="55">
        <v>98</v>
      </c>
      <c r="C74">
        <f>INDEX(NOTA[//DB],Sheet1!A:A)</f>
        <v>791</v>
      </c>
      <c r="D74">
        <f>_xlfn.IFNA(MATCH(Table17[[#This Row],[//db]],[3]!Table2[\\],0),"")</f>
        <v>937</v>
      </c>
      <c r="E74" t="str">
        <f>INDEX([3]!db[NB NOTA],Table17[[#This Row],[//db]])</f>
        <v>CUTTER BESAR 88 TACO</v>
      </c>
      <c r="F74" t="str">
        <f>INDEX([3]!db[NB BM],Table17[[#This Row],[//db]])</f>
        <v>CUTTER TACO 88 BESAR</v>
      </c>
      <c r="G74" t="str">
        <f>IF(Table17[[#This Row],[dbconcat]]="","",INDEX([3]!Table2[NAMA],Table17[[#This Row],[dbconcat]]))</f>
        <v>CUTTER TACO 88 BESAR</v>
      </c>
      <c r="H74" t="str">
        <f>INDEX([3]!Table2[KODE BARANG],Table17[[#This Row],[dbconcat]])</f>
        <v>CUT-TC8</v>
      </c>
      <c r="I74" t="str">
        <f>IF(Table17[[#This Row],[NAMA_3]]="",UPPER(Table17[[#This Row],[NAMA_2]]),Table17[[#This Row],[NAMA_3]])</f>
        <v>CUTTER TACO 88 BESAR</v>
      </c>
      <c r="J74">
        <f>INDEX(NOTA[QTY],Sheet1!A:A)</f>
        <v>60</v>
      </c>
      <c r="K74" t="str">
        <f>INDEX(NOTA[STN],Sheet1!A:A)</f>
        <v>LSN</v>
      </c>
      <c r="L74" t="str">
        <f>INDEX([3]!db[QTY B],Table17[[#This Row],[//db]])</f>
        <v>60</v>
      </c>
      <c r="M74" t="str">
        <f>INDEX([3]!db[STN B],Table17[[#This Row],[//db]])</f>
        <v>LSN</v>
      </c>
      <c r="N74" t="str">
        <f>IF(Table17[[#This Row],[SATUAN NOTA]]=Table17[[#This Row],[SATUAN DB]],"", MATCH(CONCATENATE(Table17[[#This Row],[SATUAN NOTA]],Table17[[#This Row],[SATUAN DB]]),Table2[4],0))</f>
        <v/>
      </c>
      <c r="O74" t="str" cm="1">
        <f t="array" ref="O74">IF(Table17[[#This Row],[//CONV]]="","",INDEX(Table2[3],Table17[[#This Row],[//CONV]]))</f>
        <v/>
      </c>
      <c r="P74" t="str">
        <f>IF(Table17[[#This Row],[//CONV]]="",Table17[[#This Row],[ISI DB]],Table17[[#This Row],[ISI NOTA]]*Table17[[#This Row],[CONV VAR]])</f>
        <v>60</v>
      </c>
      <c r="Q74" t="str" cm="1">
        <f t="array" ref="Q74">IF(Table17[[#This Row],[//CONV]]="",Table17[[#This Row],[SATUAN DB]],INDEX(Table2[2],Table17[[#This Row],[//CONV]]))</f>
        <v>LSN</v>
      </c>
      <c r="R74" cm="1">
        <f t="array" ref="R74">IF(Table17[[#This Row],[dbconcat]]="","",INDEX([3]!Table2[ISI],Table17[[#This Row],[dbconcat]]))</f>
        <v>60</v>
      </c>
      <c r="S74" t="str" cm="1">
        <f t="array" ref="S74">IF(Table17[[#This Row],[dbconcat]]="","",INDEX([3]!Table2[[SATUAN ]],Table17[[#This Row],[dbconcat]]))</f>
        <v>LSN</v>
      </c>
      <c r="T74" t="str">
        <f>IF(Table17[[#This Row],[SATUAN S]]="","",IF(_xlfn.NUMBERVALUE(Table17[[#This Row],[ISI DB]])=_xlfn.NUMBERVALUE(Table17[[#This Row],[ISI S]]),"",1))</f>
        <v/>
      </c>
      <c r="U74" t="str">
        <f>IF(Table17[[#This Row],[SATUAN S]]="","",IF(Table17[[#This Row],[SATUAN DB]]=Table17[[#This Row],[SATUAN S]],"",1))</f>
        <v/>
      </c>
      <c r="V74" t="str">
        <f>IF(Table17[[#This Row],[CEK STN S]]="","",MATCH(CONCATENATE(Table17[[#This Row],[SATUAN CONV]],Table17[[#This Row],[SATUAN S]]),Table2[4],0))</f>
        <v/>
      </c>
      <c r="X74" t="str" cm="1">
        <f t="array" ref="X74">IF(Table17[[#This Row],[CONV2_//]]="","",INDEX(Table2[3],Table17[[#This Row],[CONV2_//]]))</f>
        <v/>
      </c>
      <c r="Y74" s="2" t="str">
        <f>IF(Table17[[#This Row],[CEK ISI S]]="",Table17[[#This Row],[ISI DB]],Table17[[#This Row],[ISI S]])</f>
        <v>60</v>
      </c>
      <c r="Z74" t="str">
        <f>IF(Table17[[#This Row],[CEK STN S]]="",Table17[[#This Row],[SATUAN DB]],Table17[[#This Row],[SATUAN S]])</f>
        <v>LSN</v>
      </c>
      <c r="AA74">
        <f>IF(Table17[[#This Row],[//CONV]]="",Table17[[#This Row],[ISI NOTA]]/Table17[[#This Row],[ISI_C]],Table17[[#This Row],[ISI DB CONV]]/Table17[[#This Row],[ISI_C]])</f>
        <v>1</v>
      </c>
      <c r="AB74">
        <f>INDEX(NOTA[HARGA SATUAN],Sheet1!A:A)</f>
        <v>31000</v>
      </c>
      <c r="AC74">
        <f>IF(Table17[[#This Row],[//CONV]]="",Table17[[#This Row],[HARGA NOTA]],Table17[[#This Row],[HARGA NOTA]]/Table17[[#This Row],[CONV VAR]])</f>
        <v>31000</v>
      </c>
      <c r="AD74">
        <f>IF(Table17[[#This Row],[CEK STN S]]="",Table17[[#This Row],[HARGA CONV]],Table17[[#This Row],[HARGA CONV]]/Table17[[#This Row],[CONV2 VAR]])</f>
        <v>31000</v>
      </c>
      <c r="AE74" s="3">
        <f>IF(INDEX(NOTA[Column6],Sheet1!A:A)=0,"",INDEX(NOTA[Column6],Sheet1!A:A))</f>
        <v>1</v>
      </c>
      <c r="AF74" s="3" t="str">
        <f>IF(INDEX(NOTA[Column7],Sheet1!A:A)=0,"",INDEX(NOTA[Column7],Sheet1!A:A))</f>
        <v/>
      </c>
      <c r="AG74" s="3">
        <f>IF(Table17[[#This Row],[DISC 1]]="","",IF(Table17[[#This Row],[DISC 2]]="",Table17[[#This Row],[DISC 1]],Table17[[#This Row],[DISC 1]]+Table17[[#This Row],[DISC 2]]-(Table17[[#This Row],[DISC 1]]*Table17[[#This Row],[DISC 2]])))</f>
        <v>1</v>
      </c>
      <c r="AH74" s="4">
        <f>INDEX(NOTA[HARGA/ CTN_H],Sheet1!A:A)</f>
        <v>1860000</v>
      </c>
      <c r="AI74" s="4">
        <f>IF(Table17[[#This Row],[DISC 3]]="",Table17[[#This Row],[HRG / CTN]],Table17[[#This Row],[HRG / CTN]]-(Table17[[#This Row],[HRG / CTN]]*Table17[[#This Row],[DISC 3]]))</f>
        <v>0</v>
      </c>
      <c r="AJ74" s="5" t="e">
        <f>IF(#REF!&lt;1,Table17[[#This Row],[Column9]],Table17[[#This Row],[Column9]]*#REF!)</f>
        <v>#REF!</v>
      </c>
      <c r="AK74" s="4" t="e">
        <f ca="1">IF(NOT(AP75=Table17[[#This Row],[Column6]]),SUMIF(Table17[Column6],Table17[[#This Row],[Column6]],Table17[Column7]),"")</f>
        <v>#REF!</v>
      </c>
      <c r="AL74" s="6">
        <f ca="1">INDEX(NOTA[TGL_H],Sheet1!A:A)</f>
        <v>45485</v>
      </c>
      <c r="AM74" s="6">
        <f ca="1">INDEX(NOTA[TGL.NOTA_H],Sheet1!A:A)</f>
        <v>45483</v>
      </c>
      <c r="AO74" t="str">
        <f>IF(INDEX(NOTA[Column10],A:A)="","",INDEX(NOTA[Column10],A:A))</f>
        <v>BONUS</v>
      </c>
      <c r="AP74">
        <f ca="1">INDEX(NOTA[NO.NOTA_H],Sheet1!A:A)</f>
        <v>0</v>
      </c>
      <c r="AQ74" t="str">
        <f>INDEX(NOTA[Column10],Sheet1!A:A)</f>
        <v>BONUS</v>
      </c>
      <c r="AR74" s="8" t="str">
        <f ca="1">INDEX(NOTA[SUPPLIER_H],Sheet1!A:A)</f>
        <v>D-R ORIGINAL</v>
      </c>
      <c r="AS74" t="str">
        <f>Table17[[#This Row],[NAMA_C]]</f>
        <v>CUTTER TACO 88 BESAR</v>
      </c>
      <c r="AT74" t="str">
        <f ca="1">Table17[[#This Row],[SUPPLIER]]</f>
        <v>D-R ORIGINAL</v>
      </c>
      <c r="AU74" t="str">
        <f>SUBSTITUTE(Table17[[#This Row],[CTN]],",",".")</f>
        <v>1</v>
      </c>
      <c r="AV74" s="13" t="str">
        <f>Table17[[#This Row],[ISI_C]]</f>
        <v>60</v>
      </c>
      <c r="AW74" t="str">
        <f>Table17[[#This Row],[SATUAN_C]]</f>
        <v>LSN</v>
      </c>
      <c r="AX74">
        <f>Table17[[#This Row],[HARGA CONV2]]</f>
        <v>31000</v>
      </c>
      <c r="AY74" s="9" t="str">
        <f>SUBSTITUTE(Table17[[#This Row],[DISC 3]],",",".")</f>
        <v>1</v>
      </c>
      <c r="AZ74" s="6">
        <f ca="1">Table17[[#This Row],[TGL DATANG]]</f>
        <v>45485</v>
      </c>
      <c r="BA74" s="6">
        <f ca="1">Table17[[#This Row],[Column10]]</f>
        <v>45483</v>
      </c>
      <c r="BB74" s="7"/>
      <c r="BC74" t="str">
        <f>Table17[[#This Row],[KETERANGAN CONDRO]]</f>
        <v>BONUS</v>
      </c>
      <c r="BD74">
        <f ca="1">Table17[[#This Row],[Column6]]</f>
        <v>0</v>
      </c>
    </row>
    <row r="75" spans="1:56">
      <c r="A75" s="55">
        <v>100</v>
      </c>
      <c r="C75">
        <f>INDEX(NOTA[//DB],Sheet1!A:A)</f>
        <v>152</v>
      </c>
      <c r="D75">
        <f>_xlfn.IFNA(MATCH(Table17[[#This Row],[//db]],[3]!Table2[\\],0),"")</f>
        <v>738</v>
      </c>
      <c r="E75" t="str">
        <f>INDEX([3]!db[NB NOTA],Table17[[#This Row],[//db]])</f>
        <v>BALLPEN GEL TF-1191 BODY WR 0.3MM HIGHTECH</v>
      </c>
      <c r="F75" t="str">
        <f>INDEX([3]!db[NB BM],Table17[[#This Row],[//db]])</f>
        <v>BP GEL TF-1191 BODY WR 0.3MM HIGHTECH</v>
      </c>
      <c r="G75" t="str">
        <f>IF(Table17[[#This Row],[dbconcat]]="","",INDEX([3]!Table2[NAMA],Table17[[#This Row],[dbconcat]]))</f>
        <v>BP GEL TF-1191 BODY WR 0.3MM HIGHTECH</v>
      </c>
      <c r="H75" t="str">
        <f>INDEX([3]!Table2[KODE BARANG],Table17[[#This Row],[dbconcat]])</f>
        <v>BOL-TF357</v>
      </c>
      <c r="I75" t="str">
        <f>IF(Table17[[#This Row],[NAMA_3]]="",UPPER(Table17[[#This Row],[NAMA_2]]),Table17[[#This Row],[NAMA_3]])</f>
        <v>BP GEL TF-1191 BODY WR 0.3MM HIGHTECH</v>
      </c>
      <c r="J75">
        <f>INDEX(NOTA[QTY],Sheet1!A:A)</f>
        <v>192</v>
      </c>
      <c r="K75" t="str">
        <f>INDEX(NOTA[STN],Sheet1!A:A)</f>
        <v>LSN</v>
      </c>
      <c r="L75" t="str">
        <f>INDEX([3]!db[QTY B],Table17[[#This Row],[//db]])</f>
        <v>96</v>
      </c>
      <c r="M75" t="str">
        <f>INDEX([3]!db[STN B],Table17[[#This Row],[//db]])</f>
        <v>LSN</v>
      </c>
      <c r="N75" t="str">
        <f>IF(Table17[[#This Row],[SATUAN NOTA]]=Table17[[#This Row],[SATUAN DB]],"", MATCH(CONCATENATE(Table17[[#This Row],[SATUAN NOTA]],Table17[[#This Row],[SATUAN DB]]),Table2[4],0))</f>
        <v/>
      </c>
      <c r="O75" t="str" cm="1">
        <f t="array" ref="O75">IF(Table17[[#This Row],[//CONV]]="","",INDEX(Table2[3],Table17[[#This Row],[//CONV]]))</f>
        <v/>
      </c>
      <c r="P75" t="str">
        <f>IF(Table17[[#This Row],[//CONV]]="",Table17[[#This Row],[ISI DB]],Table17[[#This Row],[ISI NOTA]]*Table17[[#This Row],[CONV VAR]])</f>
        <v>96</v>
      </c>
      <c r="Q75" t="str" cm="1">
        <f t="array" ref="Q75">IF(Table17[[#This Row],[//CONV]]="",Table17[[#This Row],[SATUAN DB]],INDEX(Table2[2],Table17[[#This Row],[//CONV]]))</f>
        <v>LSN</v>
      </c>
      <c r="R75" cm="1">
        <f t="array" ref="R75">IF(Table17[[#This Row],[dbconcat]]="","",INDEX([3]!Table2[ISI],Table17[[#This Row],[dbconcat]]))</f>
        <v>96</v>
      </c>
      <c r="S75" t="str" cm="1">
        <f t="array" ref="S75">IF(Table17[[#This Row],[dbconcat]]="","",INDEX([3]!Table2[[SATUAN ]],Table17[[#This Row],[dbconcat]]))</f>
        <v>LSN</v>
      </c>
      <c r="T75" t="str">
        <f>IF(Table17[[#This Row],[SATUAN S]]="","",IF(_xlfn.NUMBERVALUE(Table17[[#This Row],[ISI DB]])=_xlfn.NUMBERVALUE(Table17[[#This Row],[ISI S]]),"",1))</f>
        <v/>
      </c>
      <c r="U75" t="str">
        <f>IF(Table17[[#This Row],[SATUAN S]]="","",IF(Table17[[#This Row],[SATUAN DB]]=Table17[[#This Row],[SATUAN S]],"",1))</f>
        <v/>
      </c>
      <c r="V75" t="str">
        <f>IF(Table17[[#This Row],[CEK STN S]]="","",MATCH(CONCATENATE(Table17[[#This Row],[SATUAN CONV]],Table17[[#This Row],[SATUAN S]]),Table2[4],0))</f>
        <v/>
      </c>
      <c r="X75" t="str" cm="1">
        <f t="array" ref="X75">IF(Table17[[#This Row],[CONV2_//]]="","",INDEX(Table2[3],Table17[[#This Row],[CONV2_//]]))</f>
        <v/>
      </c>
      <c r="Y75" s="2" t="str">
        <f>IF(Table17[[#This Row],[CEK ISI S]]="",Table17[[#This Row],[ISI DB]],Table17[[#This Row],[ISI S]])</f>
        <v>96</v>
      </c>
      <c r="Z75" t="str">
        <f>IF(Table17[[#This Row],[CEK STN S]]="",Table17[[#This Row],[SATUAN DB]],Table17[[#This Row],[SATUAN S]])</f>
        <v>LSN</v>
      </c>
      <c r="AA75">
        <f>IF(Table17[[#This Row],[//CONV]]="",Table17[[#This Row],[ISI NOTA]]/Table17[[#This Row],[ISI_C]],Table17[[#This Row],[ISI DB CONV]]/Table17[[#This Row],[ISI_C]])</f>
        <v>2</v>
      </c>
      <c r="AB75">
        <f>INDEX(NOTA[HARGA SATUAN],Sheet1!A:A)</f>
        <v>26500</v>
      </c>
      <c r="AC75">
        <f>IF(Table17[[#This Row],[//CONV]]="",Table17[[#This Row],[HARGA NOTA]],Table17[[#This Row],[HARGA NOTA]]/Table17[[#This Row],[CONV VAR]])</f>
        <v>26500</v>
      </c>
      <c r="AD75">
        <f>IF(Table17[[#This Row],[CEK STN S]]="",Table17[[#This Row],[HARGA CONV]],Table17[[#This Row],[HARGA CONV]]/Table17[[#This Row],[CONV2 VAR]])</f>
        <v>26500</v>
      </c>
      <c r="AE75" s="3">
        <f>IF(INDEX(NOTA[Column6],Sheet1!A:A)=0,"",INDEX(NOTA[Column6],Sheet1!A:A))</f>
        <v>0.03</v>
      </c>
      <c r="AF75" s="3" t="str">
        <f>IF(INDEX(NOTA[Column7],Sheet1!A:A)=0,"",INDEX(NOTA[Column7],Sheet1!A:A))</f>
        <v/>
      </c>
      <c r="AG75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5" s="4">
        <f>INDEX(NOTA[HARGA/ CTN_H],Sheet1!A:A)</f>
        <v>2544000</v>
      </c>
      <c r="AI75" s="4">
        <f>IF(Table17[[#This Row],[DISC 3]]="",Table17[[#This Row],[HRG / CTN]],Table17[[#This Row],[HRG / CTN]]-(Table17[[#This Row],[HRG / CTN]]*Table17[[#This Row],[DISC 3]]))</f>
        <v>2467680</v>
      </c>
      <c r="AJ75" s="5" t="e">
        <f>IF(#REF!&lt;1,Table17[[#This Row],[Column9]],Table17[[#This Row],[Column9]]*#REF!)</f>
        <v>#REF!</v>
      </c>
      <c r="AK75" s="4" t="e">
        <f ca="1">IF(NOT(AP76=Table17[[#This Row],[Column6]]),SUMIF(Table17[Column6],Table17[[#This Row],[Column6]],Table17[Column7]),"")</f>
        <v>#REF!</v>
      </c>
      <c r="AL75" s="6">
        <f ca="1">INDEX(NOTA[TGL_H],Sheet1!A:A)</f>
        <v>45483</v>
      </c>
      <c r="AM75" s="6">
        <f ca="1">INDEX(NOTA[TGL.NOTA_H],Sheet1!A:A)</f>
        <v>45478</v>
      </c>
      <c r="AO75" t="str">
        <f>IF(INDEX(NOTA[Column10],A:A)="","",INDEX(NOTA[Column10],A:A))</f>
        <v/>
      </c>
      <c r="AP75" t="str">
        <f ca="1">INDEX(NOTA[NO.NOTA_H],Sheet1!A:A)</f>
        <v>HM/132/07-24H</v>
      </c>
      <c r="AQ75">
        <f>INDEX(NOTA[Column10],Sheet1!A:A)</f>
        <v>0</v>
      </c>
      <c r="AR75" s="8" t="str">
        <f ca="1">INDEX(NOTA[SUPPLIER_H],Sheet1!A:A)</f>
        <v>DUTA BUANA</v>
      </c>
      <c r="AS75" t="str">
        <f>Table17[[#This Row],[NAMA_C]]</f>
        <v>BP GEL TF-1191 BODY WR 0.3MM HIGHTECH</v>
      </c>
      <c r="AT75" t="str">
        <f ca="1">Table17[[#This Row],[SUPPLIER]]</f>
        <v>DUTA BUANA</v>
      </c>
      <c r="AU75" t="str">
        <f>SUBSTITUTE(Table17[[#This Row],[CTN]],",",".")</f>
        <v>2</v>
      </c>
      <c r="AV75" s="13" t="str">
        <f>Table17[[#This Row],[ISI_C]]</f>
        <v>96</v>
      </c>
      <c r="AW75" t="str">
        <f>Table17[[#This Row],[SATUAN_C]]</f>
        <v>LSN</v>
      </c>
      <c r="AX75">
        <f>Table17[[#This Row],[HARGA CONV2]]</f>
        <v>26500</v>
      </c>
      <c r="AY75" s="9" t="str">
        <f>SUBSTITUTE(Table17[[#This Row],[DISC 3]],",",".")</f>
        <v>0.03</v>
      </c>
      <c r="AZ75" s="6">
        <f ca="1">Table17[[#This Row],[TGL DATANG]]</f>
        <v>45483</v>
      </c>
      <c r="BA75" s="6">
        <f ca="1">Table17[[#This Row],[Column10]]</f>
        <v>45478</v>
      </c>
      <c r="BB75" s="7"/>
      <c r="BC75" t="str">
        <f>Table17[[#This Row],[KETERANGAN CONDRO]]</f>
        <v/>
      </c>
      <c r="BD75" t="str">
        <f ca="1">Table17[[#This Row],[Column6]]</f>
        <v>HM/132/07-24H</v>
      </c>
    </row>
    <row r="76" spans="1:56">
      <c r="A76" s="55">
        <v>102</v>
      </c>
      <c r="C76">
        <f>INDEX(NOTA[//DB],Sheet1!A:A)</f>
        <v>150</v>
      </c>
      <c r="D76">
        <f>_xlfn.IFNA(MATCH(Table17[[#This Row],[//db]],[3]!Table2[\\],0),"")</f>
        <v>717</v>
      </c>
      <c r="E76" t="str">
        <f>INDEX([3]!db[NB NOTA],Table17[[#This Row],[//db]])</f>
        <v>BALLPEN GEL TF-1190 HTM 0.3MM HIGHTECH</v>
      </c>
      <c r="F76" t="str">
        <f>INDEX([3]!db[NB BM],Table17[[#This Row],[//db]])</f>
        <v>BP GEL TF-1190 0.3MM HIGHTECH (H)</v>
      </c>
      <c r="G76" t="str">
        <f>IF(Table17[[#This Row],[dbconcat]]="","",INDEX([3]!Table2[NAMA],Table17[[#This Row],[dbconcat]]))</f>
        <v>BP GEL TF-1190 0.3MM HIGHTECH (H)</v>
      </c>
      <c r="H76" t="str">
        <f>INDEX([3]!Table2[KODE BARANG],Table17[[#This Row],[dbconcat]])</f>
        <v>BOL-TF336</v>
      </c>
      <c r="I76" t="str">
        <f>IF(Table17[[#This Row],[NAMA_3]]="",UPPER(Table17[[#This Row],[NAMA_2]]),Table17[[#This Row],[NAMA_3]])</f>
        <v>BP GEL TF-1190 0.3MM HIGHTECH (H)</v>
      </c>
      <c r="J76">
        <f>INDEX(NOTA[QTY],Sheet1!A:A)</f>
        <v>480</v>
      </c>
      <c r="K76" t="str">
        <f>INDEX(NOTA[STN],Sheet1!A:A)</f>
        <v>LSN</v>
      </c>
      <c r="L76" t="str">
        <f>INDEX([3]!db[QTY B],Table17[[#This Row],[//db]])</f>
        <v>96</v>
      </c>
      <c r="M76" t="str">
        <f>INDEX([3]!db[STN B],Table17[[#This Row],[//db]])</f>
        <v>LSN</v>
      </c>
      <c r="N76" t="str">
        <f>IF(Table17[[#This Row],[SATUAN NOTA]]=Table17[[#This Row],[SATUAN DB]],"", MATCH(CONCATENATE(Table17[[#This Row],[SATUAN NOTA]],Table17[[#This Row],[SATUAN DB]]),Table2[4],0))</f>
        <v/>
      </c>
      <c r="O76" t="str" cm="1">
        <f t="array" ref="O76">IF(Table17[[#This Row],[//CONV]]="","",INDEX(Table2[3],Table17[[#This Row],[//CONV]]))</f>
        <v/>
      </c>
      <c r="P76" t="str">
        <f>IF(Table17[[#This Row],[//CONV]]="",Table17[[#This Row],[ISI DB]],Table17[[#This Row],[ISI NOTA]]*Table17[[#This Row],[CONV VAR]])</f>
        <v>96</v>
      </c>
      <c r="Q76" t="str" cm="1">
        <f t="array" ref="Q76">IF(Table17[[#This Row],[//CONV]]="",Table17[[#This Row],[SATUAN DB]],INDEX(Table2[2],Table17[[#This Row],[//CONV]]))</f>
        <v>LSN</v>
      </c>
      <c r="R76" cm="1">
        <f t="array" ref="R76">IF(Table17[[#This Row],[dbconcat]]="","",INDEX([3]!Table2[ISI],Table17[[#This Row],[dbconcat]]))</f>
        <v>96</v>
      </c>
      <c r="S76" t="str" cm="1">
        <f t="array" ref="S76">IF(Table17[[#This Row],[dbconcat]]="","",INDEX([3]!Table2[[SATUAN ]],Table17[[#This Row],[dbconcat]]))</f>
        <v>LSN</v>
      </c>
      <c r="T76" t="str">
        <f>IF(Table17[[#This Row],[SATUAN S]]="","",IF(_xlfn.NUMBERVALUE(Table17[[#This Row],[ISI DB]])=_xlfn.NUMBERVALUE(Table17[[#This Row],[ISI S]]),"",1))</f>
        <v/>
      </c>
      <c r="U76" t="str">
        <f>IF(Table17[[#This Row],[SATUAN S]]="","",IF(Table17[[#This Row],[SATUAN DB]]=Table17[[#This Row],[SATUAN S]],"",1))</f>
        <v/>
      </c>
      <c r="V76" t="str">
        <f>IF(Table17[[#This Row],[CEK STN S]]="","",MATCH(CONCATENATE(Table17[[#This Row],[SATUAN CONV]],Table17[[#This Row],[SATUAN S]]),Table2[4],0))</f>
        <v/>
      </c>
      <c r="X76" t="str" cm="1">
        <f t="array" ref="X76">IF(Table17[[#This Row],[CONV2_//]]="","",INDEX(Table2[3],Table17[[#This Row],[CONV2_//]]))</f>
        <v/>
      </c>
      <c r="Y76" s="2" t="str">
        <f>IF(Table17[[#This Row],[CEK ISI S]]="",Table17[[#This Row],[ISI DB]],Table17[[#This Row],[ISI S]])</f>
        <v>96</v>
      </c>
      <c r="Z76" t="str">
        <f>IF(Table17[[#This Row],[CEK STN S]]="",Table17[[#This Row],[SATUAN DB]],Table17[[#This Row],[SATUAN S]])</f>
        <v>LSN</v>
      </c>
      <c r="AA76">
        <f>IF(Table17[[#This Row],[//CONV]]="",Table17[[#This Row],[ISI NOTA]]/Table17[[#This Row],[ISI_C]],Table17[[#This Row],[ISI DB CONV]]/Table17[[#This Row],[ISI_C]])</f>
        <v>5</v>
      </c>
      <c r="AB76">
        <f>INDEX(NOTA[HARGA SATUAN],Sheet1!A:A)</f>
        <v>26500</v>
      </c>
      <c r="AC76">
        <f>IF(Table17[[#This Row],[//CONV]]="",Table17[[#This Row],[HARGA NOTA]],Table17[[#This Row],[HARGA NOTA]]/Table17[[#This Row],[CONV VAR]])</f>
        <v>26500</v>
      </c>
      <c r="AD76">
        <f>IF(Table17[[#This Row],[CEK STN S]]="",Table17[[#This Row],[HARGA CONV]],Table17[[#This Row],[HARGA CONV]]/Table17[[#This Row],[CONV2 VAR]])</f>
        <v>26500</v>
      </c>
      <c r="AE76" s="3">
        <f>IF(INDEX(NOTA[Column6],Sheet1!A:A)=0,"",INDEX(NOTA[Column6],Sheet1!A:A))</f>
        <v>0.03</v>
      </c>
      <c r="AF76" s="3" t="str">
        <f>IF(INDEX(NOTA[Column7],Sheet1!A:A)=0,"",INDEX(NOTA[Column7],Sheet1!A:A))</f>
        <v/>
      </c>
      <c r="AG76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6" s="4">
        <f>INDEX(NOTA[HARGA/ CTN_H],Sheet1!A:A)</f>
        <v>2544000</v>
      </c>
      <c r="AI76" s="4">
        <f>IF(Table17[[#This Row],[DISC 3]]="",Table17[[#This Row],[HRG / CTN]],Table17[[#This Row],[HRG / CTN]]-(Table17[[#This Row],[HRG / CTN]]*Table17[[#This Row],[DISC 3]]))</f>
        <v>2467680</v>
      </c>
      <c r="AJ76" s="5" t="e">
        <f>IF(#REF!&lt;1,Table17[[#This Row],[Column9]],Table17[[#This Row],[Column9]]*#REF!)</f>
        <v>#REF!</v>
      </c>
      <c r="AK76" s="4" t="e">
        <f ca="1">IF(NOT(AP77=Table17[[#This Row],[Column6]]),SUMIF(Table17[Column6],Table17[[#This Row],[Column6]],Table17[Column7]),"")</f>
        <v>#REF!</v>
      </c>
      <c r="AL76" s="6">
        <f ca="1">INDEX(NOTA[TGL_H],Sheet1!A:A)</f>
        <v>45483</v>
      </c>
      <c r="AM76" s="6">
        <f ca="1">INDEX(NOTA[TGL.NOTA_H],Sheet1!A:A)</f>
        <v>45478</v>
      </c>
      <c r="AO76" t="str">
        <f>IF(INDEX(NOTA[Column10],A:A)="","",INDEX(NOTA[Column10],A:A))</f>
        <v/>
      </c>
      <c r="AP76" t="str">
        <f ca="1">INDEX(NOTA[NO.NOTA_H],Sheet1!A:A)</f>
        <v>HM/131/07-24H</v>
      </c>
      <c r="AQ76">
        <f>INDEX(NOTA[Column10],Sheet1!A:A)</f>
        <v>0</v>
      </c>
      <c r="AR76" s="8" t="str">
        <f ca="1">INDEX(NOTA[SUPPLIER_H],Sheet1!A:A)</f>
        <v>DUTA BUANA</v>
      </c>
      <c r="AS76" t="str">
        <f>Table17[[#This Row],[NAMA_C]]</f>
        <v>BP GEL TF-1190 0.3MM HIGHTECH (H)</v>
      </c>
      <c r="AT76" t="str">
        <f ca="1">Table17[[#This Row],[SUPPLIER]]</f>
        <v>DUTA BUANA</v>
      </c>
      <c r="AU76" t="str">
        <f>SUBSTITUTE(Table17[[#This Row],[CTN]],",",".")</f>
        <v>5</v>
      </c>
      <c r="AV76" s="13" t="str">
        <f>Table17[[#This Row],[ISI_C]]</f>
        <v>96</v>
      </c>
      <c r="AW76" t="str">
        <f>Table17[[#This Row],[SATUAN_C]]</f>
        <v>LSN</v>
      </c>
      <c r="AX76">
        <f>Table17[[#This Row],[HARGA CONV2]]</f>
        <v>26500</v>
      </c>
      <c r="AY76" s="9" t="str">
        <f>SUBSTITUTE(Table17[[#This Row],[DISC 3]],",",".")</f>
        <v>0.03</v>
      </c>
      <c r="AZ76" s="6">
        <f ca="1">Table17[[#This Row],[TGL DATANG]]</f>
        <v>45483</v>
      </c>
      <c r="BA76" s="6">
        <f ca="1">Table17[[#This Row],[Column10]]</f>
        <v>45478</v>
      </c>
      <c r="BB76" s="7"/>
      <c r="BC76" t="str">
        <f>Table17[[#This Row],[KETERANGAN CONDRO]]</f>
        <v/>
      </c>
      <c r="BD76" t="str">
        <f ca="1">Table17[[#This Row],[Column6]]</f>
        <v>HM/131/07-24H</v>
      </c>
    </row>
    <row r="77" spans="1:56">
      <c r="A77" s="55">
        <v>104</v>
      </c>
      <c r="C77">
        <f>INDEX(NOTA[//DB],Sheet1!A:A)</f>
        <v>354</v>
      </c>
      <c r="D77">
        <f>_xlfn.IFNA(MATCH(Table17[[#This Row],[//db]],[3]!Table2[\\],0),"")</f>
        <v>339</v>
      </c>
      <c r="E77" t="str">
        <f>INDEX([3]!db[NB NOTA],Table17[[#This Row],[//db]])</f>
        <v>BINDER NOTE FPHY001-A5-60</v>
      </c>
      <c r="F77" t="str">
        <f>INDEX([3]!db[NB BM],Table17[[#This Row],[//db]])</f>
        <v>BINDER NOTE WENGU A5-60 FPHY 001</v>
      </c>
      <c r="G77" t="str">
        <f>IF(Table17[[#This Row],[dbconcat]]="","",INDEX([3]!Table2[NAMA],Table17[[#This Row],[dbconcat]]))</f>
        <v>BINDER NOTE WENGU A5-60 FPHY 001</v>
      </c>
      <c r="H77" t="str">
        <f>INDEX([3]!Table2[KODE BARANG],Table17[[#This Row],[dbconcat]])</f>
        <v>BIN-WN3</v>
      </c>
      <c r="I77" t="str">
        <f>IF(Table17[[#This Row],[NAMA_3]]="",UPPER(Table17[[#This Row],[NAMA_2]]),Table17[[#This Row],[NAMA_3]])</f>
        <v>BINDER NOTE WENGU A5-60 FPHY 001</v>
      </c>
      <c r="J77">
        <f>INDEX(NOTA[QTY],Sheet1!A:A)</f>
        <v>96</v>
      </c>
      <c r="K77" t="str">
        <f>INDEX(NOTA[STN],Sheet1!A:A)</f>
        <v>PCS</v>
      </c>
      <c r="L77" t="str">
        <f>INDEX([3]!db[QTY B],Table17[[#This Row],[//db]])</f>
        <v>96</v>
      </c>
      <c r="M77" t="str">
        <f>INDEX([3]!db[STN B],Table17[[#This Row],[//db]])</f>
        <v>PCS</v>
      </c>
      <c r="N77" t="str">
        <f>IF(Table17[[#This Row],[SATUAN NOTA]]=Table17[[#This Row],[SATUAN DB]],"", MATCH(CONCATENATE(Table17[[#This Row],[SATUAN NOTA]],Table17[[#This Row],[SATUAN DB]]),Table2[4],0))</f>
        <v/>
      </c>
      <c r="O77" t="str" cm="1">
        <f t="array" ref="O77">IF(Table17[[#This Row],[//CONV]]="","",INDEX(Table2[3],Table17[[#This Row],[//CONV]]))</f>
        <v/>
      </c>
      <c r="P77" t="str">
        <f>IF(Table17[[#This Row],[//CONV]]="",Table17[[#This Row],[ISI DB]],Table17[[#This Row],[ISI NOTA]]*Table17[[#This Row],[CONV VAR]])</f>
        <v>96</v>
      </c>
      <c r="Q77" t="str" cm="1">
        <f t="array" ref="Q77">IF(Table17[[#This Row],[//CONV]]="",Table17[[#This Row],[SATUAN DB]],INDEX(Table2[2],Table17[[#This Row],[//CONV]]))</f>
        <v>PCS</v>
      </c>
      <c r="R77" cm="1">
        <f t="array" ref="R77">IF(Table17[[#This Row],[dbconcat]]="","",INDEX([3]!Table2[ISI],Table17[[#This Row],[dbconcat]]))</f>
        <v>96</v>
      </c>
      <c r="S77" t="str" cm="1">
        <f t="array" ref="S77">IF(Table17[[#This Row],[dbconcat]]="","",INDEX([3]!Table2[[SATUAN ]],Table17[[#This Row],[dbconcat]]))</f>
        <v>PCS</v>
      </c>
      <c r="T77" t="str">
        <f>IF(Table17[[#This Row],[SATUAN S]]="","",IF(_xlfn.NUMBERVALUE(Table17[[#This Row],[ISI DB]])=_xlfn.NUMBERVALUE(Table17[[#This Row],[ISI S]]),"",1))</f>
        <v/>
      </c>
      <c r="U77" t="str">
        <f>IF(Table17[[#This Row],[SATUAN S]]="","",IF(Table17[[#This Row],[SATUAN DB]]=Table17[[#This Row],[SATUAN S]],"",1))</f>
        <v/>
      </c>
      <c r="V77" t="str">
        <f>IF(Table17[[#This Row],[CEK STN S]]="","",MATCH(CONCATENATE(Table17[[#This Row],[SATUAN CONV]],Table17[[#This Row],[SATUAN S]]),Table2[4],0))</f>
        <v/>
      </c>
      <c r="X77" t="str" cm="1">
        <f t="array" ref="X77">IF(Table17[[#This Row],[CONV2_//]]="","",INDEX(Table2[3],Table17[[#This Row],[CONV2_//]]))</f>
        <v/>
      </c>
      <c r="Y77" s="2" t="str">
        <f>IF(Table17[[#This Row],[CEK ISI S]]="",Table17[[#This Row],[ISI DB]],Table17[[#This Row],[ISI S]])</f>
        <v>96</v>
      </c>
      <c r="Z77" t="str">
        <f>IF(Table17[[#This Row],[CEK STN S]]="",Table17[[#This Row],[SATUAN DB]],Table17[[#This Row],[SATUAN S]])</f>
        <v>PCS</v>
      </c>
      <c r="AA77">
        <f>IF(Table17[[#This Row],[//CONV]]="",Table17[[#This Row],[ISI NOTA]]/Table17[[#This Row],[ISI_C]],Table17[[#This Row],[ISI DB CONV]]/Table17[[#This Row],[ISI_C]])</f>
        <v>1</v>
      </c>
      <c r="AB77">
        <f>INDEX(NOTA[HARGA SATUAN],Sheet1!A:A)</f>
        <v>21000</v>
      </c>
      <c r="AC77">
        <f>IF(Table17[[#This Row],[//CONV]]="",Table17[[#This Row],[HARGA NOTA]],Table17[[#This Row],[HARGA NOTA]]/Table17[[#This Row],[CONV VAR]])</f>
        <v>21000</v>
      </c>
      <c r="AD77">
        <f>IF(Table17[[#This Row],[CEK STN S]]="",Table17[[#This Row],[HARGA CONV]],Table17[[#This Row],[HARGA CONV]]/Table17[[#This Row],[CONV2 VAR]])</f>
        <v>21000</v>
      </c>
      <c r="AE77" s="3">
        <f>IF(INDEX(NOTA[Column6],Sheet1!A:A)=0,"",INDEX(NOTA[Column6],Sheet1!A:A))</f>
        <v>0.03</v>
      </c>
      <c r="AF77" s="3" t="str">
        <f>IF(INDEX(NOTA[Column7],Sheet1!A:A)=0,"",INDEX(NOTA[Column7],Sheet1!A:A))</f>
        <v/>
      </c>
      <c r="AG77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7" s="4">
        <f>INDEX(NOTA[HARGA/ CTN_H],Sheet1!A:A)</f>
        <v>2016000</v>
      </c>
      <c r="AI77" s="4">
        <f>IF(Table17[[#This Row],[DISC 3]]="",Table17[[#This Row],[HRG / CTN]],Table17[[#This Row],[HRG / CTN]]-(Table17[[#This Row],[HRG / CTN]]*Table17[[#This Row],[DISC 3]]))</f>
        <v>1955520</v>
      </c>
      <c r="AJ77" s="5" t="e">
        <f>IF(#REF!&lt;1,Table17[[#This Row],[Column9]],Table17[[#This Row],[Column9]]*#REF!)</f>
        <v>#REF!</v>
      </c>
      <c r="AK77" s="4" t="str">
        <f ca="1">IF(NOT(AP78=Table17[[#This Row],[Column6]]),SUMIF(Table17[Column6],Table17[[#This Row],[Column6]],Table17[Column7]),"")</f>
        <v/>
      </c>
      <c r="AL77" s="6">
        <f ca="1">INDEX(NOTA[TGL_H],Sheet1!A:A)</f>
        <v>45483</v>
      </c>
      <c r="AM77" s="6">
        <f ca="1">INDEX(NOTA[TGL.NOTA_H],Sheet1!A:A)</f>
        <v>45478</v>
      </c>
      <c r="AO77" t="str">
        <f>IF(INDEX(NOTA[Column10],A:A)="","",INDEX(NOTA[Column10],A:A))</f>
        <v/>
      </c>
      <c r="AP77" t="str">
        <f ca="1">INDEX(NOTA[NO.NOTA_H],Sheet1!A:A)</f>
        <v>DHM/059/07-24C</v>
      </c>
      <c r="AQ77">
        <f>INDEX(NOTA[Column10],Sheet1!A:A)</f>
        <v>0</v>
      </c>
      <c r="AR77" s="8" t="str">
        <f ca="1">INDEX(NOTA[SUPPLIER_H],Sheet1!A:A)</f>
        <v>DUTA BAHAGIA</v>
      </c>
      <c r="AS77" t="str">
        <f>Table17[[#This Row],[NAMA_C]]</f>
        <v>BINDER NOTE WENGU A5-60 FPHY 001</v>
      </c>
      <c r="AT77" t="str">
        <f ca="1">Table17[[#This Row],[SUPPLIER]]</f>
        <v>DUTA BAHAGIA</v>
      </c>
      <c r="AU77" t="str">
        <f>SUBSTITUTE(Table17[[#This Row],[CTN]],",",".")</f>
        <v>1</v>
      </c>
      <c r="AV77" s="13" t="str">
        <f>Table17[[#This Row],[ISI_C]]</f>
        <v>96</v>
      </c>
      <c r="AW77" t="str">
        <f>Table17[[#This Row],[SATUAN_C]]</f>
        <v>PCS</v>
      </c>
      <c r="AX77">
        <f>Table17[[#This Row],[HARGA CONV2]]</f>
        <v>21000</v>
      </c>
      <c r="AY77" s="9" t="str">
        <f>SUBSTITUTE(Table17[[#This Row],[DISC 3]],",",".")</f>
        <v>0.03</v>
      </c>
      <c r="AZ77" s="6">
        <f ca="1">Table17[[#This Row],[TGL DATANG]]</f>
        <v>45483</v>
      </c>
      <c r="BA77" s="6">
        <f ca="1">Table17[[#This Row],[Column10]]</f>
        <v>45478</v>
      </c>
      <c r="BB77" s="7"/>
      <c r="BC77" t="str">
        <f>Table17[[#This Row],[KETERANGAN CONDRO]]</f>
        <v/>
      </c>
      <c r="BD77" t="str">
        <f ca="1">Table17[[#This Row],[Column6]]</f>
        <v>DHM/059/07-24C</v>
      </c>
    </row>
    <row r="78" spans="1:56">
      <c r="A78" s="55">
        <v>105</v>
      </c>
      <c r="C78">
        <f>INDEX(NOTA[//DB],Sheet1!A:A)</f>
        <v>357</v>
      </c>
      <c r="D78">
        <f>_xlfn.IFNA(MATCH(Table17[[#This Row],[//db]],[3]!Table2[\\],0),"")</f>
        <v>338</v>
      </c>
      <c r="E78" t="str">
        <f>INDEX([3]!db[NB NOTA],Table17[[#This Row],[//db]])</f>
        <v>BINDER NOTE FPHY002-A5-60</v>
      </c>
      <c r="F78" t="str">
        <f>INDEX([3]!db[NB BM],Table17[[#This Row],[//db]])</f>
        <v>BINDER NOTE WENGU A5 FPHY 002</v>
      </c>
      <c r="G78" t="str">
        <f>IF(Table17[[#This Row],[dbconcat]]="","",INDEX([3]!Table2[NAMA],Table17[[#This Row],[dbconcat]]))</f>
        <v>BINDER NOTE WENGU A5 FPHY 002</v>
      </c>
      <c r="H78" t="str">
        <f>INDEX([3]!Table2[KODE BARANG],Table17[[#This Row],[dbconcat]])</f>
        <v>BIN-WN2</v>
      </c>
      <c r="I78" t="str">
        <f>IF(Table17[[#This Row],[NAMA_3]]="",UPPER(Table17[[#This Row],[NAMA_2]]),Table17[[#This Row],[NAMA_3]])</f>
        <v>BINDER NOTE WENGU A5 FPHY 002</v>
      </c>
      <c r="J78">
        <f>INDEX(NOTA[QTY],Sheet1!A:A)</f>
        <v>96</v>
      </c>
      <c r="K78" t="str">
        <f>INDEX(NOTA[STN],Sheet1!A:A)</f>
        <v>PCS</v>
      </c>
      <c r="L78" t="str">
        <f>INDEX([3]!db[QTY B],Table17[[#This Row],[//db]])</f>
        <v>96</v>
      </c>
      <c r="M78" t="str">
        <f>INDEX([3]!db[STN B],Table17[[#This Row],[//db]])</f>
        <v>PCS</v>
      </c>
      <c r="N78" t="str">
        <f>IF(Table17[[#This Row],[SATUAN NOTA]]=Table17[[#This Row],[SATUAN DB]],"", MATCH(CONCATENATE(Table17[[#This Row],[SATUAN NOTA]],Table17[[#This Row],[SATUAN DB]]),Table2[4],0))</f>
        <v/>
      </c>
      <c r="O78" t="str" cm="1">
        <f t="array" ref="O78">IF(Table17[[#This Row],[//CONV]]="","",INDEX(Table2[3],Table17[[#This Row],[//CONV]]))</f>
        <v/>
      </c>
      <c r="P78" t="str">
        <f>IF(Table17[[#This Row],[//CONV]]="",Table17[[#This Row],[ISI DB]],Table17[[#This Row],[ISI NOTA]]*Table17[[#This Row],[CONV VAR]])</f>
        <v>96</v>
      </c>
      <c r="Q78" t="str" cm="1">
        <f t="array" ref="Q78">IF(Table17[[#This Row],[//CONV]]="",Table17[[#This Row],[SATUAN DB]],INDEX(Table2[2],Table17[[#This Row],[//CONV]]))</f>
        <v>PCS</v>
      </c>
      <c r="R78" cm="1">
        <f t="array" ref="R78">IF(Table17[[#This Row],[dbconcat]]="","",INDEX([3]!Table2[ISI],Table17[[#This Row],[dbconcat]]))</f>
        <v>96</v>
      </c>
      <c r="S78" t="str" cm="1">
        <f t="array" ref="S78">IF(Table17[[#This Row],[dbconcat]]="","",INDEX([3]!Table2[[SATUAN ]],Table17[[#This Row],[dbconcat]]))</f>
        <v>PCS</v>
      </c>
      <c r="T78" t="str">
        <f>IF(Table17[[#This Row],[SATUAN S]]="","",IF(_xlfn.NUMBERVALUE(Table17[[#This Row],[ISI DB]])=_xlfn.NUMBERVALUE(Table17[[#This Row],[ISI S]]),"",1))</f>
        <v/>
      </c>
      <c r="U78" t="str">
        <f>IF(Table17[[#This Row],[SATUAN S]]="","",IF(Table17[[#This Row],[SATUAN DB]]=Table17[[#This Row],[SATUAN S]],"",1))</f>
        <v/>
      </c>
      <c r="V78" t="str">
        <f>IF(Table17[[#This Row],[CEK STN S]]="","",MATCH(CONCATENATE(Table17[[#This Row],[SATUAN CONV]],Table17[[#This Row],[SATUAN S]]),Table2[4],0))</f>
        <v/>
      </c>
      <c r="X78" t="str" cm="1">
        <f t="array" ref="X78">IF(Table17[[#This Row],[CONV2_//]]="","",INDEX(Table2[3],Table17[[#This Row],[CONV2_//]]))</f>
        <v/>
      </c>
      <c r="Y78" s="2" t="str">
        <f>IF(Table17[[#This Row],[CEK ISI S]]="",Table17[[#This Row],[ISI DB]],Table17[[#This Row],[ISI S]])</f>
        <v>96</v>
      </c>
      <c r="Z78" t="str">
        <f>IF(Table17[[#This Row],[CEK STN S]]="",Table17[[#This Row],[SATUAN DB]],Table17[[#This Row],[SATUAN S]])</f>
        <v>PCS</v>
      </c>
      <c r="AA78">
        <f>IF(Table17[[#This Row],[//CONV]]="",Table17[[#This Row],[ISI NOTA]]/Table17[[#This Row],[ISI_C]],Table17[[#This Row],[ISI DB CONV]]/Table17[[#This Row],[ISI_C]])</f>
        <v>1</v>
      </c>
      <c r="AB78">
        <f>INDEX(NOTA[HARGA SATUAN],Sheet1!A:A)</f>
        <v>21000</v>
      </c>
      <c r="AC78">
        <f>IF(Table17[[#This Row],[//CONV]]="",Table17[[#This Row],[HARGA NOTA]],Table17[[#This Row],[HARGA NOTA]]/Table17[[#This Row],[CONV VAR]])</f>
        <v>21000</v>
      </c>
      <c r="AD78">
        <f>IF(Table17[[#This Row],[CEK STN S]]="",Table17[[#This Row],[HARGA CONV]],Table17[[#This Row],[HARGA CONV]]/Table17[[#This Row],[CONV2 VAR]])</f>
        <v>21000</v>
      </c>
      <c r="AE78" s="3">
        <f>IF(INDEX(NOTA[Column6],Sheet1!A:A)=0,"",INDEX(NOTA[Column6],Sheet1!A:A))</f>
        <v>0.03</v>
      </c>
      <c r="AF78" s="3" t="str">
        <f>IF(INDEX(NOTA[Column7],Sheet1!A:A)=0,"",INDEX(NOTA[Column7],Sheet1!A:A))</f>
        <v/>
      </c>
      <c r="AG78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8" s="4">
        <f>INDEX(NOTA[HARGA/ CTN_H],Sheet1!A:A)</f>
        <v>2016000</v>
      </c>
      <c r="AI78" s="4">
        <f>IF(Table17[[#This Row],[DISC 3]]="",Table17[[#This Row],[HRG / CTN]],Table17[[#This Row],[HRG / CTN]]-(Table17[[#This Row],[HRG / CTN]]*Table17[[#This Row],[DISC 3]]))</f>
        <v>1955520</v>
      </c>
      <c r="AJ78" s="5" t="e">
        <f>IF(#REF!&lt;1,Table17[[#This Row],[Column9]],Table17[[#This Row],[Column9]]*#REF!)</f>
        <v>#REF!</v>
      </c>
      <c r="AK78" s="4" t="str">
        <f ca="1">IF(NOT(AP79=Table17[[#This Row],[Column6]]),SUMIF(Table17[Column6],Table17[[#This Row],[Column6]],Table17[Column7]),"")</f>
        <v/>
      </c>
      <c r="AL78" s="6">
        <f ca="1">INDEX(NOTA[TGL_H],Sheet1!A:A)</f>
        <v>45483</v>
      </c>
      <c r="AM78" s="6">
        <f ca="1">INDEX(NOTA[TGL.NOTA_H],Sheet1!A:A)</f>
        <v>45478</v>
      </c>
      <c r="AO78" t="str">
        <f>IF(INDEX(NOTA[Column10],A:A)="","",INDEX(NOTA[Column10],A:A))</f>
        <v/>
      </c>
      <c r="AP78" t="str">
        <f ca="1">INDEX(NOTA[NO.NOTA_H],Sheet1!A:A)</f>
        <v>DHM/059/07-24C</v>
      </c>
      <c r="AQ78">
        <f>INDEX(NOTA[Column10],Sheet1!A:A)</f>
        <v>0</v>
      </c>
      <c r="AR78" s="8" t="str">
        <f ca="1">INDEX(NOTA[SUPPLIER_H],Sheet1!A:A)</f>
        <v>DUTA BAHAGIA</v>
      </c>
      <c r="AS78" t="str">
        <f>Table17[[#This Row],[NAMA_C]]</f>
        <v>BINDER NOTE WENGU A5 FPHY 002</v>
      </c>
      <c r="AT78" t="str">
        <f ca="1">Table17[[#This Row],[SUPPLIER]]</f>
        <v>DUTA BAHAGIA</v>
      </c>
      <c r="AU78" t="str">
        <f>SUBSTITUTE(Table17[[#This Row],[CTN]],",",".")</f>
        <v>1</v>
      </c>
      <c r="AV78" s="13" t="str">
        <f>Table17[[#This Row],[ISI_C]]</f>
        <v>96</v>
      </c>
      <c r="AW78" t="str">
        <f>Table17[[#This Row],[SATUAN_C]]</f>
        <v>PCS</v>
      </c>
      <c r="AX78">
        <f>Table17[[#This Row],[HARGA CONV2]]</f>
        <v>21000</v>
      </c>
      <c r="AY78" s="9" t="str">
        <f>SUBSTITUTE(Table17[[#This Row],[DISC 3]],",",".")</f>
        <v>0.03</v>
      </c>
      <c r="AZ78" s="6">
        <f ca="1">Table17[[#This Row],[TGL DATANG]]</f>
        <v>45483</v>
      </c>
      <c r="BA78" s="6">
        <f ca="1">Table17[[#This Row],[Column10]]</f>
        <v>45478</v>
      </c>
      <c r="BB78" s="7"/>
      <c r="BC78" t="str">
        <f>Table17[[#This Row],[KETERANGAN CONDRO]]</f>
        <v/>
      </c>
      <c r="BD78" t="str">
        <f ca="1">Table17[[#This Row],[Column6]]</f>
        <v>DHM/059/07-24C</v>
      </c>
    </row>
    <row r="79" spans="1:56">
      <c r="A79" s="55">
        <v>106</v>
      </c>
      <c r="C79">
        <f>INDEX(NOTA[//DB],Sheet1!A:A)</f>
        <v>356</v>
      </c>
      <c r="D79">
        <f>_xlfn.IFNA(MATCH(Table17[[#This Row],[//db]],[3]!Table2[\\],0),"")</f>
        <v>337</v>
      </c>
      <c r="E79" t="str">
        <f>INDEX([3]!db[NB NOTA],Table17[[#This Row],[//db]])</f>
        <v>BINDER NOTE FPHY001-B5-60</v>
      </c>
      <c r="F79" t="str">
        <f>INDEX([3]!db[NB BM],Table17[[#This Row],[//db]])</f>
        <v>BINDER NOTE B5-60 FPHY 001</v>
      </c>
      <c r="G79" t="str">
        <f>IF(Table17[[#This Row],[dbconcat]]="","",INDEX([3]!Table2[NAMA],Table17[[#This Row],[dbconcat]]))</f>
        <v>BINDER NOTE B5-60 FPHY 001</v>
      </c>
      <c r="H79" t="str">
        <f>INDEX([3]!Table2[KODE BARANG],Table17[[#This Row],[dbconcat]])</f>
        <v>BIN-WN1</v>
      </c>
      <c r="I79" t="str">
        <f>IF(Table17[[#This Row],[NAMA_3]]="",UPPER(Table17[[#This Row],[NAMA_2]]),Table17[[#This Row],[NAMA_3]])</f>
        <v>BINDER NOTE B5-60 FPHY 001</v>
      </c>
      <c r="J79">
        <f>INDEX(NOTA[QTY],Sheet1!A:A)</f>
        <v>72</v>
      </c>
      <c r="K79" t="str">
        <f>INDEX(NOTA[STN],Sheet1!A:A)</f>
        <v>PCS</v>
      </c>
      <c r="L79" t="str">
        <f>INDEX([3]!db[QTY B],Table17[[#This Row],[//db]])</f>
        <v>72</v>
      </c>
      <c r="M79" t="str">
        <f>INDEX([3]!db[STN B],Table17[[#This Row],[//db]])</f>
        <v>PCS</v>
      </c>
      <c r="N79" t="str">
        <f>IF(Table17[[#This Row],[SATUAN NOTA]]=Table17[[#This Row],[SATUAN DB]],"", MATCH(CONCATENATE(Table17[[#This Row],[SATUAN NOTA]],Table17[[#This Row],[SATUAN DB]]),Table2[4],0))</f>
        <v/>
      </c>
      <c r="O79" t="str" cm="1">
        <f t="array" ref="O79">IF(Table17[[#This Row],[//CONV]]="","",INDEX(Table2[3],Table17[[#This Row],[//CONV]]))</f>
        <v/>
      </c>
      <c r="P79" t="str">
        <f>IF(Table17[[#This Row],[//CONV]]="",Table17[[#This Row],[ISI DB]],Table17[[#This Row],[ISI NOTA]]*Table17[[#This Row],[CONV VAR]])</f>
        <v>72</v>
      </c>
      <c r="Q79" t="str" cm="1">
        <f t="array" ref="Q79">IF(Table17[[#This Row],[//CONV]]="",Table17[[#This Row],[SATUAN DB]],INDEX(Table2[2],Table17[[#This Row],[//CONV]]))</f>
        <v>PCS</v>
      </c>
      <c r="R79" cm="1">
        <f t="array" ref="R79">IF(Table17[[#This Row],[dbconcat]]="","",INDEX([3]!Table2[ISI],Table17[[#This Row],[dbconcat]]))</f>
        <v>72</v>
      </c>
      <c r="S79" t="str" cm="1">
        <f t="array" ref="S79">IF(Table17[[#This Row],[dbconcat]]="","",INDEX([3]!Table2[[SATUAN ]],Table17[[#This Row],[dbconcat]]))</f>
        <v>PCS</v>
      </c>
      <c r="T79" t="str">
        <f>IF(Table17[[#This Row],[SATUAN S]]="","",IF(_xlfn.NUMBERVALUE(Table17[[#This Row],[ISI DB]])=_xlfn.NUMBERVALUE(Table17[[#This Row],[ISI S]]),"",1))</f>
        <v/>
      </c>
      <c r="U79" t="str">
        <f>IF(Table17[[#This Row],[SATUAN S]]="","",IF(Table17[[#This Row],[SATUAN DB]]=Table17[[#This Row],[SATUAN S]],"",1))</f>
        <v/>
      </c>
      <c r="V79" t="str">
        <f>IF(Table17[[#This Row],[CEK STN S]]="","",MATCH(CONCATENATE(Table17[[#This Row],[SATUAN CONV]],Table17[[#This Row],[SATUAN S]]),Table2[4],0))</f>
        <v/>
      </c>
      <c r="X79" t="str" cm="1">
        <f t="array" ref="X79">IF(Table17[[#This Row],[CONV2_//]]="","",INDEX(Table2[3],Table17[[#This Row],[CONV2_//]]))</f>
        <v/>
      </c>
      <c r="Y79" s="2" t="str">
        <f>IF(Table17[[#This Row],[CEK ISI S]]="",Table17[[#This Row],[ISI DB]],Table17[[#This Row],[ISI S]])</f>
        <v>72</v>
      </c>
      <c r="Z79" t="str">
        <f>IF(Table17[[#This Row],[CEK STN S]]="",Table17[[#This Row],[SATUAN DB]],Table17[[#This Row],[SATUAN S]])</f>
        <v>PCS</v>
      </c>
      <c r="AA79">
        <f>IF(Table17[[#This Row],[//CONV]]="",Table17[[#This Row],[ISI NOTA]]/Table17[[#This Row],[ISI_C]],Table17[[#This Row],[ISI DB CONV]]/Table17[[#This Row],[ISI_C]])</f>
        <v>1</v>
      </c>
      <c r="AB79">
        <f>INDEX(NOTA[HARGA SATUAN],Sheet1!A:A)</f>
        <v>28000</v>
      </c>
      <c r="AC79">
        <f>IF(Table17[[#This Row],[//CONV]]="",Table17[[#This Row],[HARGA NOTA]],Table17[[#This Row],[HARGA NOTA]]/Table17[[#This Row],[CONV VAR]])</f>
        <v>28000</v>
      </c>
      <c r="AD79">
        <f>IF(Table17[[#This Row],[CEK STN S]]="",Table17[[#This Row],[HARGA CONV]],Table17[[#This Row],[HARGA CONV]]/Table17[[#This Row],[CONV2 VAR]])</f>
        <v>28000</v>
      </c>
      <c r="AE79" s="3">
        <f>IF(INDEX(NOTA[Column6],Sheet1!A:A)=0,"",INDEX(NOTA[Column6],Sheet1!A:A))</f>
        <v>0.03</v>
      </c>
      <c r="AF79" s="3" t="str">
        <f>IF(INDEX(NOTA[Column7],Sheet1!A:A)=0,"",INDEX(NOTA[Column7],Sheet1!A:A))</f>
        <v/>
      </c>
      <c r="AG79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79" s="4">
        <f>INDEX(NOTA[HARGA/ CTN_H],Sheet1!A:A)</f>
        <v>2016000</v>
      </c>
      <c r="AI79" s="4">
        <f>IF(Table17[[#This Row],[DISC 3]]="",Table17[[#This Row],[HRG / CTN]],Table17[[#This Row],[HRG / CTN]]-(Table17[[#This Row],[HRG / CTN]]*Table17[[#This Row],[DISC 3]]))</f>
        <v>1955520</v>
      </c>
      <c r="AJ79" s="5" t="e">
        <f>IF(#REF!&lt;1,Table17[[#This Row],[Column9]],Table17[[#This Row],[Column9]]*#REF!)</f>
        <v>#REF!</v>
      </c>
      <c r="AK79" s="4" t="str">
        <f ca="1">IF(NOT(AP80=Table17[[#This Row],[Column6]]),SUMIF(Table17[Column6],Table17[[#This Row],[Column6]],Table17[Column7]),"")</f>
        <v/>
      </c>
      <c r="AL79" s="6">
        <f ca="1">INDEX(NOTA[TGL_H],Sheet1!A:A)</f>
        <v>45483</v>
      </c>
      <c r="AM79" s="6">
        <f ca="1">INDEX(NOTA[TGL.NOTA_H],Sheet1!A:A)</f>
        <v>45478</v>
      </c>
      <c r="AO79" t="str">
        <f>IF(INDEX(NOTA[Column10],A:A)="","",INDEX(NOTA[Column10],A:A))</f>
        <v/>
      </c>
      <c r="AP79" t="str">
        <f ca="1">INDEX(NOTA[NO.NOTA_H],Sheet1!A:A)</f>
        <v>DHM/059/07-24C</v>
      </c>
      <c r="AQ79">
        <f>INDEX(NOTA[Column10],Sheet1!A:A)</f>
        <v>0</v>
      </c>
      <c r="AR79" s="8" t="str">
        <f ca="1">INDEX(NOTA[SUPPLIER_H],Sheet1!A:A)</f>
        <v>DUTA BAHAGIA</v>
      </c>
      <c r="AS79" t="str">
        <f>Table17[[#This Row],[NAMA_C]]</f>
        <v>BINDER NOTE B5-60 FPHY 001</v>
      </c>
      <c r="AT79" t="str">
        <f ca="1">Table17[[#This Row],[SUPPLIER]]</f>
        <v>DUTA BAHAGIA</v>
      </c>
      <c r="AU79" t="str">
        <f>SUBSTITUTE(Table17[[#This Row],[CTN]],",",".")</f>
        <v>1</v>
      </c>
      <c r="AV79" s="13" t="str">
        <f>Table17[[#This Row],[ISI_C]]</f>
        <v>72</v>
      </c>
      <c r="AW79" t="str">
        <f>Table17[[#This Row],[SATUAN_C]]</f>
        <v>PCS</v>
      </c>
      <c r="AX79">
        <f>Table17[[#This Row],[HARGA CONV2]]</f>
        <v>28000</v>
      </c>
      <c r="AY79" s="9" t="str">
        <f>SUBSTITUTE(Table17[[#This Row],[DISC 3]],",",".")</f>
        <v>0.03</v>
      </c>
      <c r="AZ79" s="6">
        <f ca="1">Table17[[#This Row],[TGL DATANG]]</f>
        <v>45483</v>
      </c>
      <c r="BA79" s="6">
        <f ca="1">Table17[[#This Row],[Column10]]</f>
        <v>45478</v>
      </c>
      <c r="BB79" s="7"/>
      <c r="BC79" t="str">
        <f>Table17[[#This Row],[KETERANGAN CONDRO]]</f>
        <v/>
      </c>
      <c r="BD79" t="str">
        <f ca="1">Table17[[#This Row],[Column6]]</f>
        <v>DHM/059/07-24C</v>
      </c>
    </row>
    <row r="80" spans="1:56">
      <c r="A80" s="55">
        <v>107</v>
      </c>
      <c r="C80">
        <f>INDEX(NOTA[//DB],Sheet1!A:A)</f>
        <v>358</v>
      </c>
      <c r="D80">
        <f>_xlfn.IFNA(MATCH(Table17[[#This Row],[//db]],[3]!Table2[\\],0),"")</f>
        <v>340</v>
      </c>
      <c r="E80" t="str">
        <f>INDEX([3]!db[NB NOTA],Table17[[#This Row],[//db]])</f>
        <v>BINDER NOTE FPHY002-B5-60</v>
      </c>
      <c r="F80" t="str">
        <f>INDEX([3]!db[NB BM],Table17[[#This Row],[//db]])</f>
        <v>BINDER NOTE B5-60 FPHY 002</v>
      </c>
      <c r="G80" t="str">
        <f>IF(Table17[[#This Row],[dbconcat]]="","",INDEX([3]!Table2[NAMA],Table17[[#This Row],[dbconcat]]))</f>
        <v>BINDER NOTE B5-60 FPHY 002</v>
      </c>
      <c r="H80" t="str">
        <f>INDEX([3]!Table2[KODE BARANG],Table17[[#This Row],[dbconcat]])</f>
        <v>BIN-NB4</v>
      </c>
      <c r="I80" t="str">
        <f>IF(Table17[[#This Row],[NAMA_3]]="",UPPER(Table17[[#This Row],[NAMA_2]]),Table17[[#This Row],[NAMA_3]])</f>
        <v>BINDER NOTE B5-60 FPHY 002</v>
      </c>
      <c r="J80">
        <f>INDEX(NOTA[QTY],Sheet1!A:A)</f>
        <v>72</v>
      </c>
      <c r="K80" t="str">
        <f>INDEX(NOTA[STN],Sheet1!A:A)</f>
        <v>PCS</v>
      </c>
      <c r="L80" t="str">
        <f>INDEX([3]!db[QTY B],Table17[[#This Row],[//db]])</f>
        <v>72</v>
      </c>
      <c r="M80" t="str">
        <f>INDEX([3]!db[STN B],Table17[[#This Row],[//db]])</f>
        <v>PCS</v>
      </c>
      <c r="N80" t="str">
        <f>IF(Table17[[#This Row],[SATUAN NOTA]]=Table17[[#This Row],[SATUAN DB]],"", MATCH(CONCATENATE(Table17[[#This Row],[SATUAN NOTA]],Table17[[#This Row],[SATUAN DB]]),Table2[4],0))</f>
        <v/>
      </c>
      <c r="O80" t="str" cm="1">
        <f t="array" ref="O80">IF(Table17[[#This Row],[//CONV]]="","",INDEX(Table2[3],Table17[[#This Row],[//CONV]]))</f>
        <v/>
      </c>
      <c r="P80" t="str">
        <f>IF(Table17[[#This Row],[//CONV]]="",Table17[[#This Row],[ISI DB]],Table17[[#This Row],[ISI NOTA]]*Table17[[#This Row],[CONV VAR]])</f>
        <v>72</v>
      </c>
      <c r="Q80" t="str" cm="1">
        <f t="array" ref="Q80">IF(Table17[[#This Row],[//CONV]]="",Table17[[#This Row],[SATUAN DB]],INDEX(Table2[2],Table17[[#This Row],[//CONV]]))</f>
        <v>PCS</v>
      </c>
      <c r="R80" cm="1">
        <f t="array" ref="R80">IF(Table17[[#This Row],[dbconcat]]="","",INDEX([3]!Table2[ISI],Table17[[#This Row],[dbconcat]]))</f>
        <v>72</v>
      </c>
      <c r="S80" t="str" cm="1">
        <f t="array" ref="S80">IF(Table17[[#This Row],[dbconcat]]="","",INDEX([3]!Table2[[SATUAN ]],Table17[[#This Row],[dbconcat]]))</f>
        <v>PCS</v>
      </c>
      <c r="T80" t="str">
        <f>IF(Table17[[#This Row],[SATUAN S]]="","",IF(_xlfn.NUMBERVALUE(Table17[[#This Row],[ISI DB]])=_xlfn.NUMBERVALUE(Table17[[#This Row],[ISI S]]),"",1))</f>
        <v/>
      </c>
      <c r="U80" t="str">
        <f>IF(Table17[[#This Row],[SATUAN S]]="","",IF(Table17[[#This Row],[SATUAN DB]]=Table17[[#This Row],[SATUAN S]],"",1))</f>
        <v/>
      </c>
      <c r="V80" t="str">
        <f>IF(Table17[[#This Row],[CEK STN S]]="","",MATCH(CONCATENATE(Table17[[#This Row],[SATUAN CONV]],Table17[[#This Row],[SATUAN S]]),Table2[4],0))</f>
        <v/>
      </c>
      <c r="X80" t="str" cm="1">
        <f t="array" ref="X80">IF(Table17[[#This Row],[CONV2_//]]="","",INDEX(Table2[3],Table17[[#This Row],[CONV2_//]]))</f>
        <v/>
      </c>
      <c r="Y80" s="2" t="str">
        <f>IF(Table17[[#This Row],[CEK ISI S]]="",Table17[[#This Row],[ISI DB]],Table17[[#This Row],[ISI S]])</f>
        <v>72</v>
      </c>
      <c r="Z80" t="str">
        <f>IF(Table17[[#This Row],[CEK STN S]]="",Table17[[#This Row],[SATUAN DB]],Table17[[#This Row],[SATUAN S]])</f>
        <v>PCS</v>
      </c>
      <c r="AA80">
        <f>IF(Table17[[#This Row],[//CONV]]="",Table17[[#This Row],[ISI NOTA]]/Table17[[#This Row],[ISI_C]],Table17[[#This Row],[ISI DB CONV]]/Table17[[#This Row],[ISI_C]])</f>
        <v>1</v>
      </c>
      <c r="AB80">
        <f>INDEX(NOTA[HARGA SATUAN],Sheet1!A:A)</f>
        <v>28000</v>
      </c>
      <c r="AC80">
        <f>IF(Table17[[#This Row],[//CONV]]="",Table17[[#This Row],[HARGA NOTA]],Table17[[#This Row],[HARGA NOTA]]/Table17[[#This Row],[CONV VAR]])</f>
        <v>28000</v>
      </c>
      <c r="AD80">
        <f>IF(Table17[[#This Row],[CEK STN S]]="",Table17[[#This Row],[HARGA CONV]],Table17[[#This Row],[HARGA CONV]]/Table17[[#This Row],[CONV2 VAR]])</f>
        <v>28000</v>
      </c>
      <c r="AE80" s="3">
        <f>IF(INDEX(NOTA[Column6],Sheet1!A:A)=0,"",INDEX(NOTA[Column6],Sheet1!A:A))</f>
        <v>0.03</v>
      </c>
      <c r="AF80" s="3" t="str">
        <f>IF(INDEX(NOTA[Column7],Sheet1!A:A)=0,"",INDEX(NOTA[Column7],Sheet1!A:A))</f>
        <v/>
      </c>
      <c r="AG80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80" s="4">
        <f>INDEX(NOTA[HARGA/ CTN_H],Sheet1!A:A)</f>
        <v>2016000</v>
      </c>
      <c r="AI80" s="4">
        <f>IF(Table17[[#This Row],[DISC 3]]="",Table17[[#This Row],[HRG / CTN]],Table17[[#This Row],[HRG / CTN]]-(Table17[[#This Row],[HRG / CTN]]*Table17[[#This Row],[DISC 3]]))</f>
        <v>1955520</v>
      </c>
      <c r="AJ80" s="5" t="e">
        <f>IF(#REF!&lt;1,Table17[[#This Row],[Column9]],Table17[[#This Row],[Column9]]*#REF!)</f>
        <v>#REF!</v>
      </c>
      <c r="AK80" s="4" t="e">
        <f ca="1">IF(NOT(AP81=Table17[[#This Row],[Column6]]),SUMIF(Table17[Column6],Table17[[#This Row],[Column6]],Table17[Column7]),"")</f>
        <v>#REF!</v>
      </c>
      <c r="AL80" s="6">
        <f ca="1">INDEX(NOTA[TGL_H],Sheet1!A:A)</f>
        <v>45483</v>
      </c>
      <c r="AM80" s="6">
        <f ca="1">INDEX(NOTA[TGL.NOTA_H],Sheet1!A:A)</f>
        <v>45478</v>
      </c>
      <c r="AO80" t="str">
        <f>IF(INDEX(NOTA[Column10],A:A)="","",INDEX(NOTA[Column10],A:A))</f>
        <v/>
      </c>
      <c r="AP80" t="str">
        <f ca="1">INDEX(NOTA[NO.NOTA_H],Sheet1!A:A)</f>
        <v>DHM/059/07-24C</v>
      </c>
      <c r="AQ80">
        <f>INDEX(NOTA[Column10],Sheet1!A:A)</f>
        <v>0</v>
      </c>
      <c r="AR80" s="8" t="str">
        <f ca="1">INDEX(NOTA[SUPPLIER_H],Sheet1!A:A)</f>
        <v>DUTA BAHAGIA</v>
      </c>
      <c r="AS80" t="str">
        <f>Table17[[#This Row],[NAMA_C]]</f>
        <v>BINDER NOTE B5-60 FPHY 002</v>
      </c>
      <c r="AT80" t="str">
        <f ca="1">Table17[[#This Row],[SUPPLIER]]</f>
        <v>DUTA BAHAGIA</v>
      </c>
      <c r="AU80" t="str">
        <f>SUBSTITUTE(Table17[[#This Row],[CTN]],",",".")</f>
        <v>1</v>
      </c>
      <c r="AV80" s="13" t="str">
        <f>Table17[[#This Row],[ISI_C]]</f>
        <v>72</v>
      </c>
      <c r="AW80" t="str">
        <f>Table17[[#This Row],[SATUAN_C]]</f>
        <v>PCS</v>
      </c>
      <c r="AX80">
        <f>Table17[[#This Row],[HARGA CONV2]]</f>
        <v>28000</v>
      </c>
      <c r="AY80" s="9" t="str">
        <f>SUBSTITUTE(Table17[[#This Row],[DISC 3]],",",".")</f>
        <v>0.03</v>
      </c>
      <c r="AZ80" s="6">
        <f ca="1">Table17[[#This Row],[TGL DATANG]]</f>
        <v>45483</v>
      </c>
      <c r="BA80" s="6">
        <f ca="1">Table17[[#This Row],[Column10]]</f>
        <v>45478</v>
      </c>
      <c r="BB80" s="7"/>
      <c r="BC80" t="str">
        <f>Table17[[#This Row],[KETERANGAN CONDRO]]</f>
        <v/>
      </c>
      <c r="BD80" t="str">
        <f ca="1">Table17[[#This Row],[Column6]]</f>
        <v>DHM/059/07-24C</v>
      </c>
    </row>
    <row r="81" spans="1:56">
      <c r="A81" s="55">
        <v>109</v>
      </c>
      <c r="C81">
        <f>INDEX(NOTA[//DB],Sheet1!A:A)</f>
        <v>3448</v>
      </c>
      <c r="D81">
        <f>_xlfn.IFNA(MATCH(Table17[[#This Row],[//db]],[3]!Table2[\\],0),"")</f>
        <v>243</v>
      </c>
      <c r="E81" t="str">
        <f>INDEX([3]!db[NB NOTA],Table17[[#This Row],[//db]])</f>
        <v>R BOTOL SUSU 20PCS R-5833</v>
      </c>
      <c r="F81" t="str">
        <f>INDEX([3]!db[NB BM],Table17[[#This Row],[//db]])</f>
        <v>ASAHAN TOPLES R-5833 BOTOL SUSU (20PCS)</v>
      </c>
      <c r="G81" t="str">
        <f>IF(Table17[[#This Row],[dbconcat]]="","",INDEX([3]!Table2[NAMA],Table17[[#This Row],[dbconcat]]))</f>
        <v>ASAHAN TOPLES R-5833 BOTOL SUSU (20PCS)</v>
      </c>
      <c r="H81" t="str">
        <f>INDEX([3]!Table2[KODE BARANG],Table17[[#This Row],[dbconcat]])</f>
        <v>ASA-NB165</v>
      </c>
      <c r="I81" t="str">
        <f>IF(Table17[[#This Row],[NAMA_3]]="",UPPER(Table17[[#This Row],[NAMA_2]]),Table17[[#This Row],[NAMA_3]])</f>
        <v>ASAHAN TOPLES R-5833 BOTOL SUSU (20PCS)</v>
      </c>
      <c r="J81">
        <f>INDEX(NOTA[QTY],Sheet1!A:A)</f>
        <v>48</v>
      </c>
      <c r="K81" t="str">
        <f>INDEX(NOTA[STN],Sheet1!A:A)</f>
        <v>TOP</v>
      </c>
      <c r="L81" t="str">
        <f>INDEX([3]!db[QTY B],Table17[[#This Row],[//db]])</f>
        <v>24</v>
      </c>
      <c r="M81" t="str">
        <f>INDEX([3]!db[STN B],Table17[[#This Row],[//db]])</f>
        <v>TOP</v>
      </c>
      <c r="N81" t="str">
        <f>IF(Table17[[#This Row],[SATUAN NOTA]]=Table17[[#This Row],[SATUAN DB]],"", MATCH(CONCATENATE(Table17[[#This Row],[SATUAN NOTA]],Table17[[#This Row],[SATUAN DB]]),Table2[4],0))</f>
        <v/>
      </c>
      <c r="O81" t="str" cm="1">
        <f t="array" ref="O81">IF(Table17[[#This Row],[//CONV]]="","",INDEX(Table2[3],Table17[[#This Row],[//CONV]]))</f>
        <v/>
      </c>
      <c r="P81" t="str">
        <f>IF(Table17[[#This Row],[//CONV]]="",Table17[[#This Row],[ISI DB]],Table17[[#This Row],[ISI NOTA]]*Table17[[#This Row],[CONV VAR]])</f>
        <v>24</v>
      </c>
      <c r="Q81" t="str" cm="1">
        <f t="array" ref="Q81">IF(Table17[[#This Row],[//CONV]]="",Table17[[#This Row],[SATUAN DB]],INDEX(Table2[2],Table17[[#This Row],[//CONV]]))</f>
        <v>TOP</v>
      </c>
      <c r="R81" cm="1">
        <f t="array" ref="R81">IF(Table17[[#This Row],[dbconcat]]="","",INDEX([3]!Table2[ISI],Table17[[#This Row],[dbconcat]]))</f>
        <v>24</v>
      </c>
      <c r="S81" t="str" cm="1">
        <f t="array" ref="S81">IF(Table17[[#This Row],[dbconcat]]="","",INDEX([3]!Table2[[SATUAN ]],Table17[[#This Row],[dbconcat]]))</f>
        <v>TOP</v>
      </c>
      <c r="T81" t="str">
        <f>IF(Table17[[#This Row],[SATUAN S]]="","",IF(_xlfn.NUMBERVALUE(Table17[[#This Row],[ISI DB]])=_xlfn.NUMBERVALUE(Table17[[#This Row],[ISI S]]),"",1))</f>
        <v/>
      </c>
      <c r="U81" t="str">
        <f>IF(Table17[[#This Row],[SATUAN S]]="","",IF(Table17[[#This Row],[SATUAN DB]]=Table17[[#This Row],[SATUAN S]],"",1))</f>
        <v/>
      </c>
      <c r="V81" t="str">
        <f>IF(Table17[[#This Row],[CEK STN S]]="","",MATCH(CONCATENATE(Table17[[#This Row],[SATUAN CONV]],Table17[[#This Row],[SATUAN S]]),Table2[4],0))</f>
        <v/>
      </c>
      <c r="X81" t="str" cm="1">
        <f t="array" ref="X81">IF(Table17[[#This Row],[CONV2_//]]="","",INDEX(Table2[3],Table17[[#This Row],[CONV2_//]]))</f>
        <v/>
      </c>
      <c r="Y81" s="2" t="str">
        <f>IF(Table17[[#This Row],[CEK ISI S]]="",Table17[[#This Row],[ISI DB]],Table17[[#This Row],[ISI S]])</f>
        <v>24</v>
      </c>
      <c r="Z81" t="str">
        <f>IF(Table17[[#This Row],[CEK STN S]]="",Table17[[#This Row],[SATUAN DB]],Table17[[#This Row],[SATUAN S]])</f>
        <v>TOP</v>
      </c>
      <c r="AA81">
        <f>IF(Table17[[#This Row],[//CONV]]="",Table17[[#This Row],[ISI NOTA]]/Table17[[#This Row],[ISI_C]],Table17[[#This Row],[ISI DB CONV]]/Table17[[#This Row],[ISI_C]])</f>
        <v>2</v>
      </c>
      <c r="AB81">
        <f>INDEX(NOTA[HARGA SATUAN],Sheet1!A:A)</f>
        <v>46700</v>
      </c>
      <c r="AC81">
        <f>IF(Table17[[#This Row],[//CONV]]="",Table17[[#This Row],[HARGA NOTA]],Table17[[#This Row],[HARGA NOTA]]/Table17[[#This Row],[CONV VAR]])</f>
        <v>46700</v>
      </c>
      <c r="AD81">
        <f>IF(Table17[[#This Row],[CEK STN S]]="",Table17[[#This Row],[HARGA CONV]],Table17[[#This Row],[HARGA CONV]]/Table17[[#This Row],[CONV2 VAR]])</f>
        <v>46700</v>
      </c>
      <c r="AE81" s="3" t="str">
        <f>IF(INDEX(NOTA[Column6],Sheet1!A:A)=0,"",INDEX(NOTA[Column6],Sheet1!A:A))</f>
        <v/>
      </c>
      <c r="AF81" s="3" t="str">
        <f>IF(INDEX(NOTA[Column7],Sheet1!A:A)=0,"",INDEX(NOTA[Column7],Sheet1!A:A))</f>
        <v/>
      </c>
      <c r="AG8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1" s="4">
        <f>INDEX(NOTA[HARGA/ CTN_H],Sheet1!A:A)</f>
        <v>1120800</v>
      </c>
      <c r="AI81" s="4">
        <f>IF(Table17[[#This Row],[DISC 3]]="",Table17[[#This Row],[HRG / CTN]],Table17[[#This Row],[HRG / CTN]]-(Table17[[#This Row],[HRG / CTN]]*Table17[[#This Row],[DISC 3]]))</f>
        <v>1120800</v>
      </c>
      <c r="AJ81" s="5" t="e">
        <f>IF(#REF!&lt;1,Table17[[#This Row],[Column9]],Table17[[#This Row],[Column9]]*#REF!)</f>
        <v>#REF!</v>
      </c>
      <c r="AK81" s="4" t="str">
        <f ca="1">IF(NOT(AP82=Table17[[#This Row],[Column6]]),SUMIF(Table17[Column6],Table17[[#This Row],[Column6]],Table17[Column7]),"")</f>
        <v/>
      </c>
      <c r="AL81" s="6">
        <f ca="1">INDEX(NOTA[TGL_H],Sheet1!A:A)</f>
        <v>45481</v>
      </c>
      <c r="AM81" s="6">
        <f ca="1">INDEX(NOTA[TGL.NOTA_H],Sheet1!A:A)</f>
        <v>45479</v>
      </c>
      <c r="AO81" t="str">
        <f>IF(INDEX(NOTA[Column10],A:A)="","",INDEX(NOTA[Column10],A:A))</f>
        <v/>
      </c>
      <c r="AP81" t="str">
        <f ca="1">INDEX(NOTA[NO.NOTA_H],Sheet1!A:A)</f>
        <v>JUG191/24</v>
      </c>
      <c r="AQ81">
        <f>INDEX(NOTA[Column10],Sheet1!A:A)</f>
        <v>0</v>
      </c>
      <c r="AR81" s="8" t="str">
        <f ca="1">INDEX(NOTA[SUPPLIER_H],Sheet1!A:A)</f>
        <v>DUTA BUANA</v>
      </c>
      <c r="AS81" t="str">
        <f>Table17[[#This Row],[NAMA_C]]</f>
        <v>ASAHAN TOPLES R-5833 BOTOL SUSU (20PCS)</v>
      </c>
      <c r="AT81" t="str">
        <f ca="1">Table17[[#This Row],[SUPPLIER]]</f>
        <v>DUTA BUANA</v>
      </c>
      <c r="AU81" t="str">
        <f>SUBSTITUTE(Table17[[#This Row],[CTN]],",",".")</f>
        <v>2</v>
      </c>
      <c r="AV81" s="13" t="str">
        <f>Table17[[#This Row],[ISI_C]]</f>
        <v>24</v>
      </c>
      <c r="AW81" t="str">
        <f>Table17[[#This Row],[SATUAN_C]]</f>
        <v>TOP</v>
      </c>
      <c r="AX81">
        <f>Table17[[#This Row],[HARGA CONV2]]</f>
        <v>46700</v>
      </c>
      <c r="AY81" s="9" t="str">
        <f>SUBSTITUTE(Table17[[#This Row],[DISC 3]],",",".")</f>
        <v/>
      </c>
      <c r="AZ81" s="6">
        <f ca="1">Table17[[#This Row],[TGL DATANG]]</f>
        <v>45481</v>
      </c>
      <c r="BA81" s="6">
        <f ca="1">Table17[[#This Row],[Column10]]</f>
        <v>45479</v>
      </c>
      <c r="BB81" s="7"/>
      <c r="BC81" t="str">
        <f>Table17[[#This Row],[KETERANGAN CONDRO]]</f>
        <v/>
      </c>
      <c r="BD81" t="str">
        <f ca="1">Table17[[#This Row],[Column6]]</f>
        <v>JUG191/24</v>
      </c>
    </row>
    <row r="82" spans="1:56">
      <c r="A82" s="55">
        <v>110</v>
      </c>
      <c r="C82">
        <f>INDEX(NOTA[//DB],Sheet1!A:A)</f>
        <v>2781</v>
      </c>
      <c r="D82">
        <f>_xlfn.IFNA(MATCH(Table17[[#This Row],[//db]],[3]!Table2[\\],0),"")</f>
        <v>226</v>
      </c>
      <c r="E82" t="str">
        <f>INDEX([3]!db[NB NOTA],Table17[[#This Row],[//db]])</f>
        <v>RAUTAN TOPLES 25 PCS XLG R-5861</v>
      </c>
      <c r="F82" t="str">
        <f>INDEX([3]!db[NB BM],Table17[[#This Row],[//db]])</f>
        <v>ASAHAN TOPLES 25PCS XLG R-5861</v>
      </c>
      <c r="G82" t="str">
        <f>IF(Table17[[#This Row],[dbconcat]]="","",INDEX([3]!Table2[NAMA],Table17[[#This Row],[dbconcat]]))</f>
        <v>ASAHAN TOPLES 25PCS XLG R-5861</v>
      </c>
      <c r="H82" t="str">
        <f>INDEX([3]!Table2[KODE BARANG],Table17[[#This Row],[dbconcat]])</f>
        <v>ASA-NB150</v>
      </c>
      <c r="I82" t="str">
        <f>IF(Table17[[#This Row],[NAMA_3]]="",UPPER(Table17[[#This Row],[NAMA_2]]),Table17[[#This Row],[NAMA_3]])</f>
        <v>ASAHAN TOPLES 25PCS XLG R-5861</v>
      </c>
      <c r="J82">
        <f>INDEX(NOTA[QTY],Sheet1!A:A)</f>
        <v>48</v>
      </c>
      <c r="K82" t="str">
        <f>INDEX(NOTA[STN],Sheet1!A:A)</f>
        <v>TOP</v>
      </c>
      <c r="L82" t="str">
        <f>INDEX([3]!db[QTY B],Table17[[#This Row],[//db]])</f>
        <v>24</v>
      </c>
      <c r="M82" t="str">
        <f>INDEX([3]!db[STN B],Table17[[#This Row],[//db]])</f>
        <v>TOP</v>
      </c>
      <c r="N82" t="str">
        <f>IF(Table17[[#This Row],[SATUAN NOTA]]=Table17[[#This Row],[SATUAN DB]],"", MATCH(CONCATENATE(Table17[[#This Row],[SATUAN NOTA]],Table17[[#This Row],[SATUAN DB]]),Table2[4],0))</f>
        <v/>
      </c>
      <c r="O82" t="str" cm="1">
        <f t="array" ref="O82">IF(Table17[[#This Row],[//CONV]]="","",INDEX(Table2[3],Table17[[#This Row],[//CONV]]))</f>
        <v/>
      </c>
      <c r="P82" t="str">
        <f>IF(Table17[[#This Row],[//CONV]]="",Table17[[#This Row],[ISI DB]],Table17[[#This Row],[ISI NOTA]]*Table17[[#This Row],[CONV VAR]])</f>
        <v>24</v>
      </c>
      <c r="Q82" t="str" cm="1">
        <f t="array" ref="Q82">IF(Table17[[#This Row],[//CONV]]="",Table17[[#This Row],[SATUAN DB]],INDEX(Table2[2],Table17[[#This Row],[//CONV]]))</f>
        <v>TOP</v>
      </c>
      <c r="R82" cm="1">
        <f t="array" ref="R82">IF(Table17[[#This Row],[dbconcat]]="","",INDEX([3]!Table2[ISI],Table17[[#This Row],[dbconcat]]))</f>
        <v>24</v>
      </c>
      <c r="S82" t="str" cm="1">
        <f t="array" ref="S82">IF(Table17[[#This Row],[dbconcat]]="","",INDEX([3]!Table2[[SATUAN ]],Table17[[#This Row],[dbconcat]]))</f>
        <v>TOP</v>
      </c>
      <c r="T82" t="str">
        <f>IF(Table17[[#This Row],[SATUAN S]]="","",IF(_xlfn.NUMBERVALUE(Table17[[#This Row],[ISI DB]])=_xlfn.NUMBERVALUE(Table17[[#This Row],[ISI S]]),"",1))</f>
        <v/>
      </c>
      <c r="U82" t="str">
        <f>IF(Table17[[#This Row],[SATUAN S]]="","",IF(Table17[[#This Row],[SATUAN DB]]=Table17[[#This Row],[SATUAN S]],"",1))</f>
        <v/>
      </c>
      <c r="V82" t="str">
        <f>IF(Table17[[#This Row],[CEK STN S]]="","",MATCH(CONCATENATE(Table17[[#This Row],[SATUAN CONV]],Table17[[#This Row],[SATUAN S]]),Table2[4],0))</f>
        <v/>
      </c>
      <c r="X82" t="str" cm="1">
        <f t="array" ref="X82">IF(Table17[[#This Row],[CONV2_//]]="","",INDEX(Table2[3],Table17[[#This Row],[CONV2_//]]))</f>
        <v/>
      </c>
      <c r="Y82" s="2" t="str">
        <f>IF(Table17[[#This Row],[CEK ISI S]]="",Table17[[#This Row],[ISI DB]],Table17[[#This Row],[ISI S]])</f>
        <v>24</v>
      </c>
      <c r="Z82" t="str">
        <f>IF(Table17[[#This Row],[CEK STN S]]="",Table17[[#This Row],[SATUAN DB]],Table17[[#This Row],[SATUAN S]])</f>
        <v>TOP</v>
      </c>
      <c r="AA82">
        <f>IF(Table17[[#This Row],[//CONV]]="",Table17[[#This Row],[ISI NOTA]]/Table17[[#This Row],[ISI_C]],Table17[[#This Row],[ISI DB CONV]]/Table17[[#This Row],[ISI_C]])</f>
        <v>2</v>
      </c>
      <c r="AB82">
        <f>INDEX(NOTA[HARGA SATUAN],Sheet1!A:A)</f>
        <v>92500</v>
      </c>
      <c r="AC82">
        <f>IF(Table17[[#This Row],[//CONV]]="",Table17[[#This Row],[HARGA NOTA]],Table17[[#This Row],[HARGA NOTA]]/Table17[[#This Row],[CONV VAR]])</f>
        <v>92500</v>
      </c>
      <c r="AD82">
        <f>IF(Table17[[#This Row],[CEK STN S]]="",Table17[[#This Row],[HARGA CONV]],Table17[[#This Row],[HARGA CONV]]/Table17[[#This Row],[CONV2 VAR]])</f>
        <v>92500</v>
      </c>
      <c r="AE82" s="3" t="str">
        <f>IF(INDEX(NOTA[Column6],Sheet1!A:A)=0,"",INDEX(NOTA[Column6],Sheet1!A:A))</f>
        <v/>
      </c>
      <c r="AF82" s="3" t="str">
        <f>IF(INDEX(NOTA[Column7],Sheet1!A:A)=0,"",INDEX(NOTA[Column7],Sheet1!A:A))</f>
        <v/>
      </c>
      <c r="AG8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2" s="4">
        <f>INDEX(NOTA[HARGA/ CTN_H],Sheet1!A:A)</f>
        <v>2220000</v>
      </c>
      <c r="AI82" s="4">
        <f>IF(Table17[[#This Row],[DISC 3]]="",Table17[[#This Row],[HRG / CTN]],Table17[[#This Row],[HRG / CTN]]-(Table17[[#This Row],[HRG / CTN]]*Table17[[#This Row],[DISC 3]]))</f>
        <v>2220000</v>
      </c>
      <c r="AJ82" s="5" t="e">
        <f>IF(#REF!&lt;1,Table17[[#This Row],[Column9]],Table17[[#This Row],[Column9]]*#REF!)</f>
        <v>#REF!</v>
      </c>
      <c r="AK82" s="4" t="str">
        <f ca="1">IF(NOT(AP83=Table17[[#This Row],[Column6]]),SUMIF(Table17[Column6],Table17[[#This Row],[Column6]],Table17[Column7]),"")</f>
        <v/>
      </c>
      <c r="AL82" s="6">
        <f ca="1">INDEX(NOTA[TGL_H],Sheet1!A:A)</f>
        <v>45481</v>
      </c>
      <c r="AM82" s="6">
        <f ca="1">INDEX(NOTA[TGL.NOTA_H],Sheet1!A:A)</f>
        <v>45479</v>
      </c>
      <c r="AO82" t="str">
        <f>IF(INDEX(NOTA[Column10],A:A)="","",INDEX(NOTA[Column10],A:A))</f>
        <v/>
      </c>
      <c r="AP82" t="str">
        <f ca="1">INDEX(NOTA[NO.NOTA_H],Sheet1!A:A)</f>
        <v>JUG191/24</v>
      </c>
      <c r="AQ82">
        <f>INDEX(NOTA[Column10],Sheet1!A:A)</f>
        <v>0</v>
      </c>
      <c r="AR82" s="8" t="str">
        <f ca="1">INDEX(NOTA[SUPPLIER_H],Sheet1!A:A)</f>
        <v>DUTA BUANA</v>
      </c>
      <c r="AS82" t="str">
        <f>Table17[[#This Row],[NAMA_C]]</f>
        <v>ASAHAN TOPLES 25PCS XLG R-5861</v>
      </c>
      <c r="AT82" t="str">
        <f ca="1">Table17[[#This Row],[SUPPLIER]]</f>
        <v>DUTA BUANA</v>
      </c>
      <c r="AU82" t="str">
        <f>SUBSTITUTE(Table17[[#This Row],[CTN]],",",".")</f>
        <v>2</v>
      </c>
      <c r="AV82" s="13" t="str">
        <f>Table17[[#This Row],[ISI_C]]</f>
        <v>24</v>
      </c>
      <c r="AW82" t="str">
        <f>Table17[[#This Row],[SATUAN_C]]</f>
        <v>TOP</v>
      </c>
      <c r="AX82">
        <f>Table17[[#This Row],[HARGA CONV2]]</f>
        <v>92500</v>
      </c>
      <c r="AY82" s="9" t="str">
        <f>SUBSTITUTE(Table17[[#This Row],[DISC 3]],",",".")</f>
        <v/>
      </c>
      <c r="AZ82" s="6">
        <f ca="1">Table17[[#This Row],[TGL DATANG]]</f>
        <v>45481</v>
      </c>
      <c r="BA82" s="6">
        <f ca="1">Table17[[#This Row],[Column10]]</f>
        <v>45479</v>
      </c>
      <c r="BB82" s="7"/>
      <c r="BC82" t="str">
        <f>Table17[[#This Row],[KETERANGAN CONDRO]]</f>
        <v/>
      </c>
      <c r="BD82" t="str">
        <f ca="1">Table17[[#This Row],[Column6]]</f>
        <v>JUG191/24</v>
      </c>
    </row>
    <row r="83" spans="1:56">
      <c r="A83" s="55">
        <v>111</v>
      </c>
      <c r="C83">
        <f>INDEX(NOTA[//DB],Sheet1!A:A)</f>
        <v>3449</v>
      </c>
      <c r="D83">
        <f>_xlfn.IFNA(MATCH(Table17[[#This Row],[//db]],[3]!Table2[\\],0),"")</f>
        <v>244</v>
      </c>
      <c r="E83" t="str">
        <f>INDEX([3]!db[NB NOTA],Table17[[#This Row],[//db]])</f>
        <v>R TOPLES XLG 17PCS R-5857</v>
      </c>
      <c r="F83" t="str">
        <f>INDEX([3]!db[NB BM],Table17[[#This Row],[//db]])</f>
        <v>ASAHAN TOPLES R-5857 (17PCS)</v>
      </c>
      <c r="G83" t="str">
        <f>IF(Table17[[#This Row],[dbconcat]]="","",INDEX([3]!Table2[NAMA],Table17[[#This Row],[dbconcat]]))</f>
        <v>ASAHAN TOPLES R-5857 (17PCS)</v>
      </c>
      <c r="H83" t="str">
        <f>INDEX([3]!Table2[KODE BARANG],Table17[[#This Row],[dbconcat]])</f>
        <v>ASA-NB166</v>
      </c>
      <c r="I83" t="str">
        <f>IF(Table17[[#This Row],[NAMA_3]]="",UPPER(Table17[[#This Row],[NAMA_2]]),Table17[[#This Row],[NAMA_3]])</f>
        <v>ASAHAN TOPLES R-5857 (17PCS)</v>
      </c>
      <c r="J83">
        <f>INDEX(NOTA[QTY],Sheet1!A:A)</f>
        <v>72</v>
      </c>
      <c r="K83" t="str">
        <f>INDEX(NOTA[STN],Sheet1!A:A)</f>
        <v>TOP</v>
      </c>
      <c r="L83" t="str">
        <f>INDEX([3]!db[QTY B],Table17[[#This Row],[//db]])</f>
        <v>24</v>
      </c>
      <c r="M83" t="str">
        <f>INDEX([3]!db[STN B],Table17[[#This Row],[//db]])</f>
        <v>TOP</v>
      </c>
      <c r="N83" t="str">
        <f>IF(Table17[[#This Row],[SATUAN NOTA]]=Table17[[#This Row],[SATUAN DB]],"", MATCH(CONCATENATE(Table17[[#This Row],[SATUAN NOTA]],Table17[[#This Row],[SATUAN DB]]),Table2[4],0))</f>
        <v/>
      </c>
      <c r="O83" t="str" cm="1">
        <f t="array" ref="O83">IF(Table17[[#This Row],[//CONV]]="","",INDEX(Table2[3],Table17[[#This Row],[//CONV]]))</f>
        <v/>
      </c>
      <c r="P83" t="str">
        <f>IF(Table17[[#This Row],[//CONV]]="",Table17[[#This Row],[ISI DB]],Table17[[#This Row],[ISI NOTA]]*Table17[[#This Row],[CONV VAR]])</f>
        <v>24</v>
      </c>
      <c r="Q83" t="str" cm="1">
        <f t="array" ref="Q83">IF(Table17[[#This Row],[//CONV]]="",Table17[[#This Row],[SATUAN DB]],INDEX(Table2[2],Table17[[#This Row],[//CONV]]))</f>
        <v>TOP</v>
      </c>
      <c r="R83" cm="1">
        <f t="array" ref="R83">IF(Table17[[#This Row],[dbconcat]]="","",INDEX([3]!Table2[ISI],Table17[[#This Row],[dbconcat]]))</f>
        <v>24</v>
      </c>
      <c r="S83" t="str" cm="1">
        <f t="array" ref="S83">IF(Table17[[#This Row],[dbconcat]]="","",INDEX([3]!Table2[[SATUAN ]],Table17[[#This Row],[dbconcat]]))</f>
        <v>TOP</v>
      </c>
      <c r="T83" t="str">
        <f>IF(Table17[[#This Row],[SATUAN S]]="","",IF(_xlfn.NUMBERVALUE(Table17[[#This Row],[ISI DB]])=_xlfn.NUMBERVALUE(Table17[[#This Row],[ISI S]]),"",1))</f>
        <v/>
      </c>
      <c r="U83" t="str">
        <f>IF(Table17[[#This Row],[SATUAN S]]="","",IF(Table17[[#This Row],[SATUAN DB]]=Table17[[#This Row],[SATUAN S]],"",1))</f>
        <v/>
      </c>
      <c r="V83" t="str">
        <f>IF(Table17[[#This Row],[CEK STN S]]="","",MATCH(CONCATENATE(Table17[[#This Row],[SATUAN CONV]],Table17[[#This Row],[SATUAN S]]),Table2[4],0))</f>
        <v/>
      </c>
      <c r="X83" t="str" cm="1">
        <f t="array" ref="X83">IF(Table17[[#This Row],[CONV2_//]]="","",INDEX(Table2[3],Table17[[#This Row],[CONV2_//]]))</f>
        <v/>
      </c>
      <c r="Y83" s="2" t="str">
        <f>IF(Table17[[#This Row],[CEK ISI S]]="",Table17[[#This Row],[ISI DB]],Table17[[#This Row],[ISI S]])</f>
        <v>24</v>
      </c>
      <c r="Z83" t="str">
        <f>IF(Table17[[#This Row],[CEK STN S]]="",Table17[[#This Row],[SATUAN DB]],Table17[[#This Row],[SATUAN S]])</f>
        <v>TOP</v>
      </c>
      <c r="AA83">
        <f>IF(Table17[[#This Row],[//CONV]]="",Table17[[#This Row],[ISI NOTA]]/Table17[[#This Row],[ISI_C]],Table17[[#This Row],[ISI DB CONV]]/Table17[[#This Row],[ISI_C]])</f>
        <v>3</v>
      </c>
      <c r="AB83">
        <f>INDEX(NOTA[HARGA SATUAN],Sheet1!A:A)</f>
        <v>63800</v>
      </c>
      <c r="AC83">
        <f>IF(Table17[[#This Row],[//CONV]]="",Table17[[#This Row],[HARGA NOTA]],Table17[[#This Row],[HARGA NOTA]]/Table17[[#This Row],[CONV VAR]])</f>
        <v>63800</v>
      </c>
      <c r="AD83">
        <f>IF(Table17[[#This Row],[CEK STN S]]="",Table17[[#This Row],[HARGA CONV]],Table17[[#This Row],[HARGA CONV]]/Table17[[#This Row],[CONV2 VAR]])</f>
        <v>63800</v>
      </c>
      <c r="AE83" s="3" t="str">
        <f>IF(INDEX(NOTA[Column6],Sheet1!A:A)=0,"",INDEX(NOTA[Column6],Sheet1!A:A))</f>
        <v/>
      </c>
      <c r="AF83" s="3" t="str">
        <f>IF(INDEX(NOTA[Column7],Sheet1!A:A)=0,"",INDEX(NOTA[Column7],Sheet1!A:A))</f>
        <v/>
      </c>
      <c r="AG8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3" s="4">
        <f>INDEX(NOTA[HARGA/ CTN_H],Sheet1!A:A)</f>
        <v>1531200</v>
      </c>
      <c r="AI83" s="4">
        <f>IF(Table17[[#This Row],[DISC 3]]="",Table17[[#This Row],[HRG / CTN]],Table17[[#This Row],[HRG / CTN]]-(Table17[[#This Row],[HRG / CTN]]*Table17[[#This Row],[DISC 3]]))</f>
        <v>1531200</v>
      </c>
      <c r="AJ83" s="5" t="e">
        <f>IF(#REF!&lt;1,Table17[[#This Row],[Column9]],Table17[[#This Row],[Column9]]*#REF!)</f>
        <v>#REF!</v>
      </c>
      <c r="AK83" s="4" t="str">
        <f ca="1">IF(NOT(AP84=Table17[[#This Row],[Column6]]),SUMIF(Table17[Column6],Table17[[#This Row],[Column6]],Table17[Column7]),"")</f>
        <v/>
      </c>
      <c r="AL83" s="6">
        <f ca="1">INDEX(NOTA[TGL_H],Sheet1!A:A)</f>
        <v>45481</v>
      </c>
      <c r="AM83" s="6">
        <f ca="1">INDEX(NOTA[TGL.NOTA_H],Sheet1!A:A)</f>
        <v>45479</v>
      </c>
      <c r="AO83" t="str">
        <f>IF(INDEX(NOTA[Column10],A:A)="","",INDEX(NOTA[Column10],A:A))</f>
        <v/>
      </c>
      <c r="AP83" t="str">
        <f ca="1">INDEX(NOTA[NO.NOTA_H],Sheet1!A:A)</f>
        <v>JUG191/24</v>
      </c>
      <c r="AQ83">
        <f>INDEX(NOTA[Column10],Sheet1!A:A)</f>
        <v>0</v>
      </c>
      <c r="AR83" s="8" t="str">
        <f ca="1">INDEX(NOTA[SUPPLIER_H],Sheet1!A:A)</f>
        <v>DUTA BUANA</v>
      </c>
      <c r="AS83" t="str">
        <f>Table17[[#This Row],[NAMA_C]]</f>
        <v>ASAHAN TOPLES R-5857 (17PCS)</v>
      </c>
      <c r="AT83" t="str">
        <f ca="1">Table17[[#This Row],[SUPPLIER]]</f>
        <v>DUTA BUANA</v>
      </c>
      <c r="AU83" t="str">
        <f>SUBSTITUTE(Table17[[#This Row],[CTN]],",",".")</f>
        <v>3</v>
      </c>
      <c r="AV83" s="13" t="str">
        <f>Table17[[#This Row],[ISI_C]]</f>
        <v>24</v>
      </c>
      <c r="AW83" t="str">
        <f>Table17[[#This Row],[SATUAN_C]]</f>
        <v>TOP</v>
      </c>
      <c r="AX83">
        <f>Table17[[#This Row],[HARGA CONV2]]</f>
        <v>63800</v>
      </c>
      <c r="AY83" s="9" t="str">
        <f>SUBSTITUTE(Table17[[#This Row],[DISC 3]],",",".")</f>
        <v/>
      </c>
      <c r="AZ83" s="6">
        <f ca="1">Table17[[#This Row],[TGL DATANG]]</f>
        <v>45481</v>
      </c>
      <c r="BA83" s="6">
        <f ca="1">Table17[[#This Row],[Column10]]</f>
        <v>45479</v>
      </c>
      <c r="BB83" s="7"/>
      <c r="BC83" t="str">
        <f>Table17[[#This Row],[KETERANGAN CONDRO]]</f>
        <v/>
      </c>
      <c r="BD83" t="str">
        <f ca="1">Table17[[#This Row],[Column6]]</f>
        <v>JUG191/24</v>
      </c>
    </row>
    <row r="84" spans="1:56">
      <c r="A84" s="55">
        <v>112</v>
      </c>
      <c r="C84">
        <f>INDEX(NOTA[//DB],Sheet1!A:A)</f>
        <v>3450</v>
      </c>
      <c r="D84">
        <f>_xlfn.IFNA(MATCH(Table17[[#This Row],[//db]],[3]!Table2[\\],0),"")</f>
        <v>245</v>
      </c>
      <c r="E84" t="str">
        <f>INDEX([3]!db[NB NOTA],Table17[[#This Row],[//db]])</f>
        <v>RAUTAN MEJA BONEKA SX-0065 L</v>
      </c>
      <c r="F84" t="str">
        <f>INDEX([3]!db[NB BM],Table17[[#This Row],[//db]])</f>
        <v>ASAHAN MEJA SX-0065L BONEKA</v>
      </c>
      <c r="G84" t="str">
        <f>IF(Table17[[#This Row],[dbconcat]]="","",INDEX([3]!Table2[NAMA],Table17[[#This Row],[dbconcat]]))</f>
        <v>ASAHAN MEJA SX-0065L BONEKA</v>
      </c>
      <c r="H84" t="str">
        <f>INDEX([3]!Table2[KODE BARANG],Table17[[#This Row],[dbconcat]])</f>
        <v>ASA-NB167</v>
      </c>
      <c r="I84" t="str">
        <f>IF(Table17[[#This Row],[NAMA_3]]="",UPPER(Table17[[#This Row],[NAMA_2]]),Table17[[#This Row],[NAMA_3]])</f>
        <v>ASAHAN MEJA SX-0065L BONEKA</v>
      </c>
      <c r="J84">
        <f>INDEX(NOTA[QTY],Sheet1!A:A)</f>
        <v>21</v>
      </c>
      <c r="K84" t="str">
        <f>INDEX(NOTA[STN],Sheet1!A:A)</f>
        <v>PCS</v>
      </c>
      <c r="L84" t="str">
        <f>INDEX([3]!db[QTY B],Table17[[#This Row],[//db]])</f>
        <v>15</v>
      </c>
      <c r="M84" t="str">
        <f>INDEX([3]!db[STN B],Table17[[#This Row],[//db]])</f>
        <v>PCS</v>
      </c>
      <c r="N84" t="str">
        <f>IF(Table17[[#This Row],[SATUAN NOTA]]=Table17[[#This Row],[SATUAN DB]],"", MATCH(CONCATENATE(Table17[[#This Row],[SATUAN NOTA]],Table17[[#This Row],[SATUAN DB]]),Table2[4],0))</f>
        <v/>
      </c>
      <c r="O84" t="str" cm="1">
        <f t="array" ref="O84">IF(Table17[[#This Row],[//CONV]]="","",INDEX(Table2[3],Table17[[#This Row],[//CONV]]))</f>
        <v/>
      </c>
      <c r="P84" t="str">
        <f>IF(Table17[[#This Row],[//CONV]]="",Table17[[#This Row],[ISI DB]],Table17[[#This Row],[ISI NOTA]]*Table17[[#This Row],[CONV VAR]])</f>
        <v>15</v>
      </c>
      <c r="Q84" t="str" cm="1">
        <f t="array" ref="Q84">IF(Table17[[#This Row],[//CONV]]="",Table17[[#This Row],[SATUAN DB]],INDEX(Table2[2],Table17[[#This Row],[//CONV]]))</f>
        <v>PCS</v>
      </c>
      <c r="R84" t="str" cm="1">
        <f t="array" ref="R84">IF(Table17[[#This Row],[dbconcat]]="","",INDEX([3]!Table2[ISI],Table17[[#This Row],[dbconcat]]))</f>
        <v>?</v>
      </c>
      <c r="S84" t="str" cm="1">
        <f t="array" ref="S84">IF(Table17[[#This Row],[dbconcat]]="","",INDEX([3]!Table2[[SATUAN ]],Table17[[#This Row],[dbconcat]]))</f>
        <v>PCS</v>
      </c>
      <c r="T84" t="e">
        <f>IF(Table17[[#This Row],[SATUAN S]]="","",IF(_xlfn.NUMBERVALUE(Table17[[#This Row],[ISI DB]])=_xlfn.NUMBERVALUE(Table17[[#This Row],[ISI S]]),"",1))</f>
        <v>#VALUE!</v>
      </c>
      <c r="U84" t="str">
        <f>IF(Table17[[#This Row],[SATUAN S]]="","",IF(Table17[[#This Row],[SATUAN DB]]=Table17[[#This Row],[SATUAN S]],"",1))</f>
        <v/>
      </c>
      <c r="V84" t="str">
        <f>IF(Table17[[#This Row],[CEK STN S]]="","",MATCH(CONCATENATE(Table17[[#This Row],[SATUAN CONV]],Table17[[#This Row],[SATUAN S]]),Table2[4],0))</f>
        <v/>
      </c>
      <c r="X84" t="str" cm="1">
        <f t="array" ref="X84">IF(Table17[[#This Row],[CONV2_//]]="","",INDEX(Table2[3],Table17[[#This Row],[CONV2_//]]))</f>
        <v/>
      </c>
      <c r="Y84" s="2" t="e">
        <f>IF(Table17[[#This Row],[CEK ISI S]]="",Table17[[#This Row],[ISI DB]],Table17[[#This Row],[ISI S]])</f>
        <v>#VALUE!</v>
      </c>
      <c r="Z84" t="str">
        <f>IF(Table17[[#This Row],[CEK STN S]]="",Table17[[#This Row],[SATUAN DB]],Table17[[#This Row],[SATUAN S]])</f>
        <v>PCS</v>
      </c>
      <c r="AA84" t="e">
        <f>IF(Table17[[#This Row],[//CONV]]="",Table17[[#This Row],[ISI NOTA]]/Table17[[#This Row],[ISI_C]],Table17[[#This Row],[ISI DB CONV]]/Table17[[#This Row],[ISI_C]])</f>
        <v>#VALUE!</v>
      </c>
      <c r="AB84">
        <f>INDEX(NOTA[HARGA SATUAN],Sheet1!A:A)</f>
        <v>0</v>
      </c>
      <c r="AC84">
        <f>IF(Table17[[#This Row],[//CONV]]="",Table17[[#This Row],[HARGA NOTA]],Table17[[#This Row],[HARGA NOTA]]/Table17[[#This Row],[CONV VAR]])</f>
        <v>0</v>
      </c>
      <c r="AD84">
        <f>IF(Table17[[#This Row],[CEK STN S]]="",Table17[[#This Row],[HARGA CONV]],Table17[[#This Row],[HARGA CONV]]/Table17[[#This Row],[CONV2 VAR]])</f>
        <v>0</v>
      </c>
      <c r="AE84" s="3" t="str">
        <f>IF(INDEX(NOTA[Column6],Sheet1!A:A)=0,"",INDEX(NOTA[Column6],Sheet1!A:A))</f>
        <v/>
      </c>
      <c r="AF84" s="3" t="str">
        <f>IF(INDEX(NOTA[Column7],Sheet1!A:A)=0,"",INDEX(NOTA[Column7],Sheet1!A:A))</f>
        <v/>
      </c>
      <c r="AG8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4" s="4">
        <f>INDEX(NOTA[HARGA/ CTN_H],Sheet1!A:A)</f>
        <v>0</v>
      </c>
      <c r="AI84" s="4">
        <f>IF(Table17[[#This Row],[DISC 3]]="",Table17[[#This Row],[HRG / CTN]],Table17[[#This Row],[HRG / CTN]]-(Table17[[#This Row],[HRG / CTN]]*Table17[[#This Row],[DISC 3]]))</f>
        <v>0</v>
      </c>
      <c r="AJ84" s="5" t="e">
        <f>IF(#REF!&lt;1,Table17[[#This Row],[Column9]],Table17[[#This Row],[Column9]]*#REF!)</f>
        <v>#REF!</v>
      </c>
      <c r="AK84" s="4" t="e">
        <f ca="1">IF(NOT(AP85=Table17[[#This Row],[Column6]]),SUMIF(Table17[Column6],Table17[[#This Row],[Column6]],Table17[Column7]),"")</f>
        <v>#REF!</v>
      </c>
      <c r="AL84" s="6">
        <f ca="1">INDEX(NOTA[TGL_H],Sheet1!A:A)</f>
        <v>45481</v>
      </c>
      <c r="AM84" s="6">
        <f ca="1">INDEX(NOTA[TGL.NOTA_H],Sheet1!A:A)</f>
        <v>45479</v>
      </c>
      <c r="AO84" t="str">
        <f>IF(INDEX(NOTA[Column10],A:A)="","",INDEX(NOTA[Column10],A:A))</f>
        <v/>
      </c>
      <c r="AP84" t="str">
        <f ca="1">INDEX(NOTA[NO.NOTA_H],Sheet1!A:A)</f>
        <v>JUG191/24</v>
      </c>
      <c r="AQ84">
        <f>INDEX(NOTA[Column10],Sheet1!A:A)</f>
        <v>0</v>
      </c>
      <c r="AR84" s="8" t="str">
        <f ca="1">INDEX(NOTA[SUPPLIER_H],Sheet1!A:A)</f>
        <v>DUTA BUANA</v>
      </c>
      <c r="AS84" t="str">
        <f>Table17[[#This Row],[NAMA_C]]</f>
        <v>ASAHAN MEJA SX-0065L BONEKA</v>
      </c>
      <c r="AT84" t="str">
        <f ca="1">Table17[[#This Row],[SUPPLIER]]</f>
        <v>DUTA BUANA</v>
      </c>
      <c r="AU84" t="e">
        <f>SUBSTITUTE(Table17[[#This Row],[CTN]],",",".")</f>
        <v>#VALUE!</v>
      </c>
      <c r="AV84" s="13" t="e">
        <f>Table17[[#This Row],[ISI_C]]</f>
        <v>#VALUE!</v>
      </c>
      <c r="AW84" t="str">
        <f>Table17[[#This Row],[SATUAN_C]]</f>
        <v>PCS</v>
      </c>
      <c r="AX84">
        <f>Table17[[#This Row],[HARGA CONV2]]</f>
        <v>0</v>
      </c>
      <c r="AY84" s="9" t="str">
        <f>SUBSTITUTE(Table17[[#This Row],[DISC 3]],",",".")</f>
        <v/>
      </c>
      <c r="AZ84" s="6">
        <f ca="1">Table17[[#This Row],[TGL DATANG]]</f>
        <v>45481</v>
      </c>
      <c r="BA84" s="6">
        <f ca="1">Table17[[#This Row],[Column10]]</f>
        <v>45479</v>
      </c>
      <c r="BB84" s="7"/>
      <c r="BC84" t="str">
        <f>Table17[[#This Row],[KETERANGAN CONDRO]]</f>
        <v/>
      </c>
      <c r="BD84" t="str">
        <f ca="1">Table17[[#This Row],[Column6]]</f>
        <v>JUG191/24</v>
      </c>
    </row>
    <row r="85" spans="1:56">
      <c r="A85" s="55">
        <v>114</v>
      </c>
      <c r="C85">
        <f>INDEX(NOTA[//DB],Sheet1!A:A)</f>
        <v>2153</v>
      </c>
      <c r="D85">
        <f>_xlfn.IFNA(MATCH(Table17[[#This Row],[//db]],[3]!Table2[\\],0),"")</f>
        <v>2019</v>
      </c>
      <c r="E85" t="str">
        <f>INDEX([3]!db[NB NOTA],Table17[[#This Row],[//db]])</f>
        <v>MEK PENSIL 2.0 TIZO TM 01800-A</v>
      </c>
      <c r="F85" t="str">
        <f>INDEX([3]!db[NB BM],Table17[[#This Row],[//db]])</f>
        <v>Mechpen Tizo TM 01800-A</v>
      </c>
      <c r="G85" t="str">
        <f>IF(Table17[[#This Row],[dbconcat]]="","",INDEX([3]!Table2[NAMA],Table17[[#This Row],[dbconcat]]))</f>
        <v>MECHPEN TIZO TM-01800 A</v>
      </c>
      <c r="H85" t="str">
        <f>INDEX([3]!Table2[KODE BARANG],Table17[[#This Row],[dbconcat]])</f>
        <v>MEC-TZ30</v>
      </c>
      <c r="I85" t="str">
        <f>IF(Table17[[#This Row],[NAMA_3]]="",UPPER(Table17[[#This Row],[NAMA_2]]),Table17[[#This Row],[NAMA_3]])</f>
        <v>MECHPEN TIZO TM-01800 A</v>
      </c>
      <c r="J85">
        <f>INDEX(NOTA[QTY],Sheet1!A:A)</f>
        <v>96</v>
      </c>
      <c r="K85" t="str">
        <f>INDEX(NOTA[STN],Sheet1!A:A)</f>
        <v>LSN</v>
      </c>
      <c r="L85" t="str">
        <f>INDEX([3]!db[QTY B],Table17[[#This Row],[//db]])</f>
        <v>96</v>
      </c>
      <c r="M85" t="str">
        <f>INDEX([3]!db[STN B],Table17[[#This Row],[//db]])</f>
        <v>LSN</v>
      </c>
      <c r="N85" t="str">
        <f>IF(Table17[[#This Row],[SATUAN NOTA]]=Table17[[#This Row],[SATUAN DB]],"", MATCH(CONCATENATE(Table17[[#This Row],[SATUAN NOTA]],Table17[[#This Row],[SATUAN DB]]),Table2[4],0))</f>
        <v/>
      </c>
      <c r="O85" t="str" cm="1">
        <f t="array" ref="O85">IF(Table17[[#This Row],[//CONV]]="","",INDEX(Table2[3],Table17[[#This Row],[//CONV]]))</f>
        <v/>
      </c>
      <c r="P85" t="str">
        <f>IF(Table17[[#This Row],[//CONV]]="",Table17[[#This Row],[ISI DB]],Table17[[#This Row],[ISI NOTA]]*Table17[[#This Row],[CONV VAR]])</f>
        <v>96</v>
      </c>
      <c r="Q85" t="str" cm="1">
        <f t="array" ref="Q85">IF(Table17[[#This Row],[//CONV]]="",Table17[[#This Row],[SATUAN DB]],INDEX(Table2[2],Table17[[#This Row],[//CONV]]))</f>
        <v>LSN</v>
      </c>
      <c r="R85" cm="1">
        <f t="array" ref="R85">IF(Table17[[#This Row],[dbconcat]]="","",INDEX([3]!Table2[ISI],Table17[[#This Row],[dbconcat]]))</f>
        <v>96</v>
      </c>
      <c r="S85" t="str" cm="1">
        <f t="array" ref="S85">IF(Table17[[#This Row],[dbconcat]]="","",INDEX([3]!Table2[[SATUAN ]],Table17[[#This Row],[dbconcat]]))</f>
        <v>LSN</v>
      </c>
      <c r="T85" t="str">
        <f>IF(Table17[[#This Row],[SATUAN S]]="","",IF(_xlfn.NUMBERVALUE(Table17[[#This Row],[ISI DB]])=_xlfn.NUMBERVALUE(Table17[[#This Row],[ISI S]]),"",1))</f>
        <v/>
      </c>
      <c r="U85" t="str">
        <f>IF(Table17[[#This Row],[SATUAN S]]="","",IF(Table17[[#This Row],[SATUAN DB]]=Table17[[#This Row],[SATUAN S]],"",1))</f>
        <v/>
      </c>
      <c r="V85" t="str">
        <f>IF(Table17[[#This Row],[CEK STN S]]="","",MATCH(CONCATENATE(Table17[[#This Row],[SATUAN CONV]],Table17[[#This Row],[SATUAN S]]),Table2[4],0))</f>
        <v/>
      </c>
      <c r="X85" t="str" cm="1">
        <f t="array" ref="X85">IF(Table17[[#This Row],[CONV2_//]]="","",INDEX(Table2[3],Table17[[#This Row],[CONV2_//]]))</f>
        <v/>
      </c>
      <c r="Y85" s="2" t="str">
        <f>IF(Table17[[#This Row],[CEK ISI S]]="",Table17[[#This Row],[ISI DB]],Table17[[#This Row],[ISI S]])</f>
        <v>96</v>
      </c>
      <c r="Z85" t="str">
        <f>IF(Table17[[#This Row],[CEK STN S]]="",Table17[[#This Row],[SATUAN DB]],Table17[[#This Row],[SATUAN S]])</f>
        <v>LSN</v>
      </c>
      <c r="AA85">
        <f>IF(Table17[[#This Row],[//CONV]]="",Table17[[#This Row],[ISI NOTA]]/Table17[[#This Row],[ISI_C]],Table17[[#This Row],[ISI DB CONV]]/Table17[[#This Row],[ISI_C]])</f>
        <v>1</v>
      </c>
      <c r="AB85">
        <f>INDEX(NOTA[HARGA SATUAN],Sheet1!A:A)</f>
        <v>29000</v>
      </c>
      <c r="AC85">
        <f>IF(Table17[[#This Row],[//CONV]]="",Table17[[#This Row],[HARGA NOTA]],Table17[[#This Row],[HARGA NOTA]]/Table17[[#This Row],[CONV VAR]])</f>
        <v>29000</v>
      </c>
      <c r="AD85">
        <f>IF(Table17[[#This Row],[CEK STN S]]="",Table17[[#This Row],[HARGA CONV]],Table17[[#This Row],[HARGA CONV]]/Table17[[#This Row],[CONV2 VAR]])</f>
        <v>29000</v>
      </c>
      <c r="AE85" s="3" t="str">
        <f>IF(INDEX(NOTA[Column6],Sheet1!A:A)=0,"",INDEX(NOTA[Column6],Sheet1!A:A))</f>
        <v/>
      </c>
      <c r="AF85" s="3" t="str">
        <f>IF(INDEX(NOTA[Column7],Sheet1!A:A)=0,"",INDEX(NOTA[Column7],Sheet1!A:A))</f>
        <v/>
      </c>
      <c r="AG8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5" s="4">
        <f>INDEX(NOTA[HARGA/ CTN_H],Sheet1!A:A)</f>
        <v>2784000</v>
      </c>
      <c r="AI85" s="4">
        <f>IF(Table17[[#This Row],[DISC 3]]="",Table17[[#This Row],[HRG / CTN]],Table17[[#This Row],[HRG / CTN]]-(Table17[[#This Row],[HRG / CTN]]*Table17[[#This Row],[DISC 3]]))</f>
        <v>2784000</v>
      </c>
      <c r="AJ85" s="5" t="e">
        <f>IF(#REF!&lt;1,Table17[[#This Row],[Column9]],Table17[[#This Row],[Column9]]*#REF!)</f>
        <v>#REF!</v>
      </c>
      <c r="AK85" s="4" t="str">
        <f ca="1">IF(NOT(AP86=Table17[[#This Row],[Column6]]),SUMIF(Table17[Column6],Table17[[#This Row],[Column6]],Table17[Column7]),"")</f>
        <v/>
      </c>
      <c r="AL85" s="6">
        <f ca="1">INDEX(NOTA[TGL_H],Sheet1!A:A)</f>
        <v>45481</v>
      </c>
      <c r="AM85" s="6">
        <f ca="1">INDEX(NOTA[TGL.NOTA_H],Sheet1!A:A)</f>
        <v>45479</v>
      </c>
      <c r="AO85" t="str">
        <f>IF(INDEX(NOTA[Column10],A:A)="","",INDEX(NOTA[Column10],A:A))</f>
        <v/>
      </c>
      <c r="AP85" t="str">
        <f ca="1">INDEX(NOTA[NO.NOTA_H],Sheet1!A:A)</f>
        <v>JUG190/24</v>
      </c>
      <c r="AQ85">
        <f>INDEX(NOTA[Column10],Sheet1!A:A)</f>
        <v>0</v>
      </c>
      <c r="AR85" s="8" t="str">
        <f ca="1">INDEX(NOTA[SUPPLIER_H],Sheet1!A:A)</f>
        <v>DUTA BUANA</v>
      </c>
      <c r="AS85" t="str">
        <f>Table17[[#This Row],[NAMA_C]]</f>
        <v>MECHPEN TIZO TM-01800 A</v>
      </c>
      <c r="AT85" t="str">
        <f ca="1">Table17[[#This Row],[SUPPLIER]]</f>
        <v>DUTA BUANA</v>
      </c>
      <c r="AU85" t="str">
        <f>SUBSTITUTE(Table17[[#This Row],[CTN]],",",".")</f>
        <v>1</v>
      </c>
      <c r="AV85" s="13" t="str">
        <f>Table17[[#This Row],[ISI_C]]</f>
        <v>96</v>
      </c>
      <c r="AW85" t="str">
        <f>Table17[[#This Row],[SATUAN_C]]</f>
        <v>LSN</v>
      </c>
      <c r="AX85">
        <f>Table17[[#This Row],[HARGA CONV2]]</f>
        <v>29000</v>
      </c>
      <c r="AY85" s="9" t="str">
        <f>SUBSTITUTE(Table17[[#This Row],[DISC 3]],",",".")</f>
        <v/>
      </c>
      <c r="AZ85" s="6">
        <f ca="1">Table17[[#This Row],[TGL DATANG]]</f>
        <v>45481</v>
      </c>
      <c r="BA85" s="6">
        <f ca="1">Table17[[#This Row],[Column10]]</f>
        <v>45479</v>
      </c>
      <c r="BB85" s="7"/>
      <c r="BC85" t="str">
        <f>Table17[[#This Row],[KETERANGAN CONDRO]]</f>
        <v/>
      </c>
      <c r="BD85" t="str">
        <f ca="1">Table17[[#This Row],[Column6]]</f>
        <v>JUG190/24</v>
      </c>
    </row>
    <row r="86" spans="1:56">
      <c r="A86" s="55">
        <v>115</v>
      </c>
      <c r="C86">
        <f>INDEX(NOTA[//DB],Sheet1!A:A)</f>
        <v>2176</v>
      </c>
      <c r="D86">
        <f>_xlfn.IFNA(MATCH(Table17[[#This Row],[//db]],[3]!Table2[\\],0),"")</f>
        <v>2013</v>
      </c>
      <c r="E86" t="str">
        <f>INDEX([3]!db[NB NOTA],Table17[[#This Row],[//db]])</f>
        <v>MEK PENSIL 2.0 TIZO TM 030A-2</v>
      </c>
      <c r="F86" t="str">
        <f>INDEX([3]!db[NB BM],Table17[[#This Row],[//db]])</f>
        <v>MECHPEN TIZO TM 030A-2</v>
      </c>
      <c r="G86" t="str">
        <f>IF(Table17[[#This Row],[dbconcat]]="","",INDEX([3]!Table2[NAMA],Table17[[#This Row],[dbconcat]]))</f>
        <v>MECHPEN TIZO TM 030A-2</v>
      </c>
      <c r="H86" t="str">
        <f>INDEX([3]!Table2[KODE BARANG],Table17[[#This Row],[dbconcat]])</f>
        <v>MEC-TZ27</v>
      </c>
      <c r="I86" t="str">
        <f>IF(Table17[[#This Row],[NAMA_3]]="",UPPER(Table17[[#This Row],[NAMA_2]]),Table17[[#This Row],[NAMA_3]])</f>
        <v>MECHPEN TIZO TM 030A-2</v>
      </c>
      <c r="J86">
        <f>INDEX(NOTA[QTY],Sheet1!A:A)</f>
        <v>96</v>
      </c>
      <c r="K86" t="str">
        <f>INDEX(NOTA[STN],Sheet1!A:A)</f>
        <v>LSN</v>
      </c>
      <c r="L86" t="str">
        <f>INDEX([3]!db[QTY B],Table17[[#This Row],[//db]])</f>
        <v>96</v>
      </c>
      <c r="M86" t="str">
        <f>INDEX([3]!db[STN B],Table17[[#This Row],[//db]])</f>
        <v>LSN</v>
      </c>
      <c r="N86" t="str">
        <f>IF(Table17[[#This Row],[SATUAN NOTA]]=Table17[[#This Row],[SATUAN DB]],"", MATCH(CONCATENATE(Table17[[#This Row],[SATUAN NOTA]],Table17[[#This Row],[SATUAN DB]]),Table2[4],0))</f>
        <v/>
      </c>
      <c r="O86" t="str" cm="1">
        <f t="array" ref="O86">IF(Table17[[#This Row],[//CONV]]="","",INDEX(Table2[3],Table17[[#This Row],[//CONV]]))</f>
        <v/>
      </c>
      <c r="P86" t="str">
        <f>IF(Table17[[#This Row],[//CONV]]="",Table17[[#This Row],[ISI DB]],Table17[[#This Row],[ISI NOTA]]*Table17[[#This Row],[CONV VAR]])</f>
        <v>96</v>
      </c>
      <c r="Q86" t="str" cm="1">
        <f t="array" ref="Q86">IF(Table17[[#This Row],[//CONV]]="",Table17[[#This Row],[SATUAN DB]],INDEX(Table2[2],Table17[[#This Row],[//CONV]]))</f>
        <v>LSN</v>
      </c>
      <c r="R86" cm="1">
        <f t="array" ref="R86">IF(Table17[[#This Row],[dbconcat]]="","",INDEX([3]!Table2[ISI],Table17[[#This Row],[dbconcat]]))</f>
        <v>96</v>
      </c>
      <c r="S86" t="str" cm="1">
        <f t="array" ref="S86">IF(Table17[[#This Row],[dbconcat]]="","",INDEX([3]!Table2[[SATUAN ]],Table17[[#This Row],[dbconcat]]))</f>
        <v>LSN</v>
      </c>
      <c r="T86" t="str">
        <f>IF(Table17[[#This Row],[SATUAN S]]="","",IF(_xlfn.NUMBERVALUE(Table17[[#This Row],[ISI DB]])=_xlfn.NUMBERVALUE(Table17[[#This Row],[ISI S]]),"",1))</f>
        <v/>
      </c>
      <c r="U86" t="str">
        <f>IF(Table17[[#This Row],[SATUAN S]]="","",IF(Table17[[#This Row],[SATUAN DB]]=Table17[[#This Row],[SATUAN S]],"",1))</f>
        <v/>
      </c>
      <c r="V86" t="str">
        <f>IF(Table17[[#This Row],[CEK STN S]]="","",MATCH(CONCATENATE(Table17[[#This Row],[SATUAN CONV]],Table17[[#This Row],[SATUAN S]]),Table2[4],0))</f>
        <v/>
      </c>
      <c r="X86" t="str" cm="1">
        <f t="array" ref="X86">IF(Table17[[#This Row],[CONV2_//]]="","",INDEX(Table2[3],Table17[[#This Row],[CONV2_//]]))</f>
        <v/>
      </c>
      <c r="Y86" s="2" t="str">
        <f>IF(Table17[[#This Row],[CEK ISI S]]="",Table17[[#This Row],[ISI DB]],Table17[[#This Row],[ISI S]])</f>
        <v>96</v>
      </c>
      <c r="Z86" t="str">
        <f>IF(Table17[[#This Row],[CEK STN S]]="",Table17[[#This Row],[SATUAN DB]],Table17[[#This Row],[SATUAN S]])</f>
        <v>LSN</v>
      </c>
      <c r="AA86">
        <f>IF(Table17[[#This Row],[//CONV]]="",Table17[[#This Row],[ISI NOTA]]/Table17[[#This Row],[ISI_C]],Table17[[#This Row],[ISI DB CONV]]/Table17[[#This Row],[ISI_C]])</f>
        <v>1</v>
      </c>
      <c r="AB86">
        <f>INDEX(NOTA[HARGA SATUAN],Sheet1!A:A)</f>
        <v>29000</v>
      </c>
      <c r="AC86">
        <f>IF(Table17[[#This Row],[//CONV]]="",Table17[[#This Row],[HARGA NOTA]],Table17[[#This Row],[HARGA NOTA]]/Table17[[#This Row],[CONV VAR]])</f>
        <v>29000</v>
      </c>
      <c r="AD86">
        <f>IF(Table17[[#This Row],[CEK STN S]]="",Table17[[#This Row],[HARGA CONV]],Table17[[#This Row],[HARGA CONV]]/Table17[[#This Row],[CONV2 VAR]])</f>
        <v>29000</v>
      </c>
      <c r="AE86" s="3" t="str">
        <f>IF(INDEX(NOTA[Column6],Sheet1!A:A)=0,"",INDEX(NOTA[Column6],Sheet1!A:A))</f>
        <v/>
      </c>
      <c r="AF86" s="3" t="str">
        <f>IF(INDEX(NOTA[Column7],Sheet1!A:A)=0,"",INDEX(NOTA[Column7],Sheet1!A:A))</f>
        <v/>
      </c>
      <c r="AG8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6" s="4">
        <f>INDEX(NOTA[HARGA/ CTN_H],Sheet1!A:A)</f>
        <v>2784000</v>
      </c>
      <c r="AI86" s="4">
        <f>IF(Table17[[#This Row],[DISC 3]]="",Table17[[#This Row],[HRG / CTN]],Table17[[#This Row],[HRG / CTN]]-(Table17[[#This Row],[HRG / CTN]]*Table17[[#This Row],[DISC 3]]))</f>
        <v>2784000</v>
      </c>
      <c r="AJ86" s="5" t="e">
        <f>IF(#REF!&lt;1,Table17[[#This Row],[Column9]],Table17[[#This Row],[Column9]]*#REF!)</f>
        <v>#REF!</v>
      </c>
      <c r="AK86" s="4" t="str">
        <f ca="1">IF(NOT(AP87=Table17[[#This Row],[Column6]]),SUMIF(Table17[Column6],Table17[[#This Row],[Column6]],Table17[Column7]),"")</f>
        <v/>
      </c>
      <c r="AL86" s="6">
        <f ca="1">INDEX(NOTA[TGL_H],Sheet1!A:A)</f>
        <v>45481</v>
      </c>
      <c r="AM86" s="6">
        <f ca="1">INDEX(NOTA[TGL.NOTA_H],Sheet1!A:A)</f>
        <v>45479</v>
      </c>
      <c r="AO86" t="str">
        <f>IF(INDEX(NOTA[Column10],A:A)="","",INDEX(NOTA[Column10],A:A))</f>
        <v/>
      </c>
      <c r="AP86" t="str">
        <f ca="1">INDEX(NOTA[NO.NOTA_H],Sheet1!A:A)</f>
        <v>JUG190/24</v>
      </c>
      <c r="AQ86">
        <f>INDEX(NOTA[Column10],Sheet1!A:A)</f>
        <v>0</v>
      </c>
      <c r="AR86" s="8" t="str">
        <f ca="1">INDEX(NOTA[SUPPLIER_H],Sheet1!A:A)</f>
        <v>DUTA BUANA</v>
      </c>
      <c r="AS86" t="str">
        <f>Table17[[#This Row],[NAMA_C]]</f>
        <v>MECHPEN TIZO TM 030A-2</v>
      </c>
      <c r="AT86" t="str">
        <f ca="1">Table17[[#This Row],[SUPPLIER]]</f>
        <v>DUTA BUANA</v>
      </c>
      <c r="AU86" t="str">
        <f>SUBSTITUTE(Table17[[#This Row],[CTN]],",",".")</f>
        <v>1</v>
      </c>
      <c r="AV86" s="13" t="str">
        <f>Table17[[#This Row],[ISI_C]]</f>
        <v>96</v>
      </c>
      <c r="AW86" t="str">
        <f>Table17[[#This Row],[SATUAN_C]]</f>
        <v>LSN</v>
      </c>
      <c r="AX86">
        <f>Table17[[#This Row],[HARGA CONV2]]</f>
        <v>29000</v>
      </c>
      <c r="AY86" s="9" t="str">
        <f>SUBSTITUTE(Table17[[#This Row],[DISC 3]],",",".")</f>
        <v/>
      </c>
      <c r="AZ86" s="6">
        <f ca="1">Table17[[#This Row],[TGL DATANG]]</f>
        <v>45481</v>
      </c>
      <c r="BA86" s="6">
        <f ca="1">Table17[[#This Row],[Column10]]</f>
        <v>45479</v>
      </c>
      <c r="BB86" s="7"/>
      <c r="BC86" t="str">
        <f>Table17[[#This Row],[KETERANGAN CONDRO]]</f>
        <v/>
      </c>
      <c r="BD86" t="str">
        <f ca="1">Table17[[#This Row],[Column6]]</f>
        <v>JUG190/24</v>
      </c>
    </row>
    <row r="87" spans="1:56">
      <c r="A87" s="55">
        <v>116</v>
      </c>
      <c r="C87">
        <f>INDEX(NOTA[//DB],Sheet1!A:A)</f>
        <v>1252</v>
      </c>
      <c r="D87">
        <f>_xlfn.IFNA(MATCH(Table17[[#This Row],[//db]],[3]!Table2[\\],0),"")</f>
        <v>720</v>
      </c>
      <c r="E87" t="str">
        <f>INDEX([3]!db[NB NOTA],Table17[[#This Row],[//db]])</f>
        <v>GEL TIZO 1.0 TG630-A</v>
      </c>
      <c r="F87" t="str">
        <f>INDEX([3]!db[NB BM],Table17[[#This Row],[//db]])</f>
        <v>BP GEL TIZO 1.0 TG630-A</v>
      </c>
      <c r="G87" t="str">
        <f>IF(Table17[[#This Row],[dbconcat]]="","",INDEX([3]!Table2[NAMA],Table17[[#This Row],[dbconcat]]))</f>
        <v>BP GEL TIZO 1.0 TG630-A</v>
      </c>
      <c r="H87" t="str">
        <f>INDEX([3]!Table2[KODE BARANG],Table17[[#This Row],[dbconcat]])</f>
        <v>BOL-TZ339</v>
      </c>
      <c r="I87" t="str">
        <f>IF(Table17[[#This Row],[NAMA_3]]="",UPPER(Table17[[#This Row],[NAMA_2]]),Table17[[#This Row],[NAMA_3]])</f>
        <v>BP GEL TIZO 1.0 TG630-A</v>
      </c>
      <c r="J87">
        <f>INDEX(NOTA[QTY],Sheet1!A:A)</f>
        <v>72</v>
      </c>
      <c r="K87" t="str">
        <f>INDEX(NOTA[STN],Sheet1!A:A)</f>
        <v>LSN</v>
      </c>
      <c r="L87" t="str">
        <f>INDEX([3]!db[QTY B],Table17[[#This Row],[//db]])</f>
        <v>72</v>
      </c>
      <c r="M87" t="str">
        <f>INDEX([3]!db[STN B],Table17[[#This Row],[//db]])</f>
        <v>LSN</v>
      </c>
      <c r="N87" t="str">
        <f>IF(Table17[[#This Row],[SATUAN NOTA]]=Table17[[#This Row],[SATUAN DB]],"", MATCH(CONCATENATE(Table17[[#This Row],[SATUAN NOTA]],Table17[[#This Row],[SATUAN DB]]),Table2[4],0))</f>
        <v/>
      </c>
      <c r="O87" t="str" cm="1">
        <f t="array" ref="O87">IF(Table17[[#This Row],[//CONV]]="","",INDEX(Table2[3],Table17[[#This Row],[//CONV]]))</f>
        <v/>
      </c>
      <c r="P87" t="str">
        <f>IF(Table17[[#This Row],[//CONV]]="",Table17[[#This Row],[ISI DB]],Table17[[#This Row],[ISI NOTA]]*Table17[[#This Row],[CONV VAR]])</f>
        <v>72</v>
      </c>
      <c r="Q87" t="str" cm="1">
        <f t="array" ref="Q87">IF(Table17[[#This Row],[//CONV]]="",Table17[[#This Row],[SATUAN DB]],INDEX(Table2[2],Table17[[#This Row],[//CONV]]))</f>
        <v>LSN</v>
      </c>
      <c r="R87" cm="1">
        <f t="array" ref="R87">IF(Table17[[#This Row],[dbconcat]]="","",INDEX([3]!Table2[ISI],Table17[[#This Row],[dbconcat]]))</f>
        <v>72</v>
      </c>
      <c r="S87" t="str" cm="1">
        <f t="array" ref="S87">IF(Table17[[#This Row],[dbconcat]]="","",INDEX([3]!Table2[[SATUAN ]],Table17[[#This Row],[dbconcat]]))</f>
        <v>LSN</v>
      </c>
      <c r="T87" t="str">
        <f>IF(Table17[[#This Row],[SATUAN S]]="","",IF(_xlfn.NUMBERVALUE(Table17[[#This Row],[ISI DB]])=_xlfn.NUMBERVALUE(Table17[[#This Row],[ISI S]]),"",1))</f>
        <v/>
      </c>
      <c r="U87" t="str">
        <f>IF(Table17[[#This Row],[SATUAN S]]="","",IF(Table17[[#This Row],[SATUAN DB]]=Table17[[#This Row],[SATUAN S]],"",1))</f>
        <v/>
      </c>
      <c r="V87" t="str">
        <f>IF(Table17[[#This Row],[CEK STN S]]="","",MATCH(CONCATENATE(Table17[[#This Row],[SATUAN CONV]],Table17[[#This Row],[SATUAN S]]),Table2[4],0))</f>
        <v/>
      </c>
      <c r="X87" t="str" cm="1">
        <f t="array" ref="X87">IF(Table17[[#This Row],[CONV2_//]]="","",INDEX(Table2[3],Table17[[#This Row],[CONV2_//]]))</f>
        <v/>
      </c>
      <c r="Y87" s="2" t="str">
        <f>IF(Table17[[#This Row],[CEK ISI S]]="",Table17[[#This Row],[ISI DB]],Table17[[#This Row],[ISI S]])</f>
        <v>72</v>
      </c>
      <c r="Z87" t="str">
        <f>IF(Table17[[#This Row],[CEK STN S]]="",Table17[[#This Row],[SATUAN DB]],Table17[[#This Row],[SATUAN S]])</f>
        <v>LSN</v>
      </c>
      <c r="AA87">
        <f>IF(Table17[[#This Row],[//CONV]]="",Table17[[#This Row],[ISI NOTA]]/Table17[[#This Row],[ISI_C]],Table17[[#This Row],[ISI DB CONV]]/Table17[[#This Row],[ISI_C]])</f>
        <v>1</v>
      </c>
      <c r="AB87">
        <f>INDEX(NOTA[HARGA SATUAN],Sheet1!A:A)</f>
        <v>43500</v>
      </c>
      <c r="AC87">
        <f>IF(Table17[[#This Row],[//CONV]]="",Table17[[#This Row],[HARGA NOTA]],Table17[[#This Row],[HARGA NOTA]]/Table17[[#This Row],[CONV VAR]])</f>
        <v>43500</v>
      </c>
      <c r="AD87">
        <f>IF(Table17[[#This Row],[CEK STN S]]="",Table17[[#This Row],[HARGA CONV]],Table17[[#This Row],[HARGA CONV]]/Table17[[#This Row],[CONV2 VAR]])</f>
        <v>43500</v>
      </c>
      <c r="AE87" s="3" t="str">
        <f>IF(INDEX(NOTA[Column6],Sheet1!A:A)=0,"",INDEX(NOTA[Column6],Sheet1!A:A))</f>
        <v/>
      </c>
      <c r="AF87" s="3" t="str">
        <f>IF(INDEX(NOTA[Column7],Sheet1!A:A)=0,"",INDEX(NOTA[Column7],Sheet1!A:A))</f>
        <v/>
      </c>
      <c r="AG8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7" s="4">
        <f>INDEX(NOTA[HARGA/ CTN_H],Sheet1!A:A)</f>
        <v>3132000</v>
      </c>
      <c r="AI87" s="4">
        <f>IF(Table17[[#This Row],[DISC 3]]="",Table17[[#This Row],[HRG / CTN]],Table17[[#This Row],[HRG / CTN]]-(Table17[[#This Row],[HRG / CTN]]*Table17[[#This Row],[DISC 3]]))</f>
        <v>3132000</v>
      </c>
      <c r="AJ87" s="5" t="e">
        <f>IF(#REF!&lt;1,Table17[[#This Row],[Column9]],Table17[[#This Row],[Column9]]*#REF!)</f>
        <v>#REF!</v>
      </c>
      <c r="AK87" s="4" t="str">
        <f ca="1">IF(NOT(AP88=Table17[[#This Row],[Column6]]),SUMIF(Table17[Column6],Table17[[#This Row],[Column6]],Table17[Column7]),"")</f>
        <v/>
      </c>
      <c r="AL87" s="6">
        <f ca="1">INDEX(NOTA[TGL_H],Sheet1!A:A)</f>
        <v>45481</v>
      </c>
      <c r="AM87" s="6">
        <f ca="1">INDEX(NOTA[TGL.NOTA_H],Sheet1!A:A)</f>
        <v>45479</v>
      </c>
      <c r="AO87" t="str">
        <f>IF(INDEX(NOTA[Column10],A:A)="","",INDEX(NOTA[Column10],A:A))</f>
        <v/>
      </c>
      <c r="AP87" t="str">
        <f ca="1">INDEX(NOTA[NO.NOTA_H],Sheet1!A:A)</f>
        <v>JUG190/24</v>
      </c>
      <c r="AQ87">
        <f>INDEX(NOTA[Column10],Sheet1!A:A)</f>
        <v>0</v>
      </c>
      <c r="AR87" s="8" t="str">
        <f ca="1">INDEX(NOTA[SUPPLIER_H],Sheet1!A:A)</f>
        <v>DUTA BUANA</v>
      </c>
      <c r="AS87" t="str">
        <f>Table17[[#This Row],[NAMA_C]]</f>
        <v>BP GEL TIZO 1.0 TG630-A</v>
      </c>
      <c r="AT87" t="str">
        <f ca="1">Table17[[#This Row],[SUPPLIER]]</f>
        <v>DUTA BUANA</v>
      </c>
      <c r="AU87" t="str">
        <f>SUBSTITUTE(Table17[[#This Row],[CTN]],",",".")</f>
        <v>1</v>
      </c>
      <c r="AV87" s="13" t="str">
        <f>Table17[[#This Row],[ISI_C]]</f>
        <v>72</v>
      </c>
      <c r="AW87" t="str">
        <f>Table17[[#This Row],[SATUAN_C]]</f>
        <v>LSN</v>
      </c>
      <c r="AX87">
        <f>Table17[[#This Row],[HARGA CONV2]]</f>
        <v>43500</v>
      </c>
      <c r="AY87" s="9" t="str">
        <f>SUBSTITUTE(Table17[[#This Row],[DISC 3]],",",".")</f>
        <v/>
      </c>
      <c r="AZ87" s="6">
        <f ca="1">Table17[[#This Row],[TGL DATANG]]</f>
        <v>45481</v>
      </c>
      <c r="BA87" s="6">
        <f ca="1">Table17[[#This Row],[Column10]]</f>
        <v>45479</v>
      </c>
      <c r="BB87" s="7"/>
      <c r="BC87" t="str">
        <f>Table17[[#This Row],[KETERANGAN CONDRO]]</f>
        <v/>
      </c>
      <c r="BD87" t="str">
        <f ca="1">Table17[[#This Row],[Column6]]</f>
        <v>JUG190/24</v>
      </c>
    </row>
    <row r="88" spans="1:56">
      <c r="A88" s="55">
        <v>117</v>
      </c>
      <c r="C88">
        <f>INDEX(NOTA[//DB],Sheet1!A:A)</f>
        <v>1050</v>
      </c>
      <c r="D88" t="str">
        <f>_xlfn.IFNA(MATCH(Table17[[#This Row],[//db]],[3]!Table2[\\],0),"")</f>
        <v/>
      </c>
      <c r="E88" t="str">
        <f>INDEX([3]!db[NB NOTA],Table17[[#This Row],[//db]])</f>
        <v>GEL DEBOZZ 0.7+REFILL DB-530</v>
      </c>
      <c r="F88" t="str">
        <f>INDEX([3]!db[NB BM],Table17[[#This Row],[//db]])</f>
        <v>BP DEBOZZ DB-530</v>
      </c>
      <c r="G88" t="str">
        <f>IF(Table17[[#This Row],[dbconcat]]="","",INDEX([3]!Table2[NAMA],Table17[[#This Row],[dbconcat]]))</f>
        <v/>
      </c>
      <c r="H88" t="e">
        <f>INDEX([3]!Table2[KODE BARANG],Table17[[#This Row],[dbconcat]])</f>
        <v>#VALUE!</v>
      </c>
      <c r="I88" t="str">
        <f>IF(Table17[[#This Row],[NAMA_3]]="",UPPER(Table17[[#This Row],[NAMA_2]]),Table17[[#This Row],[NAMA_3]])</f>
        <v>BP DEBOZZ DB-530</v>
      </c>
      <c r="J88">
        <f>INDEX(NOTA[QTY],Sheet1!A:A)</f>
        <v>120</v>
      </c>
      <c r="K88" t="str">
        <f>INDEX(NOTA[STN],Sheet1!A:A)</f>
        <v>LSN</v>
      </c>
      <c r="L88" t="str">
        <f>INDEX([3]!db[QTY B],Table17[[#This Row],[//db]])</f>
        <v>120</v>
      </c>
      <c r="M88" t="str">
        <f>INDEX([3]!db[STN B],Table17[[#This Row],[//db]])</f>
        <v>LSN</v>
      </c>
      <c r="N88" t="str">
        <f>IF(Table17[[#This Row],[SATUAN NOTA]]=Table17[[#This Row],[SATUAN DB]],"", MATCH(CONCATENATE(Table17[[#This Row],[SATUAN NOTA]],Table17[[#This Row],[SATUAN DB]]),Table2[4],0))</f>
        <v/>
      </c>
      <c r="O88" t="str" cm="1">
        <f t="array" ref="O88">IF(Table17[[#This Row],[//CONV]]="","",INDEX(Table2[3],Table17[[#This Row],[//CONV]]))</f>
        <v/>
      </c>
      <c r="P88" t="str">
        <f>IF(Table17[[#This Row],[//CONV]]="",Table17[[#This Row],[ISI DB]],Table17[[#This Row],[ISI NOTA]]*Table17[[#This Row],[CONV VAR]])</f>
        <v>120</v>
      </c>
      <c r="Q88" t="str" cm="1">
        <f t="array" ref="Q88">IF(Table17[[#This Row],[//CONV]]="",Table17[[#This Row],[SATUAN DB]],INDEX(Table2[2],Table17[[#This Row],[//CONV]]))</f>
        <v>LSN</v>
      </c>
      <c r="R88" t="str" cm="1">
        <f t="array" ref="R88">IF(Table17[[#This Row],[dbconcat]]="","",INDEX([3]!Table2[ISI],Table17[[#This Row],[dbconcat]]))</f>
        <v/>
      </c>
      <c r="S88" t="str" cm="1">
        <f t="array" ref="S88">IF(Table17[[#This Row],[dbconcat]]="","",INDEX([3]!Table2[[SATUAN ]],Table17[[#This Row],[dbconcat]]))</f>
        <v/>
      </c>
      <c r="T88" t="str">
        <f>IF(Table17[[#This Row],[SATUAN S]]="","",IF(_xlfn.NUMBERVALUE(Table17[[#This Row],[ISI DB]])=_xlfn.NUMBERVALUE(Table17[[#This Row],[ISI S]]),"",1))</f>
        <v/>
      </c>
      <c r="U88" t="str">
        <f>IF(Table17[[#This Row],[SATUAN S]]="","",IF(Table17[[#This Row],[SATUAN DB]]=Table17[[#This Row],[SATUAN S]],"",1))</f>
        <v/>
      </c>
      <c r="V88" t="str">
        <f>IF(Table17[[#This Row],[CEK STN S]]="","",MATCH(CONCATENATE(Table17[[#This Row],[SATUAN CONV]],Table17[[#This Row],[SATUAN S]]),Table2[4],0))</f>
        <v/>
      </c>
      <c r="X88" t="str" cm="1">
        <f t="array" ref="X88">IF(Table17[[#This Row],[CONV2_//]]="","",INDEX(Table2[3],Table17[[#This Row],[CONV2_//]]))</f>
        <v/>
      </c>
      <c r="Y88" s="2" t="str">
        <f>IF(Table17[[#This Row],[CEK ISI S]]="",Table17[[#This Row],[ISI DB]],Table17[[#This Row],[ISI S]])</f>
        <v>120</v>
      </c>
      <c r="Z88" t="str">
        <f>IF(Table17[[#This Row],[CEK STN S]]="",Table17[[#This Row],[SATUAN DB]],Table17[[#This Row],[SATUAN S]])</f>
        <v>LSN</v>
      </c>
      <c r="AA88">
        <f>IF(Table17[[#This Row],[//CONV]]="",Table17[[#This Row],[ISI NOTA]]/Table17[[#This Row],[ISI_C]],Table17[[#This Row],[ISI DB CONV]]/Table17[[#This Row],[ISI_C]])</f>
        <v>1</v>
      </c>
      <c r="AB88">
        <f>INDEX(NOTA[HARGA SATUAN],Sheet1!A:A)</f>
        <v>19000</v>
      </c>
      <c r="AC88">
        <f>IF(Table17[[#This Row],[//CONV]]="",Table17[[#This Row],[HARGA NOTA]],Table17[[#This Row],[HARGA NOTA]]/Table17[[#This Row],[CONV VAR]])</f>
        <v>19000</v>
      </c>
      <c r="AD88">
        <f>IF(Table17[[#This Row],[CEK STN S]]="",Table17[[#This Row],[HARGA CONV]],Table17[[#This Row],[HARGA CONV]]/Table17[[#This Row],[CONV2 VAR]])</f>
        <v>19000</v>
      </c>
      <c r="AE88" s="3" t="str">
        <f>IF(INDEX(NOTA[Column6],Sheet1!A:A)=0,"",INDEX(NOTA[Column6],Sheet1!A:A))</f>
        <v/>
      </c>
      <c r="AF88" s="3" t="str">
        <f>IF(INDEX(NOTA[Column7],Sheet1!A:A)=0,"",INDEX(NOTA[Column7],Sheet1!A:A))</f>
        <v/>
      </c>
      <c r="AG8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8" s="4">
        <f>INDEX(NOTA[HARGA/ CTN_H],Sheet1!A:A)</f>
        <v>2280000</v>
      </c>
      <c r="AI88" s="4">
        <f>IF(Table17[[#This Row],[DISC 3]]="",Table17[[#This Row],[HRG / CTN]],Table17[[#This Row],[HRG / CTN]]-(Table17[[#This Row],[HRG / CTN]]*Table17[[#This Row],[DISC 3]]))</f>
        <v>2280000</v>
      </c>
      <c r="AJ88" s="5" t="e">
        <f>IF(#REF!&lt;1,Table17[[#This Row],[Column9]],Table17[[#This Row],[Column9]]*#REF!)</f>
        <v>#REF!</v>
      </c>
      <c r="AK88" s="4" t="str">
        <f ca="1">IF(NOT(AP89=Table17[[#This Row],[Column6]]),SUMIF(Table17[Column6],Table17[[#This Row],[Column6]],Table17[Column7]),"")</f>
        <v/>
      </c>
      <c r="AL88" s="6">
        <f ca="1">INDEX(NOTA[TGL_H],Sheet1!A:A)</f>
        <v>45481</v>
      </c>
      <c r="AM88" s="6">
        <f ca="1">INDEX(NOTA[TGL.NOTA_H],Sheet1!A:A)</f>
        <v>45479</v>
      </c>
      <c r="AO88" t="str">
        <f>IF(INDEX(NOTA[Column10],A:A)="","",INDEX(NOTA[Column10],A:A))</f>
        <v/>
      </c>
      <c r="AP88" t="str">
        <f ca="1">INDEX(NOTA[NO.NOTA_H],Sheet1!A:A)</f>
        <v>JUG190/24</v>
      </c>
      <c r="AQ88">
        <f>INDEX(NOTA[Column10],Sheet1!A:A)</f>
        <v>0</v>
      </c>
      <c r="AR88" s="8" t="str">
        <f ca="1">INDEX(NOTA[SUPPLIER_H],Sheet1!A:A)</f>
        <v>DUTA BUANA</v>
      </c>
      <c r="AS88" t="str">
        <f>Table17[[#This Row],[NAMA_C]]</f>
        <v>BP DEBOZZ DB-530</v>
      </c>
      <c r="AT88" t="str">
        <f ca="1">Table17[[#This Row],[SUPPLIER]]</f>
        <v>DUTA BUANA</v>
      </c>
      <c r="AU88" t="str">
        <f>SUBSTITUTE(Table17[[#This Row],[CTN]],",",".")</f>
        <v>1</v>
      </c>
      <c r="AV88" s="13" t="str">
        <f>Table17[[#This Row],[ISI_C]]</f>
        <v>120</v>
      </c>
      <c r="AW88" t="str">
        <f>Table17[[#This Row],[SATUAN_C]]</f>
        <v>LSN</v>
      </c>
      <c r="AX88">
        <f>Table17[[#This Row],[HARGA CONV2]]</f>
        <v>19000</v>
      </c>
      <c r="AY88" s="9" t="str">
        <f>SUBSTITUTE(Table17[[#This Row],[DISC 3]],",",".")</f>
        <v/>
      </c>
      <c r="AZ88" s="6">
        <f ca="1">Table17[[#This Row],[TGL DATANG]]</f>
        <v>45481</v>
      </c>
      <c r="BA88" s="6">
        <f ca="1">Table17[[#This Row],[Column10]]</f>
        <v>45479</v>
      </c>
      <c r="BB88" s="7"/>
      <c r="BC88" t="str">
        <f>Table17[[#This Row],[KETERANGAN CONDRO]]</f>
        <v/>
      </c>
      <c r="BD88" t="str">
        <f ca="1">Table17[[#This Row],[Column6]]</f>
        <v>JUG190/24</v>
      </c>
    </row>
    <row r="89" spans="1:56">
      <c r="A89" s="55">
        <v>118</v>
      </c>
      <c r="C89">
        <f>INDEX(NOTA[//DB],Sheet1!A:A)</f>
        <v>1448</v>
      </c>
      <c r="D89">
        <f>_xlfn.IFNA(MATCH(Table17[[#This Row],[//db]],[3]!Table2[\\],0),"")</f>
        <v>2717</v>
      </c>
      <c r="E89" t="str">
        <f>INDEX([3]!db[NB NOTA],Table17[[#This Row],[//db]])</f>
        <v>HIGHLIGHTER 24 PCS TF616</v>
      </c>
      <c r="F89" t="str">
        <f>INDEX([3]!db[NB BM],Table17[[#This Row],[//db]])</f>
        <v>Stabillo TF-616</v>
      </c>
      <c r="G89" t="str">
        <f>IF(Table17[[#This Row],[dbconcat]]="","",INDEX([3]!Table2[NAMA],Table17[[#This Row],[dbconcat]]))</f>
        <v>STABILLO TF-616</v>
      </c>
      <c r="H89" t="str">
        <f>INDEX([3]!Table2[KODE BARANG],Table17[[#This Row],[dbconcat]])</f>
        <v>STB-TF15</v>
      </c>
      <c r="I89" t="str">
        <f>IF(Table17[[#This Row],[NAMA_3]]="",UPPER(Table17[[#This Row],[NAMA_2]]),Table17[[#This Row],[NAMA_3]])</f>
        <v>STABILLO TF-616</v>
      </c>
      <c r="J89">
        <f>INDEX(NOTA[QTY],Sheet1!A:A)</f>
        <v>32</v>
      </c>
      <c r="K89" t="str">
        <f>INDEX(NOTA[STN],Sheet1!A:A)</f>
        <v>PAK</v>
      </c>
      <c r="L89" t="str">
        <f>INDEX([3]!db[QTY B],Table17[[#This Row],[//db]])</f>
        <v>32</v>
      </c>
      <c r="M89" t="str">
        <f>INDEX([3]!db[STN B],Table17[[#This Row],[//db]])</f>
        <v>PAK</v>
      </c>
      <c r="N89" t="str">
        <f>IF(Table17[[#This Row],[SATUAN NOTA]]=Table17[[#This Row],[SATUAN DB]],"", MATCH(CONCATENATE(Table17[[#This Row],[SATUAN NOTA]],Table17[[#This Row],[SATUAN DB]]),Table2[4],0))</f>
        <v/>
      </c>
      <c r="O89" t="str" cm="1">
        <f t="array" ref="O89">IF(Table17[[#This Row],[//CONV]]="","",INDEX(Table2[3],Table17[[#This Row],[//CONV]]))</f>
        <v/>
      </c>
      <c r="P89" t="str">
        <f>IF(Table17[[#This Row],[//CONV]]="",Table17[[#This Row],[ISI DB]],Table17[[#This Row],[ISI NOTA]]*Table17[[#This Row],[CONV VAR]])</f>
        <v>32</v>
      </c>
      <c r="Q89" t="str" cm="1">
        <f t="array" ref="Q89">IF(Table17[[#This Row],[//CONV]]="",Table17[[#This Row],[SATUAN DB]],INDEX(Table2[2],Table17[[#This Row],[//CONV]]))</f>
        <v>PAK</v>
      </c>
      <c r="R89" cm="1">
        <f t="array" ref="R89">IF(Table17[[#This Row],[dbconcat]]="","",INDEX([3]!Table2[ISI],Table17[[#This Row],[dbconcat]]))</f>
        <v>32</v>
      </c>
      <c r="S89" t="str" cm="1">
        <f t="array" ref="S89">IF(Table17[[#This Row],[dbconcat]]="","",INDEX([3]!Table2[[SATUAN ]],Table17[[#This Row],[dbconcat]]))</f>
        <v>PAK</v>
      </c>
      <c r="T89" t="str">
        <f>IF(Table17[[#This Row],[SATUAN S]]="","",IF(_xlfn.NUMBERVALUE(Table17[[#This Row],[ISI DB]])=_xlfn.NUMBERVALUE(Table17[[#This Row],[ISI S]]),"",1))</f>
        <v/>
      </c>
      <c r="U89" t="str">
        <f>IF(Table17[[#This Row],[SATUAN S]]="","",IF(Table17[[#This Row],[SATUAN DB]]=Table17[[#This Row],[SATUAN S]],"",1))</f>
        <v/>
      </c>
      <c r="V89" t="str">
        <f>IF(Table17[[#This Row],[CEK STN S]]="","",MATCH(CONCATENATE(Table17[[#This Row],[SATUAN CONV]],Table17[[#This Row],[SATUAN S]]),Table2[4],0))</f>
        <v/>
      </c>
      <c r="X89" t="str" cm="1">
        <f t="array" ref="X89">IF(Table17[[#This Row],[CONV2_//]]="","",INDEX(Table2[3],Table17[[#This Row],[CONV2_//]]))</f>
        <v/>
      </c>
      <c r="Y89" s="2" t="str">
        <f>IF(Table17[[#This Row],[CEK ISI S]]="",Table17[[#This Row],[ISI DB]],Table17[[#This Row],[ISI S]])</f>
        <v>32</v>
      </c>
      <c r="Z89" t="str">
        <f>IF(Table17[[#This Row],[CEK STN S]]="",Table17[[#This Row],[SATUAN DB]],Table17[[#This Row],[SATUAN S]])</f>
        <v>PAK</v>
      </c>
      <c r="AA89">
        <f>IF(Table17[[#This Row],[//CONV]]="",Table17[[#This Row],[ISI NOTA]]/Table17[[#This Row],[ISI_C]],Table17[[#This Row],[ISI DB CONV]]/Table17[[#This Row],[ISI_C]])</f>
        <v>1</v>
      </c>
      <c r="AB89">
        <f>INDEX(NOTA[HARGA SATUAN],Sheet1!A:A)</f>
        <v>49500</v>
      </c>
      <c r="AC89">
        <f>IF(Table17[[#This Row],[//CONV]]="",Table17[[#This Row],[HARGA NOTA]],Table17[[#This Row],[HARGA NOTA]]/Table17[[#This Row],[CONV VAR]])</f>
        <v>49500</v>
      </c>
      <c r="AD89">
        <f>IF(Table17[[#This Row],[CEK STN S]]="",Table17[[#This Row],[HARGA CONV]],Table17[[#This Row],[HARGA CONV]]/Table17[[#This Row],[CONV2 VAR]])</f>
        <v>49500</v>
      </c>
      <c r="AE89" s="3" t="str">
        <f>IF(INDEX(NOTA[Column6],Sheet1!A:A)=0,"",INDEX(NOTA[Column6],Sheet1!A:A))</f>
        <v/>
      </c>
      <c r="AF89" s="3" t="str">
        <f>IF(INDEX(NOTA[Column7],Sheet1!A:A)=0,"",INDEX(NOTA[Column7],Sheet1!A:A))</f>
        <v/>
      </c>
      <c r="AG8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89" s="4">
        <f>INDEX(NOTA[HARGA/ CTN_H],Sheet1!A:A)</f>
        <v>1584000</v>
      </c>
      <c r="AI89" s="4">
        <f>IF(Table17[[#This Row],[DISC 3]]="",Table17[[#This Row],[HRG / CTN]],Table17[[#This Row],[HRG / CTN]]-(Table17[[#This Row],[HRG / CTN]]*Table17[[#This Row],[DISC 3]]))</f>
        <v>1584000</v>
      </c>
      <c r="AJ89" s="5" t="e">
        <f>IF(#REF!&lt;1,Table17[[#This Row],[Column9]],Table17[[#This Row],[Column9]]*#REF!)</f>
        <v>#REF!</v>
      </c>
      <c r="AK89" s="4" t="str">
        <f ca="1">IF(NOT(AP90=Table17[[#This Row],[Column6]]),SUMIF(Table17[Column6],Table17[[#This Row],[Column6]],Table17[Column7]),"")</f>
        <v/>
      </c>
      <c r="AL89" s="6">
        <f ca="1">INDEX(NOTA[TGL_H],Sheet1!A:A)</f>
        <v>45481</v>
      </c>
      <c r="AM89" s="6">
        <f ca="1">INDEX(NOTA[TGL.NOTA_H],Sheet1!A:A)</f>
        <v>45479</v>
      </c>
      <c r="AO89" t="str">
        <f>IF(INDEX(NOTA[Column10],A:A)="","",INDEX(NOTA[Column10],A:A))</f>
        <v/>
      </c>
      <c r="AP89" t="str">
        <f ca="1">INDEX(NOTA[NO.NOTA_H],Sheet1!A:A)</f>
        <v>JUG190/24</v>
      </c>
      <c r="AQ89">
        <f>INDEX(NOTA[Column10],Sheet1!A:A)</f>
        <v>0</v>
      </c>
      <c r="AR89" s="8" t="str">
        <f ca="1">INDEX(NOTA[SUPPLIER_H],Sheet1!A:A)</f>
        <v>DUTA BUANA</v>
      </c>
      <c r="AS89" t="str">
        <f>Table17[[#This Row],[NAMA_C]]</f>
        <v>STABILLO TF-616</v>
      </c>
      <c r="AT89" t="str">
        <f ca="1">Table17[[#This Row],[SUPPLIER]]</f>
        <v>DUTA BUANA</v>
      </c>
      <c r="AU89" t="str">
        <f>SUBSTITUTE(Table17[[#This Row],[CTN]],",",".")</f>
        <v>1</v>
      </c>
      <c r="AV89" s="13" t="str">
        <f>Table17[[#This Row],[ISI_C]]</f>
        <v>32</v>
      </c>
      <c r="AW89" t="str">
        <f>Table17[[#This Row],[SATUAN_C]]</f>
        <v>PAK</v>
      </c>
      <c r="AX89">
        <f>Table17[[#This Row],[HARGA CONV2]]</f>
        <v>49500</v>
      </c>
      <c r="AY89" s="9" t="str">
        <f>SUBSTITUTE(Table17[[#This Row],[DISC 3]],",",".")</f>
        <v/>
      </c>
      <c r="AZ89" s="6">
        <f ca="1">Table17[[#This Row],[TGL DATANG]]</f>
        <v>45481</v>
      </c>
      <c r="BA89" s="6">
        <f ca="1">Table17[[#This Row],[Column10]]</f>
        <v>45479</v>
      </c>
      <c r="BB89" s="7"/>
      <c r="BC89" t="str">
        <f>Table17[[#This Row],[KETERANGAN CONDRO]]</f>
        <v/>
      </c>
      <c r="BD89" t="str">
        <f ca="1">Table17[[#This Row],[Column6]]</f>
        <v>JUG190/24</v>
      </c>
    </row>
    <row r="90" spans="1:56">
      <c r="A90" s="55">
        <v>119</v>
      </c>
      <c r="C90">
        <f>INDEX(NOTA[//DB],Sheet1!A:A)</f>
        <v>1150</v>
      </c>
      <c r="D90" t="str">
        <f>_xlfn.IFNA(MATCH(Table17[[#This Row],[//db]],[3]!Table2[\\],0),"")</f>
        <v/>
      </c>
      <c r="E90" t="str">
        <f>INDEX([3]!db[NB NOTA],Table17[[#This Row],[//db]])</f>
        <v>GEL TIZO KLIK TG3300</v>
      </c>
      <c r="F90" t="str">
        <f>INDEX([3]!db[NB BM],Table17[[#This Row],[//db]])</f>
        <v>BP GEL TIZO TG 3300 KLIK</v>
      </c>
      <c r="G90" t="str">
        <f>IF(Table17[[#This Row],[dbconcat]]="","",INDEX([3]!Table2[NAMA],Table17[[#This Row],[dbconcat]]))</f>
        <v/>
      </c>
      <c r="H90" t="e">
        <f>INDEX([3]!Table2[KODE BARANG],Table17[[#This Row],[dbconcat]])</f>
        <v>#VALUE!</v>
      </c>
      <c r="I90" t="str">
        <f>IF(Table17[[#This Row],[NAMA_3]]="",UPPER(Table17[[#This Row],[NAMA_2]]),Table17[[#This Row],[NAMA_3]])</f>
        <v>BP GEL TIZO TG 3300 KLIK</v>
      </c>
      <c r="J90">
        <f>INDEX(NOTA[QTY],Sheet1!A:A)</f>
        <v>144</v>
      </c>
      <c r="K90" t="str">
        <f>INDEX(NOTA[STN],Sheet1!A:A)</f>
        <v>LSN</v>
      </c>
      <c r="L90" t="str">
        <f>INDEX([3]!db[QTY B],Table17[[#This Row],[//db]])</f>
        <v>144</v>
      </c>
      <c r="M90" t="str">
        <f>INDEX([3]!db[STN B],Table17[[#This Row],[//db]])</f>
        <v>LSN</v>
      </c>
      <c r="N90" t="str">
        <f>IF(Table17[[#This Row],[SATUAN NOTA]]=Table17[[#This Row],[SATUAN DB]],"", MATCH(CONCATENATE(Table17[[#This Row],[SATUAN NOTA]],Table17[[#This Row],[SATUAN DB]]),Table2[4],0))</f>
        <v/>
      </c>
      <c r="O90" t="str" cm="1">
        <f t="array" ref="O90">IF(Table17[[#This Row],[//CONV]]="","",INDEX(Table2[3],Table17[[#This Row],[//CONV]]))</f>
        <v/>
      </c>
      <c r="P90" t="str">
        <f>IF(Table17[[#This Row],[//CONV]]="",Table17[[#This Row],[ISI DB]],Table17[[#This Row],[ISI NOTA]]*Table17[[#This Row],[CONV VAR]])</f>
        <v>144</v>
      </c>
      <c r="Q90" t="str" cm="1">
        <f t="array" ref="Q90">IF(Table17[[#This Row],[//CONV]]="",Table17[[#This Row],[SATUAN DB]],INDEX(Table2[2],Table17[[#This Row],[//CONV]]))</f>
        <v>LSN</v>
      </c>
      <c r="R90" t="str" cm="1">
        <f t="array" ref="R90">IF(Table17[[#This Row],[dbconcat]]="","",INDEX([3]!Table2[ISI],Table17[[#This Row],[dbconcat]]))</f>
        <v/>
      </c>
      <c r="S90" t="str" cm="1">
        <f t="array" ref="S90">IF(Table17[[#This Row],[dbconcat]]="","",INDEX([3]!Table2[[SATUAN ]],Table17[[#This Row],[dbconcat]]))</f>
        <v/>
      </c>
      <c r="T90" t="str">
        <f>IF(Table17[[#This Row],[SATUAN S]]="","",IF(_xlfn.NUMBERVALUE(Table17[[#This Row],[ISI DB]])=_xlfn.NUMBERVALUE(Table17[[#This Row],[ISI S]]),"",1))</f>
        <v/>
      </c>
      <c r="U90" t="str">
        <f>IF(Table17[[#This Row],[SATUAN S]]="","",IF(Table17[[#This Row],[SATUAN DB]]=Table17[[#This Row],[SATUAN S]],"",1))</f>
        <v/>
      </c>
      <c r="V90" t="str">
        <f>IF(Table17[[#This Row],[CEK STN S]]="","",MATCH(CONCATENATE(Table17[[#This Row],[SATUAN CONV]],Table17[[#This Row],[SATUAN S]]),Table2[4],0))</f>
        <v/>
      </c>
      <c r="X90" t="str" cm="1">
        <f t="array" ref="X90">IF(Table17[[#This Row],[CONV2_//]]="","",INDEX(Table2[3],Table17[[#This Row],[CONV2_//]]))</f>
        <v/>
      </c>
      <c r="Y90" s="2" t="str">
        <f>IF(Table17[[#This Row],[CEK ISI S]]="",Table17[[#This Row],[ISI DB]],Table17[[#This Row],[ISI S]])</f>
        <v>144</v>
      </c>
      <c r="Z90" t="str">
        <f>IF(Table17[[#This Row],[CEK STN S]]="",Table17[[#This Row],[SATUAN DB]],Table17[[#This Row],[SATUAN S]])</f>
        <v>LSN</v>
      </c>
      <c r="AA90">
        <f>IF(Table17[[#This Row],[//CONV]]="",Table17[[#This Row],[ISI NOTA]]/Table17[[#This Row],[ISI_C]],Table17[[#This Row],[ISI DB CONV]]/Table17[[#This Row],[ISI_C]])</f>
        <v>1</v>
      </c>
      <c r="AB90">
        <f>INDEX(NOTA[HARGA SATUAN],Sheet1!A:A)</f>
        <v>24000</v>
      </c>
      <c r="AC90">
        <f>IF(Table17[[#This Row],[//CONV]]="",Table17[[#This Row],[HARGA NOTA]],Table17[[#This Row],[HARGA NOTA]]/Table17[[#This Row],[CONV VAR]])</f>
        <v>24000</v>
      </c>
      <c r="AD90">
        <f>IF(Table17[[#This Row],[CEK STN S]]="",Table17[[#This Row],[HARGA CONV]],Table17[[#This Row],[HARGA CONV]]/Table17[[#This Row],[CONV2 VAR]])</f>
        <v>24000</v>
      </c>
      <c r="AE90" s="3" t="str">
        <f>IF(INDEX(NOTA[Column6],Sheet1!A:A)=0,"",INDEX(NOTA[Column6],Sheet1!A:A))</f>
        <v/>
      </c>
      <c r="AF90" s="3" t="str">
        <f>IF(INDEX(NOTA[Column7],Sheet1!A:A)=0,"",INDEX(NOTA[Column7],Sheet1!A:A))</f>
        <v/>
      </c>
      <c r="AG9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0" s="4">
        <f>INDEX(NOTA[HARGA/ CTN_H],Sheet1!A:A)</f>
        <v>3456000</v>
      </c>
      <c r="AI90" s="4">
        <f>IF(Table17[[#This Row],[DISC 3]]="",Table17[[#This Row],[HRG / CTN]],Table17[[#This Row],[HRG / CTN]]-(Table17[[#This Row],[HRG / CTN]]*Table17[[#This Row],[DISC 3]]))</f>
        <v>3456000</v>
      </c>
      <c r="AJ90" s="5" t="e">
        <f>IF(#REF!&lt;1,Table17[[#This Row],[Column9]],Table17[[#This Row],[Column9]]*#REF!)</f>
        <v>#REF!</v>
      </c>
      <c r="AK90" s="4" t="str">
        <f ca="1">IF(NOT(AP91=Table17[[#This Row],[Column6]]),SUMIF(Table17[Column6],Table17[[#This Row],[Column6]],Table17[Column7]),"")</f>
        <v/>
      </c>
      <c r="AL90" s="6">
        <f ca="1">INDEX(NOTA[TGL_H],Sheet1!A:A)</f>
        <v>45481</v>
      </c>
      <c r="AM90" s="6">
        <f ca="1">INDEX(NOTA[TGL.NOTA_H],Sheet1!A:A)</f>
        <v>45479</v>
      </c>
      <c r="AO90" t="str">
        <f>IF(INDEX(NOTA[Column10],A:A)="","",INDEX(NOTA[Column10],A:A))</f>
        <v/>
      </c>
      <c r="AP90" t="str">
        <f ca="1">INDEX(NOTA[NO.NOTA_H],Sheet1!A:A)</f>
        <v>JUG190/24</v>
      </c>
      <c r="AQ90">
        <f>INDEX(NOTA[Column10],Sheet1!A:A)</f>
        <v>0</v>
      </c>
      <c r="AR90" s="8" t="str">
        <f ca="1">INDEX(NOTA[SUPPLIER_H],Sheet1!A:A)</f>
        <v>DUTA BUANA</v>
      </c>
      <c r="AS90" t="str">
        <f>Table17[[#This Row],[NAMA_C]]</f>
        <v>BP GEL TIZO TG 3300 KLIK</v>
      </c>
      <c r="AT90" t="str">
        <f ca="1">Table17[[#This Row],[SUPPLIER]]</f>
        <v>DUTA BUANA</v>
      </c>
      <c r="AU90" t="str">
        <f>SUBSTITUTE(Table17[[#This Row],[CTN]],",",".")</f>
        <v>1</v>
      </c>
      <c r="AV90" s="13" t="str">
        <f>Table17[[#This Row],[ISI_C]]</f>
        <v>144</v>
      </c>
      <c r="AW90" t="str">
        <f>Table17[[#This Row],[SATUAN_C]]</f>
        <v>LSN</v>
      </c>
      <c r="AX90">
        <f>Table17[[#This Row],[HARGA CONV2]]</f>
        <v>24000</v>
      </c>
      <c r="AY90" s="9" t="str">
        <f>SUBSTITUTE(Table17[[#This Row],[DISC 3]],",",".")</f>
        <v/>
      </c>
      <c r="AZ90" s="6">
        <f ca="1">Table17[[#This Row],[TGL DATANG]]</f>
        <v>45481</v>
      </c>
      <c r="BA90" s="6">
        <f ca="1">Table17[[#This Row],[Column10]]</f>
        <v>45479</v>
      </c>
      <c r="BB90" s="7"/>
      <c r="BC90" t="str">
        <f>Table17[[#This Row],[KETERANGAN CONDRO]]</f>
        <v/>
      </c>
      <c r="BD90" t="str">
        <f ca="1">Table17[[#This Row],[Column6]]</f>
        <v>JUG190/24</v>
      </c>
    </row>
    <row r="91" spans="1:56">
      <c r="A91" s="55">
        <v>120</v>
      </c>
      <c r="C91">
        <f>INDEX(NOTA[//DB],Sheet1!A:A)</f>
        <v>1057</v>
      </c>
      <c r="D91">
        <f>_xlfn.IFNA(MATCH(Table17[[#This Row],[//db]],[3]!Table2[\\],0),"")</f>
        <v>505</v>
      </c>
      <c r="E91" t="str">
        <f>INDEX([3]!db[NB NOTA],Table17[[#This Row],[//db]])</f>
        <v>GEL INK TIANJIAO TZ-501</v>
      </c>
      <c r="F91" t="str">
        <f>INDEX([3]!db[NB BM],Table17[[#This Row],[//db]])</f>
        <v>BP TIANJIAO TZ-501 HITAM</v>
      </c>
      <c r="G91" t="str">
        <f>IF(Table17[[#This Row],[dbconcat]]="","",INDEX([3]!Table2[NAMA],Table17[[#This Row],[dbconcat]]))</f>
        <v>BP TIANJIAO TZ-501 HITAM</v>
      </c>
      <c r="H91" t="str">
        <f>INDEX([3]!Table2[KODE BARANG],Table17[[#This Row],[dbconcat]])</f>
        <v>BOL-TJ121</v>
      </c>
      <c r="I91" t="str">
        <f>IF(Table17[[#This Row],[NAMA_3]]="",UPPER(Table17[[#This Row],[NAMA_2]]),Table17[[#This Row],[NAMA_3]])</f>
        <v>BP TIANJIAO TZ-501 HITAM</v>
      </c>
      <c r="J91">
        <f>INDEX(NOTA[QTY],Sheet1!A:A)</f>
        <v>144</v>
      </c>
      <c r="K91" t="str">
        <f>INDEX(NOTA[STN],Sheet1!A:A)</f>
        <v>LSN</v>
      </c>
      <c r="L91" t="str">
        <f>INDEX([3]!db[QTY B],Table17[[#This Row],[//db]])</f>
        <v>144</v>
      </c>
      <c r="M91" t="str">
        <f>INDEX([3]!db[STN B],Table17[[#This Row],[//db]])</f>
        <v>LSN</v>
      </c>
      <c r="N91" t="str">
        <f>IF(Table17[[#This Row],[SATUAN NOTA]]=Table17[[#This Row],[SATUAN DB]],"", MATCH(CONCATENATE(Table17[[#This Row],[SATUAN NOTA]],Table17[[#This Row],[SATUAN DB]]),Table2[4],0))</f>
        <v/>
      </c>
      <c r="O91" t="str" cm="1">
        <f t="array" ref="O91">IF(Table17[[#This Row],[//CONV]]="","",INDEX(Table2[3],Table17[[#This Row],[//CONV]]))</f>
        <v/>
      </c>
      <c r="P91" t="str">
        <f>IF(Table17[[#This Row],[//CONV]]="",Table17[[#This Row],[ISI DB]],Table17[[#This Row],[ISI NOTA]]*Table17[[#This Row],[CONV VAR]])</f>
        <v>144</v>
      </c>
      <c r="Q91" t="str" cm="1">
        <f t="array" ref="Q91">IF(Table17[[#This Row],[//CONV]]="",Table17[[#This Row],[SATUAN DB]],INDEX(Table2[2],Table17[[#This Row],[//CONV]]))</f>
        <v>LSN</v>
      </c>
      <c r="R91" cm="1">
        <f t="array" ref="R91">IF(Table17[[#This Row],[dbconcat]]="","",INDEX([3]!Table2[ISI],Table17[[#This Row],[dbconcat]]))</f>
        <v>144</v>
      </c>
      <c r="S91" t="str" cm="1">
        <f t="array" ref="S91">IF(Table17[[#This Row],[dbconcat]]="","",INDEX([3]!Table2[[SATUAN ]],Table17[[#This Row],[dbconcat]]))</f>
        <v>LSN</v>
      </c>
      <c r="T91" t="str">
        <f>IF(Table17[[#This Row],[SATUAN S]]="","",IF(_xlfn.NUMBERVALUE(Table17[[#This Row],[ISI DB]])=_xlfn.NUMBERVALUE(Table17[[#This Row],[ISI S]]),"",1))</f>
        <v/>
      </c>
      <c r="U91" t="str">
        <f>IF(Table17[[#This Row],[SATUAN S]]="","",IF(Table17[[#This Row],[SATUAN DB]]=Table17[[#This Row],[SATUAN S]],"",1))</f>
        <v/>
      </c>
      <c r="V91" t="str">
        <f>IF(Table17[[#This Row],[CEK STN S]]="","",MATCH(CONCATENATE(Table17[[#This Row],[SATUAN CONV]],Table17[[#This Row],[SATUAN S]]),Table2[4],0))</f>
        <v/>
      </c>
      <c r="X91" t="str" cm="1">
        <f t="array" ref="X91">IF(Table17[[#This Row],[CONV2_//]]="","",INDEX(Table2[3],Table17[[#This Row],[CONV2_//]]))</f>
        <v/>
      </c>
      <c r="Y91" s="2" t="str">
        <f>IF(Table17[[#This Row],[CEK ISI S]]="",Table17[[#This Row],[ISI DB]],Table17[[#This Row],[ISI S]])</f>
        <v>144</v>
      </c>
      <c r="Z91" t="str">
        <f>IF(Table17[[#This Row],[CEK STN S]]="",Table17[[#This Row],[SATUAN DB]],Table17[[#This Row],[SATUAN S]])</f>
        <v>LSN</v>
      </c>
      <c r="AA91">
        <f>IF(Table17[[#This Row],[//CONV]]="",Table17[[#This Row],[ISI NOTA]]/Table17[[#This Row],[ISI_C]],Table17[[#This Row],[ISI DB CONV]]/Table17[[#This Row],[ISI_C]])</f>
        <v>1</v>
      </c>
      <c r="AB91">
        <f>INDEX(NOTA[HARGA SATUAN],Sheet1!A:A)</f>
        <v>22500</v>
      </c>
      <c r="AC91">
        <f>IF(Table17[[#This Row],[//CONV]]="",Table17[[#This Row],[HARGA NOTA]],Table17[[#This Row],[HARGA NOTA]]/Table17[[#This Row],[CONV VAR]])</f>
        <v>22500</v>
      </c>
      <c r="AD91">
        <f>IF(Table17[[#This Row],[CEK STN S]]="",Table17[[#This Row],[HARGA CONV]],Table17[[#This Row],[HARGA CONV]]/Table17[[#This Row],[CONV2 VAR]])</f>
        <v>22500</v>
      </c>
      <c r="AE91" s="3" t="str">
        <f>IF(INDEX(NOTA[Column6],Sheet1!A:A)=0,"",INDEX(NOTA[Column6],Sheet1!A:A))</f>
        <v/>
      </c>
      <c r="AF91" s="3" t="str">
        <f>IF(INDEX(NOTA[Column7],Sheet1!A:A)=0,"",INDEX(NOTA[Column7],Sheet1!A:A))</f>
        <v/>
      </c>
      <c r="AG9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1" s="4">
        <f>INDEX(NOTA[HARGA/ CTN_H],Sheet1!A:A)</f>
        <v>3240000</v>
      </c>
      <c r="AI91" s="4">
        <f>IF(Table17[[#This Row],[DISC 3]]="",Table17[[#This Row],[HRG / CTN]],Table17[[#This Row],[HRG / CTN]]-(Table17[[#This Row],[HRG / CTN]]*Table17[[#This Row],[DISC 3]]))</f>
        <v>3240000</v>
      </c>
      <c r="AJ91" s="5" t="e">
        <f>IF(#REF!&lt;1,Table17[[#This Row],[Column9]],Table17[[#This Row],[Column9]]*#REF!)</f>
        <v>#REF!</v>
      </c>
      <c r="AK91" s="4" t="str">
        <f ca="1">IF(NOT(AP92=Table17[[#This Row],[Column6]]),SUMIF(Table17[Column6],Table17[[#This Row],[Column6]],Table17[Column7]),"")</f>
        <v/>
      </c>
      <c r="AL91" s="6">
        <f ca="1">INDEX(NOTA[TGL_H],Sheet1!A:A)</f>
        <v>45481</v>
      </c>
      <c r="AM91" s="6">
        <f ca="1">INDEX(NOTA[TGL.NOTA_H],Sheet1!A:A)</f>
        <v>45479</v>
      </c>
      <c r="AO91" t="str">
        <f>IF(INDEX(NOTA[Column10],A:A)="","",INDEX(NOTA[Column10],A:A))</f>
        <v/>
      </c>
      <c r="AP91" t="str">
        <f ca="1">INDEX(NOTA[NO.NOTA_H],Sheet1!A:A)</f>
        <v>JUG190/24</v>
      </c>
      <c r="AQ91">
        <f>INDEX(NOTA[Column10],Sheet1!A:A)</f>
        <v>0</v>
      </c>
      <c r="AR91" s="8" t="str">
        <f ca="1">INDEX(NOTA[SUPPLIER_H],Sheet1!A:A)</f>
        <v>DUTA BUANA</v>
      </c>
      <c r="AS91" t="str">
        <f>Table17[[#This Row],[NAMA_C]]</f>
        <v>BP TIANJIAO TZ-501 HITAM</v>
      </c>
      <c r="AT91" t="str">
        <f ca="1">Table17[[#This Row],[SUPPLIER]]</f>
        <v>DUTA BUANA</v>
      </c>
      <c r="AU91" t="str">
        <f>SUBSTITUTE(Table17[[#This Row],[CTN]],",",".")</f>
        <v>1</v>
      </c>
      <c r="AV91" s="13" t="str">
        <f>Table17[[#This Row],[ISI_C]]</f>
        <v>144</v>
      </c>
      <c r="AW91" t="str">
        <f>Table17[[#This Row],[SATUAN_C]]</f>
        <v>LSN</v>
      </c>
      <c r="AX91">
        <f>Table17[[#This Row],[HARGA CONV2]]</f>
        <v>22500</v>
      </c>
      <c r="AY91" s="9" t="str">
        <f>SUBSTITUTE(Table17[[#This Row],[DISC 3]],",",".")</f>
        <v/>
      </c>
      <c r="AZ91" s="6">
        <f ca="1">Table17[[#This Row],[TGL DATANG]]</f>
        <v>45481</v>
      </c>
      <c r="BA91" s="6">
        <f ca="1">Table17[[#This Row],[Column10]]</f>
        <v>45479</v>
      </c>
      <c r="BB91" s="7"/>
      <c r="BC91" t="str">
        <f>Table17[[#This Row],[KETERANGAN CONDRO]]</f>
        <v/>
      </c>
      <c r="BD91" t="str">
        <f ca="1">Table17[[#This Row],[Column6]]</f>
        <v>JUG190/24</v>
      </c>
    </row>
    <row r="92" spans="1:56">
      <c r="A92" s="55">
        <v>121</v>
      </c>
      <c r="C92">
        <f>INDEX(NOTA[//DB],Sheet1!A:A)</f>
        <v>1037</v>
      </c>
      <c r="D92" t="str">
        <f>_xlfn.IFNA(MATCH(Table17[[#This Row],[//db]],[3]!Table2[\\],0),"")</f>
        <v/>
      </c>
      <c r="E92" t="str">
        <f>INDEX([3]!db[NB NOTA],Table17[[#This Row],[//db]])</f>
        <v>GEL 1.0 TG340BI BIRU</v>
      </c>
      <c r="F92" t="str">
        <f>INDEX([3]!db[NB BM],Table17[[#This Row],[//db]])</f>
        <v>BP TIZO TG340 BIRU</v>
      </c>
      <c r="G92" t="str">
        <f>IF(Table17[[#This Row],[dbconcat]]="","",INDEX([3]!Table2[NAMA],Table17[[#This Row],[dbconcat]]))</f>
        <v/>
      </c>
      <c r="H92" t="e">
        <f>INDEX([3]!Table2[KODE BARANG],Table17[[#This Row],[dbconcat]])</f>
        <v>#VALUE!</v>
      </c>
      <c r="I92" t="str">
        <f>IF(Table17[[#This Row],[NAMA_3]]="",UPPER(Table17[[#This Row],[NAMA_2]]),Table17[[#This Row],[NAMA_3]])</f>
        <v>BP TIZO TG340 BIRU</v>
      </c>
      <c r="J92">
        <f>INDEX(NOTA[QTY],Sheet1!A:A)</f>
        <v>960</v>
      </c>
      <c r="K92" t="str">
        <f>INDEX(NOTA[STN],Sheet1!A:A)</f>
        <v>LSN</v>
      </c>
      <c r="L92" t="str">
        <f>INDEX([3]!db[QTY B],Table17[[#This Row],[//db]])</f>
        <v>96</v>
      </c>
      <c r="M92" t="str">
        <f>INDEX([3]!db[STN B],Table17[[#This Row],[//db]])</f>
        <v>LSN</v>
      </c>
      <c r="N92" t="str">
        <f>IF(Table17[[#This Row],[SATUAN NOTA]]=Table17[[#This Row],[SATUAN DB]],"", MATCH(CONCATENATE(Table17[[#This Row],[SATUAN NOTA]],Table17[[#This Row],[SATUAN DB]]),Table2[4],0))</f>
        <v/>
      </c>
      <c r="O92" t="str" cm="1">
        <f t="array" ref="O92">IF(Table17[[#This Row],[//CONV]]="","",INDEX(Table2[3],Table17[[#This Row],[//CONV]]))</f>
        <v/>
      </c>
      <c r="P92" t="str">
        <f>IF(Table17[[#This Row],[//CONV]]="",Table17[[#This Row],[ISI DB]],Table17[[#This Row],[ISI NOTA]]*Table17[[#This Row],[CONV VAR]])</f>
        <v>96</v>
      </c>
      <c r="Q92" t="str" cm="1">
        <f t="array" ref="Q92">IF(Table17[[#This Row],[//CONV]]="",Table17[[#This Row],[SATUAN DB]],INDEX(Table2[2],Table17[[#This Row],[//CONV]]))</f>
        <v>LSN</v>
      </c>
      <c r="R92" t="str" cm="1">
        <f t="array" ref="R92">IF(Table17[[#This Row],[dbconcat]]="","",INDEX([3]!Table2[ISI],Table17[[#This Row],[dbconcat]]))</f>
        <v/>
      </c>
      <c r="S92" t="str" cm="1">
        <f t="array" ref="S92">IF(Table17[[#This Row],[dbconcat]]="","",INDEX([3]!Table2[[SATUAN ]],Table17[[#This Row],[dbconcat]]))</f>
        <v/>
      </c>
      <c r="T92" t="str">
        <f>IF(Table17[[#This Row],[SATUAN S]]="","",IF(_xlfn.NUMBERVALUE(Table17[[#This Row],[ISI DB]])=_xlfn.NUMBERVALUE(Table17[[#This Row],[ISI S]]),"",1))</f>
        <v/>
      </c>
      <c r="U92" t="str">
        <f>IF(Table17[[#This Row],[SATUAN S]]="","",IF(Table17[[#This Row],[SATUAN DB]]=Table17[[#This Row],[SATUAN S]],"",1))</f>
        <v/>
      </c>
      <c r="V92" t="str">
        <f>IF(Table17[[#This Row],[CEK STN S]]="","",MATCH(CONCATENATE(Table17[[#This Row],[SATUAN CONV]],Table17[[#This Row],[SATUAN S]]),Table2[4],0))</f>
        <v/>
      </c>
      <c r="X92" t="str" cm="1">
        <f t="array" ref="X92">IF(Table17[[#This Row],[CONV2_//]]="","",INDEX(Table2[3],Table17[[#This Row],[CONV2_//]]))</f>
        <v/>
      </c>
      <c r="Y92" s="2" t="str">
        <f>IF(Table17[[#This Row],[CEK ISI S]]="",Table17[[#This Row],[ISI DB]],Table17[[#This Row],[ISI S]])</f>
        <v>96</v>
      </c>
      <c r="Z92" t="str">
        <f>IF(Table17[[#This Row],[CEK STN S]]="",Table17[[#This Row],[SATUAN DB]],Table17[[#This Row],[SATUAN S]])</f>
        <v>LSN</v>
      </c>
      <c r="AA92">
        <f>IF(Table17[[#This Row],[//CONV]]="",Table17[[#This Row],[ISI NOTA]]/Table17[[#This Row],[ISI_C]],Table17[[#This Row],[ISI DB CONV]]/Table17[[#This Row],[ISI_C]])</f>
        <v>10</v>
      </c>
      <c r="AB92">
        <f>INDEX(NOTA[HARGA SATUAN],Sheet1!A:A)</f>
        <v>31500</v>
      </c>
      <c r="AC92">
        <f>IF(Table17[[#This Row],[//CONV]]="",Table17[[#This Row],[HARGA NOTA]],Table17[[#This Row],[HARGA NOTA]]/Table17[[#This Row],[CONV VAR]])</f>
        <v>31500</v>
      </c>
      <c r="AD92">
        <f>IF(Table17[[#This Row],[CEK STN S]]="",Table17[[#This Row],[HARGA CONV]],Table17[[#This Row],[HARGA CONV]]/Table17[[#This Row],[CONV2 VAR]])</f>
        <v>31500</v>
      </c>
      <c r="AE92" s="3" t="str">
        <f>IF(INDEX(NOTA[Column6],Sheet1!A:A)=0,"",INDEX(NOTA[Column6],Sheet1!A:A))</f>
        <v/>
      </c>
      <c r="AF92" s="3" t="str">
        <f>IF(INDEX(NOTA[Column7],Sheet1!A:A)=0,"",INDEX(NOTA[Column7],Sheet1!A:A))</f>
        <v/>
      </c>
      <c r="AG9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2" s="4">
        <f>INDEX(NOTA[HARGA/ CTN_H],Sheet1!A:A)</f>
        <v>3024000</v>
      </c>
      <c r="AI92" s="4">
        <f>IF(Table17[[#This Row],[DISC 3]]="",Table17[[#This Row],[HRG / CTN]],Table17[[#This Row],[HRG / CTN]]-(Table17[[#This Row],[HRG / CTN]]*Table17[[#This Row],[DISC 3]]))</f>
        <v>3024000</v>
      </c>
      <c r="AJ92" s="5" t="e">
        <f>IF(#REF!&lt;1,Table17[[#This Row],[Column9]],Table17[[#This Row],[Column9]]*#REF!)</f>
        <v>#REF!</v>
      </c>
      <c r="AK92" s="4" t="str">
        <f ca="1">IF(NOT(AP93=Table17[[#This Row],[Column6]]),SUMIF(Table17[Column6],Table17[[#This Row],[Column6]],Table17[Column7]),"")</f>
        <v/>
      </c>
      <c r="AL92" s="6">
        <f ca="1">INDEX(NOTA[TGL_H],Sheet1!A:A)</f>
        <v>45481</v>
      </c>
      <c r="AM92" s="6">
        <f ca="1">INDEX(NOTA[TGL.NOTA_H],Sheet1!A:A)</f>
        <v>45479</v>
      </c>
      <c r="AO92" t="str">
        <f>IF(INDEX(NOTA[Column10],A:A)="","",INDEX(NOTA[Column10],A:A))</f>
        <v/>
      </c>
      <c r="AP92" t="str">
        <f ca="1">INDEX(NOTA[NO.NOTA_H],Sheet1!A:A)</f>
        <v>JUG190/24</v>
      </c>
      <c r="AQ92">
        <f>INDEX(NOTA[Column10],Sheet1!A:A)</f>
        <v>0</v>
      </c>
      <c r="AR92" s="8" t="str">
        <f ca="1">INDEX(NOTA[SUPPLIER_H],Sheet1!A:A)</f>
        <v>DUTA BUANA</v>
      </c>
      <c r="AS92" t="str">
        <f>Table17[[#This Row],[NAMA_C]]</f>
        <v>BP TIZO TG340 BIRU</v>
      </c>
      <c r="AT92" t="str">
        <f ca="1">Table17[[#This Row],[SUPPLIER]]</f>
        <v>DUTA BUANA</v>
      </c>
      <c r="AU92" t="str">
        <f>SUBSTITUTE(Table17[[#This Row],[CTN]],",",".")</f>
        <v>10</v>
      </c>
      <c r="AV92" s="13" t="str">
        <f>Table17[[#This Row],[ISI_C]]</f>
        <v>96</v>
      </c>
      <c r="AW92" t="str">
        <f>Table17[[#This Row],[SATUAN_C]]</f>
        <v>LSN</v>
      </c>
      <c r="AX92">
        <f>Table17[[#This Row],[HARGA CONV2]]</f>
        <v>31500</v>
      </c>
      <c r="AY92" s="9" t="str">
        <f>SUBSTITUTE(Table17[[#This Row],[DISC 3]],",",".")</f>
        <v/>
      </c>
      <c r="AZ92" s="6">
        <f ca="1">Table17[[#This Row],[TGL DATANG]]</f>
        <v>45481</v>
      </c>
      <c r="BA92" s="6">
        <f ca="1">Table17[[#This Row],[Column10]]</f>
        <v>45479</v>
      </c>
      <c r="BB92" s="7"/>
      <c r="BC92" t="str">
        <f>Table17[[#This Row],[KETERANGAN CONDRO]]</f>
        <v/>
      </c>
      <c r="BD92" t="str">
        <f ca="1">Table17[[#This Row],[Column6]]</f>
        <v>JUG190/24</v>
      </c>
    </row>
    <row r="93" spans="1:56">
      <c r="A93" s="55">
        <v>122</v>
      </c>
      <c r="C93">
        <f>INDEX(NOTA[//DB],Sheet1!A:A)</f>
        <v>1037</v>
      </c>
      <c r="D93" t="str">
        <f>_xlfn.IFNA(MATCH(Table17[[#This Row],[//db]],[3]!Table2[\\],0),"")</f>
        <v/>
      </c>
      <c r="E93" t="str">
        <f>INDEX([3]!db[NB NOTA],Table17[[#This Row],[//db]])</f>
        <v>GEL 1.0 TG340BI BIRU</v>
      </c>
      <c r="F93" t="str">
        <f>INDEX([3]!db[NB BM],Table17[[#This Row],[//db]])</f>
        <v>BP TIZO TG340 BIRU</v>
      </c>
      <c r="G93" t="str">
        <f>IF(Table17[[#This Row],[dbconcat]]="","",INDEX([3]!Table2[NAMA],Table17[[#This Row],[dbconcat]]))</f>
        <v/>
      </c>
      <c r="H93" t="e">
        <f>INDEX([3]!Table2[KODE BARANG],Table17[[#This Row],[dbconcat]])</f>
        <v>#VALUE!</v>
      </c>
      <c r="I93" t="str">
        <f>IF(Table17[[#This Row],[NAMA_3]]="",UPPER(Table17[[#This Row],[NAMA_2]]),Table17[[#This Row],[NAMA_3]])</f>
        <v>BP TIZO TG340 BIRU</v>
      </c>
      <c r="J93">
        <f>INDEX(NOTA[QTY],Sheet1!A:A)</f>
        <v>480</v>
      </c>
      <c r="K93" t="str">
        <f>INDEX(NOTA[STN],Sheet1!A:A)</f>
        <v>LSN</v>
      </c>
      <c r="L93" t="str">
        <f>INDEX([3]!db[QTY B],Table17[[#This Row],[//db]])</f>
        <v>96</v>
      </c>
      <c r="M93" t="str">
        <f>INDEX([3]!db[STN B],Table17[[#This Row],[//db]])</f>
        <v>LSN</v>
      </c>
      <c r="N93" t="str">
        <f>IF(Table17[[#This Row],[SATUAN NOTA]]=Table17[[#This Row],[SATUAN DB]],"", MATCH(CONCATENATE(Table17[[#This Row],[SATUAN NOTA]],Table17[[#This Row],[SATUAN DB]]),Table2[4],0))</f>
        <v/>
      </c>
      <c r="O93" t="str" cm="1">
        <f t="array" ref="O93">IF(Table17[[#This Row],[//CONV]]="","",INDEX(Table2[3],Table17[[#This Row],[//CONV]]))</f>
        <v/>
      </c>
      <c r="P93" t="str">
        <f>IF(Table17[[#This Row],[//CONV]]="",Table17[[#This Row],[ISI DB]],Table17[[#This Row],[ISI NOTA]]*Table17[[#This Row],[CONV VAR]])</f>
        <v>96</v>
      </c>
      <c r="Q93" t="str" cm="1">
        <f t="array" ref="Q93">IF(Table17[[#This Row],[//CONV]]="",Table17[[#This Row],[SATUAN DB]],INDEX(Table2[2],Table17[[#This Row],[//CONV]]))</f>
        <v>LSN</v>
      </c>
      <c r="R93" t="str" cm="1">
        <f t="array" ref="R93">IF(Table17[[#This Row],[dbconcat]]="","",INDEX([3]!Table2[ISI],Table17[[#This Row],[dbconcat]]))</f>
        <v/>
      </c>
      <c r="S93" t="str" cm="1">
        <f t="array" ref="S93">IF(Table17[[#This Row],[dbconcat]]="","",INDEX([3]!Table2[[SATUAN ]],Table17[[#This Row],[dbconcat]]))</f>
        <v/>
      </c>
      <c r="T93" t="str">
        <f>IF(Table17[[#This Row],[SATUAN S]]="","",IF(_xlfn.NUMBERVALUE(Table17[[#This Row],[ISI DB]])=_xlfn.NUMBERVALUE(Table17[[#This Row],[ISI S]]),"",1))</f>
        <v/>
      </c>
      <c r="U93" t="str">
        <f>IF(Table17[[#This Row],[SATUAN S]]="","",IF(Table17[[#This Row],[SATUAN DB]]=Table17[[#This Row],[SATUAN S]],"",1))</f>
        <v/>
      </c>
      <c r="V93" t="str">
        <f>IF(Table17[[#This Row],[CEK STN S]]="","",MATCH(CONCATENATE(Table17[[#This Row],[SATUAN CONV]],Table17[[#This Row],[SATUAN S]]),Table2[4],0))</f>
        <v/>
      </c>
      <c r="X93" t="str" cm="1">
        <f t="array" ref="X93">IF(Table17[[#This Row],[CONV2_//]]="","",INDEX(Table2[3],Table17[[#This Row],[CONV2_//]]))</f>
        <v/>
      </c>
      <c r="Y93" s="2" t="str">
        <f>IF(Table17[[#This Row],[CEK ISI S]]="",Table17[[#This Row],[ISI DB]],Table17[[#This Row],[ISI S]])</f>
        <v>96</v>
      </c>
      <c r="Z93" t="str">
        <f>IF(Table17[[#This Row],[CEK STN S]]="",Table17[[#This Row],[SATUAN DB]],Table17[[#This Row],[SATUAN S]])</f>
        <v>LSN</v>
      </c>
      <c r="AA93">
        <f>IF(Table17[[#This Row],[//CONV]]="",Table17[[#This Row],[ISI NOTA]]/Table17[[#This Row],[ISI_C]],Table17[[#This Row],[ISI DB CONV]]/Table17[[#This Row],[ISI_C]])</f>
        <v>5</v>
      </c>
      <c r="AB93">
        <f>INDEX(NOTA[HARGA SATUAN],Sheet1!A:A)</f>
        <v>31500</v>
      </c>
      <c r="AC93">
        <f>IF(Table17[[#This Row],[//CONV]]="",Table17[[#This Row],[HARGA NOTA]],Table17[[#This Row],[HARGA NOTA]]/Table17[[#This Row],[CONV VAR]])</f>
        <v>31500</v>
      </c>
      <c r="AD93">
        <f>IF(Table17[[#This Row],[CEK STN S]]="",Table17[[#This Row],[HARGA CONV]],Table17[[#This Row],[HARGA CONV]]/Table17[[#This Row],[CONV2 VAR]])</f>
        <v>31500</v>
      </c>
      <c r="AE93" s="3" t="str">
        <f>IF(INDEX(NOTA[Column6],Sheet1!A:A)=0,"",INDEX(NOTA[Column6],Sheet1!A:A))</f>
        <v/>
      </c>
      <c r="AF93" s="3" t="str">
        <f>IF(INDEX(NOTA[Column7],Sheet1!A:A)=0,"",INDEX(NOTA[Column7],Sheet1!A:A))</f>
        <v/>
      </c>
      <c r="AG9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3" s="4">
        <f>INDEX(NOTA[HARGA/ CTN_H],Sheet1!A:A)</f>
        <v>3024000</v>
      </c>
      <c r="AI93" s="4">
        <f>IF(Table17[[#This Row],[DISC 3]]="",Table17[[#This Row],[HRG / CTN]],Table17[[#This Row],[HRG / CTN]]-(Table17[[#This Row],[HRG / CTN]]*Table17[[#This Row],[DISC 3]]))</f>
        <v>3024000</v>
      </c>
      <c r="AJ93" s="5" t="e">
        <f>IF(#REF!&lt;1,Table17[[#This Row],[Column9]],Table17[[#This Row],[Column9]]*#REF!)</f>
        <v>#REF!</v>
      </c>
      <c r="AK93" s="4" t="str">
        <f ca="1">IF(NOT(AP94=Table17[[#This Row],[Column6]]),SUMIF(Table17[Column6],Table17[[#This Row],[Column6]],Table17[Column7]),"")</f>
        <v/>
      </c>
      <c r="AL93" s="6">
        <f ca="1">INDEX(NOTA[TGL_H],Sheet1!A:A)</f>
        <v>45481</v>
      </c>
      <c r="AM93" s="6">
        <f ca="1">INDEX(NOTA[TGL.NOTA_H],Sheet1!A:A)</f>
        <v>45479</v>
      </c>
      <c r="AO93" t="str">
        <f>IF(INDEX(NOTA[Column10],A:A)="","",INDEX(NOTA[Column10],A:A))</f>
        <v/>
      </c>
      <c r="AP93" t="str">
        <f ca="1">INDEX(NOTA[NO.NOTA_H],Sheet1!A:A)</f>
        <v>JUG190/24</v>
      </c>
      <c r="AQ93">
        <f>INDEX(NOTA[Column10],Sheet1!A:A)</f>
        <v>0</v>
      </c>
      <c r="AR93" s="8" t="str">
        <f ca="1">INDEX(NOTA[SUPPLIER_H],Sheet1!A:A)</f>
        <v>DUTA BUANA</v>
      </c>
      <c r="AS93" t="str">
        <f>Table17[[#This Row],[NAMA_C]]</f>
        <v>BP TIZO TG340 BIRU</v>
      </c>
      <c r="AT93" t="str">
        <f ca="1">Table17[[#This Row],[SUPPLIER]]</f>
        <v>DUTA BUANA</v>
      </c>
      <c r="AU93" t="str">
        <f>SUBSTITUTE(Table17[[#This Row],[CTN]],",",".")</f>
        <v>5</v>
      </c>
      <c r="AV93" s="13" t="str">
        <f>Table17[[#This Row],[ISI_C]]</f>
        <v>96</v>
      </c>
      <c r="AW93" t="str">
        <f>Table17[[#This Row],[SATUAN_C]]</f>
        <v>LSN</v>
      </c>
      <c r="AX93">
        <f>Table17[[#This Row],[HARGA CONV2]]</f>
        <v>31500</v>
      </c>
      <c r="AY93" s="9" t="str">
        <f>SUBSTITUTE(Table17[[#This Row],[DISC 3]],",",".")</f>
        <v/>
      </c>
      <c r="AZ93" s="6">
        <f ca="1">Table17[[#This Row],[TGL DATANG]]</f>
        <v>45481</v>
      </c>
      <c r="BA93" s="6">
        <f ca="1">Table17[[#This Row],[Column10]]</f>
        <v>45479</v>
      </c>
      <c r="BB93" s="7"/>
      <c r="BC93" t="str">
        <f>Table17[[#This Row],[KETERANGAN CONDRO]]</f>
        <v/>
      </c>
      <c r="BD93" t="str">
        <f ca="1">Table17[[#This Row],[Column6]]</f>
        <v>JUG190/24</v>
      </c>
    </row>
    <row r="94" spans="1:56">
      <c r="A94" s="55">
        <v>123</v>
      </c>
      <c r="C94">
        <f>INDEX(NOTA[//DB],Sheet1!A:A)</f>
        <v>1049</v>
      </c>
      <c r="D94">
        <f>_xlfn.IFNA(MATCH(Table17[[#This Row],[//db]],[3]!Table2[\\],0),"")</f>
        <v>490</v>
      </c>
      <c r="E94" t="str">
        <f>INDEX([3]!db[NB NOTA],Table17[[#This Row],[//db]])</f>
        <v>GEL DEBOZZ 0.7 DB-G07</v>
      </c>
      <c r="F94" t="str">
        <f>INDEX([3]!db[NB BM],Table17[[#This Row],[//db]])</f>
        <v>Bp Debozz DB G 07</v>
      </c>
      <c r="G94" t="str">
        <f>IF(Table17[[#This Row],[dbconcat]]="","",INDEX([3]!Table2[NAMA],Table17[[#This Row],[dbconcat]]))</f>
        <v>BP DEBOZZ DB G 07</v>
      </c>
      <c r="H94" t="str">
        <f>INDEX([3]!Table2[KODE BARANG],Table17[[#This Row],[dbconcat]])</f>
        <v>BOL-DB105</v>
      </c>
      <c r="I94" t="str">
        <f>IF(Table17[[#This Row],[NAMA_3]]="",UPPER(Table17[[#This Row],[NAMA_2]]),Table17[[#This Row],[NAMA_3]])</f>
        <v>BP DEBOZZ DB G 07</v>
      </c>
      <c r="J94">
        <f>INDEX(NOTA[QTY],Sheet1!A:A)</f>
        <v>120</v>
      </c>
      <c r="K94" t="str">
        <f>INDEX(NOTA[STN],Sheet1!A:A)</f>
        <v>LSN</v>
      </c>
      <c r="L94" t="str">
        <f>INDEX([3]!db[QTY B],Table17[[#This Row],[//db]])</f>
        <v>120</v>
      </c>
      <c r="M94" t="str">
        <f>INDEX([3]!db[STN B],Table17[[#This Row],[//db]])</f>
        <v>LSN</v>
      </c>
      <c r="N94" t="str">
        <f>IF(Table17[[#This Row],[SATUAN NOTA]]=Table17[[#This Row],[SATUAN DB]],"", MATCH(CONCATENATE(Table17[[#This Row],[SATUAN NOTA]],Table17[[#This Row],[SATUAN DB]]),Table2[4],0))</f>
        <v/>
      </c>
      <c r="O94" t="str" cm="1">
        <f t="array" ref="O94">IF(Table17[[#This Row],[//CONV]]="","",INDEX(Table2[3],Table17[[#This Row],[//CONV]]))</f>
        <v/>
      </c>
      <c r="P94" t="str">
        <f>IF(Table17[[#This Row],[//CONV]]="",Table17[[#This Row],[ISI DB]],Table17[[#This Row],[ISI NOTA]]*Table17[[#This Row],[CONV VAR]])</f>
        <v>120</v>
      </c>
      <c r="Q94" t="str" cm="1">
        <f t="array" ref="Q94">IF(Table17[[#This Row],[//CONV]]="",Table17[[#This Row],[SATUAN DB]],INDEX(Table2[2],Table17[[#This Row],[//CONV]]))</f>
        <v>LSN</v>
      </c>
      <c r="R94" cm="1">
        <f t="array" ref="R94">IF(Table17[[#This Row],[dbconcat]]="","",INDEX([3]!Table2[ISI],Table17[[#This Row],[dbconcat]]))</f>
        <v>120</v>
      </c>
      <c r="S94" t="str" cm="1">
        <f t="array" ref="S94">IF(Table17[[#This Row],[dbconcat]]="","",INDEX([3]!Table2[[SATUAN ]],Table17[[#This Row],[dbconcat]]))</f>
        <v>LSN</v>
      </c>
      <c r="T94" t="str">
        <f>IF(Table17[[#This Row],[SATUAN S]]="","",IF(_xlfn.NUMBERVALUE(Table17[[#This Row],[ISI DB]])=_xlfn.NUMBERVALUE(Table17[[#This Row],[ISI S]]),"",1))</f>
        <v/>
      </c>
      <c r="U94" t="str">
        <f>IF(Table17[[#This Row],[SATUAN S]]="","",IF(Table17[[#This Row],[SATUAN DB]]=Table17[[#This Row],[SATUAN S]],"",1))</f>
        <v/>
      </c>
      <c r="V94" t="str">
        <f>IF(Table17[[#This Row],[CEK STN S]]="","",MATCH(CONCATENATE(Table17[[#This Row],[SATUAN CONV]],Table17[[#This Row],[SATUAN S]]),Table2[4],0))</f>
        <v/>
      </c>
      <c r="X94" t="str" cm="1">
        <f t="array" ref="X94">IF(Table17[[#This Row],[CONV2_//]]="","",INDEX(Table2[3],Table17[[#This Row],[CONV2_//]]))</f>
        <v/>
      </c>
      <c r="Y94" s="2" t="str">
        <f>IF(Table17[[#This Row],[CEK ISI S]]="",Table17[[#This Row],[ISI DB]],Table17[[#This Row],[ISI S]])</f>
        <v>120</v>
      </c>
      <c r="Z94" t="str">
        <f>IF(Table17[[#This Row],[CEK STN S]]="",Table17[[#This Row],[SATUAN DB]],Table17[[#This Row],[SATUAN S]])</f>
        <v>LSN</v>
      </c>
      <c r="AA94">
        <f>IF(Table17[[#This Row],[//CONV]]="",Table17[[#This Row],[ISI NOTA]]/Table17[[#This Row],[ISI_C]],Table17[[#This Row],[ISI DB CONV]]/Table17[[#This Row],[ISI_C]])</f>
        <v>1</v>
      </c>
      <c r="AB94">
        <f>INDEX(NOTA[HARGA SATUAN],Sheet1!A:A)</f>
        <v>25500</v>
      </c>
      <c r="AC94">
        <f>IF(Table17[[#This Row],[//CONV]]="",Table17[[#This Row],[HARGA NOTA]],Table17[[#This Row],[HARGA NOTA]]/Table17[[#This Row],[CONV VAR]])</f>
        <v>25500</v>
      </c>
      <c r="AD94">
        <f>IF(Table17[[#This Row],[CEK STN S]]="",Table17[[#This Row],[HARGA CONV]],Table17[[#This Row],[HARGA CONV]]/Table17[[#This Row],[CONV2 VAR]])</f>
        <v>25500</v>
      </c>
      <c r="AE94" s="3" t="str">
        <f>IF(INDEX(NOTA[Column6],Sheet1!A:A)=0,"",INDEX(NOTA[Column6],Sheet1!A:A))</f>
        <v/>
      </c>
      <c r="AF94" s="3" t="str">
        <f>IF(INDEX(NOTA[Column7],Sheet1!A:A)=0,"",INDEX(NOTA[Column7],Sheet1!A:A))</f>
        <v/>
      </c>
      <c r="AG9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4" s="4">
        <f>INDEX(NOTA[HARGA/ CTN_H],Sheet1!A:A)</f>
        <v>3060000</v>
      </c>
      <c r="AI94" s="4">
        <f>IF(Table17[[#This Row],[DISC 3]]="",Table17[[#This Row],[HRG / CTN]],Table17[[#This Row],[HRG / CTN]]-(Table17[[#This Row],[HRG / CTN]]*Table17[[#This Row],[DISC 3]]))</f>
        <v>3060000</v>
      </c>
      <c r="AJ94" s="5" t="e">
        <f>IF(#REF!&lt;1,Table17[[#This Row],[Column9]],Table17[[#This Row],[Column9]]*#REF!)</f>
        <v>#REF!</v>
      </c>
      <c r="AK94" s="4" t="str">
        <f ca="1">IF(NOT(AP95=Table17[[#This Row],[Column6]]),SUMIF(Table17[Column6],Table17[[#This Row],[Column6]],Table17[Column7]),"")</f>
        <v/>
      </c>
      <c r="AL94" s="6">
        <f ca="1">INDEX(NOTA[TGL_H],Sheet1!A:A)</f>
        <v>45481</v>
      </c>
      <c r="AM94" s="6">
        <f ca="1">INDEX(NOTA[TGL.NOTA_H],Sheet1!A:A)</f>
        <v>45479</v>
      </c>
      <c r="AO94" t="str">
        <f>IF(INDEX(NOTA[Column10],A:A)="","",INDEX(NOTA[Column10],A:A))</f>
        <v/>
      </c>
      <c r="AP94" t="str">
        <f ca="1">INDEX(NOTA[NO.NOTA_H],Sheet1!A:A)</f>
        <v>JUG190/24</v>
      </c>
      <c r="AQ94">
        <f>INDEX(NOTA[Column10],Sheet1!A:A)</f>
        <v>0</v>
      </c>
      <c r="AR94" s="8" t="str">
        <f ca="1">INDEX(NOTA[SUPPLIER_H],Sheet1!A:A)</f>
        <v>DUTA BUANA</v>
      </c>
      <c r="AS94" t="str">
        <f>Table17[[#This Row],[NAMA_C]]</f>
        <v>BP DEBOZZ DB G 07</v>
      </c>
      <c r="AT94" t="str">
        <f ca="1">Table17[[#This Row],[SUPPLIER]]</f>
        <v>DUTA BUANA</v>
      </c>
      <c r="AU94" t="str">
        <f>SUBSTITUTE(Table17[[#This Row],[CTN]],",",".")</f>
        <v>1</v>
      </c>
      <c r="AV94" s="13" t="str">
        <f>Table17[[#This Row],[ISI_C]]</f>
        <v>120</v>
      </c>
      <c r="AW94" t="str">
        <f>Table17[[#This Row],[SATUAN_C]]</f>
        <v>LSN</v>
      </c>
      <c r="AX94">
        <f>Table17[[#This Row],[HARGA CONV2]]</f>
        <v>25500</v>
      </c>
      <c r="AY94" s="9" t="str">
        <f>SUBSTITUTE(Table17[[#This Row],[DISC 3]],",",".")</f>
        <v/>
      </c>
      <c r="AZ94" s="6">
        <f ca="1">Table17[[#This Row],[TGL DATANG]]</f>
        <v>45481</v>
      </c>
      <c r="BA94" s="6">
        <f ca="1">Table17[[#This Row],[Column10]]</f>
        <v>45479</v>
      </c>
      <c r="BB94" s="7"/>
      <c r="BC94" t="str">
        <f>Table17[[#This Row],[KETERANGAN CONDRO]]</f>
        <v/>
      </c>
      <c r="BD94" t="str">
        <f ca="1">Table17[[#This Row],[Column6]]</f>
        <v>JUG190/24</v>
      </c>
    </row>
    <row r="95" spans="1:56">
      <c r="A95" s="55">
        <v>124</v>
      </c>
      <c r="C95">
        <f>INDEX(NOTA[//DB],Sheet1!A:A)</f>
        <v>1044</v>
      </c>
      <c r="D95">
        <f>_xlfn.IFNA(MATCH(Table17[[#This Row],[//db]],[3]!Table2[\\],0),"")</f>
        <v>489</v>
      </c>
      <c r="E95" t="str">
        <f>INDEX([3]!db[NB NOTA],Table17[[#This Row],[//db]])</f>
        <v>GEL DEBOZZ 0.5 DB-G05</v>
      </c>
      <c r="F95" t="str">
        <f>INDEX([3]!db[NB BM],Table17[[#This Row],[//db]])</f>
        <v>Bp Debozz DB G 05</v>
      </c>
      <c r="G95" t="str">
        <f>IF(Table17[[#This Row],[dbconcat]]="","",INDEX([3]!Table2[NAMA],Table17[[#This Row],[dbconcat]]))</f>
        <v>BP DEBOZZ DB G 05</v>
      </c>
      <c r="H95" t="str">
        <f>INDEX([3]!Table2[KODE BARANG],Table17[[#This Row],[dbconcat]])</f>
        <v>BOL-DB104</v>
      </c>
      <c r="I95" t="str">
        <f>IF(Table17[[#This Row],[NAMA_3]]="",UPPER(Table17[[#This Row],[NAMA_2]]),Table17[[#This Row],[NAMA_3]])</f>
        <v>BP DEBOZZ DB G 05</v>
      </c>
      <c r="J95">
        <f>INDEX(NOTA[QTY],Sheet1!A:A)</f>
        <v>120</v>
      </c>
      <c r="K95" t="str">
        <f>INDEX(NOTA[STN],Sheet1!A:A)</f>
        <v>LSN</v>
      </c>
      <c r="L95" t="str">
        <f>INDEX([3]!db[QTY B],Table17[[#This Row],[//db]])</f>
        <v>120</v>
      </c>
      <c r="M95" t="str">
        <f>INDEX([3]!db[STN B],Table17[[#This Row],[//db]])</f>
        <v>LSN</v>
      </c>
      <c r="N95" t="str">
        <f>IF(Table17[[#This Row],[SATUAN NOTA]]=Table17[[#This Row],[SATUAN DB]],"", MATCH(CONCATENATE(Table17[[#This Row],[SATUAN NOTA]],Table17[[#This Row],[SATUAN DB]]),Table2[4],0))</f>
        <v/>
      </c>
      <c r="O95" t="str" cm="1">
        <f t="array" ref="O95">IF(Table17[[#This Row],[//CONV]]="","",INDEX(Table2[3],Table17[[#This Row],[//CONV]]))</f>
        <v/>
      </c>
      <c r="P95" t="str">
        <f>IF(Table17[[#This Row],[//CONV]]="",Table17[[#This Row],[ISI DB]],Table17[[#This Row],[ISI NOTA]]*Table17[[#This Row],[CONV VAR]])</f>
        <v>120</v>
      </c>
      <c r="Q95" t="str" cm="1">
        <f t="array" ref="Q95">IF(Table17[[#This Row],[//CONV]]="",Table17[[#This Row],[SATUAN DB]],INDEX(Table2[2],Table17[[#This Row],[//CONV]]))</f>
        <v>LSN</v>
      </c>
      <c r="R95" cm="1">
        <f t="array" ref="R95">IF(Table17[[#This Row],[dbconcat]]="","",INDEX([3]!Table2[ISI],Table17[[#This Row],[dbconcat]]))</f>
        <v>120</v>
      </c>
      <c r="S95" t="str" cm="1">
        <f t="array" ref="S95">IF(Table17[[#This Row],[dbconcat]]="","",INDEX([3]!Table2[[SATUAN ]],Table17[[#This Row],[dbconcat]]))</f>
        <v>LSN</v>
      </c>
      <c r="T95" t="str">
        <f>IF(Table17[[#This Row],[SATUAN S]]="","",IF(_xlfn.NUMBERVALUE(Table17[[#This Row],[ISI DB]])=_xlfn.NUMBERVALUE(Table17[[#This Row],[ISI S]]),"",1))</f>
        <v/>
      </c>
      <c r="U95" t="str">
        <f>IF(Table17[[#This Row],[SATUAN S]]="","",IF(Table17[[#This Row],[SATUAN DB]]=Table17[[#This Row],[SATUAN S]],"",1))</f>
        <v/>
      </c>
      <c r="V95" t="str">
        <f>IF(Table17[[#This Row],[CEK STN S]]="","",MATCH(CONCATENATE(Table17[[#This Row],[SATUAN CONV]],Table17[[#This Row],[SATUAN S]]),Table2[4],0))</f>
        <v/>
      </c>
      <c r="X95" t="str" cm="1">
        <f t="array" ref="X95">IF(Table17[[#This Row],[CONV2_//]]="","",INDEX(Table2[3],Table17[[#This Row],[CONV2_//]]))</f>
        <v/>
      </c>
      <c r="Y95" s="2" t="str">
        <f>IF(Table17[[#This Row],[CEK ISI S]]="",Table17[[#This Row],[ISI DB]],Table17[[#This Row],[ISI S]])</f>
        <v>120</v>
      </c>
      <c r="Z95" t="str">
        <f>IF(Table17[[#This Row],[CEK STN S]]="",Table17[[#This Row],[SATUAN DB]],Table17[[#This Row],[SATUAN S]])</f>
        <v>LSN</v>
      </c>
      <c r="AA95">
        <f>IF(Table17[[#This Row],[//CONV]]="",Table17[[#This Row],[ISI NOTA]]/Table17[[#This Row],[ISI_C]],Table17[[#This Row],[ISI DB CONV]]/Table17[[#This Row],[ISI_C]])</f>
        <v>1</v>
      </c>
      <c r="AB95">
        <f>INDEX(NOTA[HARGA SATUAN],Sheet1!A:A)</f>
        <v>27000</v>
      </c>
      <c r="AC95">
        <f>IF(Table17[[#This Row],[//CONV]]="",Table17[[#This Row],[HARGA NOTA]],Table17[[#This Row],[HARGA NOTA]]/Table17[[#This Row],[CONV VAR]])</f>
        <v>27000</v>
      </c>
      <c r="AD95">
        <f>IF(Table17[[#This Row],[CEK STN S]]="",Table17[[#This Row],[HARGA CONV]],Table17[[#This Row],[HARGA CONV]]/Table17[[#This Row],[CONV2 VAR]])</f>
        <v>27000</v>
      </c>
      <c r="AE95" s="3" t="str">
        <f>IF(INDEX(NOTA[Column6],Sheet1!A:A)=0,"",INDEX(NOTA[Column6],Sheet1!A:A))</f>
        <v/>
      </c>
      <c r="AF95" s="3" t="str">
        <f>IF(INDEX(NOTA[Column7],Sheet1!A:A)=0,"",INDEX(NOTA[Column7],Sheet1!A:A))</f>
        <v/>
      </c>
      <c r="AG9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5" s="4">
        <f>INDEX(NOTA[HARGA/ CTN_H],Sheet1!A:A)</f>
        <v>3240000</v>
      </c>
      <c r="AI95" s="4">
        <f>IF(Table17[[#This Row],[DISC 3]]="",Table17[[#This Row],[HRG / CTN]],Table17[[#This Row],[HRG / CTN]]-(Table17[[#This Row],[HRG / CTN]]*Table17[[#This Row],[DISC 3]]))</f>
        <v>3240000</v>
      </c>
      <c r="AJ95" s="5" t="e">
        <f>IF(#REF!&lt;1,Table17[[#This Row],[Column9]],Table17[[#This Row],[Column9]]*#REF!)</f>
        <v>#REF!</v>
      </c>
      <c r="AK95" s="4" t="str">
        <f ca="1">IF(NOT(AP96=Table17[[#This Row],[Column6]]),SUMIF(Table17[Column6],Table17[[#This Row],[Column6]],Table17[Column7]),"")</f>
        <v/>
      </c>
      <c r="AL95" s="6">
        <f ca="1">INDEX(NOTA[TGL_H],Sheet1!A:A)</f>
        <v>45481</v>
      </c>
      <c r="AM95" s="6">
        <f ca="1">INDEX(NOTA[TGL.NOTA_H],Sheet1!A:A)</f>
        <v>45479</v>
      </c>
      <c r="AO95" t="str">
        <f>IF(INDEX(NOTA[Column10],A:A)="","",INDEX(NOTA[Column10],A:A))</f>
        <v/>
      </c>
      <c r="AP95" t="str">
        <f ca="1">INDEX(NOTA[NO.NOTA_H],Sheet1!A:A)</f>
        <v>JUG190/24</v>
      </c>
      <c r="AQ95">
        <f>INDEX(NOTA[Column10],Sheet1!A:A)</f>
        <v>0</v>
      </c>
      <c r="AR95" s="8" t="str">
        <f ca="1">INDEX(NOTA[SUPPLIER_H],Sheet1!A:A)</f>
        <v>DUTA BUANA</v>
      </c>
      <c r="AS95" t="str">
        <f>Table17[[#This Row],[NAMA_C]]</f>
        <v>BP DEBOZZ DB G 05</v>
      </c>
      <c r="AT95" t="str">
        <f ca="1">Table17[[#This Row],[SUPPLIER]]</f>
        <v>DUTA BUANA</v>
      </c>
      <c r="AU95" t="str">
        <f>SUBSTITUTE(Table17[[#This Row],[CTN]],",",".")</f>
        <v>1</v>
      </c>
      <c r="AV95" s="13" t="str">
        <f>Table17[[#This Row],[ISI_C]]</f>
        <v>120</v>
      </c>
      <c r="AW95" t="str">
        <f>Table17[[#This Row],[SATUAN_C]]</f>
        <v>LSN</v>
      </c>
      <c r="AX95">
        <f>Table17[[#This Row],[HARGA CONV2]]</f>
        <v>27000</v>
      </c>
      <c r="AY95" s="9" t="str">
        <f>SUBSTITUTE(Table17[[#This Row],[DISC 3]],",",".")</f>
        <v/>
      </c>
      <c r="AZ95" s="6">
        <f ca="1">Table17[[#This Row],[TGL DATANG]]</f>
        <v>45481</v>
      </c>
      <c r="BA95" s="6">
        <f ca="1">Table17[[#This Row],[Column10]]</f>
        <v>45479</v>
      </c>
      <c r="BB95" s="7"/>
      <c r="BC95" t="str">
        <f>Table17[[#This Row],[KETERANGAN CONDRO]]</f>
        <v/>
      </c>
      <c r="BD95" t="str">
        <f ca="1">Table17[[#This Row],[Column6]]</f>
        <v>JUG190/24</v>
      </c>
    </row>
    <row r="96" spans="1:56">
      <c r="A96" s="55">
        <v>125</v>
      </c>
      <c r="C96">
        <f>INDEX(NOTA[//DB],Sheet1!A:A)</f>
        <v>1055</v>
      </c>
      <c r="D96">
        <f>_xlfn.IFNA(MATCH(Table17[[#This Row],[//db]],[3]!Table2[\\],0),"")</f>
        <v>488</v>
      </c>
      <c r="E96" t="str">
        <f>INDEX([3]!db[NB NOTA],Table17[[#This Row],[//db]])</f>
        <v>GEL DEBOZZ KLIK 09 DB-G09</v>
      </c>
      <c r="F96" t="str">
        <f>INDEX([3]!db[NB BM],Table17[[#This Row],[//db]])</f>
        <v xml:space="preserve">Bp Debozz DB G 06 </v>
      </c>
      <c r="G96" t="str">
        <f>IF(Table17[[#This Row],[dbconcat]]="","",INDEX([3]!Table2[NAMA],Table17[[#This Row],[dbconcat]]))</f>
        <v>BP DEBOZZ DB G 06</v>
      </c>
      <c r="H96" t="str">
        <f>INDEX([3]!Table2[KODE BARANG],Table17[[#This Row],[dbconcat]])</f>
        <v>BOL-DB103</v>
      </c>
      <c r="I96" t="str">
        <f>IF(Table17[[#This Row],[NAMA_3]]="",UPPER(Table17[[#This Row],[NAMA_2]]),Table17[[#This Row],[NAMA_3]])</f>
        <v>BP DEBOZZ DB G 06</v>
      </c>
      <c r="J96">
        <f>INDEX(NOTA[QTY],Sheet1!A:A)</f>
        <v>144</v>
      </c>
      <c r="K96" t="str">
        <f>INDEX(NOTA[STN],Sheet1!A:A)</f>
        <v>LSN</v>
      </c>
      <c r="L96" t="str">
        <f>INDEX([3]!db[QTY B],Table17[[#This Row],[//db]])</f>
        <v>144</v>
      </c>
      <c r="M96" t="str">
        <f>INDEX([3]!db[STN B],Table17[[#This Row],[//db]])</f>
        <v>LSN</v>
      </c>
      <c r="N96" t="str">
        <f>IF(Table17[[#This Row],[SATUAN NOTA]]=Table17[[#This Row],[SATUAN DB]],"", MATCH(CONCATENATE(Table17[[#This Row],[SATUAN NOTA]],Table17[[#This Row],[SATUAN DB]]),Table2[4],0))</f>
        <v/>
      </c>
      <c r="O96" t="str" cm="1">
        <f t="array" ref="O96">IF(Table17[[#This Row],[//CONV]]="","",INDEX(Table2[3],Table17[[#This Row],[//CONV]]))</f>
        <v/>
      </c>
      <c r="P96" t="str">
        <f>IF(Table17[[#This Row],[//CONV]]="",Table17[[#This Row],[ISI DB]],Table17[[#This Row],[ISI NOTA]]*Table17[[#This Row],[CONV VAR]])</f>
        <v>144</v>
      </c>
      <c r="Q96" t="str" cm="1">
        <f t="array" ref="Q96">IF(Table17[[#This Row],[//CONV]]="",Table17[[#This Row],[SATUAN DB]],INDEX(Table2[2],Table17[[#This Row],[//CONV]]))</f>
        <v>LSN</v>
      </c>
      <c r="R96" cm="1">
        <f t="array" ref="R96">IF(Table17[[#This Row],[dbconcat]]="","",INDEX([3]!Table2[ISI],Table17[[#This Row],[dbconcat]]))</f>
        <v>120</v>
      </c>
      <c r="S96" t="str" cm="1">
        <f t="array" ref="S96">IF(Table17[[#This Row],[dbconcat]]="","",INDEX([3]!Table2[[SATUAN ]],Table17[[#This Row],[dbconcat]]))</f>
        <v>LSN</v>
      </c>
      <c r="T96">
        <f>IF(Table17[[#This Row],[SATUAN S]]="","",IF(_xlfn.NUMBERVALUE(Table17[[#This Row],[ISI DB]])=_xlfn.NUMBERVALUE(Table17[[#This Row],[ISI S]]),"",1))</f>
        <v>1</v>
      </c>
      <c r="U96" t="str">
        <f>IF(Table17[[#This Row],[SATUAN S]]="","",IF(Table17[[#This Row],[SATUAN DB]]=Table17[[#This Row],[SATUAN S]],"",1))</f>
        <v/>
      </c>
      <c r="V96" t="str">
        <f>IF(Table17[[#This Row],[CEK STN S]]="","",MATCH(CONCATENATE(Table17[[#This Row],[SATUAN CONV]],Table17[[#This Row],[SATUAN S]]),Table2[4],0))</f>
        <v/>
      </c>
      <c r="X96" t="str" cm="1">
        <f t="array" ref="X96">IF(Table17[[#This Row],[CONV2_//]]="","",INDEX(Table2[3],Table17[[#This Row],[CONV2_//]]))</f>
        <v/>
      </c>
      <c r="Y96" s="2">
        <f>IF(Table17[[#This Row],[CEK ISI S]]="",Table17[[#This Row],[ISI DB]],Table17[[#This Row],[ISI S]])</f>
        <v>120</v>
      </c>
      <c r="Z96" t="str">
        <f>IF(Table17[[#This Row],[CEK STN S]]="",Table17[[#This Row],[SATUAN DB]],Table17[[#This Row],[SATUAN S]])</f>
        <v>LSN</v>
      </c>
      <c r="AA96">
        <f>IF(Table17[[#This Row],[//CONV]]="",Table17[[#This Row],[ISI NOTA]]/Table17[[#This Row],[ISI_C]],Table17[[#This Row],[ISI DB CONV]]/Table17[[#This Row],[ISI_C]])</f>
        <v>1.2</v>
      </c>
      <c r="AB96">
        <f>INDEX(NOTA[HARGA SATUAN],Sheet1!A:A)</f>
        <v>22500</v>
      </c>
      <c r="AC96">
        <f>IF(Table17[[#This Row],[//CONV]]="",Table17[[#This Row],[HARGA NOTA]],Table17[[#This Row],[HARGA NOTA]]/Table17[[#This Row],[CONV VAR]])</f>
        <v>22500</v>
      </c>
      <c r="AD96">
        <f>IF(Table17[[#This Row],[CEK STN S]]="",Table17[[#This Row],[HARGA CONV]],Table17[[#This Row],[HARGA CONV]]/Table17[[#This Row],[CONV2 VAR]])</f>
        <v>22500</v>
      </c>
      <c r="AE96" s="3" t="str">
        <f>IF(INDEX(NOTA[Column6],Sheet1!A:A)=0,"",INDEX(NOTA[Column6],Sheet1!A:A))</f>
        <v/>
      </c>
      <c r="AF96" s="3" t="str">
        <f>IF(INDEX(NOTA[Column7],Sheet1!A:A)=0,"",INDEX(NOTA[Column7],Sheet1!A:A))</f>
        <v/>
      </c>
      <c r="AG9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6" s="4">
        <f>INDEX(NOTA[HARGA/ CTN_H],Sheet1!A:A)</f>
        <v>3240000</v>
      </c>
      <c r="AI96" s="4">
        <f>IF(Table17[[#This Row],[DISC 3]]="",Table17[[#This Row],[HRG / CTN]],Table17[[#This Row],[HRG / CTN]]-(Table17[[#This Row],[HRG / CTN]]*Table17[[#This Row],[DISC 3]]))</f>
        <v>3240000</v>
      </c>
      <c r="AJ96" s="5" t="e">
        <f>IF(#REF!&lt;1,Table17[[#This Row],[Column9]],Table17[[#This Row],[Column9]]*#REF!)</f>
        <v>#REF!</v>
      </c>
      <c r="AK96" s="4" t="e">
        <f ca="1">IF(NOT(AP97=Table17[[#This Row],[Column6]]),SUMIF(Table17[Column6],Table17[[#This Row],[Column6]],Table17[Column7]),"")</f>
        <v>#REF!</v>
      </c>
      <c r="AL96" s="6">
        <f ca="1">INDEX(NOTA[TGL_H],Sheet1!A:A)</f>
        <v>45481</v>
      </c>
      <c r="AM96" s="6">
        <f ca="1">INDEX(NOTA[TGL.NOTA_H],Sheet1!A:A)</f>
        <v>45479</v>
      </c>
      <c r="AO96" t="str">
        <f>IF(INDEX(NOTA[Column10],A:A)="","",INDEX(NOTA[Column10],A:A))</f>
        <v/>
      </c>
      <c r="AP96" t="str">
        <f ca="1">INDEX(NOTA[NO.NOTA_H],Sheet1!A:A)</f>
        <v>JUG190/24</v>
      </c>
      <c r="AQ96">
        <f>INDEX(NOTA[Column10],Sheet1!A:A)</f>
        <v>0</v>
      </c>
      <c r="AR96" s="8" t="str">
        <f ca="1">INDEX(NOTA[SUPPLIER_H],Sheet1!A:A)</f>
        <v>DUTA BUANA</v>
      </c>
      <c r="AS96" t="str">
        <f>Table17[[#This Row],[NAMA_C]]</f>
        <v>BP DEBOZZ DB G 06</v>
      </c>
      <c r="AT96" t="str">
        <f ca="1">Table17[[#This Row],[SUPPLIER]]</f>
        <v>DUTA BUANA</v>
      </c>
      <c r="AU96" t="str">
        <f>SUBSTITUTE(Table17[[#This Row],[CTN]],",",".")</f>
        <v>1.2</v>
      </c>
      <c r="AV96" s="13">
        <f>Table17[[#This Row],[ISI_C]]</f>
        <v>120</v>
      </c>
      <c r="AW96" t="str">
        <f>Table17[[#This Row],[SATUAN_C]]</f>
        <v>LSN</v>
      </c>
      <c r="AX96">
        <f>Table17[[#This Row],[HARGA CONV2]]</f>
        <v>22500</v>
      </c>
      <c r="AY96" s="9" t="str">
        <f>SUBSTITUTE(Table17[[#This Row],[DISC 3]],",",".")</f>
        <v/>
      </c>
      <c r="AZ96" s="6">
        <f ca="1">Table17[[#This Row],[TGL DATANG]]</f>
        <v>45481</v>
      </c>
      <c r="BA96" s="6">
        <f ca="1">Table17[[#This Row],[Column10]]</f>
        <v>45479</v>
      </c>
      <c r="BB96" s="7"/>
      <c r="BC96" t="str">
        <f>Table17[[#This Row],[KETERANGAN CONDRO]]</f>
        <v/>
      </c>
      <c r="BD96" t="str">
        <f ca="1">Table17[[#This Row],[Column6]]</f>
        <v>JUG190/24</v>
      </c>
    </row>
    <row r="97" spans="1:56">
      <c r="A97" s="55">
        <v>127</v>
      </c>
      <c r="C97">
        <f>INDEX(NOTA[//DB],Sheet1!A:A)</f>
        <v>3455</v>
      </c>
      <c r="D97">
        <f>_xlfn.IFNA(MATCH(Table17[[#This Row],[//db]],[3]!Table2[\\],0),"")</f>
        <v>70</v>
      </c>
      <c r="E97" t="str">
        <f>INDEX([3]!db[NB NOTA],Table17[[#This Row],[//db]])</f>
        <v>AGENDA 50K BC-511 (35-50)</v>
      </c>
      <c r="F97" t="str">
        <f>INDEX([3]!db[NB BM],Table17[[#This Row],[//db]])</f>
        <v>AGENDA 50K BC-511 (35-50)</v>
      </c>
      <c r="G97" t="str">
        <f>IF(Table17[[#This Row],[dbconcat]]="","",INDEX([3]!Table2[NAMA],Table17[[#This Row],[dbconcat]]))</f>
        <v>AGENDA 50K BC-511 (35-50)</v>
      </c>
      <c r="H97" t="str">
        <f>INDEX([3]!Table2[KODE BARANG],Table17[[#This Row],[dbconcat]])</f>
        <v>AGE-NB20</v>
      </c>
      <c r="I97" t="str">
        <f>IF(Table17[[#This Row],[NAMA_3]]="",UPPER(Table17[[#This Row],[NAMA_2]]),Table17[[#This Row],[NAMA_3]])</f>
        <v>AGENDA 50K BC-511 (35-50)</v>
      </c>
      <c r="J97">
        <f>INDEX(NOTA[QTY],Sheet1!A:A)</f>
        <v>3120</v>
      </c>
      <c r="K97" t="str">
        <f>INDEX(NOTA[STN],Sheet1!A:A)</f>
        <v>PCS</v>
      </c>
      <c r="L97" t="str">
        <f>INDEX([3]!db[QTY B],Table17[[#This Row],[//db]])</f>
        <v>260</v>
      </c>
      <c r="M97" t="str">
        <f>INDEX([3]!db[STN B],Table17[[#This Row],[//db]])</f>
        <v>PCS</v>
      </c>
      <c r="N97" t="str">
        <f>IF(Table17[[#This Row],[SATUAN NOTA]]=Table17[[#This Row],[SATUAN DB]],"", MATCH(CONCATENATE(Table17[[#This Row],[SATUAN NOTA]],Table17[[#This Row],[SATUAN DB]]),Table2[4],0))</f>
        <v/>
      </c>
      <c r="O97" t="str" cm="1">
        <f t="array" ref="O97">IF(Table17[[#This Row],[//CONV]]="","",INDEX(Table2[3],Table17[[#This Row],[//CONV]]))</f>
        <v/>
      </c>
      <c r="P97" t="str">
        <f>IF(Table17[[#This Row],[//CONV]]="",Table17[[#This Row],[ISI DB]],Table17[[#This Row],[ISI NOTA]]*Table17[[#This Row],[CONV VAR]])</f>
        <v>260</v>
      </c>
      <c r="Q97" t="str" cm="1">
        <f t="array" ref="Q97">IF(Table17[[#This Row],[//CONV]]="",Table17[[#This Row],[SATUAN DB]],INDEX(Table2[2],Table17[[#This Row],[//CONV]]))</f>
        <v>PCS</v>
      </c>
      <c r="R97" cm="1">
        <f t="array" ref="R97">IF(Table17[[#This Row],[dbconcat]]="","",INDEX([3]!Table2[ISI],Table17[[#This Row],[dbconcat]]))</f>
        <v>260</v>
      </c>
      <c r="S97" t="str" cm="1">
        <f t="array" ref="S97">IF(Table17[[#This Row],[dbconcat]]="","",INDEX([3]!Table2[[SATUAN ]],Table17[[#This Row],[dbconcat]]))</f>
        <v>PCS</v>
      </c>
      <c r="T97" t="str">
        <f>IF(Table17[[#This Row],[SATUAN S]]="","",IF(_xlfn.NUMBERVALUE(Table17[[#This Row],[ISI DB]])=_xlfn.NUMBERVALUE(Table17[[#This Row],[ISI S]]),"",1))</f>
        <v/>
      </c>
      <c r="U97" t="str">
        <f>IF(Table17[[#This Row],[SATUAN S]]="","",IF(Table17[[#This Row],[SATUAN DB]]=Table17[[#This Row],[SATUAN S]],"",1))</f>
        <v/>
      </c>
      <c r="V97" t="str">
        <f>IF(Table17[[#This Row],[CEK STN S]]="","",MATCH(CONCATENATE(Table17[[#This Row],[SATUAN CONV]],Table17[[#This Row],[SATUAN S]]),Table2[4],0))</f>
        <v/>
      </c>
      <c r="X97" t="str" cm="1">
        <f t="array" ref="X97">IF(Table17[[#This Row],[CONV2_//]]="","",INDEX(Table2[3],Table17[[#This Row],[CONV2_//]]))</f>
        <v/>
      </c>
      <c r="Y97" s="2" t="str">
        <f>IF(Table17[[#This Row],[CEK ISI S]]="",Table17[[#This Row],[ISI DB]],Table17[[#This Row],[ISI S]])</f>
        <v>260</v>
      </c>
      <c r="Z97" t="str">
        <f>IF(Table17[[#This Row],[CEK STN S]]="",Table17[[#This Row],[SATUAN DB]],Table17[[#This Row],[SATUAN S]])</f>
        <v>PCS</v>
      </c>
      <c r="AA97">
        <f>IF(Table17[[#This Row],[//CONV]]="",Table17[[#This Row],[ISI NOTA]]/Table17[[#This Row],[ISI_C]],Table17[[#This Row],[ISI DB CONV]]/Table17[[#This Row],[ISI_C]])</f>
        <v>12</v>
      </c>
      <c r="AB97">
        <f>INDEX(NOTA[HARGA SATUAN],Sheet1!A:A)</f>
        <v>7500</v>
      </c>
      <c r="AC97">
        <f>IF(Table17[[#This Row],[//CONV]]="",Table17[[#This Row],[HARGA NOTA]],Table17[[#This Row],[HARGA NOTA]]/Table17[[#This Row],[CONV VAR]])</f>
        <v>7500</v>
      </c>
      <c r="AD97">
        <f>IF(Table17[[#This Row],[CEK STN S]]="",Table17[[#This Row],[HARGA CONV]],Table17[[#This Row],[HARGA CONV]]/Table17[[#This Row],[CONV2 VAR]])</f>
        <v>7500</v>
      </c>
      <c r="AE97" s="3" t="str">
        <f>IF(INDEX(NOTA[Column6],Sheet1!A:A)=0,"",INDEX(NOTA[Column6],Sheet1!A:A))</f>
        <v/>
      </c>
      <c r="AF97" s="3" t="str">
        <f>IF(INDEX(NOTA[Column7],Sheet1!A:A)=0,"",INDEX(NOTA[Column7],Sheet1!A:A))</f>
        <v/>
      </c>
      <c r="AG9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7" s="4">
        <f>INDEX(NOTA[HARGA/ CTN_H],Sheet1!A:A)</f>
        <v>1800000</v>
      </c>
      <c r="AI97" s="4">
        <f>IF(Table17[[#This Row],[DISC 3]]="",Table17[[#This Row],[HRG / CTN]],Table17[[#This Row],[HRG / CTN]]-(Table17[[#This Row],[HRG / CTN]]*Table17[[#This Row],[DISC 3]]))</f>
        <v>1800000</v>
      </c>
      <c r="AJ97" s="5" t="e">
        <f>IF(#REF!&lt;1,Table17[[#This Row],[Column9]],Table17[[#This Row],[Column9]]*#REF!)</f>
        <v>#REF!</v>
      </c>
      <c r="AK97" s="4" t="str">
        <f ca="1">IF(NOT(AP98=Table17[[#This Row],[Column6]]),SUMIF(Table17[Column6],Table17[[#This Row],[Column6]],Table17[Column7]),"")</f>
        <v/>
      </c>
      <c r="AL97" s="6">
        <f ca="1">INDEX(NOTA[TGL_H],Sheet1!A:A)</f>
        <v>45479</v>
      </c>
      <c r="AM97" s="6">
        <f ca="1">INDEX(NOTA[TGL.NOTA_H],Sheet1!A:A)</f>
        <v>45474</v>
      </c>
      <c r="AO97" t="str">
        <f>IF(INDEX(NOTA[Column10],A:A)="","",INDEX(NOTA[Column10],A:A))</f>
        <v/>
      </c>
      <c r="AP97" t="str">
        <f ca="1">INDEX(NOTA[NO.NOTA_H],Sheet1!A:A)</f>
        <v>81127</v>
      </c>
      <c r="AQ97">
        <f>INDEX(NOTA[Column10],Sheet1!A:A)</f>
        <v>0</v>
      </c>
      <c r="AR97" s="8" t="str">
        <f ca="1">INDEX(NOTA[SUPPLIER_H],Sheet1!A:A)</f>
        <v>SINAR KOTA</v>
      </c>
      <c r="AS97" t="str">
        <f>Table17[[#This Row],[NAMA_C]]</f>
        <v>AGENDA 50K BC-511 (35-50)</v>
      </c>
      <c r="AT97" t="str">
        <f ca="1">Table17[[#This Row],[SUPPLIER]]</f>
        <v>SINAR KOTA</v>
      </c>
      <c r="AU97" t="str">
        <f>SUBSTITUTE(Table17[[#This Row],[CTN]],",",".")</f>
        <v>12</v>
      </c>
      <c r="AV97" s="13" t="str">
        <f>Table17[[#This Row],[ISI_C]]</f>
        <v>260</v>
      </c>
      <c r="AW97" t="str">
        <f>Table17[[#This Row],[SATUAN_C]]</f>
        <v>PCS</v>
      </c>
      <c r="AX97">
        <f>Table17[[#This Row],[HARGA CONV2]]</f>
        <v>7500</v>
      </c>
      <c r="AY97" s="9" t="str">
        <f>SUBSTITUTE(Table17[[#This Row],[DISC 3]],",",".")</f>
        <v/>
      </c>
      <c r="AZ97" s="6">
        <f ca="1">Table17[[#This Row],[TGL DATANG]]</f>
        <v>45479</v>
      </c>
      <c r="BA97" s="6">
        <f ca="1">Table17[[#This Row],[Column10]]</f>
        <v>45474</v>
      </c>
      <c r="BB97" s="7"/>
      <c r="BC97" t="str">
        <f>Table17[[#This Row],[KETERANGAN CONDRO]]</f>
        <v/>
      </c>
      <c r="BD97" t="str">
        <f ca="1">Table17[[#This Row],[Column6]]</f>
        <v>81127</v>
      </c>
    </row>
    <row r="98" spans="1:56">
      <c r="A98" s="55">
        <v>128</v>
      </c>
      <c r="C98">
        <f>INDEX(NOTA[//DB],Sheet1!A:A)</f>
        <v>3455</v>
      </c>
      <c r="D98">
        <f>_xlfn.IFNA(MATCH(Table17[[#This Row],[//db]],[3]!Table2[\\],0),"")</f>
        <v>70</v>
      </c>
      <c r="E98" t="str">
        <f>INDEX([3]!db[NB NOTA],Table17[[#This Row],[//db]])</f>
        <v>AGENDA 50K BC-511 (35-50)</v>
      </c>
      <c r="F98" t="str">
        <f>INDEX([3]!db[NB BM],Table17[[#This Row],[//db]])</f>
        <v>AGENDA 50K BC-511 (35-50)</v>
      </c>
      <c r="G98" t="str">
        <f>IF(Table17[[#This Row],[dbconcat]]="","",INDEX([3]!Table2[NAMA],Table17[[#This Row],[dbconcat]]))</f>
        <v>AGENDA 50K BC-511 (35-50)</v>
      </c>
      <c r="H98" t="str">
        <f>INDEX([3]!Table2[KODE BARANG],Table17[[#This Row],[dbconcat]])</f>
        <v>AGE-NB20</v>
      </c>
      <c r="I98" t="str">
        <f>IF(Table17[[#This Row],[NAMA_3]]="",UPPER(Table17[[#This Row],[NAMA_2]]),Table17[[#This Row],[NAMA_3]])</f>
        <v>AGENDA 50K BC-511 (35-50)</v>
      </c>
      <c r="J98">
        <f>INDEX(NOTA[QTY],Sheet1!A:A)</f>
        <v>220</v>
      </c>
      <c r="K98" t="str">
        <f>INDEX(NOTA[STN],Sheet1!A:A)</f>
        <v>PCS</v>
      </c>
      <c r="L98" t="str">
        <f>INDEX([3]!db[QTY B],Table17[[#This Row],[//db]])</f>
        <v>260</v>
      </c>
      <c r="M98" t="str">
        <f>INDEX([3]!db[STN B],Table17[[#This Row],[//db]])</f>
        <v>PCS</v>
      </c>
      <c r="N98" t="str">
        <f>IF(Table17[[#This Row],[SATUAN NOTA]]=Table17[[#This Row],[SATUAN DB]],"", MATCH(CONCATENATE(Table17[[#This Row],[SATUAN NOTA]],Table17[[#This Row],[SATUAN DB]]),Table2[4],0))</f>
        <v/>
      </c>
      <c r="O98" t="str" cm="1">
        <f t="array" ref="O98">IF(Table17[[#This Row],[//CONV]]="","",INDEX(Table2[3],Table17[[#This Row],[//CONV]]))</f>
        <v/>
      </c>
      <c r="P98" t="str">
        <f>IF(Table17[[#This Row],[//CONV]]="",Table17[[#This Row],[ISI DB]],Table17[[#This Row],[ISI NOTA]]*Table17[[#This Row],[CONV VAR]])</f>
        <v>260</v>
      </c>
      <c r="Q98" t="str" cm="1">
        <f t="array" ref="Q98">IF(Table17[[#This Row],[//CONV]]="",Table17[[#This Row],[SATUAN DB]],INDEX(Table2[2],Table17[[#This Row],[//CONV]]))</f>
        <v>PCS</v>
      </c>
      <c r="R98" cm="1">
        <f t="array" ref="R98">IF(Table17[[#This Row],[dbconcat]]="","",INDEX([3]!Table2[ISI],Table17[[#This Row],[dbconcat]]))</f>
        <v>260</v>
      </c>
      <c r="S98" t="str" cm="1">
        <f t="array" ref="S98">IF(Table17[[#This Row],[dbconcat]]="","",INDEX([3]!Table2[[SATUAN ]],Table17[[#This Row],[dbconcat]]))</f>
        <v>PCS</v>
      </c>
      <c r="T98" t="str">
        <f>IF(Table17[[#This Row],[SATUAN S]]="","",IF(_xlfn.NUMBERVALUE(Table17[[#This Row],[ISI DB]])=_xlfn.NUMBERVALUE(Table17[[#This Row],[ISI S]]),"",1))</f>
        <v/>
      </c>
      <c r="U98" t="str">
        <f>IF(Table17[[#This Row],[SATUAN S]]="","",IF(Table17[[#This Row],[SATUAN DB]]=Table17[[#This Row],[SATUAN S]],"",1))</f>
        <v/>
      </c>
      <c r="V98" t="str">
        <f>IF(Table17[[#This Row],[CEK STN S]]="","",MATCH(CONCATENATE(Table17[[#This Row],[SATUAN CONV]],Table17[[#This Row],[SATUAN S]]),Table2[4],0))</f>
        <v/>
      </c>
      <c r="X98" t="str" cm="1">
        <f t="array" ref="X98">IF(Table17[[#This Row],[CONV2_//]]="","",INDEX(Table2[3],Table17[[#This Row],[CONV2_//]]))</f>
        <v/>
      </c>
      <c r="Y98" s="2" t="str">
        <f>IF(Table17[[#This Row],[CEK ISI S]]="",Table17[[#This Row],[ISI DB]],Table17[[#This Row],[ISI S]])</f>
        <v>260</v>
      </c>
      <c r="Z98" t="str">
        <f>IF(Table17[[#This Row],[CEK STN S]]="",Table17[[#This Row],[SATUAN DB]],Table17[[#This Row],[SATUAN S]])</f>
        <v>PCS</v>
      </c>
      <c r="AA98">
        <f>IF(Table17[[#This Row],[//CONV]]="",Table17[[#This Row],[ISI NOTA]]/Table17[[#This Row],[ISI_C]],Table17[[#This Row],[ISI DB CONV]]/Table17[[#This Row],[ISI_C]])</f>
        <v>0.84615384615384615</v>
      </c>
      <c r="AB98">
        <f>INDEX(NOTA[HARGA SATUAN],Sheet1!A:A)</f>
        <v>7500</v>
      </c>
      <c r="AC98">
        <f>IF(Table17[[#This Row],[//CONV]]="",Table17[[#This Row],[HARGA NOTA]],Table17[[#This Row],[HARGA NOTA]]/Table17[[#This Row],[CONV VAR]])</f>
        <v>7500</v>
      </c>
      <c r="AD98">
        <f>IF(Table17[[#This Row],[CEK STN S]]="",Table17[[#This Row],[HARGA CONV]],Table17[[#This Row],[HARGA CONV]]/Table17[[#This Row],[CONV2 VAR]])</f>
        <v>7500</v>
      </c>
      <c r="AE98" s="3" t="str">
        <f>IF(INDEX(NOTA[Column6],Sheet1!A:A)=0,"",INDEX(NOTA[Column6],Sheet1!A:A))</f>
        <v/>
      </c>
      <c r="AF98" s="3" t="str">
        <f>IF(INDEX(NOTA[Column7],Sheet1!A:A)=0,"",INDEX(NOTA[Column7],Sheet1!A:A))</f>
        <v/>
      </c>
      <c r="AG9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8" s="4">
        <f>INDEX(NOTA[HARGA/ CTN_H],Sheet1!A:A)</f>
        <v>1650000</v>
      </c>
      <c r="AI98" s="4">
        <f>IF(Table17[[#This Row],[DISC 3]]="",Table17[[#This Row],[HRG / CTN]],Table17[[#This Row],[HRG / CTN]]-(Table17[[#This Row],[HRG / CTN]]*Table17[[#This Row],[DISC 3]]))</f>
        <v>1650000</v>
      </c>
      <c r="AJ98" s="5" t="e">
        <f>IF(#REF!&lt;1,Table17[[#This Row],[Column9]],Table17[[#This Row],[Column9]]*#REF!)</f>
        <v>#REF!</v>
      </c>
      <c r="AK98" s="4" t="str">
        <f ca="1">IF(NOT(AP99=Table17[[#This Row],[Column6]]),SUMIF(Table17[Column6],Table17[[#This Row],[Column6]],Table17[Column7]),"")</f>
        <v/>
      </c>
      <c r="AL98" s="6">
        <f ca="1">INDEX(NOTA[TGL_H],Sheet1!A:A)</f>
        <v>45479</v>
      </c>
      <c r="AM98" s="6">
        <f ca="1">INDEX(NOTA[TGL.NOTA_H],Sheet1!A:A)</f>
        <v>45474</v>
      </c>
      <c r="AO98" t="str">
        <f>IF(INDEX(NOTA[Column10],A:A)="","",INDEX(NOTA[Column10],A:A))</f>
        <v/>
      </c>
      <c r="AP98" t="str">
        <f ca="1">INDEX(NOTA[NO.NOTA_H],Sheet1!A:A)</f>
        <v>81127</v>
      </c>
      <c r="AQ98">
        <f>INDEX(NOTA[Column10],Sheet1!A:A)</f>
        <v>0</v>
      </c>
      <c r="AR98" s="8" t="str">
        <f ca="1">INDEX(NOTA[SUPPLIER_H],Sheet1!A:A)</f>
        <v>SINAR KOTA</v>
      </c>
      <c r="AS98" t="str">
        <f>Table17[[#This Row],[NAMA_C]]</f>
        <v>AGENDA 50K BC-511 (35-50)</v>
      </c>
      <c r="AT98" t="str">
        <f ca="1">Table17[[#This Row],[SUPPLIER]]</f>
        <v>SINAR KOTA</v>
      </c>
      <c r="AU98" t="str">
        <f>SUBSTITUTE(Table17[[#This Row],[CTN]],",",".")</f>
        <v>0.846153846153846</v>
      </c>
      <c r="AV98" s="13" t="str">
        <f>Table17[[#This Row],[ISI_C]]</f>
        <v>260</v>
      </c>
      <c r="AW98" t="str">
        <f>Table17[[#This Row],[SATUAN_C]]</f>
        <v>PCS</v>
      </c>
      <c r="AX98">
        <f>Table17[[#This Row],[HARGA CONV2]]</f>
        <v>7500</v>
      </c>
      <c r="AY98" s="9" t="str">
        <f>SUBSTITUTE(Table17[[#This Row],[DISC 3]],",",".")</f>
        <v/>
      </c>
      <c r="AZ98" s="6">
        <f ca="1">Table17[[#This Row],[TGL DATANG]]</f>
        <v>45479</v>
      </c>
      <c r="BA98" s="6">
        <f ca="1">Table17[[#This Row],[Column10]]</f>
        <v>45474</v>
      </c>
      <c r="BB98" s="7"/>
      <c r="BC98" t="str">
        <f>Table17[[#This Row],[KETERANGAN CONDRO]]</f>
        <v/>
      </c>
      <c r="BD98" t="str">
        <f ca="1">Table17[[#This Row],[Column6]]</f>
        <v>81127</v>
      </c>
    </row>
    <row r="99" spans="1:56">
      <c r="A99" s="55">
        <v>129</v>
      </c>
      <c r="C99">
        <f>INDEX(NOTA[//DB],Sheet1!A:A)</f>
        <v>3456</v>
      </c>
      <c r="D99">
        <f>_xlfn.IFNA(MATCH(Table17[[#This Row],[//db]],[3]!Table2[\\],0),"")</f>
        <v>79</v>
      </c>
      <c r="E99" t="str">
        <f>INDEX([3]!db[NB NOTA],Table17[[#This Row],[//db]])</f>
        <v>SERUTAN + STIP 660 (3 FUNGSI)</v>
      </c>
      <c r="F99" t="str">
        <f>INDEX([3]!db[NB BM],Table17[[#This Row],[//db]])</f>
        <v>ASAHAN + STIP 660 (3 FUNGSI)</v>
      </c>
      <c r="G99" t="str">
        <f>IF(Table17[[#This Row],[dbconcat]]="","",INDEX([3]!Table2[NAMA],Table17[[#This Row],[dbconcat]]))</f>
        <v>ASAHAN + STIP 660 (3 FUNGSI)</v>
      </c>
      <c r="H99" t="str">
        <f>INDEX([3]!Table2[KODE BARANG],Table17[[#This Row],[dbconcat]])</f>
        <v>ASA-NB3</v>
      </c>
      <c r="I99" t="str">
        <f>IF(Table17[[#This Row],[NAMA_3]]="",UPPER(Table17[[#This Row],[NAMA_2]]),Table17[[#This Row],[NAMA_3]])</f>
        <v>ASAHAN + STIP 660 (3 FUNGSI)</v>
      </c>
      <c r="J99">
        <f>INDEX(NOTA[QTY],Sheet1!A:A)</f>
        <v>11520</v>
      </c>
      <c r="K99" t="str">
        <f>INDEX(NOTA[STN],Sheet1!A:A)</f>
        <v>PCS</v>
      </c>
      <c r="L99" t="str">
        <f>INDEX([3]!db[QTY B],Table17[[#This Row],[//db]])</f>
        <v>1152</v>
      </c>
      <c r="M99" t="str">
        <f>INDEX([3]!db[STN B],Table17[[#This Row],[//db]])</f>
        <v>PCS</v>
      </c>
      <c r="N99" t="str">
        <f>IF(Table17[[#This Row],[SATUAN NOTA]]=Table17[[#This Row],[SATUAN DB]],"", MATCH(CONCATENATE(Table17[[#This Row],[SATUAN NOTA]],Table17[[#This Row],[SATUAN DB]]),Table2[4],0))</f>
        <v/>
      </c>
      <c r="O99" t="str" cm="1">
        <f t="array" ref="O99">IF(Table17[[#This Row],[//CONV]]="","",INDEX(Table2[3],Table17[[#This Row],[//CONV]]))</f>
        <v/>
      </c>
      <c r="P99" t="str">
        <f>IF(Table17[[#This Row],[//CONV]]="",Table17[[#This Row],[ISI DB]],Table17[[#This Row],[ISI NOTA]]*Table17[[#This Row],[CONV VAR]])</f>
        <v>1152</v>
      </c>
      <c r="Q99" t="str" cm="1">
        <f t="array" ref="Q99">IF(Table17[[#This Row],[//CONV]]="",Table17[[#This Row],[SATUAN DB]],INDEX(Table2[2],Table17[[#This Row],[//CONV]]))</f>
        <v>PCS</v>
      </c>
      <c r="R99" cm="1">
        <f t="array" ref="R99">IF(Table17[[#This Row],[dbconcat]]="","",INDEX([3]!Table2[ISI],Table17[[#This Row],[dbconcat]]))</f>
        <v>1152</v>
      </c>
      <c r="S99" t="str" cm="1">
        <f t="array" ref="S99">IF(Table17[[#This Row],[dbconcat]]="","",INDEX([3]!Table2[[SATUAN ]],Table17[[#This Row],[dbconcat]]))</f>
        <v>PCS</v>
      </c>
      <c r="T99" t="str">
        <f>IF(Table17[[#This Row],[SATUAN S]]="","",IF(_xlfn.NUMBERVALUE(Table17[[#This Row],[ISI DB]])=_xlfn.NUMBERVALUE(Table17[[#This Row],[ISI S]]),"",1))</f>
        <v/>
      </c>
      <c r="U99" t="str">
        <f>IF(Table17[[#This Row],[SATUAN S]]="","",IF(Table17[[#This Row],[SATUAN DB]]=Table17[[#This Row],[SATUAN S]],"",1))</f>
        <v/>
      </c>
      <c r="V99" t="str">
        <f>IF(Table17[[#This Row],[CEK STN S]]="","",MATCH(CONCATENATE(Table17[[#This Row],[SATUAN CONV]],Table17[[#This Row],[SATUAN S]]),Table2[4],0))</f>
        <v/>
      </c>
      <c r="X99" t="str" cm="1">
        <f t="array" ref="X99">IF(Table17[[#This Row],[CONV2_//]]="","",INDEX(Table2[3],Table17[[#This Row],[CONV2_//]]))</f>
        <v/>
      </c>
      <c r="Y99" s="2" t="str">
        <f>IF(Table17[[#This Row],[CEK ISI S]]="",Table17[[#This Row],[ISI DB]],Table17[[#This Row],[ISI S]])</f>
        <v>1152</v>
      </c>
      <c r="Z99" t="str">
        <f>IF(Table17[[#This Row],[CEK STN S]]="",Table17[[#This Row],[SATUAN DB]],Table17[[#This Row],[SATUAN S]])</f>
        <v>PCS</v>
      </c>
      <c r="AA99">
        <f>IF(Table17[[#This Row],[//CONV]]="",Table17[[#This Row],[ISI NOTA]]/Table17[[#This Row],[ISI_C]],Table17[[#This Row],[ISI DB CONV]]/Table17[[#This Row],[ISI_C]])</f>
        <v>10</v>
      </c>
      <c r="AB99">
        <f>INDEX(NOTA[HARGA SATUAN],Sheet1!A:A)</f>
        <v>1200</v>
      </c>
      <c r="AC99">
        <f>IF(Table17[[#This Row],[//CONV]]="",Table17[[#This Row],[HARGA NOTA]],Table17[[#This Row],[HARGA NOTA]]/Table17[[#This Row],[CONV VAR]])</f>
        <v>1200</v>
      </c>
      <c r="AD99">
        <f>IF(Table17[[#This Row],[CEK STN S]]="",Table17[[#This Row],[HARGA CONV]],Table17[[#This Row],[HARGA CONV]]/Table17[[#This Row],[CONV2 VAR]])</f>
        <v>1200</v>
      </c>
      <c r="AE99" s="3" t="str">
        <f>IF(INDEX(NOTA[Column6],Sheet1!A:A)=0,"",INDEX(NOTA[Column6],Sheet1!A:A))</f>
        <v/>
      </c>
      <c r="AF99" s="3" t="str">
        <f>IF(INDEX(NOTA[Column7],Sheet1!A:A)=0,"",INDEX(NOTA[Column7],Sheet1!A:A))</f>
        <v/>
      </c>
      <c r="AG9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99" s="4">
        <f>INDEX(NOTA[HARGA/ CTN_H],Sheet1!A:A)</f>
        <v>1256727.2727272727</v>
      </c>
      <c r="AI99" s="4">
        <f>IF(Table17[[#This Row],[DISC 3]]="",Table17[[#This Row],[HRG / CTN]],Table17[[#This Row],[HRG / CTN]]-(Table17[[#This Row],[HRG / CTN]]*Table17[[#This Row],[DISC 3]]))</f>
        <v>1256727.2727272727</v>
      </c>
      <c r="AJ99" s="5" t="e">
        <f>IF(#REF!&lt;1,Table17[[#This Row],[Column9]],Table17[[#This Row],[Column9]]*#REF!)</f>
        <v>#REF!</v>
      </c>
      <c r="AK99" s="4" t="str">
        <f ca="1">IF(NOT(AP100=Table17[[#This Row],[Column6]]),SUMIF(Table17[Column6],Table17[[#This Row],[Column6]],Table17[Column7]),"")</f>
        <v/>
      </c>
      <c r="AL99" s="6">
        <f ca="1">INDEX(NOTA[TGL_H],Sheet1!A:A)</f>
        <v>45479</v>
      </c>
      <c r="AM99" s="6">
        <f ca="1">INDEX(NOTA[TGL.NOTA_H],Sheet1!A:A)</f>
        <v>45474</v>
      </c>
      <c r="AO99" t="str">
        <f>IF(INDEX(NOTA[Column10],A:A)="","",INDEX(NOTA[Column10],A:A))</f>
        <v/>
      </c>
      <c r="AP99" t="str">
        <f ca="1">INDEX(NOTA[NO.NOTA_H],Sheet1!A:A)</f>
        <v>81127</v>
      </c>
      <c r="AQ99">
        <f>INDEX(NOTA[Column10],Sheet1!A:A)</f>
        <v>0</v>
      </c>
      <c r="AR99" s="8" t="str">
        <f ca="1">INDEX(NOTA[SUPPLIER_H],Sheet1!A:A)</f>
        <v>SINAR KOTA</v>
      </c>
      <c r="AS99" t="str">
        <f>Table17[[#This Row],[NAMA_C]]</f>
        <v>ASAHAN + STIP 660 (3 FUNGSI)</v>
      </c>
      <c r="AT99" t="str">
        <f ca="1">Table17[[#This Row],[SUPPLIER]]</f>
        <v>SINAR KOTA</v>
      </c>
      <c r="AU99" t="str">
        <f>SUBSTITUTE(Table17[[#This Row],[CTN]],",",".")</f>
        <v>10</v>
      </c>
      <c r="AV99" s="13" t="str">
        <f>Table17[[#This Row],[ISI_C]]</f>
        <v>1152</v>
      </c>
      <c r="AW99" t="str">
        <f>Table17[[#This Row],[SATUAN_C]]</f>
        <v>PCS</v>
      </c>
      <c r="AX99">
        <f>Table17[[#This Row],[HARGA CONV2]]</f>
        <v>1200</v>
      </c>
      <c r="AY99" s="9" t="str">
        <f>SUBSTITUTE(Table17[[#This Row],[DISC 3]],",",".")</f>
        <v/>
      </c>
      <c r="AZ99" s="6">
        <f ca="1">Table17[[#This Row],[TGL DATANG]]</f>
        <v>45479</v>
      </c>
      <c r="BA99" s="6">
        <f ca="1">Table17[[#This Row],[Column10]]</f>
        <v>45474</v>
      </c>
      <c r="BB99" s="7"/>
      <c r="BC99" t="str">
        <f>Table17[[#This Row],[KETERANGAN CONDRO]]</f>
        <v/>
      </c>
      <c r="BD99" t="str">
        <f ca="1">Table17[[#This Row],[Column6]]</f>
        <v>81127</v>
      </c>
    </row>
    <row r="100" spans="1:56">
      <c r="A100" s="55">
        <v>130</v>
      </c>
      <c r="C100">
        <f>INDEX(NOTA[//DB],Sheet1!A:A)</f>
        <v>3457</v>
      </c>
      <c r="D100" t="str">
        <f>_xlfn.IFNA(MATCH(Table17[[#This Row],[//db]],[3]!Table2[\\],0),"")</f>
        <v/>
      </c>
      <c r="E100" t="str">
        <f>INDEX([3]!db[NB NOTA],Table17[[#This Row],[//db]])</f>
        <v>SERUTAN MEJA HELLO KITY KT 8009</v>
      </c>
      <c r="F100" t="str">
        <f>INDEX([3]!db[NB BM],Table17[[#This Row],[//db]])</f>
        <v>ASAHAN MEJA HELLO KITY KT 8009</v>
      </c>
      <c r="G100" t="str">
        <f>IF(Table17[[#This Row],[dbconcat]]="","",INDEX([3]!Table2[NAMA],Table17[[#This Row],[dbconcat]]))</f>
        <v/>
      </c>
      <c r="H100" t="e">
        <f>INDEX([3]!Table2[KODE BARANG],Table17[[#This Row],[dbconcat]])</f>
        <v>#VALUE!</v>
      </c>
      <c r="I100" t="str">
        <f>IF(Table17[[#This Row],[NAMA_3]]="",UPPER(Table17[[#This Row],[NAMA_2]]),Table17[[#This Row],[NAMA_3]])</f>
        <v>ASAHAN MEJA HELLO KITY KT 8009</v>
      </c>
      <c r="J100">
        <f>INDEX(NOTA[QTY],Sheet1!A:A)</f>
        <v>96</v>
      </c>
      <c r="K100" t="str">
        <f>INDEX(NOTA[STN],Sheet1!A:A)</f>
        <v>PCS</v>
      </c>
      <c r="L100" t="str">
        <f>INDEX([3]!db[QTY B],Table17[[#This Row],[//db]])</f>
        <v>96</v>
      </c>
      <c r="M100" t="str">
        <f>INDEX([3]!db[STN B],Table17[[#This Row],[//db]])</f>
        <v>PCS</v>
      </c>
      <c r="N100" t="str">
        <f>IF(Table17[[#This Row],[SATUAN NOTA]]=Table17[[#This Row],[SATUAN DB]],"", MATCH(CONCATENATE(Table17[[#This Row],[SATUAN NOTA]],Table17[[#This Row],[SATUAN DB]]),Table2[4],0))</f>
        <v/>
      </c>
      <c r="O100" t="str" cm="1">
        <f t="array" ref="O100">IF(Table17[[#This Row],[//CONV]]="","",INDEX(Table2[3],Table17[[#This Row],[//CONV]]))</f>
        <v/>
      </c>
      <c r="P100" t="str">
        <f>IF(Table17[[#This Row],[//CONV]]="",Table17[[#This Row],[ISI DB]],Table17[[#This Row],[ISI NOTA]]*Table17[[#This Row],[CONV VAR]])</f>
        <v>96</v>
      </c>
      <c r="Q100" t="str" cm="1">
        <f t="array" ref="Q100">IF(Table17[[#This Row],[//CONV]]="",Table17[[#This Row],[SATUAN DB]],INDEX(Table2[2],Table17[[#This Row],[//CONV]]))</f>
        <v>PCS</v>
      </c>
      <c r="R100" t="str" cm="1">
        <f t="array" ref="R100">IF(Table17[[#This Row],[dbconcat]]="","",INDEX([3]!Table2[ISI],Table17[[#This Row],[dbconcat]]))</f>
        <v/>
      </c>
      <c r="S100" t="str" cm="1">
        <f t="array" ref="S100">IF(Table17[[#This Row],[dbconcat]]="","",INDEX([3]!Table2[[SATUAN ]],Table17[[#This Row],[dbconcat]]))</f>
        <v/>
      </c>
      <c r="T100" t="str">
        <f>IF(Table17[[#This Row],[SATUAN S]]="","",IF(_xlfn.NUMBERVALUE(Table17[[#This Row],[ISI DB]])=_xlfn.NUMBERVALUE(Table17[[#This Row],[ISI S]]),"",1))</f>
        <v/>
      </c>
      <c r="U100" t="str">
        <f>IF(Table17[[#This Row],[SATUAN S]]="","",IF(Table17[[#This Row],[SATUAN DB]]=Table17[[#This Row],[SATUAN S]],"",1))</f>
        <v/>
      </c>
      <c r="V100" t="str">
        <f>IF(Table17[[#This Row],[CEK STN S]]="","",MATCH(CONCATENATE(Table17[[#This Row],[SATUAN CONV]],Table17[[#This Row],[SATUAN S]]),Table2[4],0))</f>
        <v/>
      </c>
      <c r="X100" t="str" cm="1">
        <f t="array" ref="X100">IF(Table17[[#This Row],[CONV2_//]]="","",INDEX(Table2[3],Table17[[#This Row],[CONV2_//]]))</f>
        <v/>
      </c>
      <c r="Y100" s="2" t="str">
        <f>IF(Table17[[#This Row],[CEK ISI S]]="",Table17[[#This Row],[ISI DB]],Table17[[#This Row],[ISI S]])</f>
        <v>96</v>
      </c>
      <c r="Z100" t="str">
        <f>IF(Table17[[#This Row],[CEK STN S]]="",Table17[[#This Row],[SATUAN DB]],Table17[[#This Row],[SATUAN S]])</f>
        <v>PCS</v>
      </c>
      <c r="AA100">
        <f>IF(Table17[[#This Row],[//CONV]]="",Table17[[#This Row],[ISI NOTA]]/Table17[[#This Row],[ISI_C]],Table17[[#This Row],[ISI DB CONV]]/Table17[[#This Row],[ISI_C]])</f>
        <v>1</v>
      </c>
      <c r="AB100">
        <f>INDEX(NOTA[HARGA SATUAN],Sheet1!A:A)</f>
        <v>17000</v>
      </c>
      <c r="AC100">
        <f>IF(Table17[[#This Row],[//CONV]]="",Table17[[#This Row],[HARGA NOTA]],Table17[[#This Row],[HARGA NOTA]]/Table17[[#This Row],[CONV VAR]])</f>
        <v>17000</v>
      </c>
      <c r="AD100">
        <f>IF(Table17[[#This Row],[CEK STN S]]="",Table17[[#This Row],[HARGA CONV]],Table17[[#This Row],[HARGA CONV]]/Table17[[#This Row],[CONV2 VAR]])</f>
        <v>17000</v>
      </c>
      <c r="AE100" s="3" t="str">
        <f>IF(INDEX(NOTA[Column6],Sheet1!A:A)=0,"",INDEX(NOTA[Column6],Sheet1!A:A))</f>
        <v/>
      </c>
      <c r="AF100" s="3" t="str">
        <f>IF(INDEX(NOTA[Column7],Sheet1!A:A)=0,"",INDEX(NOTA[Column7],Sheet1!A:A))</f>
        <v/>
      </c>
      <c r="AG10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0" s="4">
        <f>INDEX(NOTA[HARGA/ CTN_H],Sheet1!A:A)</f>
        <v>1632000</v>
      </c>
      <c r="AI100" s="4">
        <f>IF(Table17[[#This Row],[DISC 3]]="",Table17[[#This Row],[HRG / CTN]],Table17[[#This Row],[HRG / CTN]]-(Table17[[#This Row],[HRG / CTN]]*Table17[[#This Row],[DISC 3]]))</f>
        <v>1632000</v>
      </c>
      <c r="AJ100" s="5" t="e">
        <f>IF(#REF!&lt;1,Table17[[#This Row],[Column9]],Table17[[#This Row],[Column9]]*#REF!)</f>
        <v>#REF!</v>
      </c>
      <c r="AK100" s="4" t="str">
        <f ca="1">IF(NOT(AP101=Table17[[#This Row],[Column6]]),SUMIF(Table17[Column6],Table17[[#This Row],[Column6]],Table17[Column7]),"")</f>
        <v/>
      </c>
      <c r="AL100" s="6">
        <f ca="1">INDEX(NOTA[TGL_H],Sheet1!A:A)</f>
        <v>45479</v>
      </c>
      <c r="AM100" s="6">
        <f ca="1">INDEX(NOTA[TGL.NOTA_H],Sheet1!A:A)</f>
        <v>45474</v>
      </c>
      <c r="AO100" t="str">
        <f>IF(INDEX(NOTA[Column10],A:A)="","",INDEX(NOTA[Column10],A:A))</f>
        <v/>
      </c>
      <c r="AP100" t="str">
        <f ca="1">INDEX(NOTA[NO.NOTA_H],Sheet1!A:A)</f>
        <v>81127</v>
      </c>
      <c r="AQ100">
        <f>INDEX(NOTA[Column10],Sheet1!A:A)</f>
        <v>0</v>
      </c>
      <c r="AR100" s="8" t="str">
        <f ca="1">INDEX(NOTA[SUPPLIER_H],Sheet1!A:A)</f>
        <v>SINAR KOTA</v>
      </c>
      <c r="AS100" t="str">
        <f>Table17[[#This Row],[NAMA_C]]</f>
        <v>ASAHAN MEJA HELLO KITY KT 8009</v>
      </c>
      <c r="AT100" t="str">
        <f ca="1">Table17[[#This Row],[SUPPLIER]]</f>
        <v>SINAR KOTA</v>
      </c>
      <c r="AU100" t="str">
        <f>SUBSTITUTE(Table17[[#This Row],[CTN]],",",".")</f>
        <v>1</v>
      </c>
      <c r="AV100" s="13" t="str">
        <f>Table17[[#This Row],[ISI_C]]</f>
        <v>96</v>
      </c>
      <c r="AW100" t="str">
        <f>Table17[[#This Row],[SATUAN_C]]</f>
        <v>PCS</v>
      </c>
      <c r="AX100">
        <f>Table17[[#This Row],[HARGA CONV2]]</f>
        <v>17000</v>
      </c>
      <c r="AY100" s="9" t="str">
        <f>SUBSTITUTE(Table17[[#This Row],[DISC 3]],",",".")</f>
        <v/>
      </c>
      <c r="AZ100" s="6">
        <f ca="1">Table17[[#This Row],[TGL DATANG]]</f>
        <v>45479</v>
      </c>
      <c r="BA100" s="6">
        <f ca="1">Table17[[#This Row],[Column10]]</f>
        <v>45474</v>
      </c>
      <c r="BB100" s="7"/>
      <c r="BC100" t="str">
        <f>Table17[[#This Row],[KETERANGAN CONDRO]]</f>
        <v/>
      </c>
      <c r="BD100" t="str">
        <f ca="1">Table17[[#This Row],[Column6]]</f>
        <v>81127</v>
      </c>
    </row>
    <row r="101" spans="1:56">
      <c r="A101" s="55">
        <v>131</v>
      </c>
      <c r="C101">
        <f>INDEX(NOTA[//DB],Sheet1!A:A)</f>
        <v>3458</v>
      </c>
      <c r="D101">
        <f>_xlfn.IFNA(MATCH(Table17[[#This Row],[//db]],[3]!Table2[\\],0),"")</f>
        <v>202</v>
      </c>
      <c r="E101" t="str">
        <f>INDEX([3]!db[NB NOTA],Table17[[#This Row],[//db]])</f>
        <v>SERUTAN MEJA HELLO KITTY KT 8009</v>
      </c>
      <c r="F101" t="str">
        <f>INDEX([3]!db[NB BM],Table17[[#This Row],[//db]])</f>
        <v>ASAHAN MEJA HELLO KITTY KT 8009</v>
      </c>
      <c r="G101" t="str">
        <f>IF(Table17[[#This Row],[dbconcat]]="","",INDEX([3]!Table2[NAMA],Table17[[#This Row],[dbconcat]]))</f>
        <v>ASAHAN MEJA HELLO KITTY KT 8009</v>
      </c>
      <c r="H101" t="str">
        <f>INDEX([3]!Table2[KODE BARANG],Table17[[#This Row],[dbconcat]])</f>
        <v>ASA-NB126</v>
      </c>
      <c r="I101" t="str">
        <f>IF(Table17[[#This Row],[NAMA_3]]="",UPPER(Table17[[#This Row],[NAMA_2]]),Table17[[#This Row],[NAMA_3]])</f>
        <v>ASAHAN MEJA HELLO KITTY KT 8009</v>
      </c>
      <c r="J101">
        <f>INDEX(NOTA[QTY],Sheet1!A:A)</f>
        <v>90</v>
      </c>
      <c r="K101" t="str">
        <f>INDEX(NOTA[STN],Sheet1!A:A)</f>
        <v>PCS</v>
      </c>
      <c r="L101" t="str">
        <f>INDEX([3]!db[QTY B],Table17[[#This Row],[//db]])</f>
        <v>96</v>
      </c>
      <c r="M101" t="str">
        <f>INDEX([3]!db[STN B],Table17[[#This Row],[//db]])</f>
        <v>PCS</v>
      </c>
      <c r="N101" t="str">
        <f>IF(Table17[[#This Row],[SATUAN NOTA]]=Table17[[#This Row],[SATUAN DB]],"", MATCH(CONCATENATE(Table17[[#This Row],[SATUAN NOTA]],Table17[[#This Row],[SATUAN DB]]),Table2[4],0))</f>
        <v/>
      </c>
      <c r="O101" t="str" cm="1">
        <f t="array" ref="O101">IF(Table17[[#This Row],[//CONV]]="","",INDEX(Table2[3],Table17[[#This Row],[//CONV]]))</f>
        <v/>
      </c>
      <c r="P101" t="str">
        <f>IF(Table17[[#This Row],[//CONV]]="",Table17[[#This Row],[ISI DB]],Table17[[#This Row],[ISI NOTA]]*Table17[[#This Row],[CONV VAR]])</f>
        <v>96</v>
      </c>
      <c r="Q101" t="str" cm="1">
        <f t="array" ref="Q101">IF(Table17[[#This Row],[//CONV]]="",Table17[[#This Row],[SATUAN DB]],INDEX(Table2[2],Table17[[#This Row],[//CONV]]))</f>
        <v>PCS</v>
      </c>
      <c r="R101" cm="1">
        <f t="array" ref="R101">IF(Table17[[#This Row],[dbconcat]]="","",INDEX([3]!Table2[ISI],Table17[[#This Row],[dbconcat]]))</f>
        <v>96</v>
      </c>
      <c r="S101" t="str" cm="1">
        <f t="array" ref="S101">IF(Table17[[#This Row],[dbconcat]]="","",INDEX([3]!Table2[[SATUAN ]],Table17[[#This Row],[dbconcat]]))</f>
        <v>PCS</v>
      </c>
      <c r="T101" t="str">
        <f>IF(Table17[[#This Row],[SATUAN S]]="","",IF(_xlfn.NUMBERVALUE(Table17[[#This Row],[ISI DB]])=_xlfn.NUMBERVALUE(Table17[[#This Row],[ISI S]]),"",1))</f>
        <v/>
      </c>
      <c r="U101" t="str">
        <f>IF(Table17[[#This Row],[SATUAN S]]="","",IF(Table17[[#This Row],[SATUAN DB]]=Table17[[#This Row],[SATUAN S]],"",1))</f>
        <v/>
      </c>
      <c r="V101" t="str">
        <f>IF(Table17[[#This Row],[CEK STN S]]="","",MATCH(CONCATENATE(Table17[[#This Row],[SATUAN CONV]],Table17[[#This Row],[SATUAN S]]),Table2[4],0))</f>
        <v/>
      </c>
      <c r="X101" t="str" cm="1">
        <f t="array" ref="X101">IF(Table17[[#This Row],[CONV2_//]]="","",INDEX(Table2[3],Table17[[#This Row],[CONV2_//]]))</f>
        <v/>
      </c>
      <c r="Y101" s="2" t="str">
        <f>IF(Table17[[#This Row],[CEK ISI S]]="",Table17[[#This Row],[ISI DB]],Table17[[#This Row],[ISI S]])</f>
        <v>96</v>
      </c>
      <c r="Z101" t="str">
        <f>IF(Table17[[#This Row],[CEK STN S]]="",Table17[[#This Row],[SATUAN DB]],Table17[[#This Row],[SATUAN S]])</f>
        <v>PCS</v>
      </c>
      <c r="AA101">
        <f>IF(Table17[[#This Row],[//CONV]]="",Table17[[#This Row],[ISI NOTA]]/Table17[[#This Row],[ISI_C]],Table17[[#This Row],[ISI DB CONV]]/Table17[[#This Row],[ISI_C]])</f>
        <v>0.9375</v>
      </c>
      <c r="AB101">
        <f>INDEX(NOTA[HARGA SATUAN],Sheet1!A:A)</f>
        <v>17000</v>
      </c>
      <c r="AC101">
        <f>IF(Table17[[#This Row],[//CONV]]="",Table17[[#This Row],[HARGA NOTA]],Table17[[#This Row],[HARGA NOTA]]/Table17[[#This Row],[CONV VAR]])</f>
        <v>17000</v>
      </c>
      <c r="AD101">
        <f>IF(Table17[[#This Row],[CEK STN S]]="",Table17[[#This Row],[HARGA CONV]],Table17[[#This Row],[HARGA CONV]]/Table17[[#This Row],[CONV2 VAR]])</f>
        <v>17000</v>
      </c>
      <c r="AE101" s="3" t="str">
        <f>IF(INDEX(NOTA[Column6],Sheet1!A:A)=0,"",INDEX(NOTA[Column6],Sheet1!A:A))</f>
        <v/>
      </c>
      <c r="AF101" s="3" t="str">
        <f>IF(INDEX(NOTA[Column7],Sheet1!A:A)=0,"",INDEX(NOTA[Column7],Sheet1!A:A))</f>
        <v/>
      </c>
      <c r="AG10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1" s="4">
        <f>INDEX(NOTA[HARGA/ CTN_H],Sheet1!A:A)</f>
        <v>1530000</v>
      </c>
      <c r="AI101" s="4">
        <f>IF(Table17[[#This Row],[DISC 3]]="",Table17[[#This Row],[HRG / CTN]],Table17[[#This Row],[HRG / CTN]]-(Table17[[#This Row],[HRG / CTN]]*Table17[[#This Row],[DISC 3]]))</f>
        <v>1530000</v>
      </c>
      <c r="AJ101" s="5" t="e">
        <f>IF(#REF!&lt;1,Table17[[#This Row],[Column9]],Table17[[#This Row],[Column9]]*#REF!)</f>
        <v>#REF!</v>
      </c>
      <c r="AK101" s="4" t="str">
        <f ca="1">IF(NOT(AP102=Table17[[#This Row],[Column6]]),SUMIF(Table17[Column6],Table17[[#This Row],[Column6]],Table17[Column7]),"")</f>
        <v/>
      </c>
      <c r="AL101" s="6">
        <f ca="1">INDEX(NOTA[TGL_H],Sheet1!A:A)</f>
        <v>45479</v>
      </c>
      <c r="AM101" s="6">
        <f ca="1">INDEX(NOTA[TGL.NOTA_H],Sheet1!A:A)</f>
        <v>45474</v>
      </c>
      <c r="AO101" t="str">
        <f>IF(INDEX(NOTA[Column10],A:A)="","",INDEX(NOTA[Column10],A:A))</f>
        <v/>
      </c>
      <c r="AP101" t="str">
        <f ca="1">INDEX(NOTA[NO.NOTA_H],Sheet1!A:A)</f>
        <v>81127</v>
      </c>
      <c r="AQ101">
        <f>INDEX(NOTA[Column10],Sheet1!A:A)</f>
        <v>0</v>
      </c>
      <c r="AR101" s="8" t="str">
        <f ca="1">INDEX(NOTA[SUPPLIER_H],Sheet1!A:A)</f>
        <v>SINAR KOTA</v>
      </c>
      <c r="AS101" t="str">
        <f>Table17[[#This Row],[NAMA_C]]</f>
        <v>ASAHAN MEJA HELLO KITTY KT 8009</v>
      </c>
      <c r="AT101" t="str">
        <f ca="1">Table17[[#This Row],[SUPPLIER]]</f>
        <v>SINAR KOTA</v>
      </c>
      <c r="AU101" t="str">
        <f>SUBSTITUTE(Table17[[#This Row],[CTN]],",",".")</f>
        <v>0.9375</v>
      </c>
      <c r="AV101" s="13" t="str">
        <f>Table17[[#This Row],[ISI_C]]</f>
        <v>96</v>
      </c>
      <c r="AW101" t="str">
        <f>Table17[[#This Row],[SATUAN_C]]</f>
        <v>PCS</v>
      </c>
      <c r="AX101">
        <f>Table17[[#This Row],[HARGA CONV2]]</f>
        <v>17000</v>
      </c>
      <c r="AY101" s="9" t="str">
        <f>SUBSTITUTE(Table17[[#This Row],[DISC 3]],",",".")</f>
        <v/>
      </c>
      <c r="AZ101" s="6">
        <f ca="1">Table17[[#This Row],[TGL DATANG]]</f>
        <v>45479</v>
      </c>
      <c r="BA101" s="6">
        <f ca="1">Table17[[#This Row],[Column10]]</f>
        <v>45474</v>
      </c>
      <c r="BB101" s="7"/>
      <c r="BC101" t="str">
        <f>Table17[[#This Row],[KETERANGAN CONDRO]]</f>
        <v/>
      </c>
      <c r="BD101" t="str">
        <f ca="1">Table17[[#This Row],[Column6]]</f>
        <v>81127</v>
      </c>
    </row>
    <row r="102" spans="1:56">
      <c r="A102" s="55">
        <v>132</v>
      </c>
      <c r="C102">
        <f>INDEX(NOTA[//DB],Sheet1!A:A)</f>
        <v>3459</v>
      </c>
      <c r="D102">
        <f>_xlfn.IFNA(MATCH(Table17[[#This Row],[//db]],[3]!Table2[\\],0),"")</f>
        <v>2146</v>
      </c>
      <c r="E102" t="str">
        <f>INDEX([3]!db[NB NOTA],Table17[[#This Row],[//db]])</f>
        <v>NOTEBOOK AA0920-3 (0929)</v>
      </c>
      <c r="F102" t="str">
        <f>INDEX([3]!db[NB BM],Table17[[#This Row],[//db]])</f>
        <v>NOTEBOOK AA0920-3 (0929)</v>
      </c>
      <c r="G102" t="str">
        <f>IF(Table17[[#This Row],[dbconcat]]="","",INDEX([3]!Table2[NAMA],Table17[[#This Row],[dbconcat]]))</f>
        <v>NOTEBOOK AA0920-3 (0929)</v>
      </c>
      <c r="H102" t="str">
        <f>INDEX([3]!Table2[KODE BARANG],Table17[[#This Row],[dbconcat]])</f>
        <v>NOT-NB115</v>
      </c>
      <c r="I102" t="str">
        <f>IF(Table17[[#This Row],[NAMA_3]]="",UPPER(Table17[[#This Row],[NAMA_2]]),Table17[[#This Row],[NAMA_3]])</f>
        <v>NOTEBOOK AA0920-3 (0929)</v>
      </c>
      <c r="J102">
        <f>INDEX(NOTA[QTY],Sheet1!A:A)</f>
        <v>200</v>
      </c>
      <c r="K102" t="str">
        <f>INDEX(NOTA[STN],Sheet1!A:A)</f>
        <v>PCS</v>
      </c>
      <c r="L102" t="str">
        <f>INDEX([3]!db[QTY B],Table17[[#This Row],[//db]])</f>
        <v>200</v>
      </c>
      <c r="M102" t="str">
        <f>INDEX([3]!db[STN B],Table17[[#This Row],[//db]])</f>
        <v>PCS</v>
      </c>
      <c r="N102" t="str">
        <f>IF(Table17[[#This Row],[SATUAN NOTA]]=Table17[[#This Row],[SATUAN DB]],"", MATCH(CONCATENATE(Table17[[#This Row],[SATUAN NOTA]],Table17[[#This Row],[SATUAN DB]]),Table2[4],0))</f>
        <v/>
      </c>
      <c r="O102" t="str" cm="1">
        <f t="array" ref="O102">IF(Table17[[#This Row],[//CONV]]="","",INDEX(Table2[3],Table17[[#This Row],[//CONV]]))</f>
        <v/>
      </c>
      <c r="P102" t="str">
        <f>IF(Table17[[#This Row],[//CONV]]="",Table17[[#This Row],[ISI DB]],Table17[[#This Row],[ISI NOTA]]*Table17[[#This Row],[CONV VAR]])</f>
        <v>200</v>
      </c>
      <c r="Q102" t="str" cm="1">
        <f t="array" ref="Q102">IF(Table17[[#This Row],[//CONV]]="",Table17[[#This Row],[SATUAN DB]],INDEX(Table2[2],Table17[[#This Row],[//CONV]]))</f>
        <v>PCS</v>
      </c>
      <c r="R102" cm="1">
        <f t="array" ref="R102">IF(Table17[[#This Row],[dbconcat]]="","",INDEX([3]!Table2[ISI],Table17[[#This Row],[dbconcat]]))</f>
        <v>200</v>
      </c>
      <c r="S102" t="str" cm="1">
        <f t="array" ref="S102">IF(Table17[[#This Row],[dbconcat]]="","",INDEX([3]!Table2[[SATUAN ]],Table17[[#This Row],[dbconcat]]))</f>
        <v>PCS</v>
      </c>
      <c r="T102" t="str">
        <f>IF(Table17[[#This Row],[SATUAN S]]="","",IF(_xlfn.NUMBERVALUE(Table17[[#This Row],[ISI DB]])=_xlfn.NUMBERVALUE(Table17[[#This Row],[ISI S]]),"",1))</f>
        <v/>
      </c>
      <c r="U102" t="str">
        <f>IF(Table17[[#This Row],[SATUAN S]]="","",IF(Table17[[#This Row],[SATUAN DB]]=Table17[[#This Row],[SATUAN S]],"",1))</f>
        <v/>
      </c>
      <c r="V102" t="str">
        <f>IF(Table17[[#This Row],[CEK STN S]]="","",MATCH(CONCATENATE(Table17[[#This Row],[SATUAN CONV]],Table17[[#This Row],[SATUAN S]]),Table2[4],0))</f>
        <v/>
      </c>
      <c r="X102" t="str" cm="1">
        <f t="array" ref="X102">IF(Table17[[#This Row],[CONV2_//]]="","",INDEX(Table2[3],Table17[[#This Row],[CONV2_//]]))</f>
        <v/>
      </c>
      <c r="Y102" s="2" t="str">
        <f>IF(Table17[[#This Row],[CEK ISI S]]="",Table17[[#This Row],[ISI DB]],Table17[[#This Row],[ISI S]])</f>
        <v>200</v>
      </c>
      <c r="Z102" t="str">
        <f>IF(Table17[[#This Row],[CEK STN S]]="",Table17[[#This Row],[SATUAN DB]],Table17[[#This Row],[SATUAN S]])</f>
        <v>PCS</v>
      </c>
      <c r="AA102">
        <f>IF(Table17[[#This Row],[//CONV]]="",Table17[[#This Row],[ISI NOTA]]/Table17[[#This Row],[ISI_C]],Table17[[#This Row],[ISI DB CONV]]/Table17[[#This Row],[ISI_C]])</f>
        <v>1</v>
      </c>
      <c r="AB102">
        <f>INDEX(NOTA[HARGA SATUAN],Sheet1!A:A)</f>
        <v>5000</v>
      </c>
      <c r="AC102">
        <f>IF(Table17[[#This Row],[//CONV]]="",Table17[[#This Row],[HARGA NOTA]],Table17[[#This Row],[HARGA NOTA]]/Table17[[#This Row],[CONV VAR]])</f>
        <v>5000</v>
      </c>
      <c r="AD102">
        <f>IF(Table17[[#This Row],[CEK STN S]]="",Table17[[#This Row],[HARGA CONV]],Table17[[#This Row],[HARGA CONV]]/Table17[[#This Row],[CONV2 VAR]])</f>
        <v>5000</v>
      </c>
      <c r="AE102" s="3" t="str">
        <f>IF(INDEX(NOTA[Column6],Sheet1!A:A)=0,"",INDEX(NOTA[Column6],Sheet1!A:A))</f>
        <v/>
      </c>
      <c r="AF102" s="3" t="str">
        <f>IF(INDEX(NOTA[Column7],Sheet1!A:A)=0,"",INDEX(NOTA[Column7],Sheet1!A:A))</f>
        <v/>
      </c>
      <c r="AG10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2" s="4">
        <f>INDEX(NOTA[HARGA/ CTN_H],Sheet1!A:A)</f>
        <v>1000000</v>
      </c>
      <c r="AI102" s="4">
        <f>IF(Table17[[#This Row],[DISC 3]]="",Table17[[#This Row],[HRG / CTN]],Table17[[#This Row],[HRG / CTN]]-(Table17[[#This Row],[HRG / CTN]]*Table17[[#This Row],[DISC 3]]))</f>
        <v>1000000</v>
      </c>
      <c r="AJ102" s="5" t="e">
        <f>IF(#REF!&lt;1,Table17[[#This Row],[Column9]],Table17[[#This Row],[Column9]]*#REF!)</f>
        <v>#REF!</v>
      </c>
      <c r="AK102" s="4" t="str">
        <f ca="1">IF(NOT(AP103=Table17[[#This Row],[Column6]]),SUMIF(Table17[Column6],Table17[[#This Row],[Column6]],Table17[Column7]),"")</f>
        <v/>
      </c>
      <c r="AL102" s="6">
        <f ca="1">INDEX(NOTA[TGL_H],Sheet1!A:A)</f>
        <v>45479</v>
      </c>
      <c r="AM102" s="6">
        <f ca="1">INDEX(NOTA[TGL.NOTA_H],Sheet1!A:A)</f>
        <v>45474</v>
      </c>
      <c r="AO102" t="str">
        <f>IF(INDEX(NOTA[Column10],A:A)="","",INDEX(NOTA[Column10],A:A))</f>
        <v/>
      </c>
      <c r="AP102" t="str">
        <f ca="1">INDEX(NOTA[NO.NOTA_H],Sheet1!A:A)</f>
        <v>81127</v>
      </c>
      <c r="AQ102">
        <f>INDEX(NOTA[Column10],Sheet1!A:A)</f>
        <v>0</v>
      </c>
      <c r="AR102" s="8" t="str">
        <f ca="1">INDEX(NOTA[SUPPLIER_H],Sheet1!A:A)</f>
        <v>SINAR KOTA</v>
      </c>
      <c r="AS102" t="str">
        <f>Table17[[#This Row],[NAMA_C]]</f>
        <v>NOTEBOOK AA0920-3 (0929)</v>
      </c>
      <c r="AT102" t="str">
        <f ca="1">Table17[[#This Row],[SUPPLIER]]</f>
        <v>SINAR KOTA</v>
      </c>
      <c r="AU102" t="str">
        <f>SUBSTITUTE(Table17[[#This Row],[CTN]],",",".")</f>
        <v>1</v>
      </c>
      <c r="AV102" s="13" t="str">
        <f>Table17[[#This Row],[ISI_C]]</f>
        <v>200</v>
      </c>
      <c r="AW102" t="str">
        <f>Table17[[#This Row],[SATUAN_C]]</f>
        <v>PCS</v>
      </c>
      <c r="AX102">
        <f>Table17[[#This Row],[HARGA CONV2]]</f>
        <v>5000</v>
      </c>
      <c r="AY102" s="9" t="str">
        <f>SUBSTITUTE(Table17[[#This Row],[DISC 3]],",",".")</f>
        <v/>
      </c>
      <c r="AZ102" s="6">
        <f ca="1">Table17[[#This Row],[TGL DATANG]]</f>
        <v>45479</v>
      </c>
      <c r="BA102" s="6">
        <f ca="1">Table17[[#This Row],[Column10]]</f>
        <v>45474</v>
      </c>
      <c r="BB102" s="7"/>
      <c r="BC102" t="str">
        <f>Table17[[#This Row],[KETERANGAN CONDRO]]</f>
        <v/>
      </c>
      <c r="BD102" t="str">
        <f ca="1">Table17[[#This Row],[Column6]]</f>
        <v>81127</v>
      </c>
    </row>
    <row r="103" spans="1:56">
      <c r="A103" s="55">
        <v>133</v>
      </c>
      <c r="C103">
        <f>INDEX(NOTA[//DB],Sheet1!A:A)</f>
        <v>3459</v>
      </c>
      <c r="D103">
        <f>_xlfn.IFNA(MATCH(Table17[[#This Row],[//db]],[3]!Table2[\\],0),"")</f>
        <v>2146</v>
      </c>
      <c r="E103" t="str">
        <f>INDEX([3]!db[NB NOTA],Table17[[#This Row],[//db]])</f>
        <v>NOTEBOOK AA0920-3 (0929)</v>
      </c>
      <c r="F103" t="str">
        <f>INDEX([3]!db[NB BM],Table17[[#This Row],[//db]])</f>
        <v>NOTEBOOK AA0920-3 (0929)</v>
      </c>
      <c r="G103" t="str">
        <f>IF(Table17[[#This Row],[dbconcat]]="","",INDEX([3]!Table2[NAMA],Table17[[#This Row],[dbconcat]]))</f>
        <v>NOTEBOOK AA0920-3 (0929)</v>
      </c>
      <c r="H103" t="str">
        <f>INDEX([3]!Table2[KODE BARANG],Table17[[#This Row],[dbconcat]])</f>
        <v>NOT-NB115</v>
      </c>
      <c r="I103" t="str">
        <f>IF(Table17[[#This Row],[NAMA_3]]="",UPPER(Table17[[#This Row],[NAMA_2]]),Table17[[#This Row],[NAMA_3]])</f>
        <v>NOTEBOOK AA0920-3 (0929)</v>
      </c>
      <c r="J103">
        <f>INDEX(NOTA[QTY],Sheet1!A:A)</f>
        <v>191</v>
      </c>
      <c r="K103" t="str">
        <f>INDEX(NOTA[STN],Sheet1!A:A)</f>
        <v>PCS</v>
      </c>
      <c r="L103" t="str">
        <f>INDEX([3]!db[QTY B],Table17[[#This Row],[//db]])</f>
        <v>200</v>
      </c>
      <c r="M103" t="str">
        <f>INDEX([3]!db[STN B],Table17[[#This Row],[//db]])</f>
        <v>PCS</v>
      </c>
      <c r="N103" t="str">
        <f>IF(Table17[[#This Row],[SATUAN NOTA]]=Table17[[#This Row],[SATUAN DB]],"", MATCH(CONCATENATE(Table17[[#This Row],[SATUAN NOTA]],Table17[[#This Row],[SATUAN DB]]),Table2[4],0))</f>
        <v/>
      </c>
      <c r="O103" t="str" cm="1">
        <f t="array" ref="O103">IF(Table17[[#This Row],[//CONV]]="","",INDEX(Table2[3],Table17[[#This Row],[//CONV]]))</f>
        <v/>
      </c>
      <c r="P103" t="str">
        <f>IF(Table17[[#This Row],[//CONV]]="",Table17[[#This Row],[ISI DB]],Table17[[#This Row],[ISI NOTA]]*Table17[[#This Row],[CONV VAR]])</f>
        <v>200</v>
      </c>
      <c r="Q103" t="str" cm="1">
        <f t="array" ref="Q103">IF(Table17[[#This Row],[//CONV]]="",Table17[[#This Row],[SATUAN DB]],INDEX(Table2[2],Table17[[#This Row],[//CONV]]))</f>
        <v>PCS</v>
      </c>
      <c r="R103" cm="1">
        <f t="array" ref="R103">IF(Table17[[#This Row],[dbconcat]]="","",INDEX([3]!Table2[ISI],Table17[[#This Row],[dbconcat]]))</f>
        <v>200</v>
      </c>
      <c r="S103" t="str" cm="1">
        <f t="array" ref="S103">IF(Table17[[#This Row],[dbconcat]]="","",INDEX([3]!Table2[[SATUAN ]],Table17[[#This Row],[dbconcat]]))</f>
        <v>PCS</v>
      </c>
      <c r="T103" t="str">
        <f>IF(Table17[[#This Row],[SATUAN S]]="","",IF(_xlfn.NUMBERVALUE(Table17[[#This Row],[ISI DB]])=_xlfn.NUMBERVALUE(Table17[[#This Row],[ISI S]]),"",1))</f>
        <v/>
      </c>
      <c r="U103" t="str">
        <f>IF(Table17[[#This Row],[SATUAN S]]="","",IF(Table17[[#This Row],[SATUAN DB]]=Table17[[#This Row],[SATUAN S]],"",1))</f>
        <v/>
      </c>
      <c r="V103" t="str">
        <f>IF(Table17[[#This Row],[CEK STN S]]="","",MATCH(CONCATENATE(Table17[[#This Row],[SATUAN CONV]],Table17[[#This Row],[SATUAN S]]),Table2[4],0))</f>
        <v/>
      </c>
      <c r="X103" t="str" cm="1">
        <f t="array" ref="X103">IF(Table17[[#This Row],[CONV2_//]]="","",INDEX(Table2[3],Table17[[#This Row],[CONV2_//]]))</f>
        <v/>
      </c>
      <c r="Y103" s="2" t="str">
        <f>IF(Table17[[#This Row],[CEK ISI S]]="",Table17[[#This Row],[ISI DB]],Table17[[#This Row],[ISI S]])</f>
        <v>200</v>
      </c>
      <c r="Z103" t="str">
        <f>IF(Table17[[#This Row],[CEK STN S]]="",Table17[[#This Row],[SATUAN DB]],Table17[[#This Row],[SATUAN S]])</f>
        <v>PCS</v>
      </c>
      <c r="AA103">
        <f>IF(Table17[[#This Row],[//CONV]]="",Table17[[#This Row],[ISI NOTA]]/Table17[[#This Row],[ISI_C]],Table17[[#This Row],[ISI DB CONV]]/Table17[[#This Row],[ISI_C]])</f>
        <v>0.95499999999999996</v>
      </c>
      <c r="AB103">
        <f>INDEX(NOTA[HARGA SATUAN],Sheet1!A:A)</f>
        <v>5000</v>
      </c>
      <c r="AC103">
        <f>IF(Table17[[#This Row],[//CONV]]="",Table17[[#This Row],[HARGA NOTA]],Table17[[#This Row],[HARGA NOTA]]/Table17[[#This Row],[CONV VAR]])</f>
        <v>5000</v>
      </c>
      <c r="AD103">
        <f>IF(Table17[[#This Row],[CEK STN S]]="",Table17[[#This Row],[HARGA CONV]],Table17[[#This Row],[HARGA CONV]]/Table17[[#This Row],[CONV2 VAR]])</f>
        <v>5000</v>
      </c>
      <c r="AE103" s="3" t="str">
        <f>IF(INDEX(NOTA[Column6],Sheet1!A:A)=0,"",INDEX(NOTA[Column6],Sheet1!A:A))</f>
        <v/>
      </c>
      <c r="AF103" s="3" t="str">
        <f>IF(INDEX(NOTA[Column7],Sheet1!A:A)=0,"",INDEX(NOTA[Column7],Sheet1!A:A))</f>
        <v/>
      </c>
      <c r="AG10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3" s="4">
        <f>INDEX(NOTA[HARGA/ CTN_H],Sheet1!A:A)</f>
        <v>955000</v>
      </c>
      <c r="AI103" s="4">
        <f>IF(Table17[[#This Row],[DISC 3]]="",Table17[[#This Row],[HRG / CTN]],Table17[[#This Row],[HRG / CTN]]-(Table17[[#This Row],[HRG / CTN]]*Table17[[#This Row],[DISC 3]]))</f>
        <v>955000</v>
      </c>
      <c r="AJ103" s="5" t="e">
        <f>IF(#REF!&lt;1,Table17[[#This Row],[Column9]],Table17[[#This Row],[Column9]]*#REF!)</f>
        <v>#REF!</v>
      </c>
      <c r="AK103" s="4" t="str">
        <f ca="1">IF(NOT(AP104=Table17[[#This Row],[Column6]]),SUMIF(Table17[Column6],Table17[[#This Row],[Column6]],Table17[Column7]),"")</f>
        <v/>
      </c>
      <c r="AL103" s="6">
        <f ca="1">INDEX(NOTA[TGL_H],Sheet1!A:A)</f>
        <v>45479</v>
      </c>
      <c r="AM103" s="6">
        <f ca="1">INDEX(NOTA[TGL.NOTA_H],Sheet1!A:A)</f>
        <v>45474</v>
      </c>
      <c r="AO103" t="str">
        <f>IF(INDEX(NOTA[Column10],A:A)="","",INDEX(NOTA[Column10],A:A))</f>
        <v/>
      </c>
      <c r="AP103" t="str">
        <f ca="1">INDEX(NOTA[NO.NOTA_H],Sheet1!A:A)</f>
        <v>81127</v>
      </c>
      <c r="AQ103">
        <f>INDEX(NOTA[Column10],Sheet1!A:A)</f>
        <v>0</v>
      </c>
      <c r="AR103" s="8" t="str">
        <f ca="1">INDEX(NOTA[SUPPLIER_H],Sheet1!A:A)</f>
        <v>SINAR KOTA</v>
      </c>
      <c r="AS103" t="str">
        <f>Table17[[#This Row],[NAMA_C]]</f>
        <v>NOTEBOOK AA0920-3 (0929)</v>
      </c>
      <c r="AT103" t="str">
        <f ca="1">Table17[[#This Row],[SUPPLIER]]</f>
        <v>SINAR KOTA</v>
      </c>
      <c r="AU103" t="str">
        <f>SUBSTITUTE(Table17[[#This Row],[CTN]],",",".")</f>
        <v>0.955</v>
      </c>
      <c r="AV103" s="13" t="str">
        <f>Table17[[#This Row],[ISI_C]]</f>
        <v>200</v>
      </c>
      <c r="AW103" t="str">
        <f>Table17[[#This Row],[SATUAN_C]]</f>
        <v>PCS</v>
      </c>
      <c r="AX103">
        <f>Table17[[#This Row],[HARGA CONV2]]</f>
        <v>5000</v>
      </c>
      <c r="AY103" s="9" t="str">
        <f>SUBSTITUTE(Table17[[#This Row],[DISC 3]],",",".")</f>
        <v/>
      </c>
      <c r="AZ103" s="6">
        <f ca="1">Table17[[#This Row],[TGL DATANG]]</f>
        <v>45479</v>
      </c>
      <c r="BA103" s="6">
        <f ca="1">Table17[[#This Row],[Column10]]</f>
        <v>45474</v>
      </c>
      <c r="BB103" s="7"/>
      <c r="BC103" t="str">
        <f>Table17[[#This Row],[KETERANGAN CONDRO]]</f>
        <v/>
      </c>
      <c r="BD103" t="str">
        <f ca="1">Table17[[#This Row],[Column6]]</f>
        <v>81127</v>
      </c>
    </row>
    <row r="104" spans="1:56">
      <c r="A104" s="55">
        <v>134</v>
      </c>
      <c r="C104">
        <f>INDEX(NOTA[//DB],Sheet1!A:A)</f>
        <v>3460</v>
      </c>
      <c r="D104">
        <f>_xlfn.IFNA(MATCH(Table17[[#This Row],[//db]],[3]!Table2[\\],0),"")</f>
        <v>950</v>
      </c>
      <c r="E104" t="str">
        <f>INDEX([3]!db[NB NOTA],Table17[[#This Row],[//db]])</f>
        <v>DIARI RING 272-274</v>
      </c>
      <c r="F104" t="str">
        <f>INDEX([3]!db[NB BM],Table17[[#This Row],[//db]])</f>
        <v>DIARI RING 272-274</v>
      </c>
      <c r="G104" t="str">
        <f>IF(Table17[[#This Row],[dbconcat]]="","",INDEX([3]!Table2[NAMA],Table17[[#This Row],[dbconcat]]))</f>
        <v>DIARI RING 272-274</v>
      </c>
      <c r="H104" t="str">
        <f>INDEX([3]!Table2[KODE BARANG],Table17[[#This Row],[dbconcat]])</f>
        <v>DIA-NB11</v>
      </c>
      <c r="I104" t="str">
        <f>IF(Table17[[#This Row],[NAMA_3]]="",UPPER(Table17[[#This Row],[NAMA_2]]),Table17[[#This Row],[NAMA_3]])</f>
        <v>DIARI RING 272-274</v>
      </c>
      <c r="J104">
        <f>INDEX(NOTA[QTY],Sheet1!A:A)</f>
        <v>800</v>
      </c>
      <c r="K104" t="str">
        <f>INDEX(NOTA[STN],Sheet1!A:A)</f>
        <v>PCS</v>
      </c>
      <c r="L104" t="str">
        <f>INDEX([3]!db[QTY B],Table17[[#This Row],[//db]])</f>
        <v>800</v>
      </c>
      <c r="M104" t="str">
        <f>INDEX([3]!db[STN B],Table17[[#This Row],[//db]])</f>
        <v>PCS</v>
      </c>
      <c r="N104" t="str">
        <f>IF(Table17[[#This Row],[SATUAN NOTA]]=Table17[[#This Row],[SATUAN DB]],"", MATCH(CONCATENATE(Table17[[#This Row],[SATUAN NOTA]],Table17[[#This Row],[SATUAN DB]]),Table2[4],0))</f>
        <v/>
      </c>
      <c r="O104" t="str" cm="1">
        <f t="array" ref="O104">IF(Table17[[#This Row],[//CONV]]="","",INDEX(Table2[3],Table17[[#This Row],[//CONV]]))</f>
        <v/>
      </c>
      <c r="P104" t="str">
        <f>IF(Table17[[#This Row],[//CONV]]="",Table17[[#This Row],[ISI DB]],Table17[[#This Row],[ISI NOTA]]*Table17[[#This Row],[CONV VAR]])</f>
        <v>800</v>
      </c>
      <c r="Q104" t="str" cm="1">
        <f t="array" ref="Q104">IF(Table17[[#This Row],[//CONV]]="",Table17[[#This Row],[SATUAN DB]],INDEX(Table2[2],Table17[[#This Row],[//CONV]]))</f>
        <v>PCS</v>
      </c>
      <c r="R104" cm="1">
        <f t="array" ref="R104">IF(Table17[[#This Row],[dbconcat]]="","",INDEX([3]!Table2[ISI],Table17[[#This Row],[dbconcat]]))</f>
        <v>800</v>
      </c>
      <c r="S104" t="str" cm="1">
        <f t="array" ref="S104">IF(Table17[[#This Row],[dbconcat]]="","",INDEX([3]!Table2[[SATUAN ]],Table17[[#This Row],[dbconcat]]))</f>
        <v>PCS</v>
      </c>
      <c r="T104" t="str">
        <f>IF(Table17[[#This Row],[SATUAN S]]="","",IF(_xlfn.NUMBERVALUE(Table17[[#This Row],[ISI DB]])=_xlfn.NUMBERVALUE(Table17[[#This Row],[ISI S]]),"",1))</f>
        <v/>
      </c>
      <c r="U104" t="str">
        <f>IF(Table17[[#This Row],[SATUAN S]]="","",IF(Table17[[#This Row],[SATUAN DB]]=Table17[[#This Row],[SATUAN S]],"",1))</f>
        <v/>
      </c>
      <c r="V104" t="str">
        <f>IF(Table17[[#This Row],[CEK STN S]]="","",MATCH(CONCATENATE(Table17[[#This Row],[SATUAN CONV]],Table17[[#This Row],[SATUAN S]]),Table2[4],0))</f>
        <v/>
      </c>
      <c r="X104" t="str" cm="1">
        <f t="array" ref="X104">IF(Table17[[#This Row],[CONV2_//]]="","",INDEX(Table2[3],Table17[[#This Row],[CONV2_//]]))</f>
        <v/>
      </c>
      <c r="Y104" s="2" t="str">
        <f>IF(Table17[[#This Row],[CEK ISI S]]="",Table17[[#This Row],[ISI DB]],Table17[[#This Row],[ISI S]])</f>
        <v>800</v>
      </c>
      <c r="Z104" t="str">
        <f>IF(Table17[[#This Row],[CEK STN S]]="",Table17[[#This Row],[SATUAN DB]],Table17[[#This Row],[SATUAN S]])</f>
        <v>PCS</v>
      </c>
      <c r="AA104">
        <f>IF(Table17[[#This Row],[//CONV]]="",Table17[[#This Row],[ISI NOTA]]/Table17[[#This Row],[ISI_C]],Table17[[#This Row],[ISI DB CONV]]/Table17[[#This Row],[ISI_C]])</f>
        <v>1</v>
      </c>
      <c r="AB104">
        <f>INDEX(NOTA[HARGA SATUAN],Sheet1!A:A)</f>
        <v>1500</v>
      </c>
      <c r="AC104">
        <f>IF(Table17[[#This Row],[//CONV]]="",Table17[[#This Row],[HARGA NOTA]],Table17[[#This Row],[HARGA NOTA]]/Table17[[#This Row],[CONV VAR]])</f>
        <v>1500</v>
      </c>
      <c r="AD104">
        <f>IF(Table17[[#This Row],[CEK STN S]]="",Table17[[#This Row],[HARGA CONV]],Table17[[#This Row],[HARGA CONV]]/Table17[[#This Row],[CONV2 VAR]])</f>
        <v>1500</v>
      </c>
      <c r="AE104" s="3" t="str">
        <f>IF(INDEX(NOTA[Column6],Sheet1!A:A)=0,"",INDEX(NOTA[Column6],Sheet1!A:A))</f>
        <v/>
      </c>
      <c r="AF104" s="3" t="str">
        <f>IF(INDEX(NOTA[Column7],Sheet1!A:A)=0,"",INDEX(NOTA[Column7],Sheet1!A:A))</f>
        <v/>
      </c>
      <c r="AG10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4" s="4">
        <f>INDEX(NOTA[HARGA/ CTN_H],Sheet1!A:A)</f>
        <v>1200000</v>
      </c>
      <c r="AI104" s="4">
        <f>IF(Table17[[#This Row],[DISC 3]]="",Table17[[#This Row],[HRG / CTN]],Table17[[#This Row],[HRG / CTN]]-(Table17[[#This Row],[HRG / CTN]]*Table17[[#This Row],[DISC 3]]))</f>
        <v>1200000</v>
      </c>
      <c r="AJ104" s="5" t="e">
        <f>IF(#REF!&lt;1,Table17[[#This Row],[Column9]],Table17[[#This Row],[Column9]]*#REF!)</f>
        <v>#REF!</v>
      </c>
      <c r="AK104" s="4" t="str">
        <f ca="1">IF(NOT(AP105=Table17[[#This Row],[Column6]]),SUMIF(Table17[Column6],Table17[[#This Row],[Column6]],Table17[Column7]),"")</f>
        <v/>
      </c>
      <c r="AL104" s="6">
        <f ca="1">INDEX(NOTA[TGL_H],Sheet1!A:A)</f>
        <v>45479</v>
      </c>
      <c r="AM104" s="6">
        <f ca="1">INDEX(NOTA[TGL.NOTA_H],Sheet1!A:A)</f>
        <v>45474</v>
      </c>
      <c r="AO104" t="str">
        <f>IF(INDEX(NOTA[Column10],A:A)="","",INDEX(NOTA[Column10],A:A))</f>
        <v/>
      </c>
      <c r="AP104" t="str">
        <f ca="1">INDEX(NOTA[NO.NOTA_H],Sheet1!A:A)</f>
        <v>81127</v>
      </c>
      <c r="AQ104">
        <f>INDEX(NOTA[Column10],Sheet1!A:A)</f>
        <v>0</v>
      </c>
      <c r="AR104" s="8" t="str">
        <f ca="1">INDEX(NOTA[SUPPLIER_H],Sheet1!A:A)</f>
        <v>SINAR KOTA</v>
      </c>
      <c r="AS104" t="str">
        <f>Table17[[#This Row],[NAMA_C]]</f>
        <v>DIARI RING 272-274</v>
      </c>
      <c r="AT104" t="str">
        <f ca="1">Table17[[#This Row],[SUPPLIER]]</f>
        <v>SINAR KOTA</v>
      </c>
      <c r="AU104" t="str">
        <f>SUBSTITUTE(Table17[[#This Row],[CTN]],",",".")</f>
        <v>1</v>
      </c>
      <c r="AV104" s="13" t="str">
        <f>Table17[[#This Row],[ISI_C]]</f>
        <v>800</v>
      </c>
      <c r="AW104" t="str">
        <f>Table17[[#This Row],[SATUAN_C]]</f>
        <v>PCS</v>
      </c>
      <c r="AX104">
        <f>Table17[[#This Row],[HARGA CONV2]]</f>
        <v>1500</v>
      </c>
      <c r="AY104" s="9" t="str">
        <f>SUBSTITUTE(Table17[[#This Row],[DISC 3]],",",".")</f>
        <v/>
      </c>
      <c r="AZ104" s="6">
        <f ca="1">Table17[[#This Row],[TGL DATANG]]</f>
        <v>45479</v>
      </c>
      <c r="BA104" s="6">
        <f ca="1">Table17[[#This Row],[Column10]]</f>
        <v>45474</v>
      </c>
      <c r="BB104" s="7"/>
      <c r="BC104" t="str">
        <f>Table17[[#This Row],[KETERANGAN CONDRO]]</f>
        <v/>
      </c>
      <c r="BD104" t="str">
        <f ca="1">Table17[[#This Row],[Column6]]</f>
        <v>81127</v>
      </c>
    </row>
    <row r="105" spans="1:56">
      <c r="A105" s="55">
        <v>135</v>
      </c>
      <c r="C105">
        <f>INDEX(NOTA[//DB],Sheet1!A:A)</f>
        <v>3460</v>
      </c>
      <c r="D105">
        <f>_xlfn.IFNA(MATCH(Table17[[#This Row],[//db]],[3]!Table2[\\],0),"")</f>
        <v>950</v>
      </c>
      <c r="E105" t="str">
        <f>INDEX([3]!db[NB NOTA],Table17[[#This Row],[//db]])</f>
        <v>DIARI RING 272-274</v>
      </c>
      <c r="F105" t="str">
        <f>INDEX([3]!db[NB BM],Table17[[#This Row],[//db]])</f>
        <v>DIARI RING 272-274</v>
      </c>
      <c r="G105" t="str">
        <f>IF(Table17[[#This Row],[dbconcat]]="","",INDEX([3]!Table2[NAMA],Table17[[#This Row],[dbconcat]]))</f>
        <v>DIARI RING 272-274</v>
      </c>
      <c r="H105" t="str">
        <f>INDEX([3]!Table2[KODE BARANG],Table17[[#This Row],[dbconcat]])</f>
        <v>DIA-NB11</v>
      </c>
      <c r="I105" t="str">
        <f>IF(Table17[[#This Row],[NAMA_3]]="",UPPER(Table17[[#This Row],[NAMA_2]]),Table17[[#This Row],[NAMA_3]])</f>
        <v>DIARI RING 272-274</v>
      </c>
      <c r="J105">
        <f>INDEX(NOTA[QTY],Sheet1!A:A)</f>
        <v>725</v>
      </c>
      <c r="K105" t="str">
        <f>INDEX(NOTA[STN],Sheet1!A:A)</f>
        <v>PCS</v>
      </c>
      <c r="L105" t="str">
        <f>INDEX([3]!db[QTY B],Table17[[#This Row],[//db]])</f>
        <v>800</v>
      </c>
      <c r="M105" t="str">
        <f>INDEX([3]!db[STN B],Table17[[#This Row],[//db]])</f>
        <v>PCS</v>
      </c>
      <c r="N105" t="str">
        <f>IF(Table17[[#This Row],[SATUAN NOTA]]=Table17[[#This Row],[SATUAN DB]],"", MATCH(CONCATENATE(Table17[[#This Row],[SATUAN NOTA]],Table17[[#This Row],[SATUAN DB]]),Table2[4],0))</f>
        <v/>
      </c>
      <c r="O105" t="str" cm="1">
        <f t="array" ref="O105">IF(Table17[[#This Row],[//CONV]]="","",INDEX(Table2[3],Table17[[#This Row],[//CONV]]))</f>
        <v/>
      </c>
      <c r="P105" t="str">
        <f>IF(Table17[[#This Row],[//CONV]]="",Table17[[#This Row],[ISI DB]],Table17[[#This Row],[ISI NOTA]]*Table17[[#This Row],[CONV VAR]])</f>
        <v>800</v>
      </c>
      <c r="Q105" t="str" cm="1">
        <f t="array" ref="Q105">IF(Table17[[#This Row],[//CONV]]="",Table17[[#This Row],[SATUAN DB]],INDEX(Table2[2],Table17[[#This Row],[//CONV]]))</f>
        <v>PCS</v>
      </c>
      <c r="R105" cm="1">
        <f t="array" ref="R105">IF(Table17[[#This Row],[dbconcat]]="","",INDEX([3]!Table2[ISI],Table17[[#This Row],[dbconcat]]))</f>
        <v>800</v>
      </c>
      <c r="S105" t="str" cm="1">
        <f t="array" ref="S105">IF(Table17[[#This Row],[dbconcat]]="","",INDEX([3]!Table2[[SATUAN ]],Table17[[#This Row],[dbconcat]]))</f>
        <v>PCS</v>
      </c>
      <c r="T105" t="str">
        <f>IF(Table17[[#This Row],[SATUAN S]]="","",IF(_xlfn.NUMBERVALUE(Table17[[#This Row],[ISI DB]])=_xlfn.NUMBERVALUE(Table17[[#This Row],[ISI S]]),"",1))</f>
        <v/>
      </c>
      <c r="U105" t="str">
        <f>IF(Table17[[#This Row],[SATUAN S]]="","",IF(Table17[[#This Row],[SATUAN DB]]=Table17[[#This Row],[SATUAN S]],"",1))</f>
        <v/>
      </c>
      <c r="V105" t="str">
        <f>IF(Table17[[#This Row],[CEK STN S]]="","",MATCH(CONCATENATE(Table17[[#This Row],[SATUAN CONV]],Table17[[#This Row],[SATUAN S]]),Table2[4],0))</f>
        <v/>
      </c>
      <c r="X105" t="str" cm="1">
        <f t="array" ref="X105">IF(Table17[[#This Row],[CONV2_//]]="","",INDEX(Table2[3],Table17[[#This Row],[CONV2_//]]))</f>
        <v/>
      </c>
      <c r="Y105" s="2" t="str">
        <f>IF(Table17[[#This Row],[CEK ISI S]]="",Table17[[#This Row],[ISI DB]],Table17[[#This Row],[ISI S]])</f>
        <v>800</v>
      </c>
      <c r="Z105" t="str">
        <f>IF(Table17[[#This Row],[CEK STN S]]="",Table17[[#This Row],[SATUAN DB]],Table17[[#This Row],[SATUAN S]])</f>
        <v>PCS</v>
      </c>
      <c r="AA105">
        <f>IF(Table17[[#This Row],[//CONV]]="",Table17[[#This Row],[ISI NOTA]]/Table17[[#This Row],[ISI_C]],Table17[[#This Row],[ISI DB CONV]]/Table17[[#This Row],[ISI_C]])</f>
        <v>0.90625</v>
      </c>
      <c r="AB105">
        <f>INDEX(NOTA[HARGA SATUAN],Sheet1!A:A)</f>
        <v>1500</v>
      </c>
      <c r="AC105">
        <f>IF(Table17[[#This Row],[//CONV]]="",Table17[[#This Row],[HARGA NOTA]],Table17[[#This Row],[HARGA NOTA]]/Table17[[#This Row],[CONV VAR]])</f>
        <v>1500</v>
      </c>
      <c r="AD105">
        <f>IF(Table17[[#This Row],[CEK STN S]]="",Table17[[#This Row],[HARGA CONV]],Table17[[#This Row],[HARGA CONV]]/Table17[[#This Row],[CONV2 VAR]])</f>
        <v>1500</v>
      </c>
      <c r="AE105" s="3" t="str">
        <f>IF(INDEX(NOTA[Column6],Sheet1!A:A)=0,"",INDEX(NOTA[Column6],Sheet1!A:A))</f>
        <v/>
      </c>
      <c r="AF105" s="3" t="str">
        <f>IF(INDEX(NOTA[Column7],Sheet1!A:A)=0,"",INDEX(NOTA[Column7],Sheet1!A:A))</f>
        <v/>
      </c>
      <c r="AG10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5" s="4">
        <f>INDEX(NOTA[HARGA/ CTN_H],Sheet1!A:A)</f>
        <v>1087500</v>
      </c>
      <c r="AI105" s="4">
        <f>IF(Table17[[#This Row],[DISC 3]]="",Table17[[#This Row],[HRG / CTN]],Table17[[#This Row],[HRG / CTN]]-(Table17[[#This Row],[HRG / CTN]]*Table17[[#This Row],[DISC 3]]))</f>
        <v>1087500</v>
      </c>
      <c r="AJ105" s="5" t="e">
        <f>IF(#REF!&lt;1,Table17[[#This Row],[Column9]],Table17[[#This Row],[Column9]]*#REF!)</f>
        <v>#REF!</v>
      </c>
      <c r="AK105" s="4" t="e">
        <f ca="1">IF(NOT(AP106=Table17[[#This Row],[Column6]]),SUMIF(Table17[Column6],Table17[[#This Row],[Column6]],Table17[Column7]),"")</f>
        <v>#REF!</v>
      </c>
      <c r="AL105" s="6">
        <f ca="1">INDEX(NOTA[TGL_H],Sheet1!A:A)</f>
        <v>45479</v>
      </c>
      <c r="AM105" s="6">
        <f ca="1">INDEX(NOTA[TGL.NOTA_H],Sheet1!A:A)</f>
        <v>45474</v>
      </c>
      <c r="AO105" t="str">
        <f>IF(INDEX(NOTA[Column10],A:A)="","",INDEX(NOTA[Column10],A:A))</f>
        <v/>
      </c>
      <c r="AP105" t="str">
        <f ca="1">INDEX(NOTA[NO.NOTA_H],Sheet1!A:A)</f>
        <v>81127</v>
      </c>
      <c r="AQ105">
        <f>INDEX(NOTA[Column10],Sheet1!A:A)</f>
        <v>0</v>
      </c>
      <c r="AR105" s="8" t="str">
        <f ca="1">INDEX(NOTA[SUPPLIER_H],Sheet1!A:A)</f>
        <v>SINAR KOTA</v>
      </c>
      <c r="AS105" t="str">
        <f>Table17[[#This Row],[NAMA_C]]</f>
        <v>DIARI RING 272-274</v>
      </c>
      <c r="AT105" t="str">
        <f ca="1">Table17[[#This Row],[SUPPLIER]]</f>
        <v>SINAR KOTA</v>
      </c>
      <c r="AU105" t="str">
        <f>SUBSTITUTE(Table17[[#This Row],[CTN]],",",".")</f>
        <v>0.90625</v>
      </c>
      <c r="AV105" s="13" t="str">
        <f>Table17[[#This Row],[ISI_C]]</f>
        <v>800</v>
      </c>
      <c r="AW105" t="str">
        <f>Table17[[#This Row],[SATUAN_C]]</f>
        <v>PCS</v>
      </c>
      <c r="AX105">
        <f>Table17[[#This Row],[HARGA CONV2]]</f>
        <v>1500</v>
      </c>
      <c r="AY105" s="9" t="str">
        <f>SUBSTITUTE(Table17[[#This Row],[DISC 3]],",",".")</f>
        <v/>
      </c>
      <c r="AZ105" s="6">
        <f ca="1">Table17[[#This Row],[TGL DATANG]]</f>
        <v>45479</v>
      </c>
      <c r="BA105" s="6">
        <f ca="1">Table17[[#This Row],[Column10]]</f>
        <v>45474</v>
      </c>
      <c r="BB105" s="7"/>
      <c r="BC105" t="str">
        <f>Table17[[#This Row],[KETERANGAN CONDRO]]</f>
        <v/>
      </c>
      <c r="BD105" t="str">
        <f ca="1">Table17[[#This Row],[Column6]]</f>
        <v>81127</v>
      </c>
    </row>
    <row r="106" spans="1:56">
      <c r="A106" s="55">
        <v>137</v>
      </c>
      <c r="C106">
        <f>INDEX(NOTA[//DB],Sheet1!A:A)</f>
        <v>865</v>
      </c>
      <c r="D106">
        <f>_xlfn.IFNA(MATCH(Table17[[#This Row],[//db]],[3]!Table2[\\],0),"")</f>
        <v>964</v>
      </c>
      <c r="E106" t="str">
        <f>INDEX([3]!db[NB NOTA],Table17[[#This Row],[//db]])</f>
        <v>DOC RIT INFINITY</v>
      </c>
      <c r="F106" t="str">
        <f>INDEX([3]!db[NB BM],Table17[[#This Row],[//db]])</f>
        <v>Dokumen Risleting Infinity</v>
      </c>
      <c r="G106" t="str">
        <f>IF(Table17[[#This Row],[dbconcat]]="","",INDEX([3]!Table2[NAMA],Table17[[#This Row],[dbconcat]]))</f>
        <v>DOKUMEN RISLETING INFINITY</v>
      </c>
      <c r="H106" t="str">
        <f>INDEX([3]!Table2[KODE BARANG],Table17[[#This Row],[dbconcat]])</f>
        <v>DOK-NB1</v>
      </c>
      <c r="I106" t="str">
        <f>IF(Table17[[#This Row],[NAMA_3]]="",UPPER(Table17[[#This Row],[NAMA_2]]),Table17[[#This Row],[NAMA_3]])</f>
        <v>DOKUMEN RISLETING INFINITY</v>
      </c>
      <c r="J106">
        <f>INDEX(NOTA[QTY],Sheet1!A:A)</f>
        <v>2</v>
      </c>
      <c r="K106" t="str">
        <f>INDEX(NOTA[STN],Sheet1!A:A)</f>
        <v>LSN</v>
      </c>
      <c r="L106" t="str">
        <f>INDEX([3]!db[QTY B],Table17[[#This Row],[//db]])</f>
        <v>8</v>
      </c>
      <c r="M106" t="str">
        <f>INDEX([3]!db[STN B],Table17[[#This Row],[//db]])</f>
        <v>LSN</v>
      </c>
      <c r="N106" t="str">
        <f>IF(Table17[[#This Row],[SATUAN NOTA]]=Table17[[#This Row],[SATUAN DB]],"", MATCH(CONCATENATE(Table17[[#This Row],[SATUAN NOTA]],Table17[[#This Row],[SATUAN DB]]),Table2[4],0))</f>
        <v/>
      </c>
      <c r="O106" t="str" cm="1">
        <f t="array" ref="O106">IF(Table17[[#This Row],[//CONV]]="","",INDEX(Table2[3],Table17[[#This Row],[//CONV]]))</f>
        <v/>
      </c>
      <c r="P106" t="str">
        <f>IF(Table17[[#This Row],[//CONV]]="",Table17[[#This Row],[ISI DB]],Table17[[#This Row],[ISI NOTA]]*Table17[[#This Row],[CONV VAR]])</f>
        <v>8</v>
      </c>
      <c r="Q106" t="str" cm="1">
        <f t="array" ref="Q106">IF(Table17[[#This Row],[//CONV]]="",Table17[[#This Row],[SATUAN DB]],INDEX(Table2[2],Table17[[#This Row],[//CONV]]))</f>
        <v>LSN</v>
      </c>
      <c r="R106" cm="1">
        <f t="array" ref="R106">IF(Table17[[#This Row],[dbconcat]]="","",INDEX([3]!Table2[ISI],Table17[[#This Row],[dbconcat]]))</f>
        <v>8</v>
      </c>
      <c r="S106" t="str" cm="1">
        <f t="array" ref="S106">IF(Table17[[#This Row],[dbconcat]]="","",INDEX([3]!Table2[[SATUAN ]],Table17[[#This Row],[dbconcat]]))</f>
        <v>LSN</v>
      </c>
      <c r="T106" t="str">
        <f>IF(Table17[[#This Row],[SATUAN S]]="","",IF(_xlfn.NUMBERVALUE(Table17[[#This Row],[ISI DB]])=_xlfn.NUMBERVALUE(Table17[[#This Row],[ISI S]]),"",1))</f>
        <v/>
      </c>
      <c r="U106" t="str">
        <f>IF(Table17[[#This Row],[SATUAN S]]="","",IF(Table17[[#This Row],[SATUAN DB]]=Table17[[#This Row],[SATUAN S]],"",1))</f>
        <v/>
      </c>
      <c r="V106" t="str">
        <f>IF(Table17[[#This Row],[CEK STN S]]="","",MATCH(CONCATENATE(Table17[[#This Row],[SATUAN CONV]],Table17[[#This Row],[SATUAN S]]),Table2[4],0))</f>
        <v/>
      </c>
      <c r="X106" t="str" cm="1">
        <f t="array" ref="X106">IF(Table17[[#This Row],[CONV2_//]]="","",INDEX(Table2[3],Table17[[#This Row],[CONV2_//]]))</f>
        <v/>
      </c>
      <c r="Y106" s="2" t="str">
        <f>IF(Table17[[#This Row],[CEK ISI S]]="",Table17[[#This Row],[ISI DB]],Table17[[#This Row],[ISI S]])</f>
        <v>8</v>
      </c>
      <c r="Z106" t="str">
        <f>IF(Table17[[#This Row],[CEK STN S]]="",Table17[[#This Row],[SATUAN DB]],Table17[[#This Row],[SATUAN S]])</f>
        <v>LSN</v>
      </c>
      <c r="AA106">
        <f>IF(Table17[[#This Row],[//CONV]]="",Table17[[#This Row],[ISI NOTA]]/Table17[[#This Row],[ISI_C]],Table17[[#This Row],[ISI DB CONV]]/Table17[[#This Row],[ISI_C]])</f>
        <v>0.25</v>
      </c>
      <c r="AB106">
        <f>INDEX(NOTA[HARGA SATUAN],Sheet1!A:A)</f>
        <v>180000</v>
      </c>
      <c r="AC106">
        <f>IF(Table17[[#This Row],[//CONV]]="",Table17[[#This Row],[HARGA NOTA]],Table17[[#This Row],[HARGA NOTA]]/Table17[[#This Row],[CONV VAR]])</f>
        <v>180000</v>
      </c>
      <c r="AD106">
        <f>IF(Table17[[#This Row],[CEK STN S]]="",Table17[[#This Row],[HARGA CONV]],Table17[[#This Row],[HARGA CONV]]/Table17[[#This Row],[CONV2 VAR]])</f>
        <v>180000</v>
      </c>
      <c r="AE106" s="3" t="str">
        <f>IF(INDEX(NOTA[Column6],Sheet1!A:A)=0,"",INDEX(NOTA[Column6],Sheet1!A:A))</f>
        <v/>
      </c>
      <c r="AF106" s="3" t="str">
        <f>IF(INDEX(NOTA[Column7],Sheet1!A:A)=0,"",INDEX(NOTA[Column7],Sheet1!A:A))</f>
        <v/>
      </c>
      <c r="AG10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6" s="4">
        <f>INDEX(NOTA[HARGA/ CTN_H],Sheet1!A:A)</f>
        <v>360000</v>
      </c>
      <c r="AI106" s="4">
        <f>IF(Table17[[#This Row],[DISC 3]]="",Table17[[#This Row],[HRG / CTN]],Table17[[#This Row],[HRG / CTN]]-(Table17[[#This Row],[HRG / CTN]]*Table17[[#This Row],[DISC 3]]))</f>
        <v>360000</v>
      </c>
      <c r="AJ106" s="5" t="e">
        <f>IF(#REF!&lt;1,Table17[[#This Row],[Column9]],Table17[[#This Row],[Column9]]*#REF!)</f>
        <v>#REF!</v>
      </c>
      <c r="AK106" s="4" t="str">
        <f ca="1">IF(NOT(AP107=Table17[[#This Row],[Column6]]),SUMIF(Table17[Column6],Table17[[#This Row],[Column6]],Table17[Column7]),"")</f>
        <v/>
      </c>
      <c r="AL106" s="6">
        <f ca="1">INDEX(NOTA[TGL_H],Sheet1!A:A)</f>
        <v>45485</v>
      </c>
      <c r="AM106" s="6">
        <f ca="1">INDEX(NOTA[TGL.NOTA_H],Sheet1!A:A)</f>
        <v>45485</v>
      </c>
      <c r="AO106" t="str">
        <f>IF(INDEX(NOTA[Column10],A:A)="","",INDEX(NOTA[Column10],A:A))</f>
        <v/>
      </c>
      <c r="AP106" t="str">
        <f ca="1">INDEX(NOTA[NO.NOTA_H],Sheet1!A:A)</f>
        <v>0724</v>
      </c>
      <c r="AQ106">
        <f>INDEX(NOTA[Column10],Sheet1!A:A)</f>
        <v>0</v>
      </c>
      <c r="AR106" s="8" t="str">
        <f ca="1">INDEX(NOTA[SUPPLIER_H],Sheet1!A:A)</f>
        <v>COMBI</v>
      </c>
      <c r="AS106" t="str">
        <f>Table17[[#This Row],[NAMA_C]]</f>
        <v>DOKUMEN RISLETING INFINITY</v>
      </c>
      <c r="AT106" t="str">
        <f ca="1">Table17[[#This Row],[SUPPLIER]]</f>
        <v>COMBI</v>
      </c>
      <c r="AU106" t="str">
        <f>SUBSTITUTE(Table17[[#This Row],[CTN]],",",".")</f>
        <v>0.25</v>
      </c>
      <c r="AV106" s="13" t="str">
        <f>Table17[[#This Row],[ISI_C]]</f>
        <v>8</v>
      </c>
      <c r="AW106" t="str">
        <f>Table17[[#This Row],[SATUAN_C]]</f>
        <v>LSN</v>
      </c>
      <c r="AX106">
        <f>Table17[[#This Row],[HARGA CONV2]]</f>
        <v>180000</v>
      </c>
      <c r="AY106" s="9" t="str">
        <f>SUBSTITUTE(Table17[[#This Row],[DISC 3]],",",".")</f>
        <v/>
      </c>
      <c r="AZ106" s="6">
        <f ca="1">Table17[[#This Row],[TGL DATANG]]</f>
        <v>45485</v>
      </c>
      <c r="BA106" s="6">
        <f ca="1">Table17[[#This Row],[Column10]]</f>
        <v>45485</v>
      </c>
      <c r="BB106" s="7"/>
      <c r="BC106" t="str">
        <f>Table17[[#This Row],[KETERANGAN CONDRO]]</f>
        <v/>
      </c>
      <c r="BD106" t="str">
        <f ca="1">Table17[[#This Row],[Column6]]</f>
        <v>0724</v>
      </c>
    </row>
    <row r="107" spans="1:56">
      <c r="A107" s="55">
        <v>138</v>
      </c>
      <c r="C107">
        <f>INDEX(NOTA[//DB],Sheet1!A:A)</f>
        <v>865</v>
      </c>
      <c r="D107">
        <f>_xlfn.IFNA(MATCH(Table17[[#This Row],[//db]],[3]!Table2[\\],0),"")</f>
        <v>964</v>
      </c>
      <c r="E107" t="str">
        <f>INDEX([3]!db[NB NOTA],Table17[[#This Row],[//db]])</f>
        <v>DOC RIT INFINITY</v>
      </c>
      <c r="F107" t="str">
        <f>INDEX([3]!db[NB BM],Table17[[#This Row],[//db]])</f>
        <v>Dokumen Risleting Infinity</v>
      </c>
      <c r="G107" t="str">
        <f>IF(Table17[[#This Row],[dbconcat]]="","",INDEX([3]!Table2[NAMA],Table17[[#This Row],[dbconcat]]))</f>
        <v>DOKUMEN RISLETING INFINITY</v>
      </c>
      <c r="H107" t="str">
        <f>INDEX([3]!Table2[KODE BARANG],Table17[[#This Row],[dbconcat]])</f>
        <v>DOK-NB1</v>
      </c>
      <c r="I107" t="str">
        <f>IF(Table17[[#This Row],[NAMA_3]]="",UPPER(Table17[[#This Row],[NAMA_2]]),Table17[[#This Row],[NAMA_3]])</f>
        <v>DOKUMEN RISLETING INFINITY</v>
      </c>
      <c r="J107">
        <f>INDEX(NOTA[QTY],Sheet1!A:A)</f>
        <v>8</v>
      </c>
      <c r="K107" t="str">
        <f>INDEX(NOTA[STN],Sheet1!A:A)</f>
        <v>LSN</v>
      </c>
      <c r="L107" t="str">
        <f>INDEX([3]!db[QTY B],Table17[[#This Row],[//db]])</f>
        <v>8</v>
      </c>
      <c r="M107" t="str">
        <f>INDEX([3]!db[STN B],Table17[[#This Row],[//db]])</f>
        <v>LSN</v>
      </c>
      <c r="N107" t="str">
        <f>IF(Table17[[#This Row],[SATUAN NOTA]]=Table17[[#This Row],[SATUAN DB]],"", MATCH(CONCATENATE(Table17[[#This Row],[SATUAN NOTA]],Table17[[#This Row],[SATUAN DB]]),Table2[4],0))</f>
        <v/>
      </c>
      <c r="O107" t="str" cm="1">
        <f t="array" ref="O107">IF(Table17[[#This Row],[//CONV]]="","",INDEX(Table2[3],Table17[[#This Row],[//CONV]]))</f>
        <v/>
      </c>
      <c r="P107" t="str">
        <f>IF(Table17[[#This Row],[//CONV]]="",Table17[[#This Row],[ISI DB]],Table17[[#This Row],[ISI NOTA]]*Table17[[#This Row],[CONV VAR]])</f>
        <v>8</v>
      </c>
      <c r="Q107" t="str" cm="1">
        <f t="array" ref="Q107">IF(Table17[[#This Row],[//CONV]]="",Table17[[#This Row],[SATUAN DB]],INDEX(Table2[2],Table17[[#This Row],[//CONV]]))</f>
        <v>LSN</v>
      </c>
      <c r="R107" cm="1">
        <f t="array" ref="R107">IF(Table17[[#This Row],[dbconcat]]="","",INDEX([3]!Table2[ISI],Table17[[#This Row],[dbconcat]]))</f>
        <v>8</v>
      </c>
      <c r="S107" t="str" cm="1">
        <f t="array" ref="S107">IF(Table17[[#This Row],[dbconcat]]="","",INDEX([3]!Table2[[SATUAN ]],Table17[[#This Row],[dbconcat]]))</f>
        <v>LSN</v>
      </c>
      <c r="T107" t="str">
        <f>IF(Table17[[#This Row],[SATUAN S]]="","",IF(_xlfn.NUMBERVALUE(Table17[[#This Row],[ISI DB]])=_xlfn.NUMBERVALUE(Table17[[#This Row],[ISI S]]),"",1))</f>
        <v/>
      </c>
      <c r="U107" t="str">
        <f>IF(Table17[[#This Row],[SATUAN S]]="","",IF(Table17[[#This Row],[SATUAN DB]]=Table17[[#This Row],[SATUAN S]],"",1))</f>
        <v/>
      </c>
      <c r="V107" t="str">
        <f>IF(Table17[[#This Row],[CEK STN S]]="","",MATCH(CONCATENATE(Table17[[#This Row],[SATUAN CONV]],Table17[[#This Row],[SATUAN S]]),Table2[4],0))</f>
        <v/>
      </c>
      <c r="X107" t="str" cm="1">
        <f t="array" ref="X107">IF(Table17[[#This Row],[CONV2_//]]="","",INDEX(Table2[3],Table17[[#This Row],[CONV2_//]]))</f>
        <v/>
      </c>
      <c r="Y107" s="2" t="str">
        <f>IF(Table17[[#This Row],[CEK ISI S]]="",Table17[[#This Row],[ISI DB]],Table17[[#This Row],[ISI S]])</f>
        <v>8</v>
      </c>
      <c r="Z107" t="str">
        <f>IF(Table17[[#This Row],[CEK STN S]]="",Table17[[#This Row],[SATUAN DB]],Table17[[#This Row],[SATUAN S]])</f>
        <v>LSN</v>
      </c>
      <c r="AA107">
        <f>IF(Table17[[#This Row],[//CONV]]="",Table17[[#This Row],[ISI NOTA]]/Table17[[#This Row],[ISI_C]],Table17[[#This Row],[ISI DB CONV]]/Table17[[#This Row],[ISI_C]])</f>
        <v>1</v>
      </c>
      <c r="AB107">
        <f>INDEX(NOTA[HARGA SATUAN],Sheet1!A:A)</f>
        <v>180000</v>
      </c>
      <c r="AC107">
        <f>IF(Table17[[#This Row],[//CONV]]="",Table17[[#This Row],[HARGA NOTA]],Table17[[#This Row],[HARGA NOTA]]/Table17[[#This Row],[CONV VAR]])</f>
        <v>180000</v>
      </c>
      <c r="AD107">
        <f>IF(Table17[[#This Row],[CEK STN S]]="",Table17[[#This Row],[HARGA CONV]],Table17[[#This Row],[HARGA CONV]]/Table17[[#This Row],[CONV2 VAR]])</f>
        <v>180000</v>
      </c>
      <c r="AE107" s="3" t="str">
        <f>IF(INDEX(NOTA[Column6],Sheet1!A:A)=0,"",INDEX(NOTA[Column6],Sheet1!A:A))</f>
        <v/>
      </c>
      <c r="AF107" s="3" t="str">
        <f>IF(INDEX(NOTA[Column7],Sheet1!A:A)=0,"",INDEX(NOTA[Column7],Sheet1!A:A))</f>
        <v/>
      </c>
      <c r="AG10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7" s="4">
        <f>INDEX(NOTA[HARGA/ CTN_H],Sheet1!A:A)</f>
        <v>1440000</v>
      </c>
      <c r="AI107" s="4">
        <f>IF(Table17[[#This Row],[DISC 3]]="",Table17[[#This Row],[HRG / CTN]],Table17[[#This Row],[HRG / CTN]]-(Table17[[#This Row],[HRG / CTN]]*Table17[[#This Row],[DISC 3]]))</f>
        <v>1440000</v>
      </c>
      <c r="AJ107" s="5" t="e">
        <f>IF(#REF!&lt;1,Table17[[#This Row],[Column9]],Table17[[#This Row],[Column9]]*#REF!)</f>
        <v>#REF!</v>
      </c>
      <c r="AK107" s="4" t="e">
        <f ca="1">IF(NOT(AP108=Table17[[#This Row],[Column6]]),SUMIF(Table17[Column6],Table17[[#This Row],[Column6]],Table17[Column7]),"")</f>
        <v>#REF!</v>
      </c>
      <c r="AL107" s="6">
        <f ca="1">INDEX(NOTA[TGL_H],Sheet1!A:A)</f>
        <v>45485</v>
      </c>
      <c r="AM107" s="6">
        <f ca="1">INDEX(NOTA[TGL.NOTA_H],Sheet1!A:A)</f>
        <v>45485</v>
      </c>
      <c r="AO107" t="str">
        <f>IF(INDEX(NOTA[Column10],A:A)="","",INDEX(NOTA[Column10],A:A))</f>
        <v/>
      </c>
      <c r="AP107" t="str">
        <f ca="1">INDEX(NOTA[NO.NOTA_H],Sheet1!A:A)</f>
        <v>0724</v>
      </c>
      <c r="AQ107">
        <f>INDEX(NOTA[Column10],Sheet1!A:A)</f>
        <v>0</v>
      </c>
      <c r="AR107" s="8" t="str">
        <f ca="1">INDEX(NOTA[SUPPLIER_H],Sheet1!A:A)</f>
        <v>COMBI</v>
      </c>
      <c r="AS107" t="str">
        <f>Table17[[#This Row],[NAMA_C]]</f>
        <v>DOKUMEN RISLETING INFINITY</v>
      </c>
      <c r="AT107" t="str">
        <f ca="1">Table17[[#This Row],[SUPPLIER]]</f>
        <v>COMBI</v>
      </c>
      <c r="AU107" t="str">
        <f>SUBSTITUTE(Table17[[#This Row],[CTN]],",",".")</f>
        <v>1</v>
      </c>
      <c r="AV107" s="13" t="str">
        <f>Table17[[#This Row],[ISI_C]]</f>
        <v>8</v>
      </c>
      <c r="AW107" t="str">
        <f>Table17[[#This Row],[SATUAN_C]]</f>
        <v>LSN</v>
      </c>
      <c r="AX107">
        <f>Table17[[#This Row],[HARGA CONV2]]</f>
        <v>180000</v>
      </c>
      <c r="AY107" s="9" t="str">
        <f>SUBSTITUTE(Table17[[#This Row],[DISC 3]],",",".")</f>
        <v/>
      </c>
      <c r="AZ107" s="6">
        <f ca="1">Table17[[#This Row],[TGL DATANG]]</f>
        <v>45485</v>
      </c>
      <c r="BA107" s="6">
        <f ca="1">Table17[[#This Row],[Column10]]</f>
        <v>45485</v>
      </c>
      <c r="BB107" s="7"/>
      <c r="BC107" t="str">
        <f>Table17[[#This Row],[KETERANGAN CONDRO]]</f>
        <v/>
      </c>
      <c r="BD107" t="str">
        <f ca="1">Table17[[#This Row],[Column6]]</f>
        <v>0724</v>
      </c>
    </row>
    <row r="108" spans="1:56">
      <c r="A108" s="55">
        <v>140</v>
      </c>
      <c r="C108">
        <f>INDEX(NOTA[//DB],Sheet1!A:A)</f>
        <v>2927</v>
      </c>
      <c r="D108">
        <f>_xlfn.IFNA(MATCH(Table17[[#This Row],[//db]],[3]!Table2[\\],0),"")</f>
        <v>2680</v>
      </c>
      <c r="E108" t="str">
        <f>INDEX([3]!db[NB NOTA],Table17[[#This Row],[//db]])</f>
        <v>STAMP PAD HERO (K)</v>
      </c>
      <c r="F108" t="str">
        <f>INDEX([3]!db[NB BM],Table17[[#This Row],[//db]])</f>
        <v>STAMP PAD HERO K</v>
      </c>
      <c r="G108" t="str">
        <f>IF(Table17[[#This Row],[dbconcat]]="","",INDEX([3]!Table2[NAMA],Table17[[#This Row],[dbconcat]]))</f>
        <v>STAMP PAD HERO K</v>
      </c>
      <c r="H108" t="str">
        <f>INDEX([3]!Table2[KODE BARANG],Table17[[#This Row],[dbconcat]])</f>
        <v>SPA-HR2</v>
      </c>
      <c r="I108" t="str">
        <f>IF(Table17[[#This Row],[NAMA_3]]="",UPPER(Table17[[#This Row],[NAMA_2]]),Table17[[#This Row],[NAMA_3]])</f>
        <v>STAMP PAD HERO K</v>
      </c>
      <c r="J108">
        <f>INDEX(NOTA[QTY],Sheet1!A:A)</f>
        <v>120</v>
      </c>
      <c r="K108" t="str">
        <f>INDEX(NOTA[STN],Sheet1!A:A)</f>
        <v>LSN</v>
      </c>
      <c r="L108" t="str">
        <f>INDEX([3]!db[QTY B],Table17[[#This Row],[//db]])</f>
        <v>24</v>
      </c>
      <c r="M108" t="str">
        <f>INDEX([3]!db[STN B],Table17[[#This Row],[//db]])</f>
        <v>LSN</v>
      </c>
      <c r="N108" t="str">
        <f>IF(Table17[[#This Row],[SATUAN NOTA]]=Table17[[#This Row],[SATUAN DB]],"", MATCH(CONCATENATE(Table17[[#This Row],[SATUAN NOTA]],Table17[[#This Row],[SATUAN DB]]),Table2[4],0))</f>
        <v/>
      </c>
      <c r="O108" t="str" cm="1">
        <f t="array" ref="O108">IF(Table17[[#This Row],[//CONV]]="","",INDEX(Table2[3],Table17[[#This Row],[//CONV]]))</f>
        <v/>
      </c>
      <c r="P108" t="str">
        <f>IF(Table17[[#This Row],[//CONV]]="",Table17[[#This Row],[ISI DB]],Table17[[#This Row],[ISI NOTA]]*Table17[[#This Row],[CONV VAR]])</f>
        <v>24</v>
      </c>
      <c r="Q108" t="str" cm="1">
        <f t="array" ref="Q108">IF(Table17[[#This Row],[//CONV]]="",Table17[[#This Row],[SATUAN DB]],INDEX(Table2[2],Table17[[#This Row],[//CONV]]))</f>
        <v>LSN</v>
      </c>
      <c r="R108" cm="1">
        <f t="array" ref="R108">IF(Table17[[#This Row],[dbconcat]]="","",INDEX([3]!Table2[ISI],Table17[[#This Row],[dbconcat]]))</f>
        <v>24</v>
      </c>
      <c r="S108" t="str" cm="1">
        <f t="array" ref="S108">IF(Table17[[#This Row],[dbconcat]]="","",INDEX([3]!Table2[[SATUAN ]],Table17[[#This Row],[dbconcat]]))</f>
        <v>LSN</v>
      </c>
      <c r="T108" t="str">
        <f>IF(Table17[[#This Row],[SATUAN S]]="","",IF(_xlfn.NUMBERVALUE(Table17[[#This Row],[ISI DB]])=_xlfn.NUMBERVALUE(Table17[[#This Row],[ISI S]]),"",1))</f>
        <v/>
      </c>
      <c r="U108" t="str">
        <f>IF(Table17[[#This Row],[SATUAN S]]="","",IF(Table17[[#This Row],[SATUAN DB]]=Table17[[#This Row],[SATUAN S]],"",1))</f>
        <v/>
      </c>
      <c r="V108" t="str">
        <f>IF(Table17[[#This Row],[CEK STN S]]="","",MATCH(CONCATENATE(Table17[[#This Row],[SATUAN CONV]],Table17[[#This Row],[SATUAN S]]),Table2[4],0))</f>
        <v/>
      </c>
      <c r="X108" t="str" cm="1">
        <f t="array" ref="X108">IF(Table17[[#This Row],[CONV2_//]]="","",INDEX(Table2[3],Table17[[#This Row],[CONV2_//]]))</f>
        <v/>
      </c>
      <c r="Y108" s="2" t="str">
        <f>IF(Table17[[#This Row],[CEK ISI S]]="",Table17[[#This Row],[ISI DB]],Table17[[#This Row],[ISI S]])</f>
        <v>24</v>
      </c>
      <c r="Z108" t="str">
        <f>IF(Table17[[#This Row],[CEK STN S]]="",Table17[[#This Row],[SATUAN DB]],Table17[[#This Row],[SATUAN S]])</f>
        <v>LSN</v>
      </c>
      <c r="AA108">
        <f>IF(Table17[[#This Row],[//CONV]]="",Table17[[#This Row],[ISI NOTA]]/Table17[[#This Row],[ISI_C]],Table17[[#This Row],[ISI DB CONV]]/Table17[[#This Row],[ISI_C]])</f>
        <v>5</v>
      </c>
      <c r="AB108">
        <f>INDEX(NOTA[HARGA SATUAN],Sheet1!A:A)</f>
        <v>52500</v>
      </c>
      <c r="AC108">
        <f>IF(Table17[[#This Row],[//CONV]]="",Table17[[#This Row],[HARGA NOTA]],Table17[[#This Row],[HARGA NOTA]]/Table17[[#This Row],[CONV VAR]])</f>
        <v>52500</v>
      </c>
      <c r="AD108">
        <f>IF(Table17[[#This Row],[CEK STN S]]="",Table17[[#This Row],[HARGA CONV]],Table17[[#This Row],[HARGA CONV]]/Table17[[#This Row],[CONV2 VAR]])</f>
        <v>52500</v>
      </c>
      <c r="AE108" s="3" t="str">
        <f>IF(INDEX(NOTA[Column6],Sheet1!A:A)=0,"",INDEX(NOTA[Column6],Sheet1!A:A))</f>
        <v/>
      </c>
      <c r="AF108" s="3" t="str">
        <f>IF(INDEX(NOTA[Column7],Sheet1!A:A)=0,"",INDEX(NOTA[Column7],Sheet1!A:A))</f>
        <v/>
      </c>
      <c r="AG10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8" s="4">
        <f>INDEX(NOTA[HARGA/ CTN_H],Sheet1!A:A)</f>
        <v>1260000</v>
      </c>
      <c r="AI108" s="4">
        <f>IF(Table17[[#This Row],[DISC 3]]="",Table17[[#This Row],[HRG / CTN]],Table17[[#This Row],[HRG / CTN]]-(Table17[[#This Row],[HRG / CTN]]*Table17[[#This Row],[DISC 3]]))</f>
        <v>1260000</v>
      </c>
      <c r="AJ108" s="5" t="e">
        <f>IF(#REF!&lt;1,Table17[[#This Row],[Column9]],Table17[[#This Row],[Column9]]*#REF!)</f>
        <v>#REF!</v>
      </c>
      <c r="AK108" s="4" t="e">
        <f ca="1">IF(NOT(AP109=Table17[[#This Row],[Column6]]),SUMIF(Table17[Column6],Table17[[#This Row],[Column6]],Table17[Column7]),"")</f>
        <v>#REF!</v>
      </c>
      <c r="AL108" s="6">
        <f ca="1">INDEX(NOTA[TGL_H],Sheet1!A:A)</f>
        <v>45485</v>
      </c>
      <c r="AM108" s="6">
        <f ca="1">INDEX(NOTA[TGL.NOTA_H],Sheet1!A:A)</f>
        <v>45474</v>
      </c>
      <c r="AO108" t="str">
        <f>IF(INDEX(NOTA[Column10],A:A)="","",INDEX(NOTA[Column10],A:A))</f>
        <v/>
      </c>
      <c r="AP108" t="str">
        <f ca="1">INDEX(NOTA[NO.NOTA_H],Sheet1!A:A)</f>
        <v>WG00189</v>
      </c>
      <c r="AQ108">
        <f>INDEX(NOTA[Column10],Sheet1!A:A)</f>
        <v>0</v>
      </c>
      <c r="AR108" s="8" t="str">
        <f ca="1">INDEX(NOTA[SUPPLIER_H],Sheet1!A:A)</f>
        <v>SBS</v>
      </c>
      <c r="AS108" t="str">
        <f>Table17[[#This Row],[NAMA_C]]</f>
        <v>STAMP PAD HERO K</v>
      </c>
      <c r="AT108" t="str">
        <f ca="1">Table17[[#This Row],[SUPPLIER]]</f>
        <v>SBS</v>
      </c>
      <c r="AU108" t="str">
        <f>SUBSTITUTE(Table17[[#This Row],[CTN]],",",".")</f>
        <v>5</v>
      </c>
      <c r="AV108" s="13" t="str">
        <f>Table17[[#This Row],[ISI_C]]</f>
        <v>24</v>
      </c>
      <c r="AW108" t="str">
        <f>Table17[[#This Row],[SATUAN_C]]</f>
        <v>LSN</v>
      </c>
      <c r="AX108">
        <f>Table17[[#This Row],[HARGA CONV2]]</f>
        <v>52500</v>
      </c>
      <c r="AY108" s="9" t="str">
        <f>SUBSTITUTE(Table17[[#This Row],[DISC 3]],",",".")</f>
        <v/>
      </c>
      <c r="AZ108" s="6">
        <f ca="1">Table17[[#This Row],[TGL DATANG]]</f>
        <v>45485</v>
      </c>
      <c r="BA108" s="6">
        <f ca="1">Table17[[#This Row],[Column10]]</f>
        <v>45474</v>
      </c>
      <c r="BB108" s="7"/>
      <c r="BC108" t="str">
        <f>Table17[[#This Row],[KETERANGAN CONDRO]]</f>
        <v/>
      </c>
      <c r="BD108" t="str">
        <f ca="1">Table17[[#This Row],[Column6]]</f>
        <v>WG00189</v>
      </c>
    </row>
    <row r="109" spans="1:56">
      <c r="A109" s="55">
        <v>142</v>
      </c>
      <c r="C109">
        <f>INDEX(NOTA[//DB],Sheet1!A:A)</f>
        <v>3398</v>
      </c>
      <c r="D109">
        <f>_xlfn.IFNA(MATCH(Table17[[#This Row],[//db]],[3]!Table2[\\],0),"")</f>
        <v>371</v>
      </c>
      <c r="E109" t="str">
        <f>INDEX([3]!db[NB NOTA],Table17[[#This Row],[//db]])</f>
        <v>BINDER NOTE FANCY SLIP A5-1903CT/ VINTAGE</v>
      </c>
      <c r="F109" t="str">
        <f>INDEX([3]!db[NB BM],Table17[[#This Row],[//db]])</f>
        <v>BINDER NOTE FANCY SLIP A5-1903CT/ VINTAGE</v>
      </c>
      <c r="G109" t="str">
        <f>IF(Table17[[#This Row],[dbconcat]]="","",INDEX([3]!Table2[NAMA],Table17[[#This Row],[dbconcat]]))</f>
        <v>BINDER NOTE FANCY SLIP A5-1903CT/ VINTAGE</v>
      </c>
      <c r="H109" t="str">
        <f>INDEX([3]!Table2[KODE BARANG],Table17[[#This Row],[dbconcat]])</f>
        <v>BIN-NB26</v>
      </c>
      <c r="I109" t="str">
        <f>IF(Table17[[#This Row],[NAMA_3]]="",UPPER(Table17[[#This Row],[NAMA_2]]),Table17[[#This Row],[NAMA_3]])</f>
        <v>BINDER NOTE FANCY SLIP A5-1903CT/ VINTAGE</v>
      </c>
      <c r="J109">
        <f>INDEX(NOTA[QTY],Sheet1!A:A)</f>
        <v>360</v>
      </c>
      <c r="K109" t="str">
        <f>INDEX(NOTA[STN],Sheet1!A:A)</f>
        <v>PCS</v>
      </c>
      <c r="L109" t="str">
        <f>INDEX([3]!db[QTY B],Table17[[#This Row],[//db]])</f>
        <v>120</v>
      </c>
      <c r="M109" t="str">
        <f>INDEX([3]!db[STN B],Table17[[#This Row],[//db]])</f>
        <v>PCS</v>
      </c>
      <c r="N109" t="str">
        <f>IF(Table17[[#This Row],[SATUAN NOTA]]=Table17[[#This Row],[SATUAN DB]],"", MATCH(CONCATENATE(Table17[[#This Row],[SATUAN NOTA]],Table17[[#This Row],[SATUAN DB]]),Table2[4],0))</f>
        <v/>
      </c>
      <c r="O109" t="str" cm="1">
        <f t="array" ref="O109">IF(Table17[[#This Row],[//CONV]]="","",INDEX(Table2[3],Table17[[#This Row],[//CONV]]))</f>
        <v/>
      </c>
      <c r="P109" t="str">
        <f>IF(Table17[[#This Row],[//CONV]]="",Table17[[#This Row],[ISI DB]],Table17[[#This Row],[ISI NOTA]]*Table17[[#This Row],[CONV VAR]])</f>
        <v>120</v>
      </c>
      <c r="Q109" t="str" cm="1">
        <f t="array" ref="Q109">IF(Table17[[#This Row],[//CONV]]="",Table17[[#This Row],[SATUAN DB]],INDEX(Table2[2],Table17[[#This Row],[//CONV]]))</f>
        <v>PCS</v>
      </c>
      <c r="R109" cm="1">
        <f t="array" ref="R109">IF(Table17[[#This Row],[dbconcat]]="","",INDEX([3]!Table2[ISI],Table17[[#This Row],[dbconcat]]))</f>
        <v>120</v>
      </c>
      <c r="S109" t="str" cm="1">
        <f t="array" ref="S109">IF(Table17[[#This Row],[dbconcat]]="","",INDEX([3]!Table2[[SATUAN ]],Table17[[#This Row],[dbconcat]]))</f>
        <v>PCS</v>
      </c>
      <c r="T109" t="str">
        <f>IF(Table17[[#This Row],[SATUAN S]]="","",IF(_xlfn.NUMBERVALUE(Table17[[#This Row],[ISI DB]])=_xlfn.NUMBERVALUE(Table17[[#This Row],[ISI S]]),"",1))</f>
        <v/>
      </c>
      <c r="U109" t="str">
        <f>IF(Table17[[#This Row],[SATUAN S]]="","",IF(Table17[[#This Row],[SATUAN DB]]=Table17[[#This Row],[SATUAN S]],"",1))</f>
        <v/>
      </c>
      <c r="V109" t="str">
        <f>IF(Table17[[#This Row],[CEK STN S]]="","",MATCH(CONCATENATE(Table17[[#This Row],[SATUAN CONV]],Table17[[#This Row],[SATUAN S]]),Table2[4],0))</f>
        <v/>
      </c>
      <c r="X109" t="str" cm="1">
        <f t="array" ref="X109">IF(Table17[[#This Row],[CONV2_//]]="","",INDEX(Table2[3],Table17[[#This Row],[CONV2_//]]))</f>
        <v/>
      </c>
      <c r="Y109" s="2" t="str">
        <f>IF(Table17[[#This Row],[CEK ISI S]]="",Table17[[#This Row],[ISI DB]],Table17[[#This Row],[ISI S]])</f>
        <v>120</v>
      </c>
      <c r="Z109" t="str">
        <f>IF(Table17[[#This Row],[CEK STN S]]="",Table17[[#This Row],[SATUAN DB]],Table17[[#This Row],[SATUAN S]])</f>
        <v>PCS</v>
      </c>
      <c r="AA109">
        <f>IF(Table17[[#This Row],[//CONV]]="",Table17[[#This Row],[ISI NOTA]]/Table17[[#This Row],[ISI_C]],Table17[[#This Row],[ISI DB CONV]]/Table17[[#This Row],[ISI_C]])</f>
        <v>3</v>
      </c>
      <c r="AB109">
        <f>INDEX(NOTA[HARGA SATUAN],Sheet1!A:A)</f>
        <v>9500</v>
      </c>
      <c r="AC109">
        <f>IF(Table17[[#This Row],[//CONV]]="",Table17[[#This Row],[HARGA NOTA]],Table17[[#This Row],[HARGA NOTA]]/Table17[[#This Row],[CONV VAR]])</f>
        <v>9500</v>
      </c>
      <c r="AD109">
        <f>IF(Table17[[#This Row],[CEK STN S]]="",Table17[[#This Row],[HARGA CONV]],Table17[[#This Row],[HARGA CONV]]/Table17[[#This Row],[CONV2 VAR]])</f>
        <v>9500</v>
      </c>
      <c r="AE109" s="3" t="str">
        <f>IF(INDEX(NOTA[Column6],Sheet1!A:A)=0,"",INDEX(NOTA[Column6],Sheet1!A:A))</f>
        <v/>
      </c>
      <c r="AF109" s="3" t="str">
        <f>IF(INDEX(NOTA[Column7],Sheet1!A:A)=0,"",INDEX(NOTA[Column7],Sheet1!A:A))</f>
        <v/>
      </c>
      <c r="AG10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09" s="4">
        <f>INDEX(NOTA[HARGA/ CTN_H],Sheet1!A:A)</f>
        <v>1140000</v>
      </c>
      <c r="AI109" s="4">
        <f>IF(Table17[[#This Row],[DISC 3]]="",Table17[[#This Row],[HRG / CTN]],Table17[[#This Row],[HRG / CTN]]-(Table17[[#This Row],[HRG / CTN]]*Table17[[#This Row],[DISC 3]]))</f>
        <v>1140000</v>
      </c>
      <c r="AJ109" s="5" t="e">
        <f>IF(#REF!&lt;1,Table17[[#This Row],[Column9]],Table17[[#This Row],[Column9]]*#REF!)</f>
        <v>#REF!</v>
      </c>
      <c r="AK109" s="4" t="str">
        <f ca="1">IF(NOT(AP110=Table17[[#This Row],[Column6]]),SUMIF(Table17[Column6],Table17[[#This Row],[Column6]],Table17[Column7]),"")</f>
        <v/>
      </c>
      <c r="AL109" s="6">
        <f ca="1">INDEX(NOTA[TGL_H],Sheet1!A:A)</f>
        <v>45485</v>
      </c>
      <c r="AM109" s="6">
        <f ca="1">INDEX(NOTA[TGL.NOTA_H],Sheet1!A:A)</f>
        <v>45482</v>
      </c>
      <c r="AO109" t="str">
        <f>IF(INDEX(NOTA[Column10],A:A)="","",INDEX(NOTA[Column10],A:A))</f>
        <v/>
      </c>
      <c r="AP109" t="str">
        <f ca="1">INDEX(NOTA[NO.NOTA_H],Sheet1!A:A)</f>
        <v>WG0248B</v>
      </c>
      <c r="AQ109">
        <f>INDEX(NOTA[Column10],Sheet1!A:A)</f>
        <v>0</v>
      </c>
      <c r="AR109" s="8" t="str">
        <f ca="1">INDEX(NOTA[SUPPLIER_H],Sheet1!A:A)</f>
        <v>SBS</v>
      </c>
      <c r="AS109" t="str">
        <f>Table17[[#This Row],[NAMA_C]]</f>
        <v>BINDER NOTE FANCY SLIP A5-1903CT/ VINTAGE</v>
      </c>
      <c r="AT109" t="str">
        <f ca="1">Table17[[#This Row],[SUPPLIER]]</f>
        <v>SBS</v>
      </c>
      <c r="AU109" t="str">
        <f>SUBSTITUTE(Table17[[#This Row],[CTN]],",",".")</f>
        <v>3</v>
      </c>
      <c r="AV109" s="13" t="str">
        <f>Table17[[#This Row],[ISI_C]]</f>
        <v>120</v>
      </c>
      <c r="AW109" t="str">
        <f>Table17[[#This Row],[SATUAN_C]]</f>
        <v>PCS</v>
      </c>
      <c r="AX109">
        <f>Table17[[#This Row],[HARGA CONV2]]</f>
        <v>9500</v>
      </c>
      <c r="AY109" s="9" t="str">
        <f>SUBSTITUTE(Table17[[#This Row],[DISC 3]],",",".")</f>
        <v/>
      </c>
      <c r="AZ109" s="6">
        <f ca="1">Table17[[#This Row],[TGL DATANG]]</f>
        <v>45485</v>
      </c>
      <c r="BA109" s="6">
        <f ca="1">Table17[[#This Row],[Column10]]</f>
        <v>45482</v>
      </c>
      <c r="BB109" s="7"/>
      <c r="BC109" t="str">
        <f>Table17[[#This Row],[KETERANGAN CONDRO]]</f>
        <v/>
      </c>
      <c r="BD109" t="str">
        <f ca="1">Table17[[#This Row],[Column6]]</f>
        <v>WG0248B</v>
      </c>
    </row>
    <row r="110" spans="1:56">
      <c r="A110" s="55">
        <v>143</v>
      </c>
      <c r="C110">
        <f>INDEX(NOTA[//DB],Sheet1!A:A)</f>
        <v>3400</v>
      </c>
      <c r="D110">
        <f>_xlfn.IFNA(MATCH(Table17[[#This Row],[//db]],[3]!Table2[\\],0),"")</f>
        <v>373</v>
      </c>
      <c r="E110" t="str">
        <f>INDEX([3]!db[NB NOTA],Table17[[#This Row],[//db]])</f>
        <v>BINDER NOTE FANCY SLIP A5-1903SS/ SKY</v>
      </c>
      <c r="F110" t="str">
        <f>INDEX([3]!db[NB BM],Table17[[#This Row],[//db]])</f>
        <v>BINDER NOTE FANCY SLIP A5-1903SS/ SKY</v>
      </c>
      <c r="G110" t="str">
        <f>IF(Table17[[#This Row],[dbconcat]]="","",INDEX([3]!Table2[NAMA],Table17[[#This Row],[dbconcat]]))</f>
        <v>BINDER NOTE FANCY SLIP A5-1903SS/ SKY</v>
      </c>
      <c r="H110" t="str">
        <f>INDEX([3]!Table2[KODE BARANG],Table17[[#This Row],[dbconcat]])</f>
        <v>BIN-NB28</v>
      </c>
      <c r="I110" t="str">
        <f>IF(Table17[[#This Row],[NAMA_3]]="",UPPER(Table17[[#This Row],[NAMA_2]]),Table17[[#This Row],[NAMA_3]])</f>
        <v>BINDER NOTE FANCY SLIP A5-1903SS/ SKY</v>
      </c>
      <c r="J110">
        <f>INDEX(NOTA[QTY],Sheet1!A:A)</f>
        <v>360</v>
      </c>
      <c r="K110" t="str">
        <f>INDEX(NOTA[STN],Sheet1!A:A)</f>
        <v>PCS</v>
      </c>
      <c r="L110" t="str">
        <f>INDEX([3]!db[QTY B],Table17[[#This Row],[//db]])</f>
        <v>120</v>
      </c>
      <c r="M110" t="str">
        <f>INDEX([3]!db[STN B],Table17[[#This Row],[//db]])</f>
        <v>PCS</v>
      </c>
      <c r="N110" t="str">
        <f>IF(Table17[[#This Row],[SATUAN NOTA]]=Table17[[#This Row],[SATUAN DB]],"", MATCH(CONCATENATE(Table17[[#This Row],[SATUAN NOTA]],Table17[[#This Row],[SATUAN DB]]),Table2[4],0))</f>
        <v/>
      </c>
      <c r="O110" t="str" cm="1">
        <f t="array" ref="O110">IF(Table17[[#This Row],[//CONV]]="","",INDEX(Table2[3],Table17[[#This Row],[//CONV]]))</f>
        <v/>
      </c>
      <c r="P110" t="str">
        <f>IF(Table17[[#This Row],[//CONV]]="",Table17[[#This Row],[ISI DB]],Table17[[#This Row],[ISI NOTA]]*Table17[[#This Row],[CONV VAR]])</f>
        <v>120</v>
      </c>
      <c r="Q110" t="str" cm="1">
        <f t="array" ref="Q110">IF(Table17[[#This Row],[//CONV]]="",Table17[[#This Row],[SATUAN DB]],INDEX(Table2[2],Table17[[#This Row],[//CONV]]))</f>
        <v>PCS</v>
      </c>
      <c r="R110" cm="1">
        <f t="array" ref="R110">IF(Table17[[#This Row],[dbconcat]]="","",INDEX([3]!Table2[ISI],Table17[[#This Row],[dbconcat]]))</f>
        <v>120</v>
      </c>
      <c r="S110" t="str" cm="1">
        <f t="array" ref="S110">IF(Table17[[#This Row],[dbconcat]]="","",INDEX([3]!Table2[[SATUAN ]],Table17[[#This Row],[dbconcat]]))</f>
        <v>PCS</v>
      </c>
      <c r="T110" t="str">
        <f>IF(Table17[[#This Row],[SATUAN S]]="","",IF(_xlfn.NUMBERVALUE(Table17[[#This Row],[ISI DB]])=_xlfn.NUMBERVALUE(Table17[[#This Row],[ISI S]]),"",1))</f>
        <v/>
      </c>
      <c r="U110" t="str">
        <f>IF(Table17[[#This Row],[SATUAN S]]="","",IF(Table17[[#This Row],[SATUAN DB]]=Table17[[#This Row],[SATUAN S]],"",1))</f>
        <v/>
      </c>
      <c r="V110" t="str">
        <f>IF(Table17[[#This Row],[CEK STN S]]="","",MATCH(CONCATENATE(Table17[[#This Row],[SATUAN CONV]],Table17[[#This Row],[SATUAN S]]),Table2[4],0))</f>
        <v/>
      </c>
      <c r="X110" t="str" cm="1">
        <f t="array" ref="X110">IF(Table17[[#This Row],[CONV2_//]]="","",INDEX(Table2[3],Table17[[#This Row],[CONV2_//]]))</f>
        <v/>
      </c>
      <c r="Y110" s="2" t="str">
        <f>IF(Table17[[#This Row],[CEK ISI S]]="",Table17[[#This Row],[ISI DB]],Table17[[#This Row],[ISI S]])</f>
        <v>120</v>
      </c>
      <c r="Z110" t="str">
        <f>IF(Table17[[#This Row],[CEK STN S]]="",Table17[[#This Row],[SATUAN DB]],Table17[[#This Row],[SATUAN S]])</f>
        <v>PCS</v>
      </c>
      <c r="AA110">
        <f>IF(Table17[[#This Row],[//CONV]]="",Table17[[#This Row],[ISI NOTA]]/Table17[[#This Row],[ISI_C]],Table17[[#This Row],[ISI DB CONV]]/Table17[[#This Row],[ISI_C]])</f>
        <v>3</v>
      </c>
      <c r="AB110">
        <f>INDEX(NOTA[HARGA SATUAN],Sheet1!A:A)</f>
        <v>9500</v>
      </c>
      <c r="AC110">
        <f>IF(Table17[[#This Row],[//CONV]]="",Table17[[#This Row],[HARGA NOTA]],Table17[[#This Row],[HARGA NOTA]]/Table17[[#This Row],[CONV VAR]])</f>
        <v>9500</v>
      </c>
      <c r="AD110">
        <f>IF(Table17[[#This Row],[CEK STN S]]="",Table17[[#This Row],[HARGA CONV]],Table17[[#This Row],[HARGA CONV]]/Table17[[#This Row],[CONV2 VAR]])</f>
        <v>9500</v>
      </c>
      <c r="AE110" s="3" t="str">
        <f>IF(INDEX(NOTA[Column6],Sheet1!A:A)=0,"",INDEX(NOTA[Column6],Sheet1!A:A))</f>
        <v/>
      </c>
      <c r="AF110" s="3" t="str">
        <f>IF(INDEX(NOTA[Column7],Sheet1!A:A)=0,"",INDEX(NOTA[Column7],Sheet1!A:A))</f>
        <v/>
      </c>
      <c r="AG11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0" s="4">
        <f>INDEX(NOTA[HARGA/ CTN_H],Sheet1!A:A)</f>
        <v>1140000</v>
      </c>
      <c r="AI110" s="4">
        <f>IF(Table17[[#This Row],[DISC 3]]="",Table17[[#This Row],[HRG / CTN]],Table17[[#This Row],[HRG / CTN]]-(Table17[[#This Row],[HRG / CTN]]*Table17[[#This Row],[DISC 3]]))</f>
        <v>1140000</v>
      </c>
      <c r="AJ110" s="5" t="e">
        <f>IF(#REF!&lt;1,Table17[[#This Row],[Column9]],Table17[[#This Row],[Column9]]*#REF!)</f>
        <v>#REF!</v>
      </c>
      <c r="AK110" s="4" t="str">
        <f ca="1">IF(NOT(AP111=Table17[[#This Row],[Column6]]),SUMIF(Table17[Column6],Table17[[#This Row],[Column6]],Table17[Column7]),"")</f>
        <v/>
      </c>
      <c r="AL110" s="6">
        <f ca="1">INDEX(NOTA[TGL_H],Sheet1!A:A)</f>
        <v>45485</v>
      </c>
      <c r="AM110" s="6">
        <f ca="1">INDEX(NOTA[TGL.NOTA_H],Sheet1!A:A)</f>
        <v>45482</v>
      </c>
      <c r="AO110" t="str">
        <f>IF(INDEX(NOTA[Column10],A:A)="","",INDEX(NOTA[Column10],A:A))</f>
        <v/>
      </c>
      <c r="AP110" t="str">
        <f ca="1">INDEX(NOTA[NO.NOTA_H],Sheet1!A:A)</f>
        <v>WG0248B</v>
      </c>
      <c r="AQ110">
        <f>INDEX(NOTA[Column10],Sheet1!A:A)</f>
        <v>0</v>
      </c>
      <c r="AR110" s="8" t="str">
        <f ca="1">INDEX(NOTA[SUPPLIER_H],Sheet1!A:A)</f>
        <v>SBS</v>
      </c>
      <c r="AS110" t="str">
        <f>Table17[[#This Row],[NAMA_C]]</f>
        <v>BINDER NOTE FANCY SLIP A5-1903SS/ SKY</v>
      </c>
      <c r="AT110" t="str">
        <f ca="1">Table17[[#This Row],[SUPPLIER]]</f>
        <v>SBS</v>
      </c>
      <c r="AU110" t="str">
        <f>SUBSTITUTE(Table17[[#This Row],[CTN]],",",".")</f>
        <v>3</v>
      </c>
      <c r="AV110" s="13" t="str">
        <f>Table17[[#This Row],[ISI_C]]</f>
        <v>120</v>
      </c>
      <c r="AW110" t="str">
        <f>Table17[[#This Row],[SATUAN_C]]</f>
        <v>PCS</v>
      </c>
      <c r="AX110">
        <f>Table17[[#This Row],[HARGA CONV2]]</f>
        <v>9500</v>
      </c>
      <c r="AY110" s="9" t="str">
        <f>SUBSTITUTE(Table17[[#This Row],[DISC 3]],",",".")</f>
        <v/>
      </c>
      <c r="AZ110" s="6">
        <f ca="1">Table17[[#This Row],[TGL DATANG]]</f>
        <v>45485</v>
      </c>
      <c r="BA110" s="6">
        <f ca="1">Table17[[#This Row],[Column10]]</f>
        <v>45482</v>
      </c>
      <c r="BB110" s="7"/>
      <c r="BC110" t="str">
        <f>Table17[[#This Row],[KETERANGAN CONDRO]]</f>
        <v/>
      </c>
      <c r="BD110" t="str">
        <f ca="1">Table17[[#This Row],[Column6]]</f>
        <v>WG0248B</v>
      </c>
    </row>
    <row r="111" spans="1:56">
      <c r="A111" s="55">
        <v>144</v>
      </c>
      <c r="C111">
        <f>INDEX(NOTA[//DB],Sheet1!A:A)</f>
        <v>3401</v>
      </c>
      <c r="D111">
        <f>_xlfn.IFNA(MATCH(Table17[[#This Row],[//db]],[3]!Table2[\\],0),"")</f>
        <v>374</v>
      </c>
      <c r="E111" t="str">
        <f>INDEX([3]!db[NB NOTA],Table17[[#This Row],[//db]])</f>
        <v>BINDER NOTE FANCY SLIP A5-SF 1925/ CUTE</v>
      </c>
      <c r="F111" t="str">
        <f>INDEX([3]!db[NB BM],Table17[[#This Row],[//db]])</f>
        <v>BINDER NOTE FANCY SLIP A5-SF 1925/ CUTE</v>
      </c>
      <c r="G111" t="str">
        <f>IF(Table17[[#This Row],[dbconcat]]="","",INDEX([3]!Table2[NAMA],Table17[[#This Row],[dbconcat]]))</f>
        <v>BINDER NOTE FANCY SLIP A5-SF 1925/ CUTE</v>
      </c>
      <c r="H111" t="str">
        <f>INDEX([3]!Table2[KODE BARANG],Table17[[#This Row],[dbconcat]])</f>
        <v>BIN-NB29</v>
      </c>
      <c r="I111" t="str">
        <f>IF(Table17[[#This Row],[NAMA_3]]="",UPPER(Table17[[#This Row],[NAMA_2]]),Table17[[#This Row],[NAMA_3]])</f>
        <v>BINDER NOTE FANCY SLIP A5-SF 1925/ CUTE</v>
      </c>
      <c r="J111">
        <f>INDEX(NOTA[QTY],Sheet1!A:A)</f>
        <v>120</v>
      </c>
      <c r="K111" t="str">
        <f>INDEX(NOTA[STN],Sheet1!A:A)</f>
        <v>PCS</v>
      </c>
      <c r="L111" t="str">
        <f>INDEX([3]!db[QTY B],Table17[[#This Row],[//db]])</f>
        <v>120</v>
      </c>
      <c r="M111" t="str">
        <f>INDEX([3]!db[STN B],Table17[[#This Row],[//db]])</f>
        <v>PCS</v>
      </c>
      <c r="N111" t="str">
        <f>IF(Table17[[#This Row],[SATUAN NOTA]]=Table17[[#This Row],[SATUAN DB]],"", MATCH(CONCATENATE(Table17[[#This Row],[SATUAN NOTA]],Table17[[#This Row],[SATUAN DB]]),Table2[4],0))</f>
        <v/>
      </c>
      <c r="O111" t="str" cm="1">
        <f t="array" ref="O111">IF(Table17[[#This Row],[//CONV]]="","",INDEX(Table2[3],Table17[[#This Row],[//CONV]]))</f>
        <v/>
      </c>
      <c r="P111" t="str">
        <f>IF(Table17[[#This Row],[//CONV]]="",Table17[[#This Row],[ISI DB]],Table17[[#This Row],[ISI NOTA]]*Table17[[#This Row],[CONV VAR]])</f>
        <v>120</v>
      </c>
      <c r="Q111" t="str" cm="1">
        <f t="array" ref="Q111">IF(Table17[[#This Row],[//CONV]]="",Table17[[#This Row],[SATUAN DB]],INDEX(Table2[2],Table17[[#This Row],[//CONV]]))</f>
        <v>PCS</v>
      </c>
      <c r="R111" cm="1">
        <f t="array" ref="R111">IF(Table17[[#This Row],[dbconcat]]="","",INDEX([3]!Table2[ISI],Table17[[#This Row],[dbconcat]]))</f>
        <v>120</v>
      </c>
      <c r="S111" t="str" cm="1">
        <f t="array" ref="S111">IF(Table17[[#This Row],[dbconcat]]="","",INDEX([3]!Table2[[SATUAN ]],Table17[[#This Row],[dbconcat]]))</f>
        <v>PCS</v>
      </c>
      <c r="T111" t="str">
        <f>IF(Table17[[#This Row],[SATUAN S]]="","",IF(_xlfn.NUMBERVALUE(Table17[[#This Row],[ISI DB]])=_xlfn.NUMBERVALUE(Table17[[#This Row],[ISI S]]),"",1))</f>
        <v/>
      </c>
      <c r="U111" t="str">
        <f>IF(Table17[[#This Row],[SATUAN S]]="","",IF(Table17[[#This Row],[SATUAN DB]]=Table17[[#This Row],[SATUAN S]],"",1))</f>
        <v/>
      </c>
      <c r="V111" t="str">
        <f>IF(Table17[[#This Row],[CEK STN S]]="","",MATCH(CONCATENATE(Table17[[#This Row],[SATUAN CONV]],Table17[[#This Row],[SATUAN S]]),Table2[4],0))</f>
        <v/>
      </c>
      <c r="X111" t="str" cm="1">
        <f t="array" ref="X111">IF(Table17[[#This Row],[CONV2_//]]="","",INDEX(Table2[3],Table17[[#This Row],[CONV2_//]]))</f>
        <v/>
      </c>
      <c r="Y111" s="2" t="str">
        <f>IF(Table17[[#This Row],[CEK ISI S]]="",Table17[[#This Row],[ISI DB]],Table17[[#This Row],[ISI S]])</f>
        <v>120</v>
      </c>
      <c r="Z111" t="str">
        <f>IF(Table17[[#This Row],[CEK STN S]]="",Table17[[#This Row],[SATUAN DB]],Table17[[#This Row],[SATUAN S]])</f>
        <v>PCS</v>
      </c>
      <c r="AA111">
        <f>IF(Table17[[#This Row],[//CONV]]="",Table17[[#This Row],[ISI NOTA]]/Table17[[#This Row],[ISI_C]],Table17[[#This Row],[ISI DB CONV]]/Table17[[#This Row],[ISI_C]])</f>
        <v>1</v>
      </c>
      <c r="AB111">
        <f>INDEX(NOTA[HARGA SATUAN],Sheet1!A:A)</f>
        <v>9500</v>
      </c>
      <c r="AC111">
        <f>IF(Table17[[#This Row],[//CONV]]="",Table17[[#This Row],[HARGA NOTA]],Table17[[#This Row],[HARGA NOTA]]/Table17[[#This Row],[CONV VAR]])</f>
        <v>9500</v>
      </c>
      <c r="AD111">
        <f>IF(Table17[[#This Row],[CEK STN S]]="",Table17[[#This Row],[HARGA CONV]],Table17[[#This Row],[HARGA CONV]]/Table17[[#This Row],[CONV2 VAR]])</f>
        <v>9500</v>
      </c>
      <c r="AE111" s="3" t="str">
        <f>IF(INDEX(NOTA[Column6],Sheet1!A:A)=0,"",INDEX(NOTA[Column6],Sheet1!A:A))</f>
        <v/>
      </c>
      <c r="AF111" s="3" t="str">
        <f>IF(INDEX(NOTA[Column7],Sheet1!A:A)=0,"",INDEX(NOTA[Column7],Sheet1!A:A))</f>
        <v/>
      </c>
      <c r="AG11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11" s="4">
        <f>INDEX(NOTA[HARGA/ CTN_H],Sheet1!A:A)</f>
        <v>1140000</v>
      </c>
      <c r="AI111" s="4">
        <f>IF(Table17[[#This Row],[DISC 3]]="",Table17[[#This Row],[HRG / CTN]],Table17[[#This Row],[HRG / CTN]]-(Table17[[#This Row],[HRG / CTN]]*Table17[[#This Row],[DISC 3]]))</f>
        <v>1140000</v>
      </c>
      <c r="AJ111" s="5" t="e">
        <f>IF(#REF!&lt;1,Table17[[#This Row],[Column9]],Table17[[#This Row],[Column9]]*#REF!)</f>
        <v>#REF!</v>
      </c>
      <c r="AK111" s="4" t="e">
        <f ca="1">IF(NOT(AP112=Table17[[#This Row],[Column6]]),SUMIF(Table17[Column6],Table17[[#This Row],[Column6]],Table17[Column7]),"")</f>
        <v>#REF!</v>
      </c>
      <c r="AL111" s="6">
        <f ca="1">INDEX(NOTA[TGL_H],Sheet1!A:A)</f>
        <v>45485</v>
      </c>
      <c r="AM111" s="6">
        <f ca="1">INDEX(NOTA[TGL.NOTA_H],Sheet1!A:A)</f>
        <v>45482</v>
      </c>
      <c r="AO111" t="str">
        <f>IF(INDEX(NOTA[Column10],A:A)="","",INDEX(NOTA[Column10],A:A))</f>
        <v/>
      </c>
      <c r="AP111" t="str">
        <f ca="1">INDEX(NOTA[NO.NOTA_H],Sheet1!A:A)</f>
        <v>WG0248B</v>
      </c>
      <c r="AQ111">
        <f>INDEX(NOTA[Column10],Sheet1!A:A)</f>
        <v>0</v>
      </c>
      <c r="AR111" s="8" t="str">
        <f ca="1">INDEX(NOTA[SUPPLIER_H],Sheet1!A:A)</f>
        <v>SBS</v>
      </c>
      <c r="AS111" t="str">
        <f>Table17[[#This Row],[NAMA_C]]</f>
        <v>BINDER NOTE FANCY SLIP A5-SF 1925/ CUTE</v>
      </c>
      <c r="AT111" t="str">
        <f ca="1">Table17[[#This Row],[SUPPLIER]]</f>
        <v>SBS</v>
      </c>
      <c r="AU111" t="str">
        <f>SUBSTITUTE(Table17[[#This Row],[CTN]],",",".")</f>
        <v>1</v>
      </c>
      <c r="AV111" s="13" t="str">
        <f>Table17[[#This Row],[ISI_C]]</f>
        <v>120</v>
      </c>
      <c r="AW111" t="str">
        <f>Table17[[#This Row],[SATUAN_C]]</f>
        <v>PCS</v>
      </c>
      <c r="AX111">
        <f>Table17[[#This Row],[HARGA CONV2]]</f>
        <v>9500</v>
      </c>
      <c r="AY111" s="9" t="str">
        <f>SUBSTITUTE(Table17[[#This Row],[DISC 3]],",",".")</f>
        <v/>
      </c>
      <c r="AZ111" s="6">
        <f ca="1">Table17[[#This Row],[TGL DATANG]]</f>
        <v>45485</v>
      </c>
      <c r="BA111" s="6">
        <f ca="1">Table17[[#This Row],[Column10]]</f>
        <v>45482</v>
      </c>
      <c r="BB111" s="7"/>
      <c r="BC111" t="str">
        <f>Table17[[#This Row],[KETERANGAN CONDRO]]</f>
        <v/>
      </c>
      <c r="BD111" t="str">
        <f ca="1">Table17[[#This Row],[Column6]]</f>
        <v>WG0248B</v>
      </c>
    </row>
    <row r="112" spans="1:56">
      <c r="A112" s="55">
        <v>146</v>
      </c>
      <c r="C112">
        <f>INDEX(NOTA[//DB],Sheet1!A:A)</f>
        <v>27</v>
      </c>
      <c r="D112">
        <f>_xlfn.IFNA(MATCH(Table17[[#This Row],[//db]],[3]!Table2[\\],0),"")</f>
        <v>873</v>
      </c>
      <c r="E112" t="str">
        <f>INDEX([3]!db[NB NOTA],Table17[[#This Row],[//db]])</f>
        <v>ACRYLIC COLOUR TF-AC-001 (12 X 6ML)</v>
      </c>
      <c r="F112" t="str">
        <f>INDEX([3]!db[NB BM],Table17[[#This Row],[//db]])</f>
        <v>CAT ACRYLIC TF 001</v>
      </c>
      <c r="G112" t="str">
        <f>IF(Table17[[#This Row],[dbconcat]]="","",INDEX([3]!Table2[NAMA],Table17[[#This Row],[dbconcat]]))</f>
        <v>CAT ACRYLIC TF 001</v>
      </c>
      <c r="H112" t="str">
        <f>INDEX([3]!Table2[KODE BARANG],Table17[[#This Row],[dbconcat]])</f>
        <v>CAT-TF7</v>
      </c>
      <c r="I112" t="str">
        <f>IF(Table17[[#This Row],[NAMA_3]]="",UPPER(Table17[[#This Row],[NAMA_2]]),Table17[[#This Row],[NAMA_3]])</f>
        <v>CAT ACRYLIC TF 001</v>
      </c>
      <c r="J112">
        <f>INDEX(NOTA[QTY],Sheet1!A:A)</f>
        <v>864</v>
      </c>
      <c r="K112" t="str">
        <f>INDEX(NOTA[STN],Sheet1!A:A)</f>
        <v>SET</v>
      </c>
      <c r="L112" t="str">
        <f>INDEX([3]!db[QTY B],Table17[[#This Row],[//db]])</f>
        <v>72</v>
      </c>
      <c r="M112" t="str">
        <f>INDEX([3]!db[STN B],Table17[[#This Row],[//db]])</f>
        <v>SET</v>
      </c>
      <c r="N112" t="str">
        <f>IF(Table17[[#This Row],[SATUAN NOTA]]=Table17[[#This Row],[SATUAN DB]],"", MATCH(CONCATENATE(Table17[[#This Row],[SATUAN NOTA]],Table17[[#This Row],[SATUAN DB]]),Table2[4],0))</f>
        <v/>
      </c>
      <c r="O112" t="str" cm="1">
        <f t="array" ref="O112">IF(Table17[[#This Row],[//CONV]]="","",INDEX(Table2[3],Table17[[#This Row],[//CONV]]))</f>
        <v/>
      </c>
      <c r="P112" t="str">
        <f>IF(Table17[[#This Row],[//CONV]]="",Table17[[#This Row],[ISI DB]],Table17[[#This Row],[ISI NOTA]]*Table17[[#This Row],[CONV VAR]])</f>
        <v>72</v>
      </c>
      <c r="Q112" t="str" cm="1">
        <f t="array" ref="Q112">IF(Table17[[#This Row],[//CONV]]="",Table17[[#This Row],[SATUAN DB]],INDEX(Table2[2],Table17[[#This Row],[//CONV]]))</f>
        <v>SET</v>
      </c>
      <c r="R112" cm="1">
        <f t="array" ref="R112">IF(Table17[[#This Row],[dbconcat]]="","",INDEX([3]!Table2[ISI],Table17[[#This Row],[dbconcat]]))</f>
        <v>6</v>
      </c>
      <c r="S112" t="str" cm="1">
        <f t="array" ref="S112">IF(Table17[[#This Row],[dbconcat]]="","",INDEX([3]!Table2[[SATUAN ]],Table17[[#This Row],[dbconcat]]))</f>
        <v>LSN</v>
      </c>
      <c r="T112">
        <f>IF(Table17[[#This Row],[SATUAN S]]="","",IF(_xlfn.NUMBERVALUE(Table17[[#This Row],[ISI DB]])=_xlfn.NUMBERVALUE(Table17[[#This Row],[ISI S]]),"",1))</f>
        <v>1</v>
      </c>
      <c r="U112">
        <f>IF(Table17[[#This Row],[SATUAN S]]="","",IF(Table17[[#This Row],[SATUAN DB]]=Table17[[#This Row],[SATUAN S]],"",1))</f>
        <v>1</v>
      </c>
      <c r="V112">
        <f>IF(Table17[[#This Row],[CEK STN S]]="","",MATCH(CONCATENATE(Table17[[#This Row],[SATUAN CONV]],Table17[[#This Row],[SATUAN S]]),Table2[4],0))</f>
        <v>5</v>
      </c>
      <c r="X112" cm="1">
        <f t="array" ref="X112">IF(Table17[[#This Row],[CONV2_//]]="","",INDEX(Table2[3],Table17[[#This Row],[CONV2_//]]))</f>
        <v>8.3333333333333329E-2</v>
      </c>
      <c r="Y112" s="2">
        <f>IF(Table17[[#This Row],[CEK ISI S]]="",Table17[[#This Row],[ISI DB]],Table17[[#This Row],[ISI S]])</f>
        <v>6</v>
      </c>
      <c r="Z112" t="str">
        <f>IF(Table17[[#This Row],[CEK STN S]]="",Table17[[#This Row],[SATUAN DB]],Table17[[#This Row],[SATUAN S]])</f>
        <v>LSN</v>
      </c>
      <c r="AA112">
        <f>IF(Table17[[#This Row],[//CONV]]="",Table17[[#This Row],[ISI NOTA]]/Table17[[#This Row],[ISI_C]],Table17[[#This Row],[ISI DB CONV]]/Table17[[#This Row],[ISI_C]])</f>
        <v>144</v>
      </c>
      <c r="AB112">
        <f>INDEX(NOTA[HARGA SATUAN],Sheet1!A:A)</f>
        <v>15000</v>
      </c>
      <c r="AC112">
        <f>IF(Table17[[#This Row],[//CONV]]="",Table17[[#This Row],[HARGA NOTA]],Table17[[#This Row],[HARGA NOTA]]/Table17[[#This Row],[CONV VAR]])</f>
        <v>15000</v>
      </c>
      <c r="AD112">
        <f>IF(Table17[[#This Row],[CEK STN S]]="",Table17[[#This Row],[HARGA CONV]],Table17[[#This Row],[HARGA CONV]]/Table17[[#This Row],[CONV2 VAR]])</f>
        <v>180000</v>
      </c>
      <c r="AE112" s="3">
        <f>IF(INDEX(NOTA[Column6],Sheet1!A:A)=0,"",INDEX(NOTA[Column6],Sheet1!A:A))</f>
        <v>0.03</v>
      </c>
      <c r="AF112" s="3" t="str">
        <f>IF(INDEX(NOTA[Column7],Sheet1!A:A)=0,"",INDEX(NOTA[Column7],Sheet1!A:A))</f>
        <v/>
      </c>
      <c r="AG112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2" s="4">
        <f>INDEX(NOTA[HARGA/ CTN_H],Sheet1!A:A)</f>
        <v>1080000</v>
      </c>
      <c r="AI112" s="4">
        <f>IF(Table17[[#This Row],[DISC 3]]="",Table17[[#This Row],[HRG / CTN]],Table17[[#This Row],[HRG / CTN]]-(Table17[[#This Row],[HRG / CTN]]*Table17[[#This Row],[DISC 3]]))</f>
        <v>1047600</v>
      </c>
      <c r="AJ112" s="5" t="e">
        <f>IF(#REF!&lt;1,Table17[[#This Row],[Column9]],Table17[[#This Row],[Column9]]*#REF!)</f>
        <v>#REF!</v>
      </c>
      <c r="AK112" s="4" t="str">
        <f ca="1">IF(NOT(AP113=Table17[[#This Row],[Column6]]),SUMIF(Table17[Column6],Table17[[#This Row],[Column6]],Table17[Column7]),"")</f>
        <v/>
      </c>
      <c r="AL112" s="6">
        <f ca="1">INDEX(NOTA[TGL_H],Sheet1!A:A)</f>
        <v>45485</v>
      </c>
      <c r="AM112" s="6">
        <f ca="1">INDEX(NOTA[TGL.NOTA_H],Sheet1!A:A)</f>
        <v>45483</v>
      </c>
      <c r="AO112" t="str">
        <f>IF(INDEX(NOTA[Column10],A:A)="","",INDEX(NOTA[Column10],A:A))</f>
        <v/>
      </c>
      <c r="AP112" t="str">
        <f ca="1">INDEX(NOTA[NO.NOTA_H],Sheet1!A:A)</f>
        <v>HM/136/07-24H</v>
      </c>
      <c r="AQ112">
        <f>INDEX(NOTA[Column10],Sheet1!A:A)</f>
        <v>0</v>
      </c>
      <c r="AR112" s="8" t="str">
        <f ca="1">INDEX(NOTA[SUPPLIER_H],Sheet1!A:A)</f>
        <v>DUTA BUANA</v>
      </c>
      <c r="AS112" t="str">
        <f>Table17[[#This Row],[NAMA_C]]</f>
        <v>CAT ACRYLIC TF 001</v>
      </c>
      <c r="AT112" t="str">
        <f ca="1">Table17[[#This Row],[SUPPLIER]]</f>
        <v>DUTA BUANA</v>
      </c>
      <c r="AU112" t="str">
        <f>SUBSTITUTE(Table17[[#This Row],[CTN]],",",".")</f>
        <v>144</v>
      </c>
      <c r="AV112" s="13">
        <f>Table17[[#This Row],[ISI_C]]</f>
        <v>6</v>
      </c>
      <c r="AW112" t="str">
        <f>Table17[[#This Row],[SATUAN_C]]</f>
        <v>LSN</v>
      </c>
      <c r="AX112">
        <f>Table17[[#This Row],[HARGA CONV2]]</f>
        <v>180000</v>
      </c>
      <c r="AY112" s="9" t="str">
        <f>SUBSTITUTE(Table17[[#This Row],[DISC 3]],",",".")</f>
        <v>0.03</v>
      </c>
      <c r="AZ112" s="6">
        <f ca="1">Table17[[#This Row],[TGL DATANG]]</f>
        <v>45485</v>
      </c>
      <c r="BA112" s="6">
        <f ca="1">Table17[[#This Row],[Column10]]</f>
        <v>45483</v>
      </c>
      <c r="BB112" s="7"/>
      <c r="BC112" t="str">
        <f>Table17[[#This Row],[KETERANGAN CONDRO]]</f>
        <v/>
      </c>
      <c r="BD112" t="str">
        <f ca="1">Table17[[#This Row],[Column6]]</f>
        <v>HM/136/07-24H</v>
      </c>
    </row>
    <row r="113" spans="1:56">
      <c r="A113" s="55">
        <v>147</v>
      </c>
      <c r="C113">
        <f>INDEX(NOTA[//DB],Sheet1!A:A)</f>
        <v>29</v>
      </c>
      <c r="D113">
        <f>_xlfn.IFNA(MATCH(Table17[[#This Row],[//db]],[3]!Table2[\\],0),"")</f>
        <v>868</v>
      </c>
      <c r="E113" t="str">
        <f>INDEX([3]!db[NB NOTA],Table17[[#This Row],[//db]])</f>
        <v>ACRYLIC COLOUR TF-AC-002 (12X12ML)</v>
      </c>
      <c r="F113" t="str">
        <f>INDEX([3]!db[NB BM],Table17[[#This Row],[//db]])</f>
        <v>CAT ACRYLIC COLOUR TF AC-002</v>
      </c>
      <c r="G113" t="str">
        <f>IF(Table17[[#This Row],[dbconcat]]="","",INDEX([3]!Table2[NAMA],Table17[[#This Row],[dbconcat]]))</f>
        <v>CAT ACRYLIC COLOUR TF AC-002</v>
      </c>
      <c r="H113" t="str">
        <f>INDEX([3]!Table2[KODE BARANG],Table17[[#This Row],[dbconcat]])</f>
        <v>CAT-TF12</v>
      </c>
      <c r="I113" t="str">
        <f>IF(Table17[[#This Row],[NAMA_3]]="",UPPER(Table17[[#This Row],[NAMA_2]]),Table17[[#This Row],[NAMA_3]])</f>
        <v>CAT ACRYLIC COLOUR TF AC-002</v>
      </c>
      <c r="J113">
        <f>INDEX(NOTA[QTY],Sheet1!A:A)</f>
        <v>480</v>
      </c>
      <c r="K113" t="str">
        <f>INDEX(NOTA[STN],Sheet1!A:A)</f>
        <v>SET</v>
      </c>
      <c r="L113" t="str">
        <f>INDEX([3]!db[QTY B],Table17[[#This Row],[//db]])</f>
        <v>60</v>
      </c>
      <c r="M113" t="str">
        <f>INDEX([3]!db[STN B],Table17[[#This Row],[//db]])</f>
        <v>SET</v>
      </c>
      <c r="N113" t="str">
        <f>IF(Table17[[#This Row],[SATUAN NOTA]]=Table17[[#This Row],[SATUAN DB]],"", MATCH(CONCATENATE(Table17[[#This Row],[SATUAN NOTA]],Table17[[#This Row],[SATUAN DB]]),Table2[4],0))</f>
        <v/>
      </c>
      <c r="O113" t="str" cm="1">
        <f t="array" ref="O113">IF(Table17[[#This Row],[//CONV]]="","",INDEX(Table2[3],Table17[[#This Row],[//CONV]]))</f>
        <v/>
      </c>
      <c r="P113" t="str">
        <f>IF(Table17[[#This Row],[//CONV]]="",Table17[[#This Row],[ISI DB]],Table17[[#This Row],[ISI NOTA]]*Table17[[#This Row],[CONV VAR]])</f>
        <v>60</v>
      </c>
      <c r="Q113" t="str" cm="1">
        <f t="array" ref="Q113">IF(Table17[[#This Row],[//CONV]]="",Table17[[#This Row],[SATUAN DB]],INDEX(Table2[2],Table17[[#This Row],[//CONV]]))</f>
        <v>SET</v>
      </c>
      <c r="R113" cm="1">
        <f t="array" ref="R113">IF(Table17[[#This Row],[dbconcat]]="","",INDEX([3]!Table2[ISI],Table17[[#This Row],[dbconcat]]))</f>
        <v>5</v>
      </c>
      <c r="S113" t="str" cm="1">
        <f t="array" ref="S113">IF(Table17[[#This Row],[dbconcat]]="","",INDEX([3]!Table2[[SATUAN ]],Table17[[#This Row],[dbconcat]]))</f>
        <v>LSN</v>
      </c>
      <c r="T113">
        <f>IF(Table17[[#This Row],[SATUAN S]]="","",IF(_xlfn.NUMBERVALUE(Table17[[#This Row],[ISI DB]])=_xlfn.NUMBERVALUE(Table17[[#This Row],[ISI S]]),"",1))</f>
        <v>1</v>
      </c>
      <c r="U113">
        <f>IF(Table17[[#This Row],[SATUAN S]]="","",IF(Table17[[#This Row],[SATUAN DB]]=Table17[[#This Row],[SATUAN S]],"",1))</f>
        <v>1</v>
      </c>
      <c r="V113">
        <f>IF(Table17[[#This Row],[CEK STN S]]="","",MATCH(CONCATENATE(Table17[[#This Row],[SATUAN CONV]],Table17[[#This Row],[SATUAN S]]),Table2[4],0))</f>
        <v>5</v>
      </c>
      <c r="X113" cm="1">
        <f t="array" ref="X113">IF(Table17[[#This Row],[CONV2_//]]="","",INDEX(Table2[3],Table17[[#This Row],[CONV2_//]]))</f>
        <v>8.3333333333333329E-2</v>
      </c>
      <c r="Y113" s="2">
        <f>IF(Table17[[#This Row],[CEK ISI S]]="",Table17[[#This Row],[ISI DB]],Table17[[#This Row],[ISI S]])</f>
        <v>5</v>
      </c>
      <c r="Z113" t="str">
        <f>IF(Table17[[#This Row],[CEK STN S]]="",Table17[[#This Row],[SATUAN DB]],Table17[[#This Row],[SATUAN S]])</f>
        <v>LSN</v>
      </c>
      <c r="AA113">
        <f>IF(Table17[[#This Row],[//CONV]]="",Table17[[#This Row],[ISI NOTA]]/Table17[[#This Row],[ISI_C]],Table17[[#This Row],[ISI DB CONV]]/Table17[[#This Row],[ISI_C]])</f>
        <v>96</v>
      </c>
      <c r="AB113">
        <f>INDEX(NOTA[HARGA SATUAN],Sheet1!A:A)</f>
        <v>20500</v>
      </c>
      <c r="AC113">
        <f>IF(Table17[[#This Row],[//CONV]]="",Table17[[#This Row],[HARGA NOTA]],Table17[[#This Row],[HARGA NOTA]]/Table17[[#This Row],[CONV VAR]])</f>
        <v>20500</v>
      </c>
      <c r="AD113">
        <f>IF(Table17[[#This Row],[CEK STN S]]="",Table17[[#This Row],[HARGA CONV]],Table17[[#This Row],[HARGA CONV]]/Table17[[#This Row],[CONV2 VAR]])</f>
        <v>246000</v>
      </c>
      <c r="AE113" s="3">
        <f>IF(INDEX(NOTA[Column6],Sheet1!A:A)=0,"",INDEX(NOTA[Column6],Sheet1!A:A))</f>
        <v>0.03</v>
      </c>
      <c r="AF113" s="3" t="str">
        <f>IF(INDEX(NOTA[Column7],Sheet1!A:A)=0,"",INDEX(NOTA[Column7],Sheet1!A:A))</f>
        <v/>
      </c>
      <c r="AG113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3" s="4">
        <f>INDEX(NOTA[HARGA/ CTN_H],Sheet1!A:A)</f>
        <v>1230000</v>
      </c>
      <c r="AI113" s="4">
        <f>IF(Table17[[#This Row],[DISC 3]]="",Table17[[#This Row],[HRG / CTN]],Table17[[#This Row],[HRG / CTN]]-(Table17[[#This Row],[HRG / CTN]]*Table17[[#This Row],[DISC 3]]))</f>
        <v>1193100</v>
      </c>
      <c r="AJ113" s="5" t="e">
        <f>IF(#REF!&lt;1,Table17[[#This Row],[Column9]],Table17[[#This Row],[Column9]]*#REF!)</f>
        <v>#REF!</v>
      </c>
      <c r="AK113" s="4" t="str">
        <f ca="1">IF(NOT(AP114=Table17[[#This Row],[Column6]]),SUMIF(Table17[Column6],Table17[[#This Row],[Column6]],Table17[Column7]),"")</f>
        <v/>
      </c>
      <c r="AL113" s="6">
        <f ca="1">INDEX(NOTA[TGL_H],Sheet1!A:A)</f>
        <v>45485</v>
      </c>
      <c r="AM113" s="6">
        <f ca="1">INDEX(NOTA[TGL.NOTA_H],Sheet1!A:A)</f>
        <v>45483</v>
      </c>
      <c r="AO113" t="str">
        <f>IF(INDEX(NOTA[Column10],A:A)="","",INDEX(NOTA[Column10],A:A))</f>
        <v/>
      </c>
      <c r="AP113" t="str">
        <f ca="1">INDEX(NOTA[NO.NOTA_H],Sheet1!A:A)</f>
        <v>HM/136/07-24H</v>
      </c>
      <c r="AQ113">
        <f>INDEX(NOTA[Column10],Sheet1!A:A)</f>
        <v>0</v>
      </c>
      <c r="AR113" s="8" t="str">
        <f ca="1">INDEX(NOTA[SUPPLIER_H],Sheet1!A:A)</f>
        <v>DUTA BUANA</v>
      </c>
      <c r="AS113" t="str">
        <f>Table17[[#This Row],[NAMA_C]]</f>
        <v>CAT ACRYLIC COLOUR TF AC-002</v>
      </c>
      <c r="AT113" t="str">
        <f ca="1">Table17[[#This Row],[SUPPLIER]]</f>
        <v>DUTA BUANA</v>
      </c>
      <c r="AU113" t="str">
        <f>SUBSTITUTE(Table17[[#This Row],[CTN]],",",".")</f>
        <v>96</v>
      </c>
      <c r="AV113" s="13">
        <f>Table17[[#This Row],[ISI_C]]</f>
        <v>5</v>
      </c>
      <c r="AW113" t="str">
        <f>Table17[[#This Row],[SATUAN_C]]</f>
        <v>LSN</v>
      </c>
      <c r="AX113">
        <f>Table17[[#This Row],[HARGA CONV2]]</f>
        <v>246000</v>
      </c>
      <c r="AY113" s="9" t="str">
        <f>SUBSTITUTE(Table17[[#This Row],[DISC 3]],",",".")</f>
        <v>0.03</v>
      </c>
      <c r="AZ113" s="6">
        <f ca="1">Table17[[#This Row],[TGL DATANG]]</f>
        <v>45485</v>
      </c>
      <c r="BA113" s="6">
        <f ca="1">Table17[[#This Row],[Column10]]</f>
        <v>45483</v>
      </c>
      <c r="BB113" s="7"/>
      <c r="BC113" t="str">
        <f>Table17[[#This Row],[KETERANGAN CONDRO]]</f>
        <v/>
      </c>
      <c r="BD113" t="str">
        <f ca="1">Table17[[#This Row],[Column6]]</f>
        <v>HM/136/07-24H</v>
      </c>
    </row>
    <row r="114" spans="1:56">
      <c r="A114" s="55">
        <v>148</v>
      </c>
      <c r="C114">
        <f>INDEX(NOTA[//DB],Sheet1!A:A)</f>
        <v>32</v>
      </c>
      <c r="D114">
        <f>_xlfn.IFNA(MATCH(Table17[[#This Row],[//db]],[3]!Table2[\\],0),"")</f>
        <v>869</v>
      </c>
      <c r="E114" t="str">
        <f>INDEX([3]!db[NB NOTA],Table17[[#This Row],[//db]])</f>
        <v>ACRYLIC COLOUR TF-AC-004N (12 X 6 ML) NEON</v>
      </c>
      <c r="F114" t="str">
        <f>INDEX([3]!db[NB BM],Table17[[#This Row],[//db]])</f>
        <v>CAT ACRYLIC COLOUR TF AC-004N NEON</v>
      </c>
      <c r="G114" t="str">
        <f>IF(Table17[[#This Row],[dbconcat]]="","",INDEX([3]!Table2[NAMA],Table17[[#This Row],[dbconcat]]))</f>
        <v>CAT ACRYLIC COLOUR TF AC-004N NEON</v>
      </c>
      <c r="H114" t="str">
        <f>INDEX([3]!Table2[KODE BARANG],Table17[[#This Row],[dbconcat]])</f>
        <v>CAT-TF13</v>
      </c>
      <c r="I114" t="str">
        <f>IF(Table17[[#This Row],[NAMA_3]]="",UPPER(Table17[[#This Row],[NAMA_2]]),Table17[[#This Row],[NAMA_3]])</f>
        <v>CAT ACRYLIC COLOUR TF AC-004N NEON</v>
      </c>
      <c r="J114">
        <f>INDEX(NOTA[QTY],Sheet1!A:A)</f>
        <v>288</v>
      </c>
      <c r="K114" t="str">
        <f>INDEX(NOTA[STN],Sheet1!A:A)</f>
        <v>SET</v>
      </c>
      <c r="L114" t="str">
        <f>INDEX([3]!db[QTY B],Table17[[#This Row],[//db]])</f>
        <v>72</v>
      </c>
      <c r="M114" t="str">
        <f>INDEX([3]!db[STN B],Table17[[#This Row],[//db]])</f>
        <v>SET</v>
      </c>
      <c r="N114" t="str">
        <f>IF(Table17[[#This Row],[SATUAN NOTA]]=Table17[[#This Row],[SATUAN DB]],"", MATCH(CONCATENATE(Table17[[#This Row],[SATUAN NOTA]],Table17[[#This Row],[SATUAN DB]]),Table2[4],0))</f>
        <v/>
      </c>
      <c r="O114" t="str" cm="1">
        <f t="array" ref="O114">IF(Table17[[#This Row],[//CONV]]="","",INDEX(Table2[3],Table17[[#This Row],[//CONV]]))</f>
        <v/>
      </c>
      <c r="P114" t="str">
        <f>IF(Table17[[#This Row],[//CONV]]="",Table17[[#This Row],[ISI DB]],Table17[[#This Row],[ISI NOTA]]*Table17[[#This Row],[CONV VAR]])</f>
        <v>72</v>
      </c>
      <c r="Q114" t="str" cm="1">
        <f t="array" ref="Q114">IF(Table17[[#This Row],[//CONV]]="",Table17[[#This Row],[SATUAN DB]],INDEX(Table2[2],Table17[[#This Row],[//CONV]]))</f>
        <v>SET</v>
      </c>
      <c r="R114" cm="1">
        <f t="array" ref="R114">IF(Table17[[#This Row],[dbconcat]]="","",INDEX([3]!Table2[ISI],Table17[[#This Row],[dbconcat]]))</f>
        <v>6</v>
      </c>
      <c r="S114" t="str" cm="1">
        <f t="array" ref="S114">IF(Table17[[#This Row],[dbconcat]]="","",INDEX([3]!Table2[[SATUAN ]],Table17[[#This Row],[dbconcat]]))</f>
        <v>LSN</v>
      </c>
      <c r="T114">
        <f>IF(Table17[[#This Row],[SATUAN S]]="","",IF(_xlfn.NUMBERVALUE(Table17[[#This Row],[ISI DB]])=_xlfn.NUMBERVALUE(Table17[[#This Row],[ISI S]]),"",1))</f>
        <v>1</v>
      </c>
      <c r="U114">
        <f>IF(Table17[[#This Row],[SATUAN S]]="","",IF(Table17[[#This Row],[SATUAN DB]]=Table17[[#This Row],[SATUAN S]],"",1))</f>
        <v>1</v>
      </c>
      <c r="V114">
        <f>IF(Table17[[#This Row],[CEK STN S]]="","",MATCH(CONCATENATE(Table17[[#This Row],[SATUAN CONV]],Table17[[#This Row],[SATUAN S]]),Table2[4],0))</f>
        <v>5</v>
      </c>
      <c r="X114" cm="1">
        <f t="array" ref="X114">IF(Table17[[#This Row],[CONV2_//]]="","",INDEX(Table2[3],Table17[[#This Row],[CONV2_//]]))</f>
        <v>8.3333333333333329E-2</v>
      </c>
      <c r="Y114" s="2">
        <f>IF(Table17[[#This Row],[CEK ISI S]]="",Table17[[#This Row],[ISI DB]],Table17[[#This Row],[ISI S]])</f>
        <v>6</v>
      </c>
      <c r="Z114" t="str">
        <f>IF(Table17[[#This Row],[CEK STN S]]="",Table17[[#This Row],[SATUAN DB]],Table17[[#This Row],[SATUAN S]])</f>
        <v>LSN</v>
      </c>
      <c r="AA114">
        <f>IF(Table17[[#This Row],[//CONV]]="",Table17[[#This Row],[ISI NOTA]]/Table17[[#This Row],[ISI_C]],Table17[[#This Row],[ISI DB CONV]]/Table17[[#This Row],[ISI_C]])</f>
        <v>48</v>
      </c>
      <c r="AB114">
        <f>INDEX(NOTA[HARGA SATUAN],Sheet1!A:A)</f>
        <v>16000</v>
      </c>
      <c r="AC114">
        <f>IF(Table17[[#This Row],[//CONV]]="",Table17[[#This Row],[HARGA NOTA]],Table17[[#This Row],[HARGA NOTA]]/Table17[[#This Row],[CONV VAR]])</f>
        <v>16000</v>
      </c>
      <c r="AD114">
        <f>IF(Table17[[#This Row],[CEK STN S]]="",Table17[[#This Row],[HARGA CONV]],Table17[[#This Row],[HARGA CONV]]/Table17[[#This Row],[CONV2 VAR]])</f>
        <v>192000</v>
      </c>
      <c r="AE114" s="3">
        <f>IF(INDEX(NOTA[Column6],Sheet1!A:A)=0,"",INDEX(NOTA[Column6],Sheet1!A:A))</f>
        <v>0.03</v>
      </c>
      <c r="AF114" s="3" t="str">
        <f>IF(INDEX(NOTA[Column7],Sheet1!A:A)=0,"",INDEX(NOTA[Column7],Sheet1!A:A))</f>
        <v/>
      </c>
      <c r="AG114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4" s="4">
        <f>INDEX(NOTA[HARGA/ CTN_H],Sheet1!A:A)</f>
        <v>1152000</v>
      </c>
      <c r="AI114" s="4">
        <f>IF(Table17[[#This Row],[DISC 3]]="",Table17[[#This Row],[HRG / CTN]],Table17[[#This Row],[HRG / CTN]]-(Table17[[#This Row],[HRG / CTN]]*Table17[[#This Row],[DISC 3]]))</f>
        <v>1117440</v>
      </c>
      <c r="AJ114" s="5" t="e">
        <f>IF(#REF!&lt;1,Table17[[#This Row],[Column9]],Table17[[#This Row],[Column9]]*#REF!)</f>
        <v>#REF!</v>
      </c>
      <c r="AK114" s="4" t="str">
        <f ca="1">IF(NOT(AP115=Table17[[#This Row],[Column6]]),SUMIF(Table17[Column6],Table17[[#This Row],[Column6]],Table17[Column7]),"")</f>
        <v/>
      </c>
      <c r="AL114" s="6">
        <f ca="1">INDEX(NOTA[TGL_H],Sheet1!A:A)</f>
        <v>45485</v>
      </c>
      <c r="AM114" s="6">
        <f ca="1">INDEX(NOTA[TGL.NOTA_H],Sheet1!A:A)</f>
        <v>45483</v>
      </c>
      <c r="AO114" t="str">
        <f>IF(INDEX(NOTA[Column10],A:A)="","",INDEX(NOTA[Column10],A:A))</f>
        <v/>
      </c>
      <c r="AP114" t="str">
        <f ca="1">INDEX(NOTA[NO.NOTA_H],Sheet1!A:A)</f>
        <v>HM/136/07-24H</v>
      </c>
      <c r="AQ114">
        <f>INDEX(NOTA[Column10],Sheet1!A:A)</f>
        <v>0</v>
      </c>
      <c r="AR114" s="8" t="str">
        <f ca="1">INDEX(NOTA[SUPPLIER_H],Sheet1!A:A)</f>
        <v>DUTA BUANA</v>
      </c>
      <c r="AS114" t="str">
        <f>Table17[[#This Row],[NAMA_C]]</f>
        <v>CAT ACRYLIC COLOUR TF AC-004N NEON</v>
      </c>
      <c r="AT114" t="str">
        <f ca="1">Table17[[#This Row],[SUPPLIER]]</f>
        <v>DUTA BUANA</v>
      </c>
      <c r="AU114" t="str">
        <f>SUBSTITUTE(Table17[[#This Row],[CTN]],",",".")</f>
        <v>48</v>
      </c>
      <c r="AV114" s="13">
        <f>Table17[[#This Row],[ISI_C]]</f>
        <v>6</v>
      </c>
      <c r="AW114" t="str">
        <f>Table17[[#This Row],[SATUAN_C]]</f>
        <v>LSN</v>
      </c>
      <c r="AX114">
        <f>Table17[[#This Row],[HARGA CONV2]]</f>
        <v>192000</v>
      </c>
      <c r="AY114" s="9" t="str">
        <f>SUBSTITUTE(Table17[[#This Row],[DISC 3]],",",".")</f>
        <v>0.03</v>
      </c>
      <c r="AZ114" s="6">
        <f ca="1">Table17[[#This Row],[TGL DATANG]]</f>
        <v>45485</v>
      </c>
      <c r="BA114" s="6">
        <f ca="1">Table17[[#This Row],[Column10]]</f>
        <v>45483</v>
      </c>
      <c r="BB114" s="7"/>
      <c r="BC114" t="str">
        <f>Table17[[#This Row],[KETERANGAN CONDRO]]</f>
        <v/>
      </c>
      <c r="BD114" t="str">
        <f ca="1">Table17[[#This Row],[Column6]]</f>
        <v>HM/136/07-24H</v>
      </c>
    </row>
    <row r="115" spans="1:56">
      <c r="A115" s="55">
        <v>149</v>
      </c>
      <c r="C115">
        <f>INDEX(NOTA[//DB],Sheet1!A:A)</f>
        <v>33</v>
      </c>
      <c r="D115">
        <f>_xlfn.IFNA(MATCH(Table17[[#This Row],[//db]],[3]!Table2[\\],0),"")</f>
        <v>870</v>
      </c>
      <c r="E115" t="str">
        <f>INDEX([3]!db[NB NOTA],Table17[[#This Row],[//db]])</f>
        <v>ACRYLIC COLOUR TF-AC-005P (12 X 6 ML) PASTEL</v>
      </c>
      <c r="F115" t="str">
        <f>INDEX([3]!db[NB BM],Table17[[#This Row],[//db]])</f>
        <v>CAT ACRYLIC COLOUR TF AC-005P PASTEL</v>
      </c>
      <c r="G115" t="str">
        <f>IF(Table17[[#This Row],[dbconcat]]="","",INDEX([3]!Table2[NAMA],Table17[[#This Row],[dbconcat]]))</f>
        <v>CAT ACRYLIC COLOUR TF AC-005P PASTEL</v>
      </c>
      <c r="H115" t="str">
        <f>INDEX([3]!Table2[KODE BARANG],Table17[[#This Row],[dbconcat]])</f>
        <v>CAT-TF14</v>
      </c>
      <c r="I115" t="str">
        <f>IF(Table17[[#This Row],[NAMA_3]]="",UPPER(Table17[[#This Row],[NAMA_2]]),Table17[[#This Row],[NAMA_3]])</f>
        <v>CAT ACRYLIC COLOUR TF AC-005P PASTEL</v>
      </c>
      <c r="J115">
        <f>INDEX(NOTA[QTY],Sheet1!A:A)</f>
        <v>216</v>
      </c>
      <c r="K115" t="str">
        <f>INDEX(NOTA[STN],Sheet1!A:A)</f>
        <v>SET</v>
      </c>
      <c r="L115" t="str">
        <f>INDEX([3]!db[QTY B],Table17[[#This Row],[//db]])</f>
        <v>72</v>
      </c>
      <c r="M115" t="str">
        <f>INDEX([3]!db[STN B],Table17[[#This Row],[//db]])</f>
        <v>SET</v>
      </c>
      <c r="N115" t="str">
        <f>IF(Table17[[#This Row],[SATUAN NOTA]]=Table17[[#This Row],[SATUAN DB]],"", MATCH(CONCATENATE(Table17[[#This Row],[SATUAN NOTA]],Table17[[#This Row],[SATUAN DB]]),Table2[4],0))</f>
        <v/>
      </c>
      <c r="O115" t="str" cm="1">
        <f t="array" ref="O115">IF(Table17[[#This Row],[//CONV]]="","",INDEX(Table2[3],Table17[[#This Row],[//CONV]]))</f>
        <v/>
      </c>
      <c r="P115" t="str">
        <f>IF(Table17[[#This Row],[//CONV]]="",Table17[[#This Row],[ISI DB]],Table17[[#This Row],[ISI NOTA]]*Table17[[#This Row],[CONV VAR]])</f>
        <v>72</v>
      </c>
      <c r="Q115" t="str" cm="1">
        <f t="array" ref="Q115">IF(Table17[[#This Row],[//CONV]]="",Table17[[#This Row],[SATUAN DB]],INDEX(Table2[2],Table17[[#This Row],[//CONV]]))</f>
        <v>SET</v>
      </c>
      <c r="R115" cm="1">
        <f t="array" ref="R115">IF(Table17[[#This Row],[dbconcat]]="","",INDEX([3]!Table2[ISI],Table17[[#This Row],[dbconcat]]))</f>
        <v>6</v>
      </c>
      <c r="S115" t="str" cm="1">
        <f t="array" ref="S115">IF(Table17[[#This Row],[dbconcat]]="","",INDEX([3]!Table2[[SATUAN ]],Table17[[#This Row],[dbconcat]]))</f>
        <v>LSN</v>
      </c>
      <c r="T115">
        <f>IF(Table17[[#This Row],[SATUAN S]]="","",IF(_xlfn.NUMBERVALUE(Table17[[#This Row],[ISI DB]])=_xlfn.NUMBERVALUE(Table17[[#This Row],[ISI S]]),"",1))</f>
        <v>1</v>
      </c>
      <c r="U115">
        <f>IF(Table17[[#This Row],[SATUAN S]]="","",IF(Table17[[#This Row],[SATUAN DB]]=Table17[[#This Row],[SATUAN S]],"",1))</f>
        <v>1</v>
      </c>
      <c r="V115">
        <f>IF(Table17[[#This Row],[CEK STN S]]="","",MATCH(CONCATENATE(Table17[[#This Row],[SATUAN CONV]],Table17[[#This Row],[SATUAN S]]),Table2[4],0))</f>
        <v>5</v>
      </c>
      <c r="X115" cm="1">
        <f t="array" ref="X115">IF(Table17[[#This Row],[CONV2_//]]="","",INDEX(Table2[3],Table17[[#This Row],[CONV2_//]]))</f>
        <v>8.3333333333333329E-2</v>
      </c>
      <c r="Y115" s="2">
        <f>IF(Table17[[#This Row],[CEK ISI S]]="",Table17[[#This Row],[ISI DB]],Table17[[#This Row],[ISI S]])</f>
        <v>6</v>
      </c>
      <c r="Z115" t="str">
        <f>IF(Table17[[#This Row],[CEK STN S]]="",Table17[[#This Row],[SATUAN DB]],Table17[[#This Row],[SATUAN S]])</f>
        <v>LSN</v>
      </c>
      <c r="AA115">
        <f>IF(Table17[[#This Row],[//CONV]]="",Table17[[#This Row],[ISI NOTA]]/Table17[[#This Row],[ISI_C]],Table17[[#This Row],[ISI DB CONV]]/Table17[[#This Row],[ISI_C]])</f>
        <v>36</v>
      </c>
      <c r="AB115">
        <f>INDEX(NOTA[HARGA SATUAN],Sheet1!A:A)</f>
        <v>16000</v>
      </c>
      <c r="AC115">
        <f>IF(Table17[[#This Row],[//CONV]]="",Table17[[#This Row],[HARGA NOTA]],Table17[[#This Row],[HARGA NOTA]]/Table17[[#This Row],[CONV VAR]])</f>
        <v>16000</v>
      </c>
      <c r="AD115">
        <f>IF(Table17[[#This Row],[CEK STN S]]="",Table17[[#This Row],[HARGA CONV]],Table17[[#This Row],[HARGA CONV]]/Table17[[#This Row],[CONV2 VAR]])</f>
        <v>192000</v>
      </c>
      <c r="AE115" s="3">
        <f>IF(INDEX(NOTA[Column6],Sheet1!A:A)=0,"",INDEX(NOTA[Column6],Sheet1!A:A))</f>
        <v>0.03</v>
      </c>
      <c r="AF115" s="3" t="str">
        <f>IF(INDEX(NOTA[Column7],Sheet1!A:A)=0,"",INDEX(NOTA[Column7],Sheet1!A:A))</f>
        <v/>
      </c>
      <c r="AG115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5" s="4">
        <f>INDEX(NOTA[HARGA/ CTN_H],Sheet1!A:A)</f>
        <v>1152000</v>
      </c>
      <c r="AI115" s="4">
        <f>IF(Table17[[#This Row],[DISC 3]]="",Table17[[#This Row],[HRG / CTN]],Table17[[#This Row],[HRG / CTN]]-(Table17[[#This Row],[HRG / CTN]]*Table17[[#This Row],[DISC 3]]))</f>
        <v>1117440</v>
      </c>
      <c r="AJ115" s="5" t="e">
        <f>IF(#REF!&lt;1,Table17[[#This Row],[Column9]],Table17[[#This Row],[Column9]]*#REF!)</f>
        <v>#REF!</v>
      </c>
      <c r="AK115" s="4" t="str">
        <f ca="1">IF(NOT(AP116=Table17[[#This Row],[Column6]]),SUMIF(Table17[Column6],Table17[[#This Row],[Column6]],Table17[Column7]),"")</f>
        <v/>
      </c>
      <c r="AL115" s="6">
        <f ca="1">INDEX(NOTA[TGL_H],Sheet1!A:A)</f>
        <v>45485</v>
      </c>
      <c r="AM115" s="6">
        <f ca="1">INDEX(NOTA[TGL.NOTA_H],Sheet1!A:A)</f>
        <v>45483</v>
      </c>
      <c r="AO115" t="str">
        <f>IF(INDEX(NOTA[Column10],A:A)="","",INDEX(NOTA[Column10],A:A))</f>
        <v/>
      </c>
      <c r="AP115" t="str">
        <f ca="1">INDEX(NOTA[NO.NOTA_H],Sheet1!A:A)</f>
        <v>HM/136/07-24H</v>
      </c>
      <c r="AQ115">
        <f>INDEX(NOTA[Column10],Sheet1!A:A)</f>
        <v>0</v>
      </c>
      <c r="AR115" s="8" t="str">
        <f ca="1">INDEX(NOTA[SUPPLIER_H],Sheet1!A:A)</f>
        <v>DUTA BUANA</v>
      </c>
      <c r="AS115" t="str">
        <f>Table17[[#This Row],[NAMA_C]]</f>
        <v>CAT ACRYLIC COLOUR TF AC-005P PASTEL</v>
      </c>
      <c r="AT115" t="str">
        <f ca="1">Table17[[#This Row],[SUPPLIER]]</f>
        <v>DUTA BUANA</v>
      </c>
      <c r="AU115" t="str">
        <f>SUBSTITUTE(Table17[[#This Row],[CTN]],",",".")</f>
        <v>36</v>
      </c>
      <c r="AV115" s="13">
        <f>Table17[[#This Row],[ISI_C]]</f>
        <v>6</v>
      </c>
      <c r="AW115" t="str">
        <f>Table17[[#This Row],[SATUAN_C]]</f>
        <v>LSN</v>
      </c>
      <c r="AX115">
        <f>Table17[[#This Row],[HARGA CONV2]]</f>
        <v>192000</v>
      </c>
      <c r="AY115" s="9" t="str">
        <f>SUBSTITUTE(Table17[[#This Row],[DISC 3]],",",".")</f>
        <v>0.03</v>
      </c>
      <c r="AZ115" s="6">
        <f ca="1">Table17[[#This Row],[TGL DATANG]]</f>
        <v>45485</v>
      </c>
      <c r="BA115" s="6">
        <f ca="1">Table17[[#This Row],[Column10]]</f>
        <v>45483</v>
      </c>
      <c r="BB115" s="7"/>
      <c r="BC115" t="str">
        <f>Table17[[#This Row],[KETERANGAN CONDRO]]</f>
        <v/>
      </c>
      <c r="BD115" t="str">
        <f ca="1">Table17[[#This Row],[Column6]]</f>
        <v>HM/136/07-24H</v>
      </c>
    </row>
    <row r="116" spans="1:56">
      <c r="A116" s="55">
        <v>150</v>
      </c>
      <c r="C116">
        <f>INDEX(NOTA[//DB],Sheet1!A:A)</f>
        <v>34</v>
      </c>
      <c r="D116">
        <f>_xlfn.IFNA(MATCH(Table17[[#This Row],[//db]],[3]!Table2[\\],0),"")</f>
        <v>871</v>
      </c>
      <c r="E116" t="str">
        <f>INDEX([3]!db[NB NOTA],Table17[[#This Row],[//db]])</f>
        <v>ACRYLIC COLOUR TF-AC-006M 12 X 6 ML( METALIC</v>
      </c>
      <c r="F116" t="str">
        <f>INDEX([3]!db[NB BM],Table17[[#This Row],[//db]])</f>
        <v>CAT ACRYLIC COLOUR TF AC-006M METALIC</v>
      </c>
      <c r="G116" t="str">
        <f>IF(Table17[[#This Row],[dbconcat]]="","",INDEX([3]!Table2[NAMA],Table17[[#This Row],[dbconcat]]))</f>
        <v>CAT ACRYLIC COLOUR TF AC-006M METALIC</v>
      </c>
      <c r="H116" t="str">
        <f>INDEX([3]!Table2[KODE BARANG],Table17[[#This Row],[dbconcat]])</f>
        <v>CAT-TF15</v>
      </c>
      <c r="I116" t="str">
        <f>IF(Table17[[#This Row],[NAMA_3]]="",UPPER(Table17[[#This Row],[NAMA_2]]),Table17[[#This Row],[NAMA_3]])</f>
        <v>CAT ACRYLIC COLOUR TF AC-006M METALIC</v>
      </c>
      <c r="J116">
        <f>INDEX(NOTA[QTY],Sheet1!A:A)</f>
        <v>216</v>
      </c>
      <c r="K116" t="str">
        <f>INDEX(NOTA[STN],Sheet1!A:A)</f>
        <v>SET</v>
      </c>
      <c r="L116" t="str">
        <f>INDEX([3]!db[QTY B],Table17[[#This Row],[//db]])</f>
        <v>72</v>
      </c>
      <c r="M116" t="str">
        <f>INDEX([3]!db[STN B],Table17[[#This Row],[//db]])</f>
        <v>SET</v>
      </c>
      <c r="N116" t="str">
        <f>IF(Table17[[#This Row],[SATUAN NOTA]]=Table17[[#This Row],[SATUAN DB]],"", MATCH(CONCATENATE(Table17[[#This Row],[SATUAN NOTA]],Table17[[#This Row],[SATUAN DB]]),Table2[4],0))</f>
        <v/>
      </c>
      <c r="O116" t="str" cm="1">
        <f t="array" ref="O116">IF(Table17[[#This Row],[//CONV]]="","",INDEX(Table2[3],Table17[[#This Row],[//CONV]]))</f>
        <v/>
      </c>
      <c r="P116" t="str">
        <f>IF(Table17[[#This Row],[//CONV]]="",Table17[[#This Row],[ISI DB]],Table17[[#This Row],[ISI NOTA]]*Table17[[#This Row],[CONV VAR]])</f>
        <v>72</v>
      </c>
      <c r="Q116" t="str" cm="1">
        <f t="array" ref="Q116">IF(Table17[[#This Row],[//CONV]]="",Table17[[#This Row],[SATUAN DB]],INDEX(Table2[2],Table17[[#This Row],[//CONV]]))</f>
        <v>SET</v>
      </c>
      <c r="R116" cm="1">
        <f t="array" ref="R116">IF(Table17[[#This Row],[dbconcat]]="","",INDEX([3]!Table2[ISI],Table17[[#This Row],[dbconcat]]))</f>
        <v>6</v>
      </c>
      <c r="S116" t="str" cm="1">
        <f t="array" ref="S116">IF(Table17[[#This Row],[dbconcat]]="","",INDEX([3]!Table2[[SATUAN ]],Table17[[#This Row],[dbconcat]]))</f>
        <v>LSN</v>
      </c>
      <c r="T116">
        <f>IF(Table17[[#This Row],[SATUAN S]]="","",IF(_xlfn.NUMBERVALUE(Table17[[#This Row],[ISI DB]])=_xlfn.NUMBERVALUE(Table17[[#This Row],[ISI S]]),"",1))</f>
        <v>1</v>
      </c>
      <c r="U116">
        <f>IF(Table17[[#This Row],[SATUAN S]]="","",IF(Table17[[#This Row],[SATUAN DB]]=Table17[[#This Row],[SATUAN S]],"",1))</f>
        <v>1</v>
      </c>
      <c r="V116">
        <f>IF(Table17[[#This Row],[CEK STN S]]="","",MATCH(CONCATENATE(Table17[[#This Row],[SATUAN CONV]],Table17[[#This Row],[SATUAN S]]),Table2[4],0))</f>
        <v>5</v>
      </c>
      <c r="X116" cm="1">
        <f t="array" ref="X116">IF(Table17[[#This Row],[CONV2_//]]="","",INDEX(Table2[3],Table17[[#This Row],[CONV2_//]]))</f>
        <v>8.3333333333333329E-2</v>
      </c>
      <c r="Y116" s="2">
        <f>IF(Table17[[#This Row],[CEK ISI S]]="",Table17[[#This Row],[ISI DB]],Table17[[#This Row],[ISI S]])</f>
        <v>6</v>
      </c>
      <c r="Z116" t="str">
        <f>IF(Table17[[#This Row],[CEK STN S]]="",Table17[[#This Row],[SATUAN DB]],Table17[[#This Row],[SATUAN S]])</f>
        <v>LSN</v>
      </c>
      <c r="AA116">
        <f>IF(Table17[[#This Row],[//CONV]]="",Table17[[#This Row],[ISI NOTA]]/Table17[[#This Row],[ISI_C]],Table17[[#This Row],[ISI DB CONV]]/Table17[[#This Row],[ISI_C]])</f>
        <v>36</v>
      </c>
      <c r="AB116">
        <f>INDEX(NOTA[HARGA SATUAN],Sheet1!A:A)</f>
        <v>16000</v>
      </c>
      <c r="AC116">
        <f>IF(Table17[[#This Row],[//CONV]]="",Table17[[#This Row],[HARGA NOTA]],Table17[[#This Row],[HARGA NOTA]]/Table17[[#This Row],[CONV VAR]])</f>
        <v>16000</v>
      </c>
      <c r="AD116">
        <f>IF(Table17[[#This Row],[CEK STN S]]="",Table17[[#This Row],[HARGA CONV]],Table17[[#This Row],[HARGA CONV]]/Table17[[#This Row],[CONV2 VAR]])</f>
        <v>192000</v>
      </c>
      <c r="AE116" s="3">
        <f>IF(INDEX(NOTA[Column6],Sheet1!A:A)=0,"",INDEX(NOTA[Column6],Sheet1!A:A))</f>
        <v>0.03</v>
      </c>
      <c r="AF116" s="3" t="str">
        <f>IF(INDEX(NOTA[Column7],Sheet1!A:A)=0,"",INDEX(NOTA[Column7],Sheet1!A:A))</f>
        <v/>
      </c>
      <c r="AG116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6" s="4">
        <f>INDEX(NOTA[HARGA/ CTN_H],Sheet1!A:A)</f>
        <v>1152000</v>
      </c>
      <c r="AI116" s="4">
        <f>IF(Table17[[#This Row],[DISC 3]]="",Table17[[#This Row],[HRG / CTN]],Table17[[#This Row],[HRG / CTN]]-(Table17[[#This Row],[HRG / CTN]]*Table17[[#This Row],[DISC 3]]))</f>
        <v>1117440</v>
      </c>
      <c r="AJ116" s="5" t="e">
        <f>IF(#REF!&lt;1,Table17[[#This Row],[Column9]],Table17[[#This Row],[Column9]]*#REF!)</f>
        <v>#REF!</v>
      </c>
      <c r="AK116" s="4" t="str">
        <f ca="1">IF(NOT(AP117=Table17[[#This Row],[Column6]]),SUMIF(Table17[Column6],Table17[[#This Row],[Column6]],Table17[Column7]),"")</f>
        <v/>
      </c>
      <c r="AL116" s="6">
        <f ca="1">INDEX(NOTA[TGL_H],Sheet1!A:A)</f>
        <v>45485</v>
      </c>
      <c r="AM116" s="6">
        <f ca="1">INDEX(NOTA[TGL.NOTA_H],Sheet1!A:A)</f>
        <v>45483</v>
      </c>
      <c r="AO116" t="str">
        <f>IF(INDEX(NOTA[Column10],A:A)="","",INDEX(NOTA[Column10],A:A))</f>
        <v/>
      </c>
      <c r="AP116" t="str">
        <f ca="1">INDEX(NOTA[NO.NOTA_H],Sheet1!A:A)</f>
        <v>HM/136/07-24H</v>
      </c>
      <c r="AQ116">
        <f>INDEX(NOTA[Column10],Sheet1!A:A)</f>
        <v>0</v>
      </c>
      <c r="AR116" s="8" t="str">
        <f ca="1">INDEX(NOTA[SUPPLIER_H],Sheet1!A:A)</f>
        <v>DUTA BUANA</v>
      </c>
      <c r="AS116" t="str">
        <f>Table17[[#This Row],[NAMA_C]]</f>
        <v>CAT ACRYLIC COLOUR TF AC-006M METALIC</v>
      </c>
      <c r="AT116" t="str">
        <f ca="1">Table17[[#This Row],[SUPPLIER]]</f>
        <v>DUTA BUANA</v>
      </c>
      <c r="AU116" t="str">
        <f>SUBSTITUTE(Table17[[#This Row],[CTN]],",",".")</f>
        <v>36</v>
      </c>
      <c r="AV116" s="13">
        <f>Table17[[#This Row],[ISI_C]]</f>
        <v>6</v>
      </c>
      <c r="AW116" t="str">
        <f>Table17[[#This Row],[SATUAN_C]]</f>
        <v>LSN</v>
      </c>
      <c r="AX116">
        <f>Table17[[#This Row],[HARGA CONV2]]</f>
        <v>192000</v>
      </c>
      <c r="AY116" s="9" t="str">
        <f>SUBSTITUTE(Table17[[#This Row],[DISC 3]],",",".")</f>
        <v>0.03</v>
      </c>
      <c r="AZ116" s="6">
        <f ca="1">Table17[[#This Row],[TGL DATANG]]</f>
        <v>45485</v>
      </c>
      <c r="BA116" s="6">
        <f ca="1">Table17[[#This Row],[Column10]]</f>
        <v>45483</v>
      </c>
      <c r="BB116" s="7"/>
      <c r="BC116" t="str">
        <f>Table17[[#This Row],[KETERANGAN CONDRO]]</f>
        <v/>
      </c>
      <c r="BD116" t="str">
        <f ca="1">Table17[[#This Row],[Column6]]</f>
        <v>HM/136/07-24H</v>
      </c>
    </row>
    <row r="117" spans="1:56">
      <c r="A117" s="55">
        <v>151</v>
      </c>
      <c r="C117">
        <f>INDEX(NOTA[//DB],Sheet1!A:A)</f>
        <v>3464</v>
      </c>
      <c r="D117" t="str">
        <f>_xlfn.IFNA(MATCH(Table17[[#This Row],[//db]],[3]!Table2[\\],0),"")</f>
        <v/>
      </c>
      <c r="E117" t="str">
        <f>INDEX([3]!db[NB NOTA],Table17[[#This Row],[//db]])</f>
        <v>ACRYLIC MARKER TF-AM301-12</v>
      </c>
      <c r="F117" t="str">
        <f>INDEX([3]!db[NB BM],Table17[[#This Row],[//db]])</f>
        <v>ACRYLIC MARKET TF-AM301-12</v>
      </c>
      <c r="G117" t="str">
        <f>IF(Table17[[#This Row],[dbconcat]]="","",INDEX([3]!Table2[NAMA],Table17[[#This Row],[dbconcat]]))</f>
        <v/>
      </c>
      <c r="H117" t="e">
        <f>INDEX([3]!Table2[KODE BARANG],Table17[[#This Row],[dbconcat]])</f>
        <v>#VALUE!</v>
      </c>
      <c r="I117" t="str">
        <f>IF(Table17[[#This Row],[NAMA_3]]="",UPPER(Table17[[#This Row],[NAMA_2]]),Table17[[#This Row],[NAMA_3]])</f>
        <v>ACRYLIC MARKET TF-AM301-12</v>
      </c>
      <c r="J117">
        <f>INDEX(NOTA[QTY],Sheet1!A:A)</f>
        <v>288</v>
      </c>
      <c r="K117" t="str">
        <f>INDEX(NOTA[STN],Sheet1!A:A)</f>
        <v>SET</v>
      </c>
      <c r="L117" t="str">
        <f>INDEX([3]!db[QTY B],Table17[[#This Row],[//db]])</f>
        <v>144</v>
      </c>
      <c r="M117" t="str">
        <f>INDEX([3]!db[STN B],Table17[[#This Row],[//db]])</f>
        <v>SET</v>
      </c>
      <c r="N117" t="str">
        <f>IF(Table17[[#This Row],[SATUAN NOTA]]=Table17[[#This Row],[SATUAN DB]],"", MATCH(CONCATENATE(Table17[[#This Row],[SATUAN NOTA]],Table17[[#This Row],[SATUAN DB]]),Table2[4],0))</f>
        <v/>
      </c>
      <c r="O117" t="str" cm="1">
        <f t="array" ref="O117">IF(Table17[[#This Row],[//CONV]]="","",INDEX(Table2[3],Table17[[#This Row],[//CONV]]))</f>
        <v/>
      </c>
      <c r="P117" t="str">
        <f>IF(Table17[[#This Row],[//CONV]]="",Table17[[#This Row],[ISI DB]],Table17[[#This Row],[ISI NOTA]]*Table17[[#This Row],[CONV VAR]])</f>
        <v>144</v>
      </c>
      <c r="Q117" t="str" cm="1">
        <f t="array" ref="Q117">IF(Table17[[#This Row],[//CONV]]="",Table17[[#This Row],[SATUAN DB]],INDEX(Table2[2],Table17[[#This Row],[//CONV]]))</f>
        <v>SET</v>
      </c>
      <c r="R117" t="str" cm="1">
        <f t="array" ref="R117">IF(Table17[[#This Row],[dbconcat]]="","",INDEX([3]!Table2[ISI],Table17[[#This Row],[dbconcat]]))</f>
        <v/>
      </c>
      <c r="S117" t="str" cm="1">
        <f t="array" ref="S117">IF(Table17[[#This Row],[dbconcat]]="","",INDEX([3]!Table2[[SATUAN ]],Table17[[#This Row],[dbconcat]]))</f>
        <v/>
      </c>
      <c r="T117" t="str">
        <f>IF(Table17[[#This Row],[SATUAN S]]="","",IF(_xlfn.NUMBERVALUE(Table17[[#This Row],[ISI DB]])=_xlfn.NUMBERVALUE(Table17[[#This Row],[ISI S]]),"",1))</f>
        <v/>
      </c>
      <c r="U117" t="str">
        <f>IF(Table17[[#This Row],[SATUAN S]]="","",IF(Table17[[#This Row],[SATUAN DB]]=Table17[[#This Row],[SATUAN S]],"",1))</f>
        <v/>
      </c>
      <c r="V117" t="str">
        <f>IF(Table17[[#This Row],[CEK STN S]]="","",MATCH(CONCATENATE(Table17[[#This Row],[SATUAN CONV]],Table17[[#This Row],[SATUAN S]]),Table2[4],0))</f>
        <v/>
      </c>
      <c r="X117" t="str" cm="1">
        <f t="array" ref="X117">IF(Table17[[#This Row],[CONV2_//]]="","",INDEX(Table2[3],Table17[[#This Row],[CONV2_//]]))</f>
        <v/>
      </c>
      <c r="Y117" s="2" t="str">
        <f>IF(Table17[[#This Row],[CEK ISI S]]="",Table17[[#This Row],[ISI DB]],Table17[[#This Row],[ISI S]])</f>
        <v>144</v>
      </c>
      <c r="Z117" t="str">
        <f>IF(Table17[[#This Row],[CEK STN S]]="",Table17[[#This Row],[SATUAN DB]],Table17[[#This Row],[SATUAN S]])</f>
        <v>SET</v>
      </c>
      <c r="AA117">
        <f>IF(Table17[[#This Row],[//CONV]]="",Table17[[#This Row],[ISI NOTA]]/Table17[[#This Row],[ISI_C]],Table17[[#This Row],[ISI DB CONV]]/Table17[[#This Row],[ISI_C]])</f>
        <v>2</v>
      </c>
      <c r="AB117">
        <f>INDEX(NOTA[HARGA SATUAN],Sheet1!A:A)</f>
        <v>14000</v>
      </c>
      <c r="AC117">
        <f>IF(Table17[[#This Row],[//CONV]]="",Table17[[#This Row],[HARGA NOTA]],Table17[[#This Row],[HARGA NOTA]]/Table17[[#This Row],[CONV VAR]])</f>
        <v>14000</v>
      </c>
      <c r="AD117">
        <f>IF(Table17[[#This Row],[CEK STN S]]="",Table17[[#This Row],[HARGA CONV]],Table17[[#This Row],[HARGA CONV]]/Table17[[#This Row],[CONV2 VAR]])</f>
        <v>14000</v>
      </c>
      <c r="AE117" s="3">
        <f>IF(INDEX(NOTA[Column6],Sheet1!A:A)=0,"",INDEX(NOTA[Column6],Sheet1!A:A))</f>
        <v>0.03</v>
      </c>
      <c r="AF117" s="3" t="str">
        <f>IF(INDEX(NOTA[Column7],Sheet1!A:A)=0,"",INDEX(NOTA[Column7],Sheet1!A:A))</f>
        <v/>
      </c>
      <c r="AG117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7" s="4">
        <f>INDEX(NOTA[HARGA/ CTN_H],Sheet1!A:A)</f>
        <v>2016000</v>
      </c>
      <c r="AI117" s="4">
        <f>IF(Table17[[#This Row],[DISC 3]]="",Table17[[#This Row],[HRG / CTN]],Table17[[#This Row],[HRG / CTN]]-(Table17[[#This Row],[HRG / CTN]]*Table17[[#This Row],[DISC 3]]))</f>
        <v>1955520</v>
      </c>
      <c r="AJ117" s="5" t="e">
        <f>IF(#REF!&lt;1,Table17[[#This Row],[Column9]],Table17[[#This Row],[Column9]]*#REF!)</f>
        <v>#REF!</v>
      </c>
      <c r="AK117" s="4" t="str">
        <f ca="1">IF(NOT(AP118=Table17[[#This Row],[Column6]]),SUMIF(Table17[Column6],Table17[[#This Row],[Column6]],Table17[Column7]),"")</f>
        <v/>
      </c>
      <c r="AL117" s="6">
        <f ca="1">INDEX(NOTA[TGL_H],Sheet1!A:A)</f>
        <v>45485</v>
      </c>
      <c r="AM117" s="6">
        <f ca="1">INDEX(NOTA[TGL.NOTA_H],Sheet1!A:A)</f>
        <v>45483</v>
      </c>
      <c r="AO117" t="str">
        <f>IF(INDEX(NOTA[Column10],A:A)="","",INDEX(NOTA[Column10],A:A))</f>
        <v/>
      </c>
      <c r="AP117" t="str">
        <f ca="1">INDEX(NOTA[NO.NOTA_H],Sheet1!A:A)</f>
        <v>HM/136/07-24H</v>
      </c>
      <c r="AQ117">
        <f>INDEX(NOTA[Column10],Sheet1!A:A)</f>
        <v>0</v>
      </c>
      <c r="AR117" s="8" t="str">
        <f ca="1">INDEX(NOTA[SUPPLIER_H],Sheet1!A:A)</f>
        <v>DUTA BUANA</v>
      </c>
      <c r="AS117" t="str">
        <f>Table17[[#This Row],[NAMA_C]]</f>
        <v>ACRYLIC MARKET TF-AM301-12</v>
      </c>
      <c r="AT117" t="str">
        <f ca="1">Table17[[#This Row],[SUPPLIER]]</f>
        <v>DUTA BUANA</v>
      </c>
      <c r="AU117" t="str">
        <f>SUBSTITUTE(Table17[[#This Row],[CTN]],",",".")</f>
        <v>2</v>
      </c>
      <c r="AV117" s="13" t="str">
        <f>Table17[[#This Row],[ISI_C]]</f>
        <v>144</v>
      </c>
      <c r="AW117" t="str">
        <f>Table17[[#This Row],[SATUAN_C]]</f>
        <v>SET</v>
      </c>
      <c r="AX117">
        <f>Table17[[#This Row],[HARGA CONV2]]</f>
        <v>14000</v>
      </c>
      <c r="AY117" s="9" t="str">
        <f>SUBSTITUTE(Table17[[#This Row],[DISC 3]],",",".")</f>
        <v>0.03</v>
      </c>
      <c r="AZ117" s="6">
        <f ca="1">Table17[[#This Row],[TGL DATANG]]</f>
        <v>45485</v>
      </c>
      <c r="BA117" s="6">
        <f ca="1">Table17[[#This Row],[Column10]]</f>
        <v>45483</v>
      </c>
      <c r="BB117" s="7"/>
      <c r="BC117" t="str">
        <f>Table17[[#This Row],[KETERANGAN CONDRO]]</f>
        <v/>
      </c>
      <c r="BD117" t="str">
        <f ca="1">Table17[[#This Row],[Column6]]</f>
        <v>HM/136/07-24H</v>
      </c>
    </row>
    <row r="118" spans="1:56">
      <c r="A118" s="55">
        <v>152</v>
      </c>
      <c r="C118">
        <f>INDEX(NOTA[//DB],Sheet1!A:A)</f>
        <v>3427</v>
      </c>
      <c r="D118">
        <f>_xlfn.IFNA(MATCH(Table17[[#This Row],[//db]],[3]!Table2[\\],0),"")</f>
        <v>789</v>
      </c>
      <c r="E118" t="str">
        <f>INDEX([3]!db[NB NOTA],Table17[[#This Row],[//db]])</f>
        <v>BALLPEN PROMOSI WY 851A 4WR</v>
      </c>
      <c r="F118" t="str">
        <f>INDEX([3]!db[NB BM],Table17[[#This Row],[//db]])</f>
        <v>BP PROMOSI WY 851A 4WR</v>
      </c>
      <c r="G118" t="str">
        <f>IF(Table17[[#This Row],[dbconcat]]="","",INDEX([3]!Table2[NAMA],Table17[[#This Row],[dbconcat]]))</f>
        <v>BP PROMOSI WY 851A 4WR</v>
      </c>
      <c r="H118" t="str">
        <f>INDEX([3]!Table2[KODE BARANG],Table17[[#This Row],[dbconcat]])</f>
        <v>BOL-NB410</v>
      </c>
      <c r="I118" t="str">
        <f>IF(Table17[[#This Row],[NAMA_3]]="",UPPER(Table17[[#This Row],[NAMA_2]]),Table17[[#This Row],[NAMA_3]])</f>
        <v>BP PROMOSI WY 851A 4WR</v>
      </c>
      <c r="J118">
        <f>INDEX(NOTA[QTY],Sheet1!A:A)</f>
        <v>144</v>
      </c>
      <c r="K118" t="str">
        <f>INDEX(NOTA[STN],Sheet1!A:A)</f>
        <v>LSN</v>
      </c>
      <c r="L118" t="str">
        <f>INDEX([3]!db[QTY B],Table17[[#This Row],[//db]])</f>
        <v>144</v>
      </c>
      <c r="M118" t="str">
        <f>INDEX([3]!db[STN B],Table17[[#This Row],[//db]])</f>
        <v>LSN</v>
      </c>
      <c r="N118" t="str">
        <f>IF(Table17[[#This Row],[SATUAN NOTA]]=Table17[[#This Row],[SATUAN DB]],"", MATCH(CONCATENATE(Table17[[#This Row],[SATUAN NOTA]],Table17[[#This Row],[SATUAN DB]]),Table2[4],0))</f>
        <v/>
      </c>
      <c r="O118" t="str" cm="1">
        <f t="array" ref="O118">IF(Table17[[#This Row],[//CONV]]="","",INDEX(Table2[3],Table17[[#This Row],[//CONV]]))</f>
        <v/>
      </c>
      <c r="P118" t="str">
        <f>IF(Table17[[#This Row],[//CONV]]="",Table17[[#This Row],[ISI DB]],Table17[[#This Row],[ISI NOTA]]*Table17[[#This Row],[CONV VAR]])</f>
        <v>144</v>
      </c>
      <c r="Q118" t="str" cm="1">
        <f t="array" ref="Q118">IF(Table17[[#This Row],[//CONV]]="",Table17[[#This Row],[SATUAN DB]],INDEX(Table2[2],Table17[[#This Row],[//CONV]]))</f>
        <v>LSN</v>
      </c>
      <c r="R118" cm="1">
        <f t="array" ref="R118">IF(Table17[[#This Row],[dbconcat]]="","",INDEX([3]!Table2[ISI],Table17[[#This Row],[dbconcat]]))</f>
        <v>60</v>
      </c>
      <c r="S118" t="str" cm="1">
        <f t="array" ref="S118">IF(Table17[[#This Row],[dbconcat]]="","",INDEX([3]!Table2[[SATUAN ]],Table17[[#This Row],[dbconcat]]))</f>
        <v>LSN</v>
      </c>
      <c r="T118">
        <f>IF(Table17[[#This Row],[SATUAN S]]="","",IF(_xlfn.NUMBERVALUE(Table17[[#This Row],[ISI DB]])=_xlfn.NUMBERVALUE(Table17[[#This Row],[ISI S]]),"",1))</f>
        <v>1</v>
      </c>
      <c r="U118" t="str">
        <f>IF(Table17[[#This Row],[SATUAN S]]="","",IF(Table17[[#This Row],[SATUAN DB]]=Table17[[#This Row],[SATUAN S]],"",1))</f>
        <v/>
      </c>
      <c r="V118" t="str">
        <f>IF(Table17[[#This Row],[CEK STN S]]="","",MATCH(CONCATENATE(Table17[[#This Row],[SATUAN CONV]],Table17[[#This Row],[SATUAN S]]),Table2[4],0))</f>
        <v/>
      </c>
      <c r="X118" t="str" cm="1">
        <f t="array" ref="X118">IF(Table17[[#This Row],[CONV2_//]]="","",INDEX(Table2[3],Table17[[#This Row],[CONV2_//]]))</f>
        <v/>
      </c>
      <c r="Y118" s="2">
        <f>IF(Table17[[#This Row],[CEK ISI S]]="",Table17[[#This Row],[ISI DB]],Table17[[#This Row],[ISI S]])</f>
        <v>60</v>
      </c>
      <c r="Z118" t="str">
        <f>IF(Table17[[#This Row],[CEK STN S]]="",Table17[[#This Row],[SATUAN DB]],Table17[[#This Row],[SATUAN S]])</f>
        <v>LSN</v>
      </c>
      <c r="AA118">
        <f>IF(Table17[[#This Row],[//CONV]]="",Table17[[#This Row],[ISI NOTA]]/Table17[[#This Row],[ISI_C]],Table17[[#This Row],[ISI DB CONV]]/Table17[[#This Row],[ISI_C]])</f>
        <v>2.4</v>
      </c>
      <c r="AB118">
        <f>INDEX(NOTA[HARGA SATUAN],Sheet1!A:A)</f>
        <v>0</v>
      </c>
      <c r="AC118">
        <f>IF(Table17[[#This Row],[//CONV]]="",Table17[[#This Row],[HARGA NOTA]],Table17[[#This Row],[HARGA NOTA]]/Table17[[#This Row],[CONV VAR]])</f>
        <v>0</v>
      </c>
      <c r="AD118">
        <f>IF(Table17[[#This Row],[CEK STN S]]="",Table17[[#This Row],[HARGA CONV]],Table17[[#This Row],[HARGA CONV]]/Table17[[#This Row],[CONV2 VAR]])</f>
        <v>0</v>
      </c>
      <c r="AE118" s="3">
        <f>IF(INDEX(NOTA[Column6],Sheet1!A:A)=0,"",INDEX(NOTA[Column6],Sheet1!A:A))</f>
        <v>0.03</v>
      </c>
      <c r="AF118" s="3" t="str">
        <f>IF(INDEX(NOTA[Column7],Sheet1!A:A)=0,"",INDEX(NOTA[Column7],Sheet1!A:A))</f>
        <v/>
      </c>
      <c r="AG118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8" s="4">
        <f>INDEX(NOTA[HARGA/ CTN_H],Sheet1!A:A)</f>
        <v>0</v>
      </c>
      <c r="AI118" s="4">
        <f>IF(Table17[[#This Row],[DISC 3]]="",Table17[[#This Row],[HRG / CTN]],Table17[[#This Row],[HRG / CTN]]-(Table17[[#This Row],[HRG / CTN]]*Table17[[#This Row],[DISC 3]]))</f>
        <v>0</v>
      </c>
      <c r="AJ118" s="5" t="e">
        <f>IF(#REF!&lt;1,Table17[[#This Row],[Column9]],Table17[[#This Row],[Column9]]*#REF!)</f>
        <v>#REF!</v>
      </c>
      <c r="AK118" s="4" t="str">
        <f ca="1">IF(NOT(AP119=Table17[[#This Row],[Column6]]),SUMIF(Table17[Column6],Table17[[#This Row],[Column6]],Table17[Column7]),"")</f>
        <v/>
      </c>
      <c r="AL118" s="6">
        <f ca="1">INDEX(NOTA[TGL_H],Sheet1!A:A)</f>
        <v>45485</v>
      </c>
      <c r="AM118" s="6">
        <f ca="1">INDEX(NOTA[TGL.NOTA_H],Sheet1!A:A)</f>
        <v>45483</v>
      </c>
      <c r="AO118" t="str">
        <f>IF(INDEX(NOTA[Column10],A:A)="","",INDEX(NOTA[Column10],A:A))</f>
        <v>BONUS</v>
      </c>
      <c r="AP118" t="str">
        <f ca="1">INDEX(NOTA[NO.NOTA_H],Sheet1!A:A)</f>
        <v>HM/136/07-24H</v>
      </c>
      <c r="AQ118" t="str">
        <f>INDEX(NOTA[Column10],Sheet1!A:A)</f>
        <v>BONUS</v>
      </c>
      <c r="AR118" s="8" t="str">
        <f ca="1">INDEX(NOTA[SUPPLIER_H],Sheet1!A:A)</f>
        <v>DUTA BUANA</v>
      </c>
      <c r="AS118" t="str">
        <f>Table17[[#This Row],[NAMA_C]]</f>
        <v>BP PROMOSI WY 851A 4WR</v>
      </c>
      <c r="AT118" t="str">
        <f ca="1">Table17[[#This Row],[SUPPLIER]]</f>
        <v>DUTA BUANA</v>
      </c>
      <c r="AU118" t="str">
        <f>SUBSTITUTE(Table17[[#This Row],[CTN]],",",".")</f>
        <v>2.4</v>
      </c>
      <c r="AV118" s="13">
        <f>Table17[[#This Row],[ISI_C]]</f>
        <v>60</v>
      </c>
      <c r="AW118" t="str">
        <f>Table17[[#This Row],[SATUAN_C]]</f>
        <v>LSN</v>
      </c>
      <c r="AX118">
        <f>Table17[[#This Row],[HARGA CONV2]]</f>
        <v>0</v>
      </c>
      <c r="AY118" s="9" t="str">
        <f>SUBSTITUTE(Table17[[#This Row],[DISC 3]],",",".")</f>
        <v>0.03</v>
      </c>
      <c r="AZ118" s="6">
        <f ca="1">Table17[[#This Row],[TGL DATANG]]</f>
        <v>45485</v>
      </c>
      <c r="BA118" s="6">
        <f ca="1">Table17[[#This Row],[Column10]]</f>
        <v>45483</v>
      </c>
      <c r="BB118" s="7"/>
      <c r="BC118" t="str">
        <f>Table17[[#This Row],[KETERANGAN CONDRO]]</f>
        <v>BONUS</v>
      </c>
      <c r="BD118" t="str">
        <f ca="1">Table17[[#This Row],[Column6]]</f>
        <v>HM/136/07-24H</v>
      </c>
    </row>
    <row r="119" spans="1:56">
      <c r="A119" s="55">
        <v>153</v>
      </c>
      <c r="C119">
        <f>INDEX(NOTA[//DB],Sheet1!A:A)</f>
        <v>3427</v>
      </c>
      <c r="D119">
        <f>_xlfn.IFNA(MATCH(Table17[[#This Row],[//db]],[3]!Table2[\\],0),"")</f>
        <v>789</v>
      </c>
      <c r="E119" t="str">
        <f>INDEX([3]!db[NB NOTA],Table17[[#This Row],[//db]])</f>
        <v>BALLPEN PROMOSI WY 851A 4WR</v>
      </c>
      <c r="F119" t="str">
        <f>INDEX([3]!db[NB BM],Table17[[#This Row],[//db]])</f>
        <v>BP PROMOSI WY 851A 4WR</v>
      </c>
      <c r="G119" t="str">
        <f>IF(Table17[[#This Row],[dbconcat]]="","",INDEX([3]!Table2[NAMA],Table17[[#This Row],[dbconcat]]))</f>
        <v>BP PROMOSI WY 851A 4WR</v>
      </c>
      <c r="H119" t="str">
        <f>INDEX([3]!Table2[KODE BARANG],Table17[[#This Row],[dbconcat]])</f>
        <v>BOL-NB410</v>
      </c>
      <c r="I119" t="str">
        <f>IF(Table17[[#This Row],[NAMA_3]]="",UPPER(Table17[[#This Row],[NAMA_2]]),Table17[[#This Row],[NAMA_3]])</f>
        <v>BP PROMOSI WY 851A 4WR</v>
      </c>
      <c r="J119">
        <f>INDEX(NOTA[QTY],Sheet1!A:A)</f>
        <v>36</v>
      </c>
      <c r="K119" t="str">
        <f>INDEX(NOTA[STN],Sheet1!A:A)</f>
        <v>LSN</v>
      </c>
      <c r="L119" t="str">
        <f>INDEX([3]!db[QTY B],Table17[[#This Row],[//db]])</f>
        <v>144</v>
      </c>
      <c r="M119" t="str">
        <f>INDEX([3]!db[STN B],Table17[[#This Row],[//db]])</f>
        <v>LSN</v>
      </c>
      <c r="N119" t="str">
        <f>IF(Table17[[#This Row],[SATUAN NOTA]]=Table17[[#This Row],[SATUAN DB]],"", MATCH(CONCATENATE(Table17[[#This Row],[SATUAN NOTA]],Table17[[#This Row],[SATUAN DB]]),Table2[4],0))</f>
        <v/>
      </c>
      <c r="O119" t="str" cm="1">
        <f t="array" ref="O119">IF(Table17[[#This Row],[//CONV]]="","",INDEX(Table2[3],Table17[[#This Row],[//CONV]]))</f>
        <v/>
      </c>
      <c r="P119" t="str">
        <f>IF(Table17[[#This Row],[//CONV]]="",Table17[[#This Row],[ISI DB]],Table17[[#This Row],[ISI NOTA]]*Table17[[#This Row],[CONV VAR]])</f>
        <v>144</v>
      </c>
      <c r="Q119" t="str" cm="1">
        <f t="array" ref="Q119">IF(Table17[[#This Row],[//CONV]]="",Table17[[#This Row],[SATUAN DB]],INDEX(Table2[2],Table17[[#This Row],[//CONV]]))</f>
        <v>LSN</v>
      </c>
      <c r="R119" cm="1">
        <f t="array" ref="R119">IF(Table17[[#This Row],[dbconcat]]="","",INDEX([3]!Table2[ISI],Table17[[#This Row],[dbconcat]]))</f>
        <v>60</v>
      </c>
      <c r="S119" t="str" cm="1">
        <f t="array" ref="S119">IF(Table17[[#This Row],[dbconcat]]="","",INDEX([3]!Table2[[SATUAN ]],Table17[[#This Row],[dbconcat]]))</f>
        <v>LSN</v>
      </c>
      <c r="T119">
        <f>IF(Table17[[#This Row],[SATUAN S]]="","",IF(_xlfn.NUMBERVALUE(Table17[[#This Row],[ISI DB]])=_xlfn.NUMBERVALUE(Table17[[#This Row],[ISI S]]),"",1))</f>
        <v>1</v>
      </c>
      <c r="U119" t="str">
        <f>IF(Table17[[#This Row],[SATUAN S]]="","",IF(Table17[[#This Row],[SATUAN DB]]=Table17[[#This Row],[SATUAN S]],"",1))</f>
        <v/>
      </c>
      <c r="V119" t="str">
        <f>IF(Table17[[#This Row],[CEK STN S]]="","",MATCH(CONCATENATE(Table17[[#This Row],[SATUAN CONV]],Table17[[#This Row],[SATUAN S]]),Table2[4],0))</f>
        <v/>
      </c>
      <c r="X119" t="str" cm="1">
        <f t="array" ref="X119">IF(Table17[[#This Row],[CONV2_//]]="","",INDEX(Table2[3],Table17[[#This Row],[CONV2_//]]))</f>
        <v/>
      </c>
      <c r="Y119" s="2">
        <f>IF(Table17[[#This Row],[CEK ISI S]]="",Table17[[#This Row],[ISI DB]],Table17[[#This Row],[ISI S]])</f>
        <v>60</v>
      </c>
      <c r="Z119" t="str">
        <f>IF(Table17[[#This Row],[CEK STN S]]="",Table17[[#This Row],[SATUAN DB]],Table17[[#This Row],[SATUAN S]])</f>
        <v>LSN</v>
      </c>
      <c r="AA119">
        <f>IF(Table17[[#This Row],[//CONV]]="",Table17[[#This Row],[ISI NOTA]]/Table17[[#This Row],[ISI_C]],Table17[[#This Row],[ISI DB CONV]]/Table17[[#This Row],[ISI_C]])</f>
        <v>0.6</v>
      </c>
      <c r="AB119">
        <f>INDEX(NOTA[HARGA SATUAN],Sheet1!A:A)</f>
        <v>0</v>
      </c>
      <c r="AC119">
        <f>IF(Table17[[#This Row],[//CONV]]="",Table17[[#This Row],[HARGA NOTA]],Table17[[#This Row],[HARGA NOTA]]/Table17[[#This Row],[CONV VAR]])</f>
        <v>0</v>
      </c>
      <c r="AD119">
        <f>IF(Table17[[#This Row],[CEK STN S]]="",Table17[[#This Row],[HARGA CONV]],Table17[[#This Row],[HARGA CONV]]/Table17[[#This Row],[CONV2 VAR]])</f>
        <v>0</v>
      </c>
      <c r="AE119" s="3">
        <f>IF(INDEX(NOTA[Column6],Sheet1!A:A)=0,"",INDEX(NOTA[Column6],Sheet1!A:A))</f>
        <v>0.03</v>
      </c>
      <c r="AF119" s="3" t="str">
        <f>IF(INDEX(NOTA[Column7],Sheet1!A:A)=0,"",INDEX(NOTA[Column7],Sheet1!A:A))</f>
        <v/>
      </c>
      <c r="AG119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19" s="4">
        <f>INDEX(NOTA[HARGA/ CTN_H],Sheet1!A:A)</f>
        <v>0</v>
      </c>
      <c r="AI119" s="4">
        <f>IF(Table17[[#This Row],[DISC 3]]="",Table17[[#This Row],[HRG / CTN]],Table17[[#This Row],[HRG / CTN]]-(Table17[[#This Row],[HRG / CTN]]*Table17[[#This Row],[DISC 3]]))</f>
        <v>0</v>
      </c>
      <c r="AJ119" s="5" t="e">
        <f>IF(#REF!&lt;1,Table17[[#This Row],[Column9]],Table17[[#This Row],[Column9]]*#REF!)</f>
        <v>#REF!</v>
      </c>
      <c r="AK119" s="4" t="str">
        <f ca="1">IF(NOT(AP120=Table17[[#This Row],[Column6]]),SUMIF(Table17[Column6],Table17[[#This Row],[Column6]],Table17[Column7]),"")</f>
        <v/>
      </c>
      <c r="AL119" s="6">
        <f ca="1">INDEX(NOTA[TGL_H],Sheet1!A:A)</f>
        <v>45485</v>
      </c>
      <c r="AM119" s="6">
        <f ca="1">INDEX(NOTA[TGL.NOTA_H],Sheet1!A:A)</f>
        <v>45483</v>
      </c>
      <c r="AO119" t="str">
        <f>IF(INDEX(NOTA[Column10],A:A)="","",INDEX(NOTA[Column10],A:A))</f>
        <v>BONUS</v>
      </c>
      <c r="AP119" t="str">
        <f ca="1">INDEX(NOTA[NO.NOTA_H],Sheet1!A:A)</f>
        <v>HM/136/07-24H</v>
      </c>
      <c r="AQ119" t="str">
        <f>INDEX(NOTA[Column10],Sheet1!A:A)</f>
        <v>BONUS</v>
      </c>
      <c r="AR119" s="8" t="str">
        <f ca="1">INDEX(NOTA[SUPPLIER_H],Sheet1!A:A)</f>
        <v>DUTA BUANA</v>
      </c>
      <c r="AS119" t="str">
        <f>Table17[[#This Row],[NAMA_C]]</f>
        <v>BP PROMOSI WY 851A 4WR</v>
      </c>
      <c r="AT119" t="str">
        <f ca="1">Table17[[#This Row],[SUPPLIER]]</f>
        <v>DUTA BUANA</v>
      </c>
      <c r="AU119" t="str">
        <f>SUBSTITUTE(Table17[[#This Row],[CTN]],",",".")</f>
        <v>0.6</v>
      </c>
      <c r="AV119" s="13">
        <f>Table17[[#This Row],[ISI_C]]</f>
        <v>60</v>
      </c>
      <c r="AW119" t="str">
        <f>Table17[[#This Row],[SATUAN_C]]</f>
        <v>LSN</v>
      </c>
      <c r="AX119">
        <f>Table17[[#This Row],[HARGA CONV2]]</f>
        <v>0</v>
      </c>
      <c r="AY119" s="9" t="str">
        <f>SUBSTITUTE(Table17[[#This Row],[DISC 3]],",",".")</f>
        <v>0.03</v>
      </c>
      <c r="AZ119" s="6">
        <f ca="1">Table17[[#This Row],[TGL DATANG]]</f>
        <v>45485</v>
      </c>
      <c r="BA119" s="6">
        <f ca="1">Table17[[#This Row],[Column10]]</f>
        <v>45483</v>
      </c>
      <c r="BB119" s="7"/>
      <c r="BC119" t="str">
        <f>Table17[[#This Row],[KETERANGAN CONDRO]]</f>
        <v>BONUS</v>
      </c>
      <c r="BD119" t="str">
        <f ca="1">Table17[[#This Row],[Column6]]</f>
        <v>HM/136/07-24H</v>
      </c>
    </row>
    <row r="120" spans="1:56">
      <c r="A120" s="55">
        <v>154</v>
      </c>
      <c r="C120">
        <f>INDEX(NOTA[//DB],Sheet1!A:A)</f>
        <v>3466</v>
      </c>
      <c r="D120">
        <f>_xlfn.IFNA(MATCH(Table17[[#This Row],[//db]],[3]!Table2[\\],0),"")</f>
        <v>459</v>
      </c>
      <c r="E120" t="str">
        <f>INDEX([3]!db[NB NOTA],Table17[[#This Row],[//db]])</f>
        <v>BALLPEN GEL CS-G89 0,5MM</v>
      </c>
      <c r="F120" t="str">
        <f>INDEX([3]!db[NB BM],Table17[[#This Row],[//db]])</f>
        <v>BP GEL 0,5 CS-G89</v>
      </c>
      <c r="G120" t="str">
        <f>IF(Table17[[#This Row],[dbconcat]]="","",INDEX([3]!Table2[NAMA],Table17[[#This Row],[dbconcat]]))</f>
        <v>BP GEL 0,5 CS-G89</v>
      </c>
      <c r="H120" t="str">
        <f>INDEX([3]!Table2[KODE BARANG],Table17[[#This Row],[dbconcat]])</f>
        <v>BOL-CS74</v>
      </c>
      <c r="I120" t="str">
        <f>IF(Table17[[#This Row],[NAMA_3]]="",UPPER(Table17[[#This Row],[NAMA_2]]),Table17[[#This Row],[NAMA_3]])</f>
        <v>BP GEL 0,5 CS-G89</v>
      </c>
      <c r="J120">
        <f>INDEX(NOTA[QTY],Sheet1!A:A)</f>
        <v>144</v>
      </c>
      <c r="K120" t="str">
        <f>INDEX(NOTA[STN],Sheet1!A:A)</f>
        <v>LSN</v>
      </c>
      <c r="L120" t="str">
        <f>INDEX([3]!db[QTY B],Table17[[#This Row],[//db]])</f>
        <v>144</v>
      </c>
      <c r="M120" t="str">
        <f>INDEX([3]!db[STN B],Table17[[#This Row],[//db]])</f>
        <v>LSN</v>
      </c>
      <c r="N120" t="str">
        <f>IF(Table17[[#This Row],[SATUAN NOTA]]=Table17[[#This Row],[SATUAN DB]],"", MATCH(CONCATENATE(Table17[[#This Row],[SATUAN NOTA]],Table17[[#This Row],[SATUAN DB]]),Table2[4],0))</f>
        <v/>
      </c>
      <c r="O120" t="str" cm="1">
        <f t="array" ref="O120">IF(Table17[[#This Row],[//CONV]]="","",INDEX(Table2[3],Table17[[#This Row],[//CONV]]))</f>
        <v/>
      </c>
      <c r="P120" t="str">
        <f>IF(Table17[[#This Row],[//CONV]]="",Table17[[#This Row],[ISI DB]],Table17[[#This Row],[ISI NOTA]]*Table17[[#This Row],[CONV VAR]])</f>
        <v>144</v>
      </c>
      <c r="Q120" t="str" cm="1">
        <f t="array" ref="Q120">IF(Table17[[#This Row],[//CONV]]="",Table17[[#This Row],[SATUAN DB]],INDEX(Table2[2],Table17[[#This Row],[//CONV]]))</f>
        <v>LSN</v>
      </c>
      <c r="R120" cm="1">
        <f t="array" ref="R120">IF(Table17[[#This Row],[dbconcat]]="","",INDEX([3]!Table2[ISI],Table17[[#This Row],[dbconcat]]))</f>
        <v>144</v>
      </c>
      <c r="S120" t="str" cm="1">
        <f t="array" ref="S120">IF(Table17[[#This Row],[dbconcat]]="","",INDEX([3]!Table2[[SATUAN ]],Table17[[#This Row],[dbconcat]]))</f>
        <v>LSN</v>
      </c>
      <c r="T120" t="str">
        <f>IF(Table17[[#This Row],[SATUAN S]]="","",IF(_xlfn.NUMBERVALUE(Table17[[#This Row],[ISI DB]])=_xlfn.NUMBERVALUE(Table17[[#This Row],[ISI S]]),"",1))</f>
        <v/>
      </c>
      <c r="U120" t="str">
        <f>IF(Table17[[#This Row],[SATUAN S]]="","",IF(Table17[[#This Row],[SATUAN DB]]=Table17[[#This Row],[SATUAN S]],"",1))</f>
        <v/>
      </c>
      <c r="V120" t="str">
        <f>IF(Table17[[#This Row],[CEK STN S]]="","",MATCH(CONCATENATE(Table17[[#This Row],[SATUAN CONV]],Table17[[#This Row],[SATUAN S]]),Table2[4],0))</f>
        <v/>
      </c>
      <c r="X120" t="str" cm="1">
        <f t="array" ref="X120">IF(Table17[[#This Row],[CONV2_//]]="","",INDEX(Table2[3],Table17[[#This Row],[CONV2_//]]))</f>
        <v/>
      </c>
      <c r="Y120" s="2" t="str">
        <f>IF(Table17[[#This Row],[CEK ISI S]]="",Table17[[#This Row],[ISI DB]],Table17[[#This Row],[ISI S]])</f>
        <v>144</v>
      </c>
      <c r="Z120" t="str">
        <f>IF(Table17[[#This Row],[CEK STN S]]="",Table17[[#This Row],[SATUAN DB]],Table17[[#This Row],[SATUAN S]])</f>
        <v>LSN</v>
      </c>
      <c r="AA120">
        <f>IF(Table17[[#This Row],[//CONV]]="",Table17[[#This Row],[ISI NOTA]]/Table17[[#This Row],[ISI_C]],Table17[[#This Row],[ISI DB CONV]]/Table17[[#This Row],[ISI_C]])</f>
        <v>1</v>
      </c>
      <c r="AB120">
        <f>INDEX(NOTA[HARGA SATUAN],Sheet1!A:A)</f>
        <v>12500</v>
      </c>
      <c r="AC120">
        <f>IF(Table17[[#This Row],[//CONV]]="",Table17[[#This Row],[HARGA NOTA]],Table17[[#This Row],[HARGA NOTA]]/Table17[[#This Row],[CONV VAR]])</f>
        <v>12500</v>
      </c>
      <c r="AD120">
        <f>IF(Table17[[#This Row],[CEK STN S]]="",Table17[[#This Row],[HARGA CONV]],Table17[[#This Row],[HARGA CONV]]/Table17[[#This Row],[CONV2 VAR]])</f>
        <v>12500</v>
      </c>
      <c r="AE120" s="3">
        <f>IF(INDEX(NOTA[Column6],Sheet1!A:A)=0,"",INDEX(NOTA[Column6],Sheet1!A:A))</f>
        <v>0.03</v>
      </c>
      <c r="AF120" s="3" t="str">
        <f>IF(INDEX(NOTA[Column7],Sheet1!A:A)=0,"",INDEX(NOTA[Column7],Sheet1!A:A))</f>
        <v/>
      </c>
      <c r="AG120" s="3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20" s="4">
        <f>INDEX(NOTA[HARGA/ CTN_H],Sheet1!A:A)</f>
        <v>1800000</v>
      </c>
      <c r="AI120" s="4">
        <f>IF(Table17[[#This Row],[DISC 3]]="",Table17[[#This Row],[HRG / CTN]],Table17[[#This Row],[HRG / CTN]]-(Table17[[#This Row],[HRG / CTN]]*Table17[[#This Row],[DISC 3]]))</f>
        <v>1746000</v>
      </c>
      <c r="AJ120" s="5" t="e">
        <f>IF(#REF!&lt;1,Table17[[#This Row],[Column9]],Table17[[#This Row],[Column9]]*#REF!)</f>
        <v>#REF!</v>
      </c>
      <c r="AK120" s="4" t="e">
        <f ca="1">IF(NOT(AP121=Table17[[#This Row],[Column6]]),SUMIF(Table17[Column6],Table17[[#This Row],[Column6]],Table17[Column7]),"")</f>
        <v>#REF!</v>
      </c>
      <c r="AL120" s="6">
        <f ca="1">INDEX(NOTA[TGL_H],Sheet1!A:A)</f>
        <v>45485</v>
      </c>
      <c r="AM120" s="6">
        <f ca="1">INDEX(NOTA[TGL.NOTA_H],Sheet1!A:A)</f>
        <v>45483</v>
      </c>
      <c r="AO120" t="str">
        <f>IF(INDEX(NOTA[Column10],A:A)="","",INDEX(NOTA[Column10],A:A))</f>
        <v/>
      </c>
      <c r="AP120" t="str">
        <f ca="1">INDEX(NOTA[NO.NOTA_H],Sheet1!A:A)</f>
        <v>HM/136/07-24H</v>
      </c>
      <c r="AQ120">
        <f>INDEX(NOTA[Column10],Sheet1!A:A)</f>
        <v>0</v>
      </c>
      <c r="AR120" s="8" t="str">
        <f ca="1">INDEX(NOTA[SUPPLIER_H],Sheet1!A:A)</f>
        <v>DUTA BUANA</v>
      </c>
      <c r="AS120" t="str">
        <f>Table17[[#This Row],[NAMA_C]]</f>
        <v>BP GEL 0,5 CS-G89</v>
      </c>
      <c r="AT120" t="str">
        <f ca="1">Table17[[#This Row],[SUPPLIER]]</f>
        <v>DUTA BUANA</v>
      </c>
      <c r="AU120" t="str">
        <f>SUBSTITUTE(Table17[[#This Row],[CTN]],",",".")</f>
        <v>1</v>
      </c>
      <c r="AV120" s="13" t="str">
        <f>Table17[[#This Row],[ISI_C]]</f>
        <v>144</v>
      </c>
      <c r="AW120" t="str">
        <f>Table17[[#This Row],[SATUAN_C]]</f>
        <v>LSN</v>
      </c>
      <c r="AX120">
        <f>Table17[[#This Row],[HARGA CONV2]]</f>
        <v>12500</v>
      </c>
      <c r="AY120" s="9" t="str">
        <f>SUBSTITUTE(Table17[[#This Row],[DISC 3]],",",".")</f>
        <v>0.03</v>
      </c>
      <c r="AZ120" s="6">
        <f ca="1">Table17[[#This Row],[TGL DATANG]]</f>
        <v>45485</v>
      </c>
      <c r="BA120" s="6">
        <f ca="1">Table17[[#This Row],[Column10]]</f>
        <v>45483</v>
      </c>
      <c r="BB120" s="7"/>
      <c r="BC120" t="str">
        <f>Table17[[#This Row],[KETERANGAN CONDRO]]</f>
        <v/>
      </c>
      <c r="BD120" t="str">
        <f ca="1">Table17[[#This Row],[Column6]]</f>
        <v>HM/136/07-24H</v>
      </c>
    </row>
    <row r="121" spans="1:56" s="25" customFormat="1">
      <c r="A121" s="24">
        <v>156</v>
      </c>
      <c r="C121" s="25">
        <f>INDEX(NOTA[//DB],Sheet1!A:A)</f>
        <v>150</v>
      </c>
      <c r="D121" s="25">
        <f>_xlfn.IFNA(MATCH(Table17[[#This Row],[//db]],[3]!Table2[\\],0),"")</f>
        <v>717</v>
      </c>
      <c r="E121" s="25" t="str">
        <f>INDEX([3]!db[NB NOTA],Table17[[#This Row],[//db]])</f>
        <v>BALLPEN GEL TF-1190 HTM 0.3MM HIGHTECH</v>
      </c>
      <c r="F121" s="25" t="str">
        <f>INDEX([3]!db[NB BM],Table17[[#This Row],[//db]])</f>
        <v>BP GEL TF-1190 0.3MM HIGHTECH (H)</v>
      </c>
      <c r="G121" s="25" t="str">
        <f>IF(Table17[[#This Row],[dbconcat]]="","",INDEX([3]!Table2[NAMA],Table17[[#This Row],[dbconcat]]))</f>
        <v>BP GEL TF-1190 0.3MM HIGHTECH (H)</v>
      </c>
      <c r="H121" s="25" t="str">
        <f>INDEX([3]!Table2[KODE BARANG],Table17[[#This Row],[dbconcat]])</f>
        <v>BOL-TF336</v>
      </c>
      <c r="I121" s="25" t="str">
        <f>IF(Table17[[#This Row],[NAMA_3]]="",UPPER(Table17[[#This Row],[NAMA_2]]),Table17[[#This Row],[NAMA_3]])</f>
        <v>BP GEL TF-1190 0.3MM HIGHTECH (H)</v>
      </c>
      <c r="J121" s="25">
        <f>INDEX(NOTA[QTY],Sheet1!A:A)</f>
        <v>1920</v>
      </c>
      <c r="K121" s="25" t="str">
        <f>INDEX(NOTA[STN],Sheet1!A:A)</f>
        <v>LSN</v>
      </c>
      <c r="L121" s="25" t="str">
        <f>INDEX([3]!db[QTY B],Table17[[#This Row],[//db]])</f>
        <v>96</v>
      </c>
      <c r="M121" s="25" t="str">
        <f>INDEX([3]!db[STN B],Table17[[#This Row],[//db]])</f>
        <v>LSN</v>
      </c>
      <c r="N121" s="25" t="str">
        <f>IF(Table17[[#This Row],[SATUAN NOTA]]=Table17[[#This Row],[SATUAN DB]],"", MATCH(CONCATENATE(Table17[[#This Row],[SATUAN NOTA]],Table17[[#This Row],[SATUAN DB]]),Table2[4],0))</f>
        <v/>
      </c>
      <c r="O121" s="25" t="str" cm="1">
        <f t="array" ref="O121">IF(Table17[[#This Row],[//CONV]]="","",INDEX(Table2[3],Table17[[#This Row],[//CONV]]))</f>
        <v/>
      </c>
      <c r="P121" s="25" t="str">
        <f>IF(Table17[[#This Row],[//CONV]]="",Table17[[#This Row],[ISI DB]],Table17[[#This Row],[ISI NOTA]]*Table17[[#This Row],[CONV VAR]])</f>
        <v>96</v>
      </c>
      <c r="Q121" s="25" t="str" cm="1">
        <f t="array" ref="Q121">IF(Table17[[#This Row],[//CONV]]="",Table17[[#This Row],[SATUAN DB]],INDEX(Table2[2],Table17[[#This Row],[//CONV]]))</f>
        <v>LSN</v>
      </c>
      <c r="R121" s="25" cm="1">
        <f t="array" ref="R121">IF(Table17[[#This Row],[dbconcat]]="","",INDEX([3]!Table2[ISI],Table17[[#This Row],[dbconcat]]))</f>
        <v>96</v>
      </c>
      <c r="S121" s="25" t="str" cm="1">
        <f t="array" ref="S121">IF(Table17[[#This Row],[dbconcat]]="","",INDEX([3]!Table2[[SATUAN ]],Table17[[#This Row],[dbconcat]]))</f>
        <v>LSN</v>
      </c>
      <c r="T121" s="25" t="str">
        <f>IF(Table17[[#This Row],[SATUAN S]]="","",IF(_xlfn.NUMBERVALUE(Table17[[#This Row],[ISI DB]])=_xlfn.NUMBERVALUE(Table17[[#This Row],[ISI S]]),"",1))</f>
        <v/>
      </c>
      <c r="U121" s="25" t="str">
        <f>IF(Table17[[#This Row],[SATUAN S]]="","",IF(Table17[[#This Row],[SATUAN DB]]=Table17[[#This Row],[SATUAN S]],"",1))</f>
        <v/>
      </c>
      <c r="V121" s="25" t="str">
        <f>IF(Table17[[#This Row],[CEK STN S]]="","",MATCH(CONCATENATE(Table17[[#This Row],[SATUAN CONV]],Table17[[#This Row],[SATUAN S]]),Table2[4],0))</f>
        <v/>
      </c>
      <c r="X121" s="25" t="str" cm="1">
        <f t="array" ref="X121">IF(Table17[[#This Row],[CONV2_//]]="","",INDEX(Table2[3],Table17[[#This Row],[CONV2_//]]))</f>
        <v/>
      </c>
      <c r="Y121" s="24" t="str">
        <f>IF(Table17[[#This Row],[CEK ISI S]]="",Table17[[#This Row],[ISI DB]],Table17[[#This Row],[ISI S]])</f>
        <v>96</v>
      </c>
      <c r="Z121" s="25" t="str">
        <f>IF(Table17[[#This Row],[CEK STN S]]="",Table17[[#This Row],[SATUAN DB]],Table17[[#This Row],[SATUAN S]])</f>
        <v>LSN</v>
      </c>
      <c r="AA121" s="25">
        <f>IF(Table17[[#This Row],[//CONV]]="",Table17[[#This Row],[ISI NOTA]]/Table17[[#This Row],[ISI_C]],Table17[[#This Row],[ISI DB CONV]]/Table17[[#This Row],[ISI_C]])</f>
        <v>20</v>
      </c>
      <c r="AB121" s="25">
        <f>INDEX(NOTA[HARGA SATUAN],Sheet1!A:A)</f>
        <v>26500</v>
      </c>
      <c r="AC121" s="25">
        <f>IF(Table17[[#This Row],[//CONV]]="",Table17[[#This Row],[HARGA NOTA]],Table17[[#This Row],[HARGA NOTA]]/Table17[[#This Row],[CONV VAR]])</f>
        <v>26500</v>
      </c>
      <c r="AD121" s="25">
        <f>IF(Table17[[#This Row],[CEK STN S]]="",Table17[[#This Row],[HARGA CONV]],Table17[[#This Row],[HARGA CONV]]/Table17[[#This Row],[CONV2 VAR]])</f>
        <v>26500</v>
      </c>
      <c r="AE121" s="26">
        <f>IF(INDEX(NOTA[Column6],Sheet1!A:A)=0,"",INDEX(NOTA[Column6],Sheet1!A:A))</f>
        <v>0.03</v>
      </c>
      <c r="AF121" s="26" t="str">
        <f>IF(INDEX(NOTA[Column7],Sheet1!A:A)=0,"",INDEX(NOTA[Column7],Sheet1!A:A))</f>
        <v/>
      </c>
      <c r="AG121" s="26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H121" s="27">
        <f>INDEX(NOTA[HARGA/ CTN_H],Sheet1!A:A)</f>
        <v>2544000</v>
      </c>
      <c r="AI121" s="27">
        <f>IF(Table17[[#This Row],[DISC 3]]="",Table17[[#This Row],[HRG / CTN]],Table17[[#This Row],[HRG / CTN]]-(Table17[[#This Row],[HRG / CTN]]*Table17[[#This Row],[DISC 3]]))</f>
        <v>2467680</v>
      </c>
      <c r="AJ121" s="28" t="e">
        <f>IF(#REF!&lt;1,Table17[[#This Row],[Column9]],Table17[[#This Row],[Column9]]*#REF!)</f>
        <v>#REF!</v>
      </c>
      <c r="AK121" s="27" t="e">
        <f ca="1">IF(NOT(AP122=Table17[[#This Row],[Column6]]),SUMIF(Table17[Column6],Table17[[#This Row],[Column6]],Table17[Column7]),"")</f>
        <v>#REF!</v>
      </c>
      <c r="AL121" s="29">
        <f ca="1">INDEX(NOTA[TGL_H],Sheet1!A:A)</f>
        <v>45485</v>
      </c>
      <c r="AM121" s="29">
        <f ca="1">INDEX(NOTA[TGL.NOTA_H],Sheet1!A:A)</f>
        <v>45489</v>
      </c>
      <c r="AN121" s="30"/>
      <c r="AO121" s="25" t="str">
        <f>IF(INDEX(NOTA[Column10],A:A)="","",INDEX(NOTA[Column10],A:A))</f>
        <v/>
      </c>
      <c r="AP121" s="25" t="str">
        <f ca="1">INDEX(NOTA[NO.NOTA_H],Sheet1!A:A)</f>
        <v>HM/134/07-24H</v>
      </c>
      <c r="AQ121" s="25">
        <f>INDEX(NOTA[Column10],Sheet1!A:A)</f>
        <v>0</v>
      </c>
      <c r="AR121" s="31" t="str">
        <f ca="1">INDEX(NOTA[SUPPLIER_H],Sheet1!A:A)</f>
        <v>DUTA BUANA</v>
      </c>
      <c r="AS121" s="25" t="str">
        <f>Table17[[#This Row],[NAMA_C]]</f>
        <v>BP GEL TF-1190 0.3MM HIGHTECH (H)</v>
      </c>
      <c r="AT121" s="25" t="str">
        <f ca="1">Table17[[#This Row],[SUPPLIER]]</f>
        <v>DUTA BUANA</v>
      </c>
      <c r="AU121" s="25" t="str">
        <f>SUBSTITUTE(Table17[[#This Row],[CTN]],",",".")</f>
        <v>20</v>
      </c>
      <c r="AV121" s="67" t="str">
        <f>Table17[[#This Row],[ISI_C]]</f>
        <v>96</v>
      </c>
      <c r="AW121" s="25" t="str">
        <f>Table17[[#This Row],[SATUAN_C]]</f>
        <v>LSN</v>
      </c>
      <c r="AX121" s="25">
        <f>Table17[[#This Row],[HARGA CONV2]]</f>
        <v>26500</v>
      </c>
      <c r="AY121" s="32" t="str">
        <f>SUBSTITUTE(Table17[[#This Row],[DISC 3]],",",".")</f>
        <v>0.03</v>
      </c>
      <c r="AZ121" s="29">
        <f ca="1">Table17[[#This Row],[TGL DATANG]]</f>
        <v>45485</v>
      </c>
      <c r="BA121" s="29">
        <f ca="1">Table17[[#This Row],[Column10]]</f>
        <v>45489</v>
      </c>
      <c r="BB121" s="30"/>
      <c r="BC121" s="25" t="str">
        <f>Table17[[#This Row],[KETERANGAN CONDRO]]</f>
        <v/>
      </c>
      <c r="BD121" s="25" t="str">
        <f ca="1">Table17[[#This Row],[Column6]]</f>
        <v>HM/134/07-24H</v>
      </c>
    </row>
    <row r="122" spans="1:56">
      <c r="A122" s="55">
        <v>158</v>
      </c>
      <c r="C122">
        <f>INDEX(NOTA[//DB],Sheet1!A:A)</f>
        <v>1883</v>
      </c>
      <c r="D122">
        <f>_xlfn.IFNA(MATCH(Table17[[#This Row],[//db]],[3]!Table2[\\],0),"")</f>
        <v>1503</v>
      </c>
      <c r="E122" t="str">
        <f>INDEX([3]!db[NB NOTA],Table17[[#This Row],[//db]])</f>
        <v>KERTAS CREPE SMALL JERSY MP</v>
      </c>
      <c r="F122" t="str">
        <f>INDEX([3]!db[NB BM],Table17[[#This Row],[//db]])</f>
        <v>KERTAS KREP JERSY MP KECIL</v>
      </c>
      <c r="G122" t="str">
        <f>IF(Table17[[#This Row],[dbconcat]]="","",INDEX([3]!Table2[NAMA],Table17[[#This Row],[dbconcat]]))</f>
        <v>KERTAS KREP JERSY M/P KECIL</v>
      </c>
      <c r="H122" t="str">
        <f>INDEX([3]!Table2[KODE BARANG],Table17[[#This Row],[dbconcat]])</f>
        <v>KRE-NB2</v>
      </c>
      <c r="I122" t="str">
        <f>IF(Table17[[#This Row],[NAMA_3]]="",UPPER(Table17[[#This Row],[NAMA_2]]),Table17[[#This Row],[NAMA_3]])</f>
        <v>KERTAS KREP JERSY M/P KECIL</v>
      </c>
      <c r="J122">
        <f>INDEX(NOTA[QTY],Sheet1!A:A)</f>
        <v>4230</v>
      </c>
      <c r="K122" t="str">
        <f>INDEX(NOTA[STN],Sheet1!A:A)</f>
        <v>PAK</v>
      </c>
      <c r="L122" t="str">
        <f>INDEX([3]!db[QTY B],Table17[[#This Row],[//db]])</f>
        <v>235</v>
      </c>
      <c r="M122" t="str">
        <f>INDEX([3]!db[STN B],Table17[[#This Row],[//db]])</f>
        <v>PAK</v>
      </c>
      <c r="N122" t="str">
        <f>IF(Table17[[#This Row],[SATUAN NOTA]]=Table17[[#This Row],[SATUAN DB]],"", MATCH(CONCATENATE(Table17[[#This Row],[SATUAN NOTA]],Table17[[#This Row],[SATUAN DB]]),Table2[4],0))</f>
        <v/>
      </c>
      <c r="O122" t="str" cm="1">
        <f t="array" ref="O122">IF(Table17[[#This Row],[//CONV]]="","",INDEX(Table2[3],Table17[[#This Row],[//CONV]]))</f>
        <v/>
      </c>
      <c r="P122" t="str">
        <f>IF(Table17[[#This Row],[//CONV]]="",Table17[[#This Row],[ISI DB]],Table17[[#This Row],[ISI NOTA]]*Table17[[#This Row],[CONV VAR]])</f>
        <v>235</v>
      </c>
      <c r="Q122" t="str" cm="1">
        <f t="array" ref="Q122">IF(Table17[[#This Row],[//CONV]]="",Table17[[#This Row],[SATUAN DB]],INDEX(Table2[2],Table17[[#This Row],[//CONV]]))</f>
        <v>PAK</v>
      </c>
      <c r="R122" cm="1">
        <f t="array" ref="R122">IF(Table17[[#This Row],[dbconcat]]="","",INDEX([3]!Table2[ISI],Table17[[#This Row],[dbconcat]]))</f>
        <v>235</v>
      </c>
      <c r="S122" t="str" cm="1">
        <f t="array" ref="S122">IF(Table17[[#This Row],[dbconcat]]="","",INDEX([3]!Table2[[SATUAN ]],Table17[[#This Row],[dbconcat]]))</f>
        <v>PAK</v>
      </c>
      <c r="T122" t="str">
        <f>IF(Table17[[#This Row],[SATUAN S]]="","",IF(_xlfn.NUMBERVALUE(Table17[[#This Row],[ISI DB]])=_xlfn.NUMBERVALUE(Table17[[#This Row],[ISI S]]),"",1))</f>
        <v/>
      </c>
      <c r="U122" t="str">
        <f>IF(Table17[[#This Row],[SATUAN S]]="","",IF(Table17[[#This Row],[SATUAN DB]]=Table17[[#This Row],[SATUAN S]],"",1))</f>
        <v/>
      </c>
      <c r="V122" t="str">
        <f>IF(Table17[[#This Row],[CEK STN S]]="","",MATCH(CONCATENATE(Table17[[#This Row],[SATUAN CONV]],Table17[[#This Row],[SATUAN S]]),Table2[4],0))</f>
        <v/>
      </c>
      <c r="X122" t="str" cm="1">
        <f t="array" ref="X122">IF(Table17[[#This Row],[CONV2_//]]="","",INDEX(Table2[3],Table17[[#This Row],[CONV2_//]]))</f>
        <v/>
      </c>
      <c r="Y122" s="2" t="str">
        <f>IF(Table17[[#This Row],[CEK ISI S]]="",Table17[[#This Row],[ISI DB]],Table17[[#This Row],[ISI S]])</f>
        <v>235</v>
      </c>
      <c r="Z122" t="str">
        <f>IF(Table17[[#This Row],[CEK STN S]]="",Table17[[#This Row],[SATUAN DB]],Table17[[#This Row],[SATUAN S]])</f>
        <v>PAK</v>
      </c>
      <c r="AA122">
        <f>IF(Table17[[#This Row],[//CONV]]="",Table17[[#This Row],[ISI NOTA]]/Table17[[#This Row],[ISI_C]],Table17[[#This Row],[ISI DB CONV]]/Table17[[#This Row],[ISI_C]])</f>
        <v>18</v>
      </c>
      <c r="AB122">
        <f>INDEX(NOTA[HARGA SATUAN],Sheet1!A:A)</f>
        <v>5750</v>
      </c>
      <c r="AC122">
        <f>IF(Table17[[#This Row],[//CONV]]="",Table17[[#This Row],[HARGA NOTA]],Table17[[#This Row],[HARGA NOTA]]/Table17[[#This Row],[CONV VAR]])</f>
        <v>5750</v>
      </c>
      <c r="AD122">
        <f>IF(Table17[[#This Row],[CEK STN S]]="",Table17[[#This Row],[HARGA CONV]],Table17[[#This Row],[HARGA CONV]]/Table17[[#This Row],[CONV2 VAR]])</f>
        <v>5750</v>
      </c>
      <c r="AE122" s="3" t="str">
        <f>IF(INDEX(NOTA[Column6],Sheet1!A:A)=0,"",INDEX(NOTA[Column6],Sheet1!A:A))</f>
        <v/>
      </c>
      <c r="AF122" s="3" t="str">
        <f>IF(INDEX(NOTA[Column7],Sheet1!A:A)=0,"",INDEX(NOTA[Column7],Sheet1!A:A))</f>
        <v/>
      </c>
      <c r="AG12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2" s="4">
        <f>INDEX(NOTA[HARGA/ CTN_H],Sheet1!A:A)</f>
        <v>1351250</v>
      </c>
      <c r="AI122" s="4">
        <f>IF(Table17[[#This Row],[DISC 3]]="",Table17[[#This Row],[HRG / CTN]],Table17[[#This Row],[HRG / CTN]]-(Table17[[#This Row],[HRG / CTN]]*Table17[[#This Row],[DISC 3]]))</f>
        <v>1351250</v>
      </c>
      <c r="AJ122" s="5" t="e">
        <f>IF(#REF!&lt;1,Table17[[#This Row],[Column9]],Table17[[#This Row],[Column9]]*#REF!)</f>
        <v>#REF!</v>
      </c>
      <c r="AK122" s="4" t="str">
        <f ca="1">IF(NOT(AP123=Table17[[#This Row],[Column6]]),SUMIF(Table17[Column6],Table17[[#This Row],[Column6]],Table17[Column7]),"")</f>
        <v/>
      </c>
      <c r="AL122" s="6">
        <f ca="1">INDEX(NOTA[TGL_H],Sheet1!A:A)</f>
        <v>45490</v>
      </c>
      <c r="AM122" s="6">
        <f ca="1">INDEX(NOTA[TGL.NOTA_H],Sheet1!A:A)</f>
        <v>45488</v>
      </c>
      <c r="AO122" t="str">
        <f>IF(INDEX(NOTA[Column10],A:A)="","",INDEX(NOTA[Column10],A:A))</f>
        <v/>
      </c>
      <c r="AP122">
        <f ca="1">INDEX(NOTA[NO.NOTA_H],Sheet1!A:A)</f>
        <v>0</v>
      </c>
      <c r="AQ122">
        <f>INDEX(NOTA[Column10],Sheet1!A:A)</f>
        <v>0</v>
      </c>
      <c r="AR122" s="8" t="str">
        <f ca="1">INDEX(NOTA[SUPPLIER_H],Sheet1!A:A)</f>
        <v>MIRACLE ABADI</v>
      </c>
      <c r="AS122" t="str">
        <f>Table17[[#This Row],[NAMA_C]]</f>
        <v>KERTAS KREP JERSY M/P KECIL</v>
      </c>
      <c r="AT122" t="str">
        <f ca="1">Table17[[#This Row],[SUPPLIER]]</f>
        <v>MIRACLE ABADI</v>
      </c>
      <c r="AU122" t="str">
        <f>SUBSTITUTE(Table17[[#This Row],[CTN]],",",".")</f>
        <v>18</v>
      </c>
      <c r="AV122" s="13" t="str">
        <f>Table17[[#This Row],[ISI_C]]</f>
        <v>235</v>
      </c>
      <c r="AW122" t="str">
        <f>Table17[[#This Row],[SATUAN_C]]</f>
        <v>PAK</v>
      </c>
      <c r="AX122">
        <f>Table17[[#This Row],[HARGA CONV2]]</f>
        <v>5750</v>
      </c>
      <c r="AY122" s="9" t="str">
        <f>SUBSTITUTE(Table17[[#This Row],[DISC 3]],",",".")</f>
        <v/>
      </c>
      <c r="AZ122" s="6">
        <f ca="1">Table17[[#This Row],[TGL DATANG]]</f>
        <v>45490</v>
      </c>
      <c r="BA122" s="6">
        <f ca="1">Table17[[#This Row],[Column10]]</f>
        <v>45488</v>
      </c>
      <c r="BB122" s="7"/>
      <c r="BC122" t="str">
        <f>Table17[[#This Row],[KETERANGAN CONDRO]]</f>
        <v/>
      </c>
      <c r="BD122">
        <f ca="1">Table17[[#This Row],[Column6]]</f>
        <v>0</v>
      </c>
    </row>
    <row r="123" spans="1:56">
      <c r="A123" s="55">
        <v>159</v>
      </c>
      <c r="C123">
        <f>INDEX(NOTA[//DB],Sheet1!A:A)</f>
        <v>1881</v>
      </c>
      <c r="D123">
        <f>_xlfn.IFNA(MATCH(Table17[[#This Row],[//db]],[3]!Table2[\\],0),"")</f>
        <v>1502</v>
      </c>
      <c r="E123" t="str">
        <f>INDEX([3]!db[NB NOTA],Table17[[#This Row],[//db]])</f>
        <v>KERTAS CREPE SMALL JERSY WARNA</v>
      </c>
      <c r="F123" t="str">
        <f>INDEX([3]!db[NB BM],Table17[[#This Row],[//db]])</f>
        <v>KERTAS KREP POTONGAN JERSY KECIL</v>
      </c>
      <c r="G123" t="str">
        <f>IF(Table17[[#This Row],[dbconcat]]="","",INDEX([3]!Table2[NAMA],Table17[[#This Row],[dbconcat]]))</f>
        <v>KERTAS KREP POTONGAN JERSY KECIL</v>
      </c>
      <c r="H123" t="str">
        <f>INDEX([3]!Table2[KODE BARANG],Table17[[#This Row],[dbconcat]])</f>
        <v>KRE-NB1</v>
      </c>
      <c r="I123" t="str">
        <f>IF(Table17[[#This Row],[NAMA_3]]="",UPPER(Table17[[#This Row],[NAMA_2]]),Table17[[#This Row],[NAMA_3]])</f>
        <v>KERTAS KREP POTONGAN JERSY KECIL</v>
      </c>
      <c r="J123">
        <f>INDEX(NOTA[QTY],Sheet1!A:A)</f>
        <v>1410</v>
      </c>
      <c r="K123" t="str">
        <f>INDEX(NOTA[STN],Sheet1!A:A)</f>
        <v>PAK</v>
      </c>
      <c r="L123" t="str">
        <f>INDEX([3]!db[QTY B],Table17[[#This Row],[//db]])</f>
        <v>235</v>
      </c>
      <c r="M123" t="str">
        <f>INDEX([3]!db[STN B],Table17[[#This Row],[//db]])</f>
        <v>PAK</v>
      </c>
      <c r="N123" t="str">
        <f>IF(Table17[[#This Row],[SATUAN NOTA]]=Table17[[#This Row],[SATUAN DB]],"", MATCH(CONCATENATE(Table17[[#This Row],[SATUAN NOTA]],Table17[[#This Row],[SATUAN DB]]),Table2[4],0))</f>
        <v/>
      </c>
      <c r="O123" t="str" cm="1">
        <f t="array" ref="O123">IF(Table17[[#This Row],[//CONV]]="","",INDEX(Table2[3],Table17[[#This Row],[//CONV]]))</f>
        <v/>
      </c>
      <c r="P123" t="str">
        <f>IF(Table17[[#This Row],[//CONV]]="",Table17[[#This Row],[ISI DB]],Table17[[#This Row],[ISI NOTA]]*Table17[[#This Row],[CONV VAR]])</f>
        <v>235</v>
      </c>
      <c r="Q123" t="str" cm="1">
        <f t="array" ref="Q123">IF(Table17[[#This Row],[//CONV]]="",Table17[[#This Row],[SATUAN DB]],INDEX(Table2[2],Table17[[#This Row],[//CONV]]))</f>
        <v>PAK</v>
      </c>
      <c r="R123" cm="1">
        <f t="array" ref="R123">IF(Table17[[#This Row],[dbconcat]]="","",INDEX([3]!Table2[ISI],Table17[[#This Row],[dbconcat]]))</f>
        <v>235</v>
      </c>
      <c r="S123" t="str" cm="1">
        <f t="array" ref="S123">IF(Table17[[#This Row],[dbconcat]]="","",INDEX([3]!Table2[[SATUAN ]],Table17[[#This Row],[dbconcat]]))</f>
        <v>PAK</v>
      </c>
      <c r="T123" t="str">
        <f>IF(Table17[[#This Row],[SATUAN S]]="","",IF(_xlfn.NUMBERVALUE(Table17[[#This Row],[ISI DB]])=_xlfn.NUMBERVALUE(Table17[[#This Row],[ISI S]]),"",1))</f>
        <v/>
      </c>
      <c r="U123" t="str">
        <f>IF(Table17[[#This Row],[SATUAN S]]="","",IF(Table17[[#This Row],[SATUAN DB]]=Table17[[#This Row],[SATUAN S]],"",1))</f>
        <v/>
      </c>
      <c r="V123" t="str">
        <f>IF(Table17[[#This Row],[CEK STN S]]="","",MATCH(CONCATENATE(Table17[[#This Row],[SATUAN CONV]],Table17[[#This Row],[SATUAN S]]),Table2[4],0))</f>
        <v/>
      </c>
      <c r="X123" t="str" cm="1">
        <f t="array" ref="X123">IF(Table17[[#This Row],[CONV2_//]]="","",INDEX(Table2[3],Table17[[#This Row],[CONV2_//]]))</f>
        <v/>
      </c>
      <c r="Y123" s="2" t="str">
        <f>IF(Table17[[#This Row],[CEK ISI S]]="",Table17[[#This Row],[ISI DB]],Table17[[#This Row],[ISI S]])</f>
        <v>235</v>
      </c>
      <c r="Z123" t="str">
        <f>IF(Table17[[#This Row],[CEK STN S]]="",Table17[[#This Row],[SATUAN DB]],Table17[[#This Row],[SATUAN S]])</f>
        <v>PAK</v>
      </c>
      <c r="AA123">
        <f>IF(Table17[[#This Row],[//CONV]]="",Table17[[#This Row],[ISI NOTA]]/Table17[[#This Row],[ISI_C]],Table17[[#This Row],[ISI DB CONV]]/Table17[[#This Row],[ISI_C]])</f>
        <v>6</v>
      </c>
      <c r="AB123">
        <f>INDEX(NOTA[HARGA SATUAN],Sheet1!A:A)</f>
        <v>5750</v>
      </c>
      <c r="AC123">
        <f>IF(Table17[[#This Row],[//CONV]]="",Table17[[#This Row],[HARGA NOTA]],Table17[[#This Row],[HARGA NOTA]]/Table17[[#This Row],[CONV VAR]])</f>
        <v>5750</v>
      </c>
      <c r="AD123">
        <f>IF(Table17[[#This Row],[CEK STN S]]="",Table17[[#This Row],[HARGA CONV]],Table17[[#This Row],[HARGA CONV]]/Table17[[#This Row],[CONV2 VAR]])</f>
        <v>5750</v>
      </c>
      <c r="AE123" s="3" t="str">
        <f>IF(INDEX(NOTA[Column6],Sheet1!A:A)=0,"",INDEX(NOTA[Column6],Sheet1!A:A))</f>
        <v/>
      </c>
      <c r="AF123" s="3" t="str">
        <f>IF(INDEX(NOTA[Column7],Sheet1!A:A)=0,"",INDEX(NOTA[Column7],Sheet1!A:A))</f>
        <v/>
      </c>
      <c r="AG12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3" s="4">
        <f>INDEX(NOTA[HARGA/ CTN_H],Sheet1!A:A)</f>
        <v>1351250</v>
      </c>
      <c r="AI123" s="4">
        <f>IF(Table17[[#This Row],[DISC 3]]="",Table17[[#This Row],[HRG / CTN]],Table17[[#This Row],[HRG / CTN]]-(Table17[[#This Row],[HRG / CTN]]*Table17[[#This Row],[DISC 3]]))</f>
        <v>1351250</v>
      </c>
      <c r="AJ123" s="5" t="e">
        <f>IF(#REF!&lt;1,Table17[[#This Row],[Column9]],Table17[[#This Row],[Column9]]*#REF!)</f>
        <v>#REF!</v>
      </c>
      <c r="AK123" s="4" t="str">
        <f ca="1">IF(NOT(AP124=Table17[[#This Row],[Column6]]),SUMIF(Table17[Column6],Table17[[#This Row],[Column6]],Table17[Column7]),"")</f>
        <v/>
      </c>
      <c r="AL123" s="6">
        <f ca="1">INDEX(NOTA[TGL_H],Sheet1!A:A)</f>
        <v>45490</v>
      </c>
      <c r="AM123" s="6">
        <f ca="1">INDEX(NOTA[TGL.NOTA_H],Sheet1!A:A)</f>
        <v>45488</v>
      </c>
      <c r="AO123" t="str">
        <f>IF(INDEX(NOTA[Column10],A:A)="","",INDEX(NOTA[Column10],A:A))</f>
        <v/>
      </c>
      <c r="AP123">
        <f ca="1">INDEX(NOTA[NO.NOTA_H],Sheet1!A:A)</f>
        <v>0</v>
      </c>
      <c r="AQ123">
        <f>INDEX(NOTA[Column10],Sheet1!A:A)</f>
        <v>0</v>
      </c>
      <c r="AR123" s="8" t="str">
        <f ca="1">INDEX(NOTA[SUPPLIER_H],Sheet1!A:A)</f>
        <v>MIRACLE ABADI</v>
      </c>
      <c r="AS123" t="str">
        <f>Table17[[#This Row],[NAMA_C]]</f>
        <v>KERTAS KREP POTONGAN JERSY KECIL</v>
      </c>
      <c r="AT123" t="str">
        <f ca="1">Table17[[#This Row],[SUPPLIER]]</f>
        <v>MIRACLE ABADI</v>
      </c>
      <c r="AU123" t="str">
        <f>SUBSTITUTE(Table17[[#This Row],[CTN]],",",".")</f>
        <v>6</v>
      </c>
      <c r="AV123" s="13" t="str">
        <f>Table17[[#This Row],[ISI_C]]</f>
        <v>235</v>
      </c>
      <c r="AW123" t="str">
        <f>Table17[[#This Row],[SATUAN_C]]</f>
        <v>PAK</v>
      </c>
      <c r="AX123">
        <f>Table17[[#This Row],[HARGA CONV2]]</f>
        <v>5750</v>
      </c>
      <c r="AY123" s="9" t="str">
        <f>SUBSTITUTE(Table17[[#This Row],[DISC 3]],",",".")</f>
        <v/>
      </c>
      <c r="AZ123" s="6">
        <f ca="1">Table17[[#This Row],[TGL DATANG]]</f>
        <v>45490</v>
      </c>
      <c r="BA123" s="6">
        <f ca="1">Table17[[#This Row],[Column10]]</f>
        <v>45488</v>
      </c>
      <c r="BB123" s="7"/>
      <c r="BC123" t="str">
        <f>Table17[[#This Row],[KETERANGAN CONDRO]]</f>
        <v/>
      </c>
      <c r="BD123">
        <f ca="1">Table17[[#This Row],[Column6]]</f>
        <v>0</v>
      </c>
    </row>
    <row r="124" spans="1:56">
      <c r="A124" s="55">
        <v>161</v>
      </c>
      <c r="C124">
        <f>INDEX(NOTA[//DB],Sheet1!A:A)</f>
        <v>2503</v>
      </c>
      <c r="D124" t="str">
        <f>_xlfn.IFNA(MATCH(Table17[[#This Row],[//db]],[3]!Table2[\\],0),"")</f>
        <v/>
      </c>
      <c r="E124" t="str">
        <f>INDEX([3]!db[NB NOTA],Table17[[#This Row],[//db]])</f>
        <v>PELNA LAPTOP TABLE</v>
      </c>
      <c r="F124" t="str">
        <f>INDEX([3]!db[NB BM],Table17[[#This Row],[//db]])</f>
        <v>PELNA LAPTOP TABLE</v>
      </c>
      <c r="G124" t="str">
        <f>IF(Table17[[#This Row],[dbconcat]]="","",INDEX([3]!Table2[NAMA],Table17[[#This Row],[dbconcat]]))</f>
        <v/>
      </c>
      <c r="H124" t="e">
        <f>INDEX([3]!Table2[KODE BARANG],Table17[[#This Row],[dbconcat]])</f>
        <v>#VALUE!</v>
      </c>
      <c r="I124" t="str">
        <f>IF(Table17[[#This Row],[NAMA_3]]="",UPPER(Table17[[#This Row],[NAMA_2]]),Table17[[#This Row],[NAMA_3]])</f>
        <v>PELNA LAPTOP TABLE</v>
      </c>
      <c r="J124">
        <f>INDEX(NOTA[QTY],Sheet1!A:A)</f>
        <v>200</v>
      </c>
      <c r="K124" t="str">
        <f>INDEX(NOTA[STN],Sheet1!A:A)</f>
        <v>PCS</v>
      </c>
      <c r="L124" t="str">
        <f>INDEX([3]!db[QTY B],Table17[[#This Row],[//db]])</f>
        <v>10</v>
      </c>
      <c r="M124" t="str">
        <f>INDEX([3]!db[STN B],Table17[[#This Row],[//db]])</f>
        <v>PCS</v>
      </c>
      <c r="N124" t="str">
        <f>IF(Table17[[#This Row],[SATUAN NOTA]]=Table17[[#This Row],[SATUAN DB]],"", MATCH(CONCATENATE(Table17[[#This Row],[SATUAN NOTA]],Table17[[#This Row],[SATUAN DB]]),Table2[4],0))</f>
        <v/>
      </c>
      <c r="O124" t="str" cm="1">
        <f t="array" ref="O124">IF(Table17[[#This Row],[//CONV]]="","",INDEX(Table2[3],Table17[[#This Row],[//CONV]]))</f>
        <v/>
      </c>
      <c r="P124" t="str">
        <f>IF(Table17[[#This Row],[//CONV]]="",Table17[[#This Row],[ISI DB]],Table17[[#This Row],[ISI NOTA]]*Table17[[#This Row],[CONV VAR]])</f>
        <v>10</v>
      </c>
      <c r="Q124" t="str" cm="1">
        <f t="array" ref="Q124">IF(Table17[[#This Row],[//CONV]]="",Table17[[#This Row],[SATUAN DB]],INDEX(Table2[2],Table17[[#This Row],[//CONV]]))</f>
        <v>PCS</v>
      </c>
      <c r="R124" t="str" cm="1">
        <f t="array" ref="R124">IF(Table17[[#This Row],[dbconcat]]="","",INDEX([3]!Table2[ISI],Table17[[#This Row],[dbconcat]]))</f>
        <v/>
      </c>
      <c r="S124" t="str" cm="1">
        <f t="array" ref="S124">IF(Table17[[#This Row],[dbconcat]]="","",INDEX([3]!Table2[[SATUAN ]],Table17[[#This Row],[dbconcat]]))</f>
        <v/>
      </c>
      <c r="T124" t="str">
        <f>IF(Table17[[#This Row],[SATUAN S]]="","",IF(_xlfn.NUMBERVALUE(Table17[[#This Row],[ISI DB]])=_xlfn.NUMBERVALUE(Table17[[#This Row],[ISI S]]),"",1))</f>
        <v/>
      </c>
      <c r="U124" t="str">
        <f>IF(Table17[[#This Row],[SATUAN S]]="","",IF(Table17[[#This Row],[SATUAN DB]]=Table17[[#This Row],[SATUAN S]],"",1))</f>
        <v/>
      </c>
      <c r="V124" t="str">
        <f>IF(Table17[[#This Row],[CEK STN S]]="","",MATCH(CONCATENATE(Table17[[#This Row],[SATUAN CONV]],Table17[[#This Row],[SATUAN S]]),Table2[4],0))</f>
        <v/>
      </c>
      <c r="X124" t="str" cm="1">
        <f t="array" ref="X124">IF(Table17[[#This Row],[CONV2_//]]="","",INDEX(Table2[3],Table17[[#This Row],[CONV2_//]]))</f>
        <v/>
      </c>
      <c r="Y124" s="2" t="str">
        <f>IF(Table17[[#This Row],[CEK ISI S]]="",Table17[[#This Row],[ISI DB]],Table17[[#This Row],[ISI S]])</f>
        <v>10</v>
      </c>
      <c r="Z124" t="str">
        <f>IF(Table17[[#This Row],[CEK STN S]]="",Table17[[#This Row],[SATUAN DB]],Table17[[#This Row],[SATUAN S]])</f>
        <v>PCS</v>
      </c>
      <c r="AA124">
        <f>IF(Table17[[#This Row],[//CONV]]="",Table17[[#This Row],[ISI NOTA]]/Table17[[#This Row],[ISI_C]],Table17[[#This Row],[ISI DB CONV]]/Table17[[#This Row],[ISI_C]])</f>
        <v>20</v>
      </c>
      <c r="AB124">
        <f>INDEX(NOTA[HARGA SATUAN],Sheet1!A:A)</f>
        <v>55000</v>
      </c>
      <c r="AC124">
        <f>IF(Table17[[#This Row],[//CONV]]="",Table17[[#This Row],[HARGA NOTA]],Table17[[#This Row],[HARGA NOTA]]/Table17[[#This Row],[CONV VAR]])</f>
        <v>55000</v>
      </c>
      <c r="AD124">
        <f>IF(Table17[[#This Row],[CEK STN S]]="",Table17[[#This Row],[HARGA CONV]],Table17[[#This Row],[HARGA CONV]]/Table17[[#This Row],[CONV2 VAR]])</f>
        <v>55000</v>
      </c>
      <c r="AE124" s="3" t="str">
        <f>IF(INDEX(NOTA[Column6],Sheet1!A:A)=0,"",INDEX(NOTA[Column6],Sheet1!A:A))</f>
        <v/>
      </c>
      <c r="AF124" s="3" t="str">
        <f>IF(INDEX(NOTA[Column7],Sheet1!A:A)=0,"",INDEX(NOTA[Column7],Sheet1!A:A))</f>
        <v/>
      </c>
      <c r="AG12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4" s="4">
        <f>INDEX(NOTA[HARGA/ CTN_H],Sheet1!A:A)</f>
        <v>550000</v>
      </c>
      <c r="AI124" s="4">
        <f>IF(Table17[[#This Row],[DISC 3]]="",Table17[[#This Row],[HRG / CTN]],Table17[[#This Row],[HRG / CTN]]-(Table17[[#This Row],[HRG / CTN]]*Table17[[#This Row],[DISC 3]]))</f>
        <v>550000</v>
      </c>
      <c r="AJ124" s="5" t="e">
        <f>IF(#REF!&lt;1,Table17[[#This Row],[Column9]],Table17[[#This Row],[Column9]]*#REF!)</f>
        <v>#REF!</v>
      </c>
      <c r="AK124" s="4" t="str">
        <f ca="1">IF(NOT(AP125=Table17[[#This Row],[Column6]]),SUMIF(Table17[Column6],Table17[[#This Row],[Column6]],Table17[Column7]),"")</f>
        <v/>
      </c>
      <c r="AL124" s="6">
        <f ca="1">INDEX(NOTA[TGL_H],Sheet1!A:A)</f>
        <v>45489</v>
      </c>
      <c r="AM124" s="6">
        <f ca="1">INDEX(NOTA[TGL.NOTA_H],Sheet1!A:A)</f>
        <v>45486</v>
      </c>
      <c r="AO124" t="str">
        <f>IF(INDEX(NOTA[Column10],A:A)="","",INDEX(NOTA[Column10],A:A))</f>
        <v/>
      </c>
      <c r="AP124">
        <f ca="1">INDEX(NOTA[NO.NOTA_H],Sheet1!A:A)</f>
        <v>0</v>
      </c>
      <c r="AQ124">
        <f>INDEX(NOTA[Column10],Sheet1!A:A)</f>
        <v>0</v>
      </c>
      <c r="AR124" s="8" t="str">
        <f ca="1">INDEX(NOTA[SUPPLIER_H],Sheet1!A:A)</f>
        <v>PELNA</v>
      </c>
      <c r="AS124" t="str">
        <f>Table17[[#This Row],[NAMA_C]]</f>
        <v>PELNA LAPTOP TABLE</v>
      </c>
      <c r="AT124" t="str">
        <f ca="1">Table17[[#This Row],[SUPPLIER]]</f>
        <v>PELNA</v>
      </c>
      <c r="AU124" t="str">
        <f>SUBSTITUTE(Table17[[#This Row],[CTN]],",",".")</f>
        <v>20</v>
      </c>
      <c r="AV124" s="13" t="str">
        <f>Table17[[#This Row],[ISI_C]]</f>
        <v>10</v>
      </c>
      <c r="AW124" t="str">
        <f>Table17[[#This Row],[SATUAN_C]]</f>
        <v>PCS</v>
      </c>
      <c r="AX124">
        <f>Table17[[#This Row],[HARGA CONV2]]</f>
        <v>55000</v>
      </c>
      <c r="AY124" s="9" t="str">
        <f>SUBSTITUTE(Table17[[#This Row],[DISC 3]],",",".")</f>
        <v/>
      </c>
      <c r="AZ124" s="6">
        <f ca="1">Table17[[#This Row],[TGL DATANG]]</f>
        <v>45489</v>
      </c>
      <c r="BA124" s="6">
        <f ca="1">Table17[[#This Row],[Column10]]</f>
        <v>45486</v>
      </c>
      <c r="BB124" s="7"/>
      <c r="BC124" t="str">
        <f>Table17[[#This Row],[KETERANGAN CONDRO]]</f>
        <v/>
      </c>
      <c r="BD124">
        <f ca="1">Table17[[#This Row],[Column6]]</f>
        <v>0</v>
      </c>
    </row>
    <row r="125" spans="1:56">
      <c r="A125" s="55">
        <v>162</v>
      </c>
      <c r="C125">
        <f>INDEX(NOTA[//DB],Sheet1!A:A)</f>
        <v>2503</v>
      </c>
      <c r="D125" t="str">
        <f>_xlfn.IFNA(MATCH(Table17[[#This Row],[//db]],[3]!Table2[\\],0),"")</f>
        <v/>
      </c>
      <c r="E125" t="str">
        <f>INDEX([3]!db[NB NOTA],Table17[[#This Row],[//db]])</f>
        <v>PELNA LAPTOP TABLE</v>
      </c>
      <c r="F125" t="str">
        <f>INDEX([3]!db[NB BM],Table17[[#This Row],[//db]])</f>
        <v>PELNA LAPTOP TABLE</v>
      </c>
      <c r="G125" t="str">
        <f>IF(Table17[[#This Row],[dbconcat]]="","",INDEX([3]!Table2[NAMA],Table17[[#This Row],[dbconcat]]))</f>
        <v/>
      </c>
      <c r="H125" t="e">
        <f>INDEX([3]!Table2[KODE BARANG],Table17[[#This Row],[dbconcat]])</f>
        <v>#VALUE!</v>
      </c>
      <c r="I125" t="str">
        <f>IF(Table17[[#This Row],[NAMA_3]]="",UPPER(Table17[[#This Row],[NAMA_2]]),Table17[[#This Row],[NAMA_3]])</f>
        <v>PELNA LAPTOP TABLE</v>
      </c>
      <c r="J125">
        <f>INDEX(NOTA[QTY],Sheet1!A:A)</f>
        <v>10</v>
      </c>
      <c r="K125" t="str">
        <f>INDEX(NOTA[STN],Sheet1!A:A)</f>
        <v>PCS</v>
      </c>
      <c r="L125" t="str">
        <f>INDEX([3]!db[QTY B],Table17[[#This Row],[//db]])</f>
        <v>10</v>
      </c>
      <c r="M125" t="str">
        <f>INDEX([3]!db[STN B],Table17[[#This Row],[//db]])</f>
        <v>PCS</v>
      </c>
      <c r="N125" t="str">
        <f>IF(Table17[[#This Row],[SATUAN NOTA]]=Table17[[#This Row],[SATUAN DB]],"", MATCH(CONCATENATE(Table17[[#This Row],[SATUAN NOTA]],Table17[[#This Row],[SATUAN DB]]),Table2[4],0))</f>
        <v/>
      </c>
      <c r="O125" t="str" cm="1">
        <f t="array" ref="O125">IF(Table17[[#This Row],[//CONV]]="","",INDEX(Table2[3],Table17[[#This Row],[//CONV]]))</f>
        <v/>
      </c>
      <c r="P125" t="str">
        <f>IF(Table17[[#This Row],[//CONV]]="",Table17[[#This Row],[ISI DB]],Table17[[#This Row],[ISI NOTA]]*Table17[[#This Row],[CONV VAR]])</f>
        <v>10</v>
      </c>
      <c r="Q125" t="str" cm="1">
        <f t="array" ref="Q125">IF(Table17[[#This Row],[//CONV]]="",Table17[[#This Row],[SATUAN DB]],INDEX(Table2[2],Table17[[#This Row],[//CONV]]))</f>
        <v>PCS</v>
      </c>
      <c r="R125" t="str" cm="1">
        <f t="array" ref="R125">IF(Table17[[#This Row],[dbconcat]]="","",INDEX([3]!Table2[ISI],Table17[[#This Row],[dbconcat]]))</f>
        <v/>
      </c>
      <c r="S125" t="str" cm="1">
        <f t="array" ref="S125">IF(Table17[[#This Row],[dbconcat]]="","",INDEX([3]!Table2[[SATUAN ]],Table17[[#This Row],[dbconcat]]))</f>
        <v/>
      </c>
      <c r="T125" t="str">
        <f>IF(Table17[[#This Row],[SATUAN S]]="","",IF(_xlfn.NUMBERVALUE(Table17[[#This Row],[ISI DB]])=_xlfn.NUMBERVALUE(Table17[[#This Row],[ISI S]]),"",1))</f>
        <v/>
      </c>
      <c r="U125" t="str">
        <f>IF(Table17[[#This Row],[SATUAN S]]="","",IF(Table17[[#This Row],[SATUAN DB]]=Table17[[#This Row],[SATUAN S]],"",1))</f>
        <v/>
      </c>
      <c r="V125" t="str">
        <f>IF(Table17[[#This Row],[CEK STN S]]="","",MATCH(CONCATENATE(Table17[[#This Row],[SATUAN CONV]],Table17[[#This Row],[SATUAN S]]),Table2[4],0))</f>
        <v/>
      </c>
      <c r="X125" t="str" cm="1">
        <f t="array" ref="X125">IF(Table17[[#This Row],[CONV2_//]]="","",INDEX(Table2[3],Table17[[#This Row],[CONV2_//]]))</f>
        <v/>
      </c>
      <c r="Y125" s="2" t="str">
        <f>IF(Table17[[#This Row],[CEK ISI S]]="",Table17[[#This Row],[ISI DB]],Table17[[#This Row],[ISI S]])</f>
        <v>10</v>
      </c>
      <c r="Z125" t="str">
        <f>IF(Table17[[#This Row],[CEK STN S]]="",Table17[[#This Row],[SATUAN DB]],Table17[[#This Row],[SATUAN S]])</f>
        <v>PCS</v>
      </c>
      <c r="AA125">
        <f>IF(Table17[[#This Row],[//CONV]]="",Table17[[#This Row],[ISI NOTA]]/Table17[[#This Row],[ISI_C]],Table17[[#This Row],[ISI DB CONV]]/Table17[[#This Row],[ISI_C]])</f>
        <v>1</v>
      </c>
      <c r="AB125">
        <f>INDEX(NOTA[HARGA SATUAN],Sheet1!A:A)</f>
        <v>0</v>
      </c>
      <c r="AC125">
        <f>IF(Table17[[#This Row],[//CONV]]="",Table17[[#This Row],[HARGA NOTA]],Table17[[#This Row],[HARGA NOTA]]/Table17[[#This Row],[CONV VAR]])</f>
        <v>0</v>
      </c>
      <c r="AD125">
        <f>IF(Table17[[#This Row],[CEK STN S]]="",Table17[[#This Row],[HARGA CONV]],Table17[[#This Row],[HARGA CONV]]/Table17[[#This Row],[CONV2 VAR]])</f>
        <v>0</v>
      </c>
      <c r="AE125" s="3" t="str">
        <f>IF(INDEX(NOTA[Column6],Sheet1!A:A)=0,"",INDEX(NOTA[Column6],Sheet1!A:A))</f>
        <v/>
      </c>
      <c r="AF125" s="3" t="str">
        <f>IF(INDEX(NOTA[Column7],Sheet1!A:A)=0,"",INDEX(NOTA[Column7],Sheet1!A:A))</f>
        <v/>
      </c>
      <c r="AG12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5" s="4">
        <f>INDEX(NOTA[HARGA/ CTN_H],Sheet1!A:A)</f>
        <v>0</v>
      </c>
      <c r="AI125" s="4">
        <f>IF(Table17[[#This Row],[DISC 3]]="",Table17[[#This Row],[HRG / CTN]],Table17[[#This Row],[HRG / CTN]]-(Table17[[#This Row],[HRG / CTN]]*Table17[[#This Row],[DISC 3]]))</f>
        <v>0</v>
      </c>
      <c r="AJ125" s="5" t="e">
        <f>IF(#REF!&lt;1,Table17[[#This Row],[Column9]],Table17[[#This Row],[Column9]]*#REF!)</f>
        <v>#REF!</v>
      </c>
      <c r="AK125" s="4" t="e">
        <f ca="1">IF(NOT(AP126=Table17[[#This Row],[Column6]]),SUMIF(Table17[Column6],Table17[[#This Row],[Column6]],Table17[Column7]),"")</f>
        <v>#REF!</v>
      </c>
      <c r="AL125" s="6">
        <f ca="1">INDEX(NOTA[TGL_H],Sheet1!A:A)</f>
        <v>45489</v>
      </c>
      <c r="AM125" s="6">
        <f ca="1">INDEX(NOTA[TGL.NOTA_H],Sheet1!A:A)</f>
        <v>45486</v>
      </c>
      <c r="AO125" t="str">
        <f>IF(INDEX(NOTA[Column10],A:A)="","",INDEX(NOTA[Column10],A:A))</f>
        <v>BONUS</v>
      </c>
      <c r="AP125">
        <f ca="1">INDEX(NOTA[NO.NOTA_H],Sheet1!A:A)</f>
        <v>0</v>
      </c>
      <c r="AQ125" t="str">
        <f>INDEX(NOTA[Column10],Sheet1!A:A)</f>
        <v>BONUS</v>
      </c>
      <c r="AR125" s="8" t="str">
        <f ca="1">INDEX(NOTA[SUPPLIER_H],Sheet1!A:A)</f>
        <v>PELNA</v>
      </c>
      <c r="AS125" t="str">
        <f>Table17[[#This Row],[NAMA_C]]</f>
        <v>PELNA LAPTOP TABLE</v>
      </c>
      <c r="AT125" t="str">
        <f ca="1">Table17[[#This Row],[SUPPLIER]]</f>
        <v>PELNA</v>
      </c>
      <c r="AU125" t="str">
        <f>SUBSTITUTE(Table17[[#This Row],[CTN]],",",".")</f>
        <v>1</v>
      </c>
      <c r="AV125" s="13" t="str">
        <f>Table17[[#This Row],[ISI_C]]</f>
        <v>10</v>
      </c>
      <c r="AW125" t="str">
        <f>Table17[[#This Row],[SATUAN_C]]</f>
        <v>PCS</v>
      </c>
      <c r="AX125">
        <f>Table17[[#This Row],[HARGA CONV2]]</f>
        <v>0</v>
      </c>
      <c r="AY125" s="9" t="str">
        <f>SUBSTITUTE(Table17[[#This Row],[DISC 3]],",",".")</f>
        <v/>
      </c>
      <c r="AZ125" s="6">
        <f ca="1">Table17[[#This Row],[TGL DATANG]]</f>
        <v>45489</v>
      </c>
      <c r="BA125" s="6">
        <f ca="1">Table17[[#This Row],[Column10]]</f>
        <v>45486</v>
      </c>
      <c r="BB125" s="7"/>
      <c r="BC125" t="str">
        <f>Table17[[#This Row],[KETERANGAN CONDRO]]</f>
        <v>BONUS</v>
      </c>
      <c r="BD125">
        <f ca="1">Table17[[#This Row],[Column6]]</f>
        <v>0</v>
      </c>
    </row>
    <row r="126" spans="1:56">
      <c r="A126" s="55">
        <v>164</v>
      </c>
      <c r="C126">
        <f>INDEX(NOTA[//DB],Sheet1!A:A)</f>
        <v>2312</v>
      </c>
      <c r="D126">
        <f>_xlfn.IFNA(MATCH(Table17[[#This Row],[//db]],[3]!Table2[\\],0),"")</f>
        <v>2629</v>
      </c>
      <c r="E126" t="str">
        <f>INDEX([3]!db[NB NOTA],Table17[[#This Row],[//db]])</f>
        <v>P WARNA KAYAGI 24W KY-CP0724</v>
      </c>
      <c r="F126" t="str">
        <f>INDEX([3]!db[NB BM],Table17[[#This Row],[//db]])</f>
        <v>PW 24W Kayagi KY-CP 0724</v>
      </c>
      <c r="G126" t="str">
        <f>IF(Table17[[#This Row],[dbconcat]]="","",INDEX([3]!Table2[NAMA],Table17[[#This Row],[dbconcat]]))</f>
        <v>PW 24W KAYAGI KY-CP 0724</v>
      </c>
      <c r="H126" t="str">
        <f>INDEX([3]!Table2[KODE BARANG],Table17[[#This Row],[dbconcat]])</f>
        <v>PWA-KY8</v>
      </c>
      <c r="I126" t="str">
        <f>IF(Table17[[#This Row],[NAMA_3]]="",UPPER(Table17[[#This Row],[NAMA_2]]),Table17[[#This Row],[NAMA_3]])</f>
        <v>PW 24W KAYAGI KY-CP 0724</v>
      </c>
      <c r="J126">
        <f>INDEX(NOTA[QTY],Sheet1!A:A)</f>
        <v>144</v>
      </c>
      <c r="K126" t="str">
        <f>INDEX(NOTA[STN],Sheet1!A:A)</f>
        <v>SET</v>
      </c>
      <c r="L126" t="str">
        <f>INDEX([3]!db[QTY B],Table17[[#This Row],[//db]])</f>
        <v>144</v>
      </c>
      <c r="M126" t="str">
        <f>INDEX([3]!db[STN B],Table17[[#This Row],[//db]])</f>
        <v>SET</v>
      </c>
      <c r="N126" t="str">
        <f>IF(Table17[[#This Row],[SATUAN NOTA]]=Table17[[#This Row],[SATUAN DB]],"", MATCH(CONCATENATE(Table17[[#This Row],[SATUAN NOTA]],Table17[[#This Row],[SATUAN DB]]),Table2[4],0))</f>
        <v/>
      </c>
      <c r="O126" t="str" cm="1">
        <f t="array" ref="O126">IF(Table17[[#This Row],[//CONV]]="","",INDEX(Table2[3],Table17[[#This Row],[//CONV]]))</f>
        <v/>
      </c>
      <c r="P126" t="str">
        <f>IF(Table17[[#This Row],[//CONV]]="",Table17[[#This Row],[ISI DB]],Table17[[#This Row],[ISI NOTA]]*Table17[[#This Row],[CONV VAR]])</f>
        <v>144</v>
      </c>
      <c r="Q126" t="str" cm="1">
        <f t="array" ref="Q126">IF(Table17[[#This Row],[//CONV]]="",Table17[[#This Row],[SATUAN DB]],INDEX(Table2[2],Table17[[#This Row],[//CONV]]))</f>
        <v>SET</v>
      </c>
      <c r="R126" cm="1">
        <f t="array" ref="R126">IF(Table17[[#This Row],[dbconcat]]="","",INDEX([3]!Table2[ISI],Table17[[#This Row],[dbconcat]]))</f>
        <v>144</v>
      </c>
      <c r="S126" t="str" cm="1">
        <f t="array" ref="S126">IF(Table17[[#This Row],[dbconcat]]="","",INDEX([3]!Table2[[SATUAN ]],Table17[[#This Row],[dbconcat]]))</f>
        <v>PCS</v>
      </c>
      <c r="T126" t="str">
        <f>IF(Table17[[#This Row],[SATUAN S]]="","",IF(_xlfn.NUMBERVALUE(Table17[[#This Row],[ISI DB]])=_xlfn.NUMBERVALUE(Table17[[#This Row],[ISI S]]),"",1))</f>
        <v/>
      </c>
      <c r="U126">
        <f>IF(Table17[[#This Row],[SATUAN S]]="","",IF(Table17[[#This Row],[SATUAN DB]]=Table17[[#This Row],[SATUAN S]],"",1))</f>
        <v>1</v>
      </c>
      <c r="V126">
        <f>IF(Table17[[#This Row],[CEK STN S]]="","",MATCH(CONCATENATE(Table17[[#This Row],[SATUAN CONV]],Table17[[#This Row],[SATUAN S]]),Table2[4],0))</f>
        <v>33</v>
      </c>
      <c r="X126" cm="1">
        <f t="array" ref="X126">IF(Table17[[#This Row],[CONV2_//]]="","",INDEX(Table2[3],Table17[[#This Row],[CONV2_//]]))</f>
        <v>1</v>
      </c>
      <c r="Y126" s="2" t="str">
        <f>IF(Table17[[#This Row],[CEK ISI S]]="",Table17[[#This Row],[ISI DB]],Table17[[#This Row],[ISI S]])</f>
        <v>144</v>
      </c>
      <c r="Z126" t="str">
        <f>IF(Table17[[#This Row],[CEK STN S]]="",Table17[[#This Row],[SATUAN DB]],Table17[[#This Row],[SATUAN S]])</f>
        <v>PCS</v>
      </c>
      <c r="AA126">
        <f>IF(Table17[[#This Row],[//CONV]]="",Table17[[#This Row],[ISI NOTA]]/Table17[[#This Row],[ISI_C]],Table17[[#This Row],[ISI DB CONV]]/Table17[[#This Row],[ISI_C]])</f>
        <v>1</v>
      </c>
      <c r="AB126">
        <f>INDEX(NOTA[HARGA SATUAN],Sheet1!A:A)</f>
        <v>18500</v>
      </c>
      <c r="AC126">
        <f>IF(Table17[[#This Row],[//CONV]]="",Table17[[#This Row],[HARGA NOTA]],Table17[[#This Row],[HARGA NOTA]]/Table17[[#This Row],[CONV VAR]])</f>
        <v>18500</v>
      </c>
      <c r="AD126">
        <f>IF(Table17[[#This Row],[CEK STN S]]="",Table17[[#This Row],[HARGA CONV]],Table17[[#This Row],[HARGA CONV]]/Table17[[#This Row],[CONV2 VAR]])</f>
        <v>18500</v>
      </c>
      <c r="AE126" s="3" t="str">
        <f>IF(INDEX(NOTA[Column6],Sheet1!A:A)=0,"",INDEX(NOTA[Column6],Sheet1!A:A))</f>
        <v/>
      </c>
      <c r="AF126" s="3" t="str">
        <f>IF(INDEX(NOTA[Column7],Sheet1!A:A)=0,"",INDEX(NOTA[Column7],Sheet1!A:A))</f>
        <v/>
      </c>
      <c r="AG12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6" s="4">
        <f>INDEX(NOTA[HARGA/ CTN_H],Sheet1!A:A)</f>
        <v>2664000</v>
      </c>
      <c r="AI126" s="4">
        <f>IF(Table17[[#This Row],[DISC 3]]="",Table17[[#This Row],[HRG / CTN]],Table17[[#This Row],[HRG / CTN]]-(Table17[[#This Row],[HRG / CTN]]*Table17[[#This Row],[DISC 3]]))</f>
        <v>2664000</v>
      </c>
      <c r="AJ126" s="5" t="e">
        <f>IF(#REF!&lt;1,Table17[[#This Row],[Column9]],Table17[[#This Row],[Column9]]*#REF!)</f>
        <v>#REF!</v>
      </c>
      <c r="AK126" s="4" t="str">
        <f ca="1">IF(NOT(AP127=Table17[[#This Row],[Column6]]),SUMIF(Table17[Column6],Table17[[#This Row],[Column6]],Table17[Column7]),"")</f>
        <v/>
      </c>
      <c r="AL126" s="6">
        <f ca="1">INDEX(NOTA[TGL_H],Sheet1!A:A)</f>
        <v>45488</v>
      </c>
      <c r="AM126" s="6">
        <f ca="1">INDEX(NOTA[TGL.NOTA_H],Sheet1!A:A)</f>
        <v>45485</v>
      </c>
      <c r="AO126" t="str">
        <f>IF(INDEX(NOTA[Column10],A:A)="","",INDEX(NOTA[Column10],A:A))</f>
        <v/>
      </c>
      <c r="AP126" t="str">
        <f ca="1">INDEX(NOTA[NO.NOTA_H],Sheet1!A:A)</f>
        <v>JUG329/24</v>
      </c>
      <c r="AQ126">
        <f>INDEX(NOTA[Column10],Sheet1!A:A)</f>
        <v>0</v>
      </c>
      <c r="AR126" s="8" t="str">
        <f ca="1">INDEX(NOTA[SUPPLIER_H],Sheet1!A:A)</f>
        <v>DB STATIONERY</v>
      </c>
      <c r="AS126" t="str">
        <f>Table17[[#This Row],[NAMA_C]]</f>
        <v>PW 24W KAYAGI KY-CP 0724</v>
      </c>
      <c r="AT126" t="str">
        <f ca="1">Table17[[#This Row],[SUPPLIER]]</f>
        <v>DB STATIONERY</v>
      </c>
      <c r="AU126" t="str">
        <f>SUBSTITUTE(Table17[[#This Row],[CTN]],",",".")</f>
        <v>1</v>
      </c>
      <c r="AV126" s="13" t="str">
        <f>Table17[[#This Row],[ISI_C]]</f>
        <v>144</v>
      </c>
      <c r="AW126" t="str">
        <f>Table17[[#This Row],[SATUAN_C]]</f>
        <v>PCS</v>
      </c>
      <c r="AX126">
        <f>Table17[[#This Row],[HARGA CONV2]]</f>
        <v>18500</v>
      </c>
      <c r="AY126" s="9" t="str">
        <f>SUBSTITUTE(Table17[[#This Row],[DISC 3]],",",".")</f>
        <v/>
      </c>
      <c r="AZ126" s="6">
        <f ca="1">Table17[[#This Row],[TGL DATANG]]</f>
        <v>45488</v>
      </c>
      <c r="BA126" s="6">
        <f ca="1">Table17[[#This Row],[Column10]]</f>
        <v>45485</v>
      </c>
      <c r="BB126" s="7"/>
      <c r="BC126" t="str">
        <f>Table17[[#This Row],[KETERANGAN CONDRO]]</f>
        <v/>
      </c>
      <c r="BD126" t="str">
        <f ca="1">Table17[[#This Row],[Column6]]</f>
        <v>JUG329/24</v>
      </c>
    </row>
    <row r="127" spans="1:56">
      <c r="A127" s="55">
        <v>165</v>
      </c>
      <c r="C127">
        <f>INDEX(NOTA[//DB],Sheet1!A:A)</f>
        <v>1252</v>
      </c>
      <c r="D127">
        <f>_xlfn.IFNA(MATCH(Table17[[#This Row],[//db]],[3]!Table2[\\],0),"")</f>
        <v>720</v>
      </c>
      <c r="E127" t="str">
        <f>INDEX([3]!db[NB NOTA],Table17[[#This Row],[//db]])</f>
        <v>GEL TIZO 1.0 TG630-A</v>
      </c>
      <c r="F127" t="str">
        <f>INDEX([3]!db[NB BM],Table17[[#This Row],[//db]])</f>
        <v>BP GEL TIZO 1.0 TG630-A</v>
      </c>
      <c r="G127" t="str">
        <f>IF(Table17[[#This Row],[dbconcat]]="","",INDEX([3]!Table2[NAMA],Table17[[#This Row],[dbconcat]]))</f>
        <v>BP GEL TIZO 1.0 TG630-A</v>
      </c>
      <c r="H127" t="str">
        <f>INDEX([3]!Table2[KODE BARANG],Table17[[#This Row],[dbconcat]])</f>
        <v>BOL-TZ339</v>
      </c>
      <c r="I127" t="str">
        <f>IF(Table17[[#This Row],[NAMA_3]]="",UPPER(Table17[[#This Row],[NAMA_2]]),Table17[[#This Row],[NAMA_3]])</f>
        <v>BP GEL TIZO 1.0 TG630-A</v>
      </c>
      <c r="J127">
        <f>INDEX(NOTA[QTY],Sheet1!A:A)</f>
        <v>72</v>
      </c>
      <c r="K127" t="str">
        <f>INDEX(NOTA[STN],Sheet1!A:A)</f>
        <v>LSN</v>
      </c>
      <c r="L127" t="str">
        <f>INDEX([3]!db[QTY B],Table17[[#This Row],[//db]])</f>
        <v>72</v>
      </c>
      <c r="M127" t="str">
        <f>INDEX([3]!db[STN B],Table17[[#This Row],[//db]])</f>
        <v>LSN</v>
      </c>
      <c r="N127" t="str">
        <f>IF(Table17[[#This Row],[SATUAN NOTA]]=Table17[[#This Row],[SATUAN DB]],"", MATCH(CONCATENATE(Table17[[#This Row],[SATUAN NOTA]],Table17[[#This Row],[SATUAN DB]]),Table2[4],0))</f>
        <v/>
      </c>
      <c r="O127" t="str" cm="1">
        <f t="array" ref="O127">IF(Table17[[#This Row],[//CONV]]="","",INDEX(Table2[3],Table17[[#This Row],[//CONV]]))</f>
        <v/>
      </c>
      <c r="P127" t="str">
        <f>IF(Table17[[#This Row],[//CONV]]="",Table17[[#This Row],[ISI DB]],Table17[[#This Row],[ISI NOTA]]*Table17[[#This Row],[CONV VAR]])</f>
        <v>72</v>
      </c>
      <c r="Q127" t="str" cm="1">
        <f t="array" ref="Q127">IF(Table17[[#This Row],[//CONV]]="",Table17[[#This Row],[SATUAN DB]],INDEX(Table2[2],Table17[[#This Row],[//CONV]]))</f>
        <v>LSN</v>
      </c>
      <c r="R127" cm="1">
        <f t="array" ref="R127">IF(Table17[[#This Row],[dbconcat]]="","",INDEX([3]!Table2[ISI],Table17[[#This Row],[dbconcat]]))</f>
        <v>72</v>
      </c>
      <c r="S127" t="str" cm="1">
        <f t="array" ref="S127">IF(Table17[[#This Row],[dbconcat]]="","",INDEX([3]!Table2[[SATUAN ]],Table17[[#This Row],[dbconcat]]))</f>
        <v>LSN</v>
      </c>
      <c r="T127" t="str">
        <f>IF(Table17[[#This Row],[SATUAN S]]="","",IF(_xlfn.NUMBERVALUE(Table17[[#This Row],[ISI DB]])=_xlfn.NUMBERVALUE(Table17[[#This Row],[ISI S]]),"",1))</f>
        <v/>
      </c>
      <c r="U127" t="str">
        <f>IF(Table17[[#This Row],[SATUAN S]]="","",IF(Table17[[#This Row],[SATUAN DB]]=Table17[[#This Row],[SATUAN S]],"",1))</f>
        <v/>
      </c>
      <c r="V127" t="str">
        <f>IF(Table17[[#This Row],[CEK STN S]]="","",MATCH(CONCATENATE(Table17[[#This Row],[SATUAN CONV]],Table17[[#This Row],[SATUAN S]]),Table2[4],0))</f>
        <v/>
      </c>
      <c r="X127" t="str" cm="1">
        <f t="array" ref="X127">IF(Table17[[#This Row],[CONV2_//]]="","",INDEX(Table2[3],Table17[[#This Row],[CONV2_//]]))</f>
        <v/>
      </c>
      <c r="Y127" s="2" t="str">
        <f>IF(Table17[[#This Row],[CEK ISI S]]="",Table17[[#This Row],[ISI DB]],Table17[[#This Row],[ISI S]])</f>
        <v>72</v>
      </c>
      <c r="Z127" t="str">
        <f>IF(Table17[[#This Row],[CEK STN S]]="",Table17[[#This Row],[SATUAN DB]],Table17[[#This Row],[SATUAN S]])</f>
        <v>LSN</v>
      </c>
      <c r="AA127">
        <f>IF(Table17[[#This Row],[//CONV]]="",Table17[[#This Row],[ISI NOTA]]/Table17[[#This Row],[ISI_C]],Table17[[#This Row],[ISI DB CONV]]/Table17[[#This Row],[ISI_C]])</f>
        <v>1</v>
      </c>
      <c r="AB127">
        <f>INDEX(NOTA[HARGA SATUAN],Sheet1!A:A)</f>
        <v>43500</v>
      </c>
      <c r="AC127">
        <f>IF(Table17[[#This Row],[//CONV]]="",Table17[[#This Row],[HARGA NOTA]],Table17[[#This Row],[HARGA NOTA]]/Table17[[#This Row],[CONV VAR]])</f>
        <v>43500</v>
      </c>
      <c r="AD127">
        <f>IF(Table17[[#This Row],[CEK STN S]]="",Table17[[#This Row],[HARGA CONV]],Table17[[#This Row],[HARGA CONV]]/Table17[[#This Row],[CONV2 VAR]])</f>
        <v>43500</v>
      </c>
      <c r="AE127" s="3" t="str">
        <f>IF(INDEX(NOTA[Column6],Sheet1!A:A)=0,"",INDEX(NOTA[Column6],Sheet1!A:A))</f>
        <v/>
      </c>
      <c r="AF127" s="3" t="str">
        <f>IF(INDEX(NOTA[Column7],Sheet1!A:A)=0,"",INDEX(NOTA[Column7],Sheet1!A:A))</f>
        <v/>
      </c>
      <c r="AG12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7" s="4">
        <f>INDEX(NOTA[HARGA/ CTN_H],Sheet1!A:A)</f>
        <v>3132000</v>
      </c>
      <c r="AI127" s="4">
        <f>IF(Table17[[#This Row],[DISC 3]]="",Table17[[#This Row],[HRG / CTN]],Table17[[#This Row],[HRG / CTN]]-(Table17[[#This Row],[HRG / CTN]]*Table17[[#This Row],[DISC 3]]))</f>
        <v>3132000</v>
      </c>
      <c r="AJ127" s="5" t="e">
        <f>IF(#REF!&lt;1,Table17[[#This Row],[Column9]],Table17[[#This Row],[Column9]]*#REF!)</f>
        <v>#REF!</v>
      </c>
      <c r="AK127" s="4" t="str">
        <f ca="1">IF(NOT(AP128=Table17[[#This Row],[Column6]]),SUMIF(Table17[Column6],Table17[[#This Row],[Column6]],Table17[Column7]),"")</f>
        <v/>
      </c>
      <c r="AL127" s="6">
        <f ca="1">INDEX(NOTA[TGL_H],Sheet1!A:A)</f>
        <v>45488</v>
      </c>
      <c r="AM127" s="6">
        <f ca="1">INDEX(NOTA[TGL.NOTA_H],Sheet1!A:A)</f>
        <v>45485</v>
      </c>
      <c r="AO127" t="str">
        <f>IF(INDEX(NOTA[Column10],A:A)="","",INDEX(NOTA[Column10],A:A))</f>
        <v/>
      </c>
      <c r="AP127" t="str">
        <f ca="1">INDEX(NOTA[NO.NOTA_H],Sheet1!A:A)</f>
        <v>JUG329/24</v>
      </c>
      <c r="AQ127">
        <f>INDEX(NOTA[Column10],Sheet1!A:A)</f>
        <v>0</v>
      </c>
      <c r="AR127" s="8" t="str">
        <f ca="1">INDEX(NOTA[SUPPLIER_H],Sheet1!A:A)</f>
        <v>DB STATIONERY</v>
      </c>
      <c r="AS127" t="str">
        <f>Table17[[#This Row],[NAMA_C]]</f>
        <v>BP GEL TIZO 1.0 TG630-A</v>
      </c>
      <c r="AT127" t="str">
        <f ca="1">Table17[[#This Row],[SUPPLIER]]</f>
        <v>DB STATIONERY</v>
      </c>
      <c r="AU127" t="str">
        <f>SUBSTITUTE(Table17[[#This Row],[CTN]],",",".")</f>
        <v>1</v>
      </c>
      <c r="AV127" s="13" t="str">
        <f>Table17[[#This Row],[ISI_C]]</f>
        <v>72</v>
      </c>
      <c r="AW127" t="str">
        <f>Table17[[#This Row],[SATUAN_C]]</f>
        <v>LSN</v>
      </c>
      <c r="AX127">
        <f>Table17[[#This Row],[HARGA CONV2]]</f>
        <v>43500</v>
      </c>
      <c r="AY127" s="9" t="str">
        <f>SUBSTITUTE(Table17[[#This Row],[DISC 3]],",",".")</f>
        <v/>
      </c>
      <c r="AZ127" s="6">
        <f ca="1">Table17[[#This Row],[TGL DATANG]]</f>
        <v>45488</v>
      </c>
      <c r="BA127" s="6">
        <f ca="1">Table17[[#This Row],[Column10]]</f>
        <v>45485</v>
      </c>
      <c r="BB127" s="7"/>
      <c r="BC127" t="str">
        <f>Table17[[#This Row],[KETERANGAN CONDRO]]</f>
        <v/>
      </c>
      <c r="BD127" t="str">
        <f ca="1">Table17[[#This Row],[Column6]]</f>
        <v>JUG329/24</v>
      </c>
    </row>
    <row r="128" spans="1:56">
      <c r="A128" s="55">
        <v>166</v>
      </c>
      <c r="C128">
        <f>INDEX(NOTA[//DB],Sheet1!A:A)</f>
        <v>2695</v>
      </c>
      <c r="D128">
        <f>_xlfn.IFNA(MATCH(Table17[[#This Row],[//db]],[3]!Table2[\\],0),"")</f>
        <v>2471</v>
      </c>
      <c r="E128" t="str">
        <f>INDEX([3]!db[NB NOTA],Table17[[#This Row],[//db]])</f>
        <v>PENSIL KAYAGI 2B COKLAT KY-OF122B-2</v>
      </c>
      <c r="F128" t="str">
        <f>INDEX([3]!db[NB BM],Table17[[#This Row],[//db]])</f>
        <v>PENSIL 2B KAYAGI OF122B-2 COKLAT</v>
      </c>
      <c r="G128" t="str">
        <f>IF(Table17[[#This Row],[dbconcat]]="","",INDEX([3]!Table2[NAMA],Table17[[#This Row],[dbconcat]]))</f>
        <v>PENSIL 2B KAYAGI OF122B-2 COKLAT</v>
      </c>
      <c r="H128" t="str">
        <f>INDEX([3]!Table2[KODE BARANG],Table17[[#This Row],[dbconcat]])</f>
        <v>PEN-KY2</v>
      </c>
      <c r="I128" t="str">
        <f>IF(Table17[[#This Row],[NAMA_3]]="",UPPER(Table17[[#This Row],[NAMA_2]]),Table17[[#This Row],[NAMA_3]])</f>
        <v>PENSIL 2B KAYAGI OF122B-2 COKLAT</v>
      </c>
      <c r="J128">
        <f>INDEX(NOTA[QTY],Sheet1!A:A)</f>
        <v>1800</v>
      </c>
      <c r="K128" t="str">
        <f>INDEX(NOTA[STN],Sheet1!A:A)</f>
        <v>LSN</v>
      </c>
      <c r="L128" t="str">
        <f>INDEX([3]!db[QTY B],Table17[[#This Row],[//db]])</f>
        <v>360</v>
      </c>
      <c r="M128" t="str">
        <f>INDEX([3]!db[STN B],Table17[[#This Row],[//db]])</f>
        <v>LSN</v>
      </c>
      <c r="N128" t="str">
        <f>IF(Table17[[#This Row],[SATUAN NOTA]]=Table17[[#This Row],[SATUAN DB]],"", MATCH(CONCATENATE(Table17[[#This Row],[SATUAN NOTA]],Table17[[#This Row],[SATUAN DB]]),Table2[4],0))</f>
        <v/>
      </c>
      <c r="O128" t="str" cm="1">
        <f t="array" ref="O128">IF(Table17[[#This Row],[//CONV]]="","",INDEX(Table2[3],Table17[[#This Row],[//CONV]]))</f>
        <v/>
      </c>
      <c r="P128" t="str">
        <f>IF(Table17[[#This Row],[//CONV]]="",Table17[[#This Row],[ISI DB]],Table17[[#This Row],[ISI NOTA]]*Table17[[#This Row],[CONV VAR]])</f>
        <v>360</v>
      </c>
      <c r="Q128" t="str" cm="1">
        <f t="array" ref="Q128">IF(Table17[[#This Row],[//CONV]]="",Table17[[#This Row],[SATUAN DB]],INDEX(Table2[2],Table17[[#This Row],[//CONV]]))</f>
        <v>LSN</v>
      </c>
      <c r="R128" cm="1">
        <f t="array" ref="R128">IF(Table17[[#This Row],[dbconcat]]="","",INDEX([3]!Table2[ISI],Table17[[#This Row],[dbconcat]]))</f>
        <v>360</v>
      </c>
      <c r="S128" t="str" cm="1">
        <f t="array" ref="S128">IF(Table17[[#This Row],[dbconcat]]="","",INDEX([3]!Table2[[SATUAN ]],Table17[[#This Row],[dbconcat]]))</f>
        <v>LSN</v>
      </c>
      <c r="T128" t="str">
        <f>IF(Table17[[#This Row],[SATUAN S]]="","",IF(_xlfn.NUMBERVALUE(Table17[[#This Row],[ISI DB]])=_xlfn.NUMBERVALUE(Table17[[#This Row],[ISI S]]),"",1))</f>
        <v/>
      </c>
      <c r="U128" t="str">
        <f>IF(Table17[[#This Row],[SATUAN S]]="","",IF(Table17[[#This Row],[SATUAN DB]]=Table17[[#This Row],[SATUAN S]],"",1))</f>
        <v/>
      </c>
      <c r="V128" t="str">
        <f>IF(Table17[[#This Row],[CEK STN S]]="","",MATCH(CONCATENATE(Table17[[#This Row],[SATUAN CONV]],Table17[[#This Row],[SATUAN S]]),Table2[4],0))</f>
        <v/>
      </c>
      <c r="X128" t="str" cm="1">
        <f t="array" ref="X128">IF(Table17[[#This Row],[CONV2_//]]="","",INDEX(Table2[3],Table17[[#This Row],[CONV2_//]]))</f>
        <v/>
      </c>
      <c r="Y128" s="2" t="str">
        <f>IF(Table17[[#This Row],[CEK ISI S]]="",Table17[[#This Row],[ISI DB]],Table17[[#This Row],[ISI S]])</f>
        <v>360</v>
      </c>
      <c r="Z128" t="str">
        <f>IF(Table17[[#This Row],[CEK STN S]]="",Table17[[#This Row],[SATUAN DB]],Table17[[#This Row],[SATUAN S]])</f>
        <v>LSN</v>
      </c>
      <c r="AA128">
        <f>IF(Table17[[#This Row],[//CONV]]="",Table17[[#This Row],[ISI NOTA]]/Table17[[#This Row],[ISI_C]],Table17[[#This Row],[ISI DB CONV]]/Table17[[#This Row],[ISI_C]])</f>
        <v>5</v>
      </c>
      <c r="AB128">
        <f>INDEX(NOTA[HARGA SATUAN],Sheet1!A:A)</f>
        <v>8100</v>
      </c>
      <c r="AC128">
        <f>IF(Table17[[#This Row],[//CONV]]="",Table17[[#This Row],[HARGA NOTA]],Table17[[#This Row],[HARGA NOTA]]/Table17[[#This Row],[CONV VAR]])</f>
        <v>8100</v>
      </c>
      <c r="AD128">
        <f>IF(Table17[[#This Row],[CEK STN S]]="",Table17[[#This Row],[HARGA CONV]],Table17[[#This Row],[HARGA CONV]]/Table17[[#This Row],[CONV2 VAR]])</f>
        <v>8100</v>
      </c>
      <c r="AE128" s="3" t="str">
        <f>IF(INDEX(NOTA[Column6],Sheet1!A:A)=0,"",INDEX(NOTA[Column6],Sheet1!A:A))</f>
        <v/>
      </c>
      <c r="AF128" s="3" t="str">
        <f>IF(INDEX(NOTA[Column7],Sheet1!A:A)=0,"",INDEX(NOTA[Column7],Sheet1!A:A))</f>
        <v/>
      </c>
      <c r="AG12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28" s="4">
        <f>INDEX(NOTA[HARGA/ CTN_H],Sheet1!A:A)</f>
        <v>2916000</v>
      </c>
      <c r="AI128" s="4">
        <f>IF(Table17[[#This Row],[DISC 3]]="",Table17[[#This Row],[HRG / CTN]],Table17[[#This Row],[HRG / CTN]]-(Table17[[#This Row],[HRG / CTN]]*Table17[[#This Row],[DISC 3]]))</f>
        <v>2916000</v>
      </c>
      <c r="AJ128" s="5" t="e">
        <f>IF(#REF!&lt;1,Table17[[#This Row],[Column9]],Table17[[#This Row],[Column9]]*#REF!)</f>
        <v>#REF!</v>
      </c>
      <c r="AK128" s="4" t="e">
        <f ca="1">IF(NOT(AP129=Table17[[#This Row],[Column6]]),SUMIF(Table17[Column6],Table17[[#This Row],[Column6]],Table17[Column7]),"")</f>
        <v>#REF!</v>
      </c>
      <c r="AL128" s="6">
        <f ca="1">INDEX(NOTA[TGL_H],Sheet1!A:A)</f>
        <v>45488</v>
      </c>
      <c r="AM128" s="6">
        <f ca="1">INDEX(NOTA[TGL.NOTA_H],Sheet1!A:A)</f>
        <v>45485</v>
      </c>
      <c r="AO128" t="str">
        <f>IF(INDEX(NOTA[Column10],A:A)="","",INDEX(NOTA[Column10],A:A))</f>
        <v/>
      </c>
      <c r="AP128" t="str">
        <f ca="1">INDEX(NOTA[NO.NOTA_H],Sheet1!A:A)</f>
        <v>JUG329/24</v>
      </c>
      <c r="AQ128">
        <f>INDEX(NOTA[Column10],Sheet1!A:A)</f>
        <v>0</v>
      </c>
      <c r="AR128" s="8" t="str">
        <f ca="1">INDEX(NOTA[SUPPLIER_H],Sheet1!A:A)</f>
        <v>DB STATIONERY</v>
      </c>
      <c r="AS128" t="str">
        <f>Table17[[#This Row],[NAMA_C]]</f>
        <v>PENSIL 2B KAYAGI OF122B-2 COKLAT</v>
      </c>
      <c r="AT128" t="str">
        <f ca="1">Table17[[#This Row],[SUPPLIER]]</f>
        <v>DB STATIONERY</v>
      </c>
      <c r="AU128" t="str">
        <f>SUBSTITUTE(Table17[[#This Row],[CTN]],",",".")</f>
        <v>5</v>
      </c>
      <c r="AV128" s="13" t="str">
        <f>Table17[[#This Row],[ISI_C]]</f>
        <v>360</v>
      </c>
      <c r="AW128" t="str">
        <f>Table17[[#This Row],[SATUAN_C]]</f>
        <v>LSN</v>
      </c>
      <c r="AX128">
        <f>Table17[[#This Row],[HARGA CONV2]]</f>
        <v>8100</v>
      </c>
      <c r="AY128" s="9" t="str">
        <f>SUBSTITUTE(Table17[[#This Row],[DISC 3]],",",".")</f>
        <v/>
      </c>
      <c r="AZ128" s="6">
        <f ca="1">Table17[[#This Row],[TGL DATANG]]</f>
        <v>45488</v>
      </c>
      <c r="BA128" s="6">
        <f ca="1">Table17[[#This Row],[Column10]]</f>
        <v>45485</v>
      </c>
      <c r="BB128" s="7"/>
      <c r="BC128" t="str">
        <f>Table17[[#This Row],[KETERANGAN CONDRO]]</f>
        <v/>
      </c>
      <c r="BD128" t="str">
        <f ca="1">Table17[[#This Row],[Column6]]</f>
        <v>JUG329/24</v>
      </c>
    </row>
    <row r="129" spans="1:56">
      <c r="A129" s="55">
        <v>168</v>
      </c>
      <c r="C129">
        <f>INDEX(NOTA[//DB],Sheet1!A:A)</f>
        <v>515</v>
      </c>
      <c r="D129">
        <f>_xlfn.IFNA(MATCH(Table17[[#This Row],[//db]],[3]!Table2[\\],0),"")</f>
        <v>1046</v>
      </c>
      <c r="E129" t="str">
        <f>INDEX([3]!db[NB NOTA],Table17[[#This Row],[//db]])</f>
        <v>BT 30 CM</v>
      </c>
      <c r="F129" t="str">
        <f>INDEX([3]!db[NB BM],Table17[[#This Row],[//db]])</f>
        <v>GARISAN BUTTERFLY BT 30 CM</v>
      </c>
      <c r="G129" t="str">
        <f>IF(Table17[[#This Row],[dbconcat]]="","",INDEX([3]!Table2[NAMA],Table17[[#This Row],[dbconcat]]))</f>
        <v>GARISAN BUTTERFLY BT 30 CM</v>
      </c>
      <c r="H129" t="str">
        <f>INDEX([3]!Table2[KODE BARANG],Table17[[#This Row],[dbconcat]])</f>
        <v>GAR-BT25</v>
      </c>
      <c r="I129" t="str">
        <f>IF(Table17[[#This Row],[NAMA_3]]="",UPPER(Table17[[#This Row],[NAMA_2]]),Table17[[#This Row],[NAMA_3]])</f>
        <v>GARISAN BUTTERFLY BT 30 CM</v>
      </c>
      <c r="J129">
        <f>INDEX(NOTA[QTY],Sheet1!A:A)</f>
        <v>500</v>
      </c>
      <c r="K129" t="str">
        <f>INDEX(NOTA[STN],Sheet1!A:A)</f>
        <v>LSN</v>
      </c>
      <c r="L129" t="str">
        <f>INDEX([3]!db[QTY B],Table17[[#This Row],[//db]])</f>
        <v>100</v>
      </c>
      <c r="M129" t="str">
        <f>INDEX([3]!db[STN B],Table17[[#This Row],[//db]])</f>
        <v>LSN</v>
      </c>
      <c r="N129" t="str">
        <f>IF(Table17[[#This Row],[SATUAN NOTA]]=Table17[[#This Row],[SATUAN DB]],"", MATCH(CONCATENATE(Table17[[#This Row],[SATUAN NOTA]],Table17[[#This Row],[SATUAN DB]]),Table2[4],0))</f>
        <v/>
      </c>
      <c r="O129" t="str" cm="1">
        <f t="array" ref="O129">IF(Table17[[#This Row],[//CONV]]="","",INDEX(Table2[3],Table17[[#This Row],[//CONV]]))</f>
        <v/>
      </c>
      <c r="P129" t="str">
        <f>IF(Table17[[#This Row],[//CONV]]="",Table17[[#This Row],[ISI DB]],Table17[[#This Row],[ISI NOTA]]*Table17[[#This Row],[CONV VAR]])</f>
        <v>100</v>
      </c>
      <c r="Q129" t="str" cm="1">
        <f t="array" ref="Q129">IF(Table17[[#This Row],[//CONV]]="",Table17[[#This Row],[SATUAN DB]],INDEX(Table2[2],Table17[[#This Row],[//CONV]]))</f>
        <v>LSN</v>
      </c>
      <c r="R129" cm="1">
        <f t="array" ref="R129">IF(Table17[[#This Row],[dbconcat]]="","",INDEX([3]!Table2[ISI],Table17[[#This Row],[dbconcat]]))</f>
        <v>100</v>
      </c>
      <c r="S129" t="str" cm="1">
        <f t="array" ref="S129">IF(Table17[[#This Row],[dbconcat]]="","",INDEX([3]!Table2[[SATUAN ]],Table17[[#This Row],[dbconcat]]))</f>
        <v>LSN</v>
      </c>
      <c r="T129" t="str">
        <f>IF(Table17[[#This Row],[SATUAN S]]="","",IF(_xlfn.NUMBERVALUE(Table17[[#This Row],[ISI DB]])=_xlfn.NUMBERVALUE(Table17[[#This Row],[ISI S]]),"",1))</f>
        <v/>
      </c>
      <c r="U129" t="str">
        <f>IF(Table17[[#This Row],[SATUAN S]]="","",IF(Table17[[#This Row],[SATUAN DB]]=Table17[[#This Row],[SATUAN S]],"",1))</f>
        <v/>
      </c>
      <c r="V129" t="str">
        <f>IF(Table17[[#This Row],[CEK STN S]]="","",MATCH(CONCATENATE(Table17[[#This Row],[SATUAN CONV]],Table17[[#This Row],[SATUAN S]]),Table2[4],0))</f>
        <v/>
      </c>
      <c r="X129" t="str" cm="1">
        <f t="array" ref="X129">IF(Table17[[#This Row],[CONV2_//]]="","",INDEX(Table2[3],Table17[[#This Row],[CONV2_//]]))</f>
        <v/>
      </c>
      <c r="Y129" s="2" t="str">
        <f>IF(Table17[[#This Row],[CEK ISI S]]="",Table17[[#This Row],[ISI DB]],Table17[[#This Row],[ISI S]])</f>
        <v>100</v>
      </c>
      <c r="Z129" t="str">
        <f>IF(Table17[[#This Row],[CEK STN S]]="",Table17[[#This Row],[SATUAN DB]],Table17[[#This Row],[SATUAN S]])</f>
        <v>LSN</v>
      </c>
      <c r="AA129">
        <f>IF(Table17[[#This Row],[//CONV]]="",Table17[[#This Row],[ISI NOTA]]/Table17[[#This Row],[ISI_C]],Table17[[#This Row],[ISI DB CONV]]/Table17[[#This Row],[ISI_C]])</f>
        <v>5</v>
      </c>
      <c r="AB129">
        <f>INDEX(NOTA[HARGA SATUAN],Sheet1!A:A)</f>
        <v>26780</v>
      </c>
      <c r="AC129">
        <f>IF(Table17[[#This Row],[//CONV]]="",Table17[[#This Row],[HARGA NOTA]],Table17[[#This Row],[HARGA NOTA]]/Table17[[#This Row],[CONV VAR]])</f>
        <v>26780</v>
      </c>
      <c r="AD129">
        <f>IF(Table17[[#This Row],[CEK STN S]]="",Table17[[#This Row],[HARGA CONV]],Table17[[#This Row],[HARGA CONV]]/Table17[[#This Row],[CONV2 VAR]])</f>
        <v>26780</v>
      </c>
      <c r="AE129" s="3">
        <f>IF(INDEX(NOTA[Column6],Sheet1!A:A)=0,"",INDEX(NOTA[Column6],Sheet1!A:A))</f>
        <v>0.2</v>
      </c>
      <c r="AF129" s="3">
        <f>IF(INDEX(NOTA[Column7],Sheet1!A:A)=0,"",INDEX(NOTA[Column7],Sheet1!A:A))</f>
        <v>0.04</v>
      </c>
      <c r="AG129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129" s="4">
        <f>INDEX(NOTA[HARGA/ CTN_H],Sheet1!A:A)</f>
        <v>2678000</v>
      </c>
      <c r="AI129" s="4">
        <f>IF(Table17[[#This Row],[DISC 3]]="",Table17[[#This Row],[HRG / CTN]],Table17[[#This Row],[HRG / CTN]]-(Table17[[#This Row],[HRG / CTN]]*Table17[[#This Row],[DISC 3]]))</f>
        <v>2056704</v>
      </c>
      <c r="AJ129" s="5" t="e">
        <f>IF(#REF!&lt;1,Table17[[#This Row],[Column9]],Table17[[#This Row],[Column9]]*#REF!)</f>
        <v>#REF!</v>
      </c>
      <c r="AK129" s="4" t="e">
        <f ca="1">IF(NOT(AP130=Table17[[#This Row],[Column6]]),SUMIF(Table17[Column6],Table17[[#This Row],[Column6]],Table17[Column7]),"")</f>
        <v>#REF!</v>
      </c>
      <c r="AL129" s="6">
        <f ca="1">INDEX(NOTA[TGL_H],Sheet1!A:A)</f>
        <v>45488</v>
      </c>
      <c r="AM129" s="6">
        <f ca="1">INDEX(NOTA[TGL.NOTA_H],Sheet1!A:A)</f>
        <v>45482</v>
      </c>
      <c r="AO129" t="str">
        <f>IF(INDEX(NOTA[Column10],A:A)="","",INDEX(NOTA[Column10],A:A))</f>
        <v/>
      </c>
      <c r="AP129" t="str">
        <f ca="1">INDEX(NOTA[NO.NOTA_H],Sheet1!A:A)</f>
        <v>0149/HW/VII/24</v>
      </c>
      <c r="AQ129">
        <f>INDEX(NOTA[Column10],Sheet1!A:A)</f>
        <v>0</v>
      </c>
      <c r="AR129" s="8" t="str">
        <f ca="1">INDEX(NOTA[SUPPLIER_H],Sheet1!A:A)</f>
        <v>PPW</v>
      </c>
      <c r="AS129" t="str">
        <f>Table17[[#This Row],[NAMA_C]]</f>
        <v>GARISAN BUTTERFLY BT 30 CM</v>
      </c>
      <c r="AT129" t="str">
        <f ca="1">Table17[[#This Row],[SUPPLIER]]</f>
        <v>PPW</v>
      </c>
      <c r="AU129" t="str">
        <f>SUBSTITUTE(Table17[[#This Row],[CTN]],",",".")</f>
        <v>5</v>
      </c>
      <c r="AV129" s="13" t="str">
        <f>Table17[[#This Row],[ISI_C]]</f>
        <v>100</v>
      </c>
      <c r="AW129" t="str">
        <f>Table17[[#This Row],[SATUAN_C]]</f>
        <v>LSN</v>
      </c>
      <c r="AX129">
        <f>Table17[[#This Row],[HARGA CONV2]]</f>
        <v>26780</v>
      </c>
      <c r="AY129" s="9" t="str">
        <f>SUBSTITUTE(Table17[[#This Row],[DISC 3]],",",".")</f>
        <v>0.232</v>
      </c>
      <c r="AZ129" s="6">
        <f ca="1">Table17[[#This Row],[TGL DATANG]]</f>
        <v>45488</v>
      </c>
      <c r="BA129" s="6">
        <f ca="1">Table17[[#This Row],[Column10]]</f>
        <v>45482</v>
      </c>
      <c r="BB129" s="7"/>
      <c r="BC129" t="str">
        <f>Table17[[#This Row],[KETERANGAN CONDRO]]</f>
        <v/>
      </c>
      <c r="BD129" t="str">
        <f ca="1">Table17[[#This Row],[Column6]]</f>
        <v>0149/HW/VII/24</v>
      </c>
    </row>
    <row r="130" spans="1:56">
      <c r="A130" s="55">
        <v>170</v>
      </c>
      <c r="C130">
        <f>INDEX(NOTA[//DB],Sheet1!A:A)</f>
        <v>3181</v>
      </c>
      <c r="D130">
        <f>_xlfn.IFNA(MATCH(Table17[[#This Row],[//db]],[3]!Table2[\\],0),"")</f>
        <v>1924</v>
      </c>
      <c r="E130" t="str">
        <f>INDEX([3]!db[NB NOTA],Table17[[#This Row],[//db]])</f>
        <v>ZIPPER FILE CLEAR HOLDER 555 20FILE GREEN</v>
      </c>
      <c r="F130" t="str">
        <f>INDEX([3]!db[NB BM],Table17[[#This Row],[//db]])</f>
        <v>Zipper file Clear Holder Topla 555 20 file Hijau</v>
      </c>
      <c r="G130" t="str">
        <f>IF(Table17[[#This Row],[dbconcat]]="","",INDEX([3]!Table2[NAMA],Table17[[#This Row],[dbconcat]]))</f>
        <v>ZIPPER FILE CLEAR HOLDER TOPLA 555 20 FILE HIJAU</v>
      </c>
      <c r="H130" t="str">
        <f>INDEX([3]!Table2[KODE BARANG],Table17[[#This Row],[dbconcat]])</f>
        <v>MAP-TP211</v>
      </c>
      <c r="I130" t="str">
        <f>IF(Table17[[#This Row],[NAMA_3]]="",UPPER(Table17[[#This Row],[NAMA_2]]),Table17[[#This Row],[NAMA_3]])</f>
        <v>ZIPPER FILE CLEAR HOLDER TOPLA 555 20 FILE HIJAU</v>
      </c>
      <c r="J130">
        <f>INDEX(NOTA[QTY],Sheet1!A:A)</f>
        <v>30</v>
      </c>
      <c r="K130" t="str">
        <f>INDEX(NOTA[STN],Sheet1!A:A)</f>
        <v>PCS</v>
      </c>
      <c r="L130" t="str">
        <f>INDEX([3]!db[QTY B],Table17[[#This Row],[//db]])</f>
        <v>60</v>
      </c>
      <c r="M130" t="str">
        <f>INDEX([3]!db[STN B],Table17[[#This Row],[//db]])</f>
        <v>PCS</v>
      </c>
      <c r="N130" t="str">
        <f>IF(Table17[[#This Row],[SATUAN NOTA]]=Table17[[#This Row],[SATUAN DB]],"", MATCH(CONCATENATE(Table17[[#This Row],[SATUAN NOTA]],Table17[[#This Row],[SATUAN DB]]),Table2[4],0))</f>
        <v/>
      </c>
      <c r="O130" t="str" cm="1">
        <f t="array" ref="O130">IF(Table17[[#This Row],[//CONV]]="","",INDEX(Table2[3],Table17[[#This Row],[//CONV]]))</f>
        <v/>
      </c>
      <c r="P130" t="str">
        <f>IF(Table17[[#This Row],[//CONV]]="",Table17[[#This Row],[ISI DB]],Table17[[#This Row],[ISI NOTA]]*Table17[[#This Row],[CONV VAR]])</f>
        <v>60</v>
      </c>
      <c r="Q130" t="str" cm="1">
        <f t="array" ref="Q130">IF(Table17[[#This Row],[//CONV]]="",Table17[[#This Row],[SATUAN DB]],INDEX(Table2[2],Table17[[#This Row],[//CONV]]))</f>
        <v>PCS</v>
      </c>
      <c r="R130" cm="1">
        <f t="array" ref="R130">IF(Table17[[#This Row],[dbconcat]]="","",INDEX([3]!Table2[ISI],Table17[[#This Row],[dbconcat]]))</f>
        <v>60</v>
      </c>
      <c r="S130" t="str" cm="1">
        <f t="array" ref="S130">IF(Table17[[#This Row],[dbconcat]]="","",INDEX([3]!Table2[[SATUAN ]],Table17[[#This Row],[dbconcat]]))</f>
        <v>PCS</v>
      </c>
      <c r="T130" t="str">
        <f>IF(Table17[[#This Row],[SATUAN S]]="","",IF(_xlfn.NUMBERVALUE(Table17[[#This Row],[ISI DB]])=_xlfn.NUMBERVALUE(Table17[[#This Row],[ISI S]]),"",1))</f>
        <v/>
      </c>
      <c r="U130" t="str">
        <f>IF(Table17[[#This Row],[SATUAN S]]="","",IF(Table17[[#This Row],[SATUAN DB]]=Table17[[#This Row],[SATUAN S]],"",1))</f>
        <v/>
      </c>
      <c r="V130" t="str">
        <f>IF(Table17[[#This Row],[CEK STN S]]="","",MATCH(CONCATENATE(Table17[[#This Row],[SATUAN CONV]],Table17[[#This Row],[SATUAN S]]),Table2[4],0))</f>
        <v/>
      </c>
      <c r="X130" t="str" cm="1">
        <f t="array" ref="X130">IF(Table17[[#This Row],[CONV2_//]]="","",INDEX(Table2[3],Table17[[#This Row],[CONV2_//]]))</f>
        <v/>
      </c>
      <c r="Y130" s="2" t="str">
        <f>IF(Table17[[#This Row],[CEK ISI S]]="",Table17[[#This Row],[ISI DB]],Table17[[#This Row],[ISI S]])</f>
        <v>60</v>
      </c>
      <c r="Z130" t="str">
        <f>IF(Table17[[#This Row],[CEK STN S]]="",Table17[[#This Row],[SATUAN DB]],Table17[[#This Row],[SATUAN S]])</f>
        <v>PCS</v>
      </c>
      <c r="AA130">
        <f>IF(Table17[[#This Row],[//CONV]]="",Table17[[#This Row],[ISI NOTA]]/Table17[[#This Row],[ISI_C]],Table17[[#This Row],[ISI DB CONV]]/Table17[[#This Row],[ISI_C]])</f>
        <v>0.5</v>
      </c>
      <c r="AB130">
        <f>INDEX(NOTA[HARGA SATUAN],Sheet1!A:A)</f>
        <v>23000</v>
      </c>
      <c r="AC130">
        <f>IF(Table17[[#This Row],[//CONV]]="",Table17[[#This Row],[HARGA NOTA]],Table17[[#This Row],[HARGA NOTA]]/Table17[[#This Row],[CONV VAR]])</f>
        <v>23000</v>
      </c>
      <c r="AD130">
        <f>IF(Table17[[#This Row],[CEK STN S]]="",Table17[[#This Row],[HARGA CONV]],Table17[[#This Row],[HARGA CONV]]/Table17[[#This Row],[CONV2 VAR]])</f>
        <v>23000</v>
      </c>
      <c r="AE130" s="3" t="str">
        <f>IF(INDEX(NOTA[Column6],Sheet1!A:A)=0,"",INDEX(NOTA[Column6],Sheet1!A:A))</f>
        <v/>
      </c>
      <c r="AF130" s="3" t="str">
        <f>IF(INDEX(NOTA[Column7],Sheet1!A:A)=0,"",INDEX(NOTA[Column7],Sheet1!A:A))</f>
        <v/>
      </c>
      <c r="AG13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0" s="4">
        <f>INDEX(NOTA[HARGA/ CTN_H],Sheet1!A:A)</f>
        <v>690000</v>
      </c>
      <c r="AI130" s="4">
        <f>IF(Table17[[#This Row],[DISC 3]]="",Table17[[#This Row],[HRG / CTN]],Table17[[#This Row],[HRG / CTN]]-(Table17[[#This Row],[HRG / CTN]]*Table17[[#This Row],[DISC 3]]))</f>
        <v>690000</v>
      </c>
      <c r="AJ130" s="5" t="e">
        <f>IF(#REF!&lt;1,Table17[[#This Row],[Column9]],Table17[[#This Row],[Column9]]*#REF!)</f>
        <v>#REF!</v>
      </c>
      <c r="AK130" s="4" t="str">
        <f ca="1">IF(NOT(AP131=Table17[[#This Row],[Column6]]),SUMIF(Table17[Column6],Table17[[#This Row],[Column6]],Table17[Column7]),"")</f>
        <v/>
      </c>
      <c r="AL130" s="6">
        <f ca="1">INDEX(NOTA[TGL_H],Sheet1!A:A)</f>
        <v>45488</v>
      </c>
      <c r="AM130" s="6">
        <f ca="1">INDEX(NOTA[TGL.NOTA_H],Sheet1!A:A)</f>
        <v>45485</v>
      </c>
      <c r="AO130" t="str">
        <f>IF(INDEX(NOTA[Column10],A:A)="","",INDEX(NOTA[Column10],A:A))</f>
        <v/>
      </c>
      <c r="AP130" t="str">
        <f ca="1">INDEX(NOTA[NO.NOTA_H],Sheet1!A:A)</f>
        <v>PK-240700068</v>
      </c>
      <c r="AQ130">
        <f>INDEX(NOTA[Column10],Sheet1!A:A)</f>
        <v>0</v>
      </c>
      <c r="AR130" s="8" t="str">
        <f ca="1">INDEX(NOTA[SUPPLIER_H],Sheet1!A:A)</f>
        <v>TOPLA</v>
      </c>
      <c r="AS130" t="str">
        <f>Table17[[#This Row],[NAMA_C]]</f>
        <v>ZIPPER FILE CLEAR HOLDER TOPLA 555 20 FILE HIJAU</v>
      </c>
      <c r="AT130" t="str">
        <f ca="1">Table17[[#This Row],[SUPPLIER]]</f>
        <v>TOPLA</v>
      </c>
      <c r="AU130" t="str">
        <f>SUBSTITUTE(Table17[[#This Row],[CTN]],",",".")</f>
        <v>0.5</v>
      </c>
      <c r="AV130" s="13" t="str">
        <f>Table17[[#This Row],[ISI_C]]</f>
        <v>60</v>
      </c>
      <c r="AW130" t="str">
        <f>Table17[[#This Row],[SATUAN_C]]</f>
        <v>PCS</v>
      </c>
      <c r="AX130">
        <f>Table17[[#This Row],[HARGA CONV2]]</f>
        <v>23000</v>
      </c>
      <c r="AY130" s="9" t="str">
        <f>SUBSTITUTE(Table17[[#This Row],[DISC 3]],",",".")</f>
        <v/>
      </c>
      <c r="AZ130" s="6">
        <f ca="1">Table17[[#This Row],[TGL DATANG]]</f>
        <v>45488</v>
      </c>
      <c r="BA130" s="6">
        <f ca="1">Table17[[#This Row],[Column10]]</f>
        <v>45485</v>
      </c>
      <c r="BB130" s="7"/>
      <c r="BC130" t="str">
        <f>Table17[[#This Row],[KETERANGAN CONDRO]]</f>
        <v/>
      </c>
      <c r="BD130" t="str">
        <f ca="1">Table17[[#This Row],[Column6]]</f>
        <v>PK-240700068</v>
      </c>
    </row>
    <row r="131" spans="1:56">
      <c r="A131" s="55">
        <v>171</v>
      </c>
      <c r="C131">
        <f>INDEX(NOTA[//DB],Sheet1!A:A)</f>
        <v>3182</v>
      </c>
      <c r="D131">
        <f>_xlfn.IFNA(MATCH(Table17[[#This Row],[//db]],[3]!Table2[\\],0),"")</f>
        <v>1925</v>
      </c>
      <c r="E131" t="str">
        <f>INDEX([3]!db[NB NOTA],Table17[[#This Row],[//db]])</f>
        <v>ZIPPER FILE CLEAR HOLDER 555 20FILE RED</v>
      </c>
      <c r="F131" t="str">
        <f>INDEX([3]!db[NB BM],Table17[[#This Row],[//db]])</f>
        <v>Zipper file Clear Holder Topla 555 20 file Merah</v>
      </c>
      <c r="G131" t="str">
        <f>IF(Table17[[#This Row],[dbconcat]]="","",INDEX([3]!Table2[NAMA],Table17[[#This Row],[dbconcat]]))</f>
        <v>ZIPPER FILE CLEAR HOLDER TOPLA 555 20 FILE MERAH</v>
      </c>
      <c r="H131" t="str">
        <f>INDEX([3]!Table2[KODE BARANG],Table17[[#This Row],[dbconcat]])</f>
        <v>MAP-TP212</v>
      </c>
      <c r="I131" t="str">
        <f>IF(Table17[[#This Row],[NAMA_3]]="",UPPER(Table17[[#This Row],[NAMA_2]]),Table17[[#This Row],[NAMA_3]])</f>
        <v>ZIPPER FILE CLEAR HOLDER TOPLA 555 20 FILE MERAH</v>
      </c>
      <c r="J131">
        <f>INDEX(NOTA[QTY],Sheet1!A:A)</f>
        <v>30</v>
      </c>
      <c r="K131" t="str">
        <f>INDEX(NOTA[STN],Sheet1!A:A)</f>
        <v>PCS</v>
      </c>
      <c r="L131" t="str">
        <f>INDEX([3]!db[QTY B],Table17[[#This Row],[//db]])</f>
        <v>60</v>
      </c>
      <c r="M131" t="str">
        <f>INDEX([3]!db[STN B],Table17[[#This Row],[//db]])</f>
        <v>PCS</v>
      </c>
      <c r="N131" t="str">
        <f>IF(Table17[[#This Row],[SATUAN NOTA]]=Table17[[#This Row],[SATUAN DB]],"", MATCH(CONCATENATE(Table17[[#This Row],[SATUAN NOTA]],Table17[[#This Row],[SATUAN DB]]),Table2[4],0))</f>
        <v/>
      </c>
      <c r="O131" t="str" cm="1">
        <f t="array" ref="O131">IF(Table17[[#This Row],[//CONV]]="","",INDEX(Table2[3],Table17[[#This Row],[//CONV]]))</f>
        <v/>
      </c>
      <c r="P131" t="str">
        <f>IF(Table17[[#This Row],[//CONV]]="",Table17[[#This Row],[ISI DB]],Table17[[#This Row],[ISI NOTA]]*Table17[[#This Row],[CONV VAR]])</f>
        <v>60</v>
      </c>
      <c r="Q131" t="str" cm="1">
        <f t="array" ref="Q131">IF(Table17[[#This Row],[//CONV]]="",Table17[[#This Row],[SATUAN DB]],INDEX(Table2[2],Table17[[#This Row],[//CONV]]))</f>
        <v>PCS</v>
      </c>
      <c r="R131" cm="1">
        <f t="array" ref="R131">IF(Table17[[#This Row],[dbconcat]]="","",INDEX([3]!Table2[ISI],Table17[[#This Row],[dbconcat]]))</f>
        <v>60</v>
      </c>
      <c r="S131" t="str" cm="1">
        <f t="array" ref="S131">IF(Table17[[#This Row],[dbconcat]]="","",INDEX([3]!Table2[[SATUAN ]],Table17[[#This Row],[dbconcat]]))</f>
        <v>PCS</v>
      </c>
      <c r="T131" t="str">
        <f>IF(Table17[[#This Row],[SATUAN S]]="","",IF(_xlfn.NUMBERVALUE(Table17[[#This Row],[ISI DB]])=_xlfn.NUMBERVALUE(Table17[[#This Row],[ISI S]]),"",1))</f>
        <v/>
      </c>
      <c r="U131" t="str">
        <f>IF(Table17[[#This Row],[SATUAN S]]="","",IF(Table17[[#This Row],[SATUAN DB]]=Table17[[#This Row],[SATUAN S]],"",1))</f>
        <v/>
      </c>
      <c r="V131" t="str">
        <f>IF(Table17[[#This Row],[CEK STN S]]="","",MATCH(CONCATENATE(Table17[[#This Row],[SATUAN CONV]],Table17[[#This Row],[SATUAN S]]),Table2[4],0))</f>
        <v/>
      </c>
      <c r="X131" t="str" cm="1">
        <f t="array" ref="X131">IF(Table17[[#This Row],[CONV2_//]]="","",INDEX(Table2[3],Table17[[#This Row],[CONV2_//]]))</f>
        <v/>
      </c>
      <c r="Y131" s="2" t="str">
        <f>IF(Table17[[#This Row],[CEK ISI S]]="",Table17[[#This Row],[ISI DB]],Table17[[#This Row],[ISI S]])</f>
        <v>60</v>
      </c>
      <c r="Z131" t="str">
        <f>IF(Table17[[#This Row],[CEK STN S]]="",Table17[[#This Row],[SATUAN DB]],Table17[[#This Row],[SATUAN S]])</f>
        <v>PCS</v>
      </c>
      <c r="AA131">
        <f>IF(Table17[[#This Row],[//CONV]]="",Table17[[#This Row],[ISI NOTA]]/Table17[[#This Row],[ISI_C]],Table17[[#This Row],[ISI DB CONV]]/Table17[[#This Row],[ISI_C]])</f>
        <v>0.5</v>
      </c>
      <c r="AB131">
        <f>INDEX(NOTA[HARGA SATUAN],Sheet1!A:A)</f>
        <v>23000</v>
      </c>
      <c r="AC131">
        <f>IF(Table17[[#This Row],[//CONV]]="",Table17[[#This Row],[HARGA NOTA]],Table17[[#This Row],[HARGA NOTA]]/Table17[[#This Row],[CONV VAR]])</f>
        <v>23000</v>
      </c>
      <c r="AD131">
        <f>IF(Table17[[#This Row],[CEK STN S]]="",Table17[[#This Row],[HARGA CONV]],Table17[[#This Row],[HARGA CONV]]/Table17[[#This Row],[CONV2 VAR]])</f>
        <v>23000</v>
      </c>
      <c r="AE131" s="3" t="str">
        <f>IF(INDEX(NOTA[Column6],Sheet1!A:A)=0,"",INDEX(NOTA[Column6],Sheet1!A:A))</f>
        <v/>
      </c>
      <c r="AF131" s="3" t="str">
        <f>IF(INDEX(NOTA[Column7],Sheet1!A:A)=0,"",INDEX(NOTA[Column7],Sheet1!A:A))</f>
        <v/>
      </c>
      <c r="AG13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1" s="4">
        <f>INDEX(NOTA[HARGA/ CTN_H],Sheet1!A:A)</f>
        <v>690000</v>
      </c>
      <c r="AI131" s="4">
        <f>IF(Table17[[#This Row],[DISC 3]]="",Table17[[#This Row],[HRG / CTN]],Table17[[#This Row],[HRG / CTN]]-(Table17[[#This Row],[HRG / CTN]]*Table17[[#This Row],[DISC 3]]))</f>
        <v>690000</v>
      </c>
      <c r="AJ131" s="5" t="e">
        <f>IF(#REF!&lt;1,Table17[[#This Row],[Column9]],Table17[[#This Row],[Column9]]*#REF!)</f>
        <v>#REF!</v>
      </c>
      <c r="AK131" s="4" t="str">
        <f ca="1">IF(NOT(AP132=Table17[[#This Row],[Column6]]),SUMIF(Table17[Column6],Table17[[#This Row],[Column6]],Table17[Column7]),"")</f>
        <v/>
      </c>
      <c r="AL131" s="6">
        <f ca="1">INDEX(NOTA[TGL_H],Sheet1!A:A)</f>
        <v>45488</v>
      </c>
      <c r="AM131" s="6">
        <f ca="1">INDEX(NOTA[TGL.NOTA_H],Sheet1!A:A)</f>
        <v>45485</v>
      </c>
      <c r="AO131" t="str">
        <f>IF(INDEX(NOTA[Column10],A:A)="","",INDEX(NOTA[Column10],A:A))</f>
        <v/>
      </c>
      <c r="AP131" t="str">
        <f ca="1">INDEX(NOTA[NO.NOTA_H],Sheet1!A:A)</f>
        <v>PK-240700068</v>
      </c>
      <c r="AQ131">
        <f>INDEX(NOTA[Column10],Sheet1!A:A)</f>
        <v>0</v>
      </c>
      <c r="AR131" s="8" t="str">
        <f ca="1">INDEX(NOTA[SUPPLIER_H],Sheet1!A:A)</f>
        <v>TOPLA</v>
      </c>
      <c r="AS131" t="str">
        <f>Table17[[#This Row],[NAMA_C]]</f>
        <v>ZIPPER FILE CLEAR HOLDER TOPLA 555 20 FILE MERAH</v>
      </c>
      <c r="AT131" t="str">
        <f ca="1">Table17[[#This Row],[SUPPLIER]]</f>
        <v>TOPLA</v>
      </c>
      <c r="AU131" t="str">
        <f>SUBSTITUTE(Table17[[#This Row],[CTN]],",",".")</f>
        <v>0.5</v>
      </c>
      <c r="AV131" s="13" t="str">
        <f>Table17[[#This Row],[ISI_C]]</f>
        <v>60</v>
      </c>
      <c r="AW131" t="str">
        <f>Table17[[#This Row],[SATUAN_C]]</f>
        <v>PCS</v>
      </c>
      <c r="AX131">
        <f>Table17[[#This Row],[HARGA CONV2]]</f>
        <v>23000</v>
      </c>
      <c r="AY131" s="9" t="str">
        <f>SUBSTITUTE(Table17[[#This Row],[DISC 3]],",",".")</f>
        <v/>
      </c>
      <c r="AZ131" s="6">
        <f ca="1">Table17[[#This Row],[TGL DATANG]]</f>
        <v>45488</v>
      </c>
      <c r="BA131" s="6">
        <f ca="1">Table17[[#This Row],[Column10]]</f>
        <v>45485</v>
      </c>
      <c r="BB131" s="7"/>
      <c r="BC131" t="str">
        <f>Table17[[#This Row],[KETERANGAN CONDRO]]</f>
        <v/>
      </c>
      <c r="BD131" t="str">
        <f ca="1">Table17[[#This Row],[Column6]]</f>
        <v>PK-240700068</v>
      </c>
    </row>
    <row r="132" spans="1:56">
      <c r="A132" s="55">
        <v>172</v>
      </c>
      <c r="C132">
        <f>INDEX(NOTA[//DB],Sheet1!A:A)</f>
        <v>3183</v>
      </c>
      <c r="D132">
        <f>_xlfn.IFNA(MATCH(Table17[[#This Row],[//db]],[3]!Table2[\\],0),"")</f>
        <v>1926</v>
      </c>
      <c r="E132" t="str">
        <f>INDEX([3]!db[NB NOTA],Table17[[#This Row],[//db]])</f>
        <v>ZIPPER FILE CLEAR HOLDER 555 20FILE YELLOW</v>
      </c>
      <c r="F132" t="str">
        <f>INDEX([3]!db[NB BM],Table17[[#This Row],[//db]])</f>
        <v>Zipper file Clear Holder Topla 555 20 file Kuning</v>
      </c>
      <c r="G132" t="str">
        <f>IF(Table17[[#This Row],[dbconcat]]="","",INDEX([3]!Table2[NAMA],Table17[[#This Row],[dbconcat]]))</f>
        <v>ZIPPER FILE CLEAR HOLDER TOPLA 555 20 FILE KUNING</v>
      </c>
      <c r="H132" t="str">
        <f>INDEX([3]!Table2[KODE BARANG],Table17[[#This Row],[dbconcat]])</f>
        <v>MAP-TP213</v>
      </c>
      <c r="I132" t="str">
        <f>IF(Table17[[#This Row],[NAMA_3]]="",UPPER(Table17[[#This Row],[NAMA_2]]),Table17[[#This Row],[NAMA_3]])</f>
        <v>ZIPPER FILE CLEAR HOLDER TOPLA 555 20 FILE KUNING</v>
      </c>
      <c r="J132">
        <f>INDEX(NOTA[QTY],Sheet1!A:A)</f>
        <v>30</v>
      </c>
      <c r="K132" t="str">
        <f>INDEX(NOTA[STN],Sheet1!A:A)</f>
        <v>PCS</v>
      </c>
      <c r="L132" t="str">
        <f>INDEX([3]!db[QTY B],Table17[[#This Row],[//db]])</f>
        <v>60</v>
      </c>
      <c r="M132" t="str">
        <f>INDEX([3]!db[STN B],Table17[[#This Row],[//db]])</f>
        <v>PCS</v>
      </c>
      <c r="N132" t="str">
        <f>IF(Table17[[#This Row],[SATUAN NOTA]]=Table17[[#This Row],[SATUAN DB]],"", MATCH(CONCATENATE(Table17[[#This Row],[SATUAN NOTA]],Table17[[#This Row],[SATUAN DB]]),Table2[4],0))</f>
        <v/>
      </c>
      <c r="O132" t="str" cm="1">
        <f t="array" ref="O132">IF(Table17[[#This Row],[//CONV]]="","",INDEX(Table2[3],Table17[[#This Row],[//CONV]]))</f>
        <v/>
      </c>
      <c r="P132" t="str">
        <f>IF(Table17[[#This Row],[//CONV]]="",Table17[[#This Row],[ISI DB]],Table17[[#This Row],[ISI NOTA]]*Table17[[#This Row],[CONV VAR]])</f>
        <v>60</v>
      </c>
      <c r="Q132" t="str" cm="1">
        <f t="array" ref="Q132">IF(Table17[[#This Row],[//CONV]]="",Table17[[#This Row],[SATUAN DB]],INDEX(Table2[2],Table17[[#This Row],[//CONV]]))</f>
        <v>PCS</v>
      </c>
      <c r="R132" cm="1">
        <f t="array" ref="R132">IF(Table17[[#This Row],[dbconcat]]="","",INDEX([3]!Table2[ISI],Table17[[#This Row],[dbconcat]]))</f>
        <v>60</v>
      </c>
      <c r="S132" t="str" cm="1">
        <f t="array" ref="S132">IF(Table17[[#This Row],[dbconcat]]="","",INDEX([3]!Table2[[SATUAN ]],Table17[[#This Row],[dbconcat]]))</f>
        <v>PCS</v>
      </c>
      <c r="T132" t="str">
        <f>IF(Table17[[#This Row],[SATUAN S]]="","",IF(_xlfn.NUMBERVALUE(Table17[[#This Row],[ISI DB]])=_xlfn.NUMBERVALUE(Table17[[#This Row],[ISI S]]),"",1))</f>
        <v/>
      </c>
      <c r="U132" t="str">
        <f>IF(Table17[[#This Row],[SATUAN S]]="","",IF(Table17[[#This Row],[SATUAN DB]]=Table17[[#This Row],[SATUAN S]],"",1))</f>
        <v/>
      </c>
      <c r="V132" t="str">
        <f>IF(Table17[[#This Row],[CEK STN S]]="","",MATCH(CONCATENATE(Table17[[#This Row],[SATUAN CONV]],Table17[[#This Row],[SATUAN S]]),Table2[4],0))</f>
        <v/>
      </c>
      <c r="X132" t="str" cm="1">
        <f t="array" ref="X132">IF(Table17[[#This Row],[CONV2_//]]="","",INDEX(Table2[3],Table17[[#This Row],[CONV2_//]]))</f>
        <v/>
      </c>
      <c r="Y132" s="2" t="str">
        <f>IF(Table17[[#This Row],[CEK ISI S]]="",Table17[[#This Row],[ISI DB]],Table17[[#This Row],[ISI S]])</f>
        <v>60</v>
      </c>
      <c r="Z132" t="str">
        <f>IF(Table17[[#This Row],[CEK STN S]]="",Table17[[#This Row],[SATUAN DB]],Table17[[#This Row],[SATUAN S]])</f>
        <v>PCS</v>
      </c>
      <c r="AA132">
        <f>IF(Table17[[#This Row],[//CONV]]="",Table17[[#This Row],[ISI NOTA]]/Table17[[#This Row],[ISI_C]],Table17[[#This Row],[ISI DB CONV]]/Table17[[#This Row],[ISI_C]])</f>
        <v>0.5</v>
      </c>
      <c r="AB132">
        <f>INDEX(NOTA[HARGA SATUAN],Sheet1!A:A)</f>
        <v>23000</v>
      </c>
      <c r="AC132">
        <f>IF(Table17[[#This Row],[//CONV]]="",Table17[[#This Row],[HARGA NOTA]],Table17[[#This Row],[HARGA NOTA]]/Table17[[#This Row],[CONV VAR]])</f>
        <v>23000</v>
      </c>
      <c r="AD132">
        <f>IF(Table17[[#This Row],[CEK STN S]]="",Table17[[#This Row],[HARGA CONV]],Table17[[#This Row],[HARGA CONV]]/Table17[[#This Row],[CONV2 VAR]])</f>
        <v>23000</v>
      </c>
      <c r="AE132" s="3" t="str">
        <f>IF(INDEX(NOTA[Column6],Sheet1!A:A)=0,"",INDEX(NOTA[Column6],Sheet1!A:A))</f>
        <v/>
      </c>
      <c r="AF132" s="3" t="str">
        <f>IF(INDEX(NOTA[Column7],Sheet1!A:A)=0,"",INDEX(NOTA[Column7],Sheet1!A:A))</f>
        <v/>
      </c>
      <c r="AG13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2" s="4">
        <f>INDEX(NOTA[HARGA/ CTN_H],Sheet1!A:A)</f>
        <v>690000</v>
      </c>
      <c r="AI132" s="4">
        <f>IF(Table17[[#This Row],[DISC 3]]="",Table17[[#This Row],[HRG / CTN]],Table17[[#This Row],[HRG / CTN]]-(Table17[[#This Row],[HRG / CTN]]*Table17[[#This Row],[DISC 3]]))</f>
        <v>690000</v>
      </c>
      <c r="AJ132" s="5" t="e">
        <f>IF(#REF!&lt;1,Table17[[#This Row],[Column9]],Table17[[#This Row],[Column9]]*#REF!)</f>
        <v>#REF!</v>
      </c>
      <c r="AK132" s="4" t="str">
        <f ca="1">IF(NOT(AP133=Table17[[#This Row],[Column6]]),SUMIF(Table17[Column6],Table17[[#This Row],[Column6]],Table17[Column7]),"")</f>
        <v/>
      </c>
      <c r="AL132" s="6">
        <f ca="1">INDEX(NOTA[TGL_H],Sheet1!A:A)</f>
        <v>45488</v>
      </c>
      <c r="AM132" s="6">
        <f ca="1">INDEX(NOTA[TGL.NOTA_H],Sheet1!A:A)</f>
        <v>45485</v>
      </c>
      <c r="AO132" t="str">
        <f>IF(INDEX(NOTA[Column10],A:A)="","",INDEX(NOTA[Column10],A:A))</f>
        <v/>
      </c>
      <c r="AP132" t="str">
        <f ca="1">INDEX(NOTA[NO.NOTA_H],Sheet1!A:A)</f>
        <v>PK-240700068</v>
      </c>
      <c r="AQ132">
        <f>INDEX(NOTA[Column10],Sheet1!A:A)</f>
        <v>0</v>
      </c>
      <c r="AR132" s="8" t="str">
        <f ca="1">INDEX(NOTA[SUPPLIER_H],Sheet1!A:A)</f>
        <v>TOPLA</v>
      </c>
      <c r="AS132" t="str">
        <f>Table17[[#This Row],[NAMA_C]]</f>
        <v>ZIPPER FILE CLEAR HOLDER TOPLA 555 20 FILE KUNING</v>
      </c>
      <c r="AT132" t="str">
        <f ca="1">Table17[[#This Row],[SUPPLIER]]</f>
        <v>TOPLA</v>
      </c>
      <c r="AU132" t="str">
        <f>SUBSTITUTE(Table17[[#This Row],[CTN]],",",".")</f>
        <v>0.5</v>
      </c>
      <c r="AV132" s="13" t="str">
        <f>Table17[[#This Row],[ISI_C]]</f>
        <v>60</v>
      </c>
      <c r="AW132" t="str">
        <f>Table17[[#This Row],[SATUAN_C]]</f>
        <v>PCS</v>
      </c>
      <c r="AX132">
        <f>Table17[[#This Row],[HARGA CONV2]]</f>
        <v>23000</v>
      </c>
      <c r="AY132" s="9" t="str">
        <f>SUBSTITUTE(Table17[[#This Row],[DISC 3]],",",".")</f>
        <v/>
      </c>
      <c r="AZ132" s="6">
        <f ca="1">Table17[[#This Row],[TGL DATANG]]</f>
        <v>45488</v>
      </c>
      <c r="BA132" s="6">
        <f ca="1">Table17[[#This Row],[Column10]]</f>
        <v>45485</v>
      </c>
      <c r="BB132" s="7"/>
      <c r="BC132" t="str">
        <f>Table17[[#This Row],[KETERANGAN CONDRO]]</f>
        <v/>
      </c>
      <c r="BD132" t="str">
        <f ca="1">Table17[[#This Row],[Column6]]</f>
        <v>PK-240700068</v>
      </c>
    </row>
    <row r="133" spans="1:56">
      <c r="A133" s="55">
        <v>173</v>
      </c>
      <c r="C133">
        <f>INDEX(NOTA[//DB],Sheet1!A:A)</f>
        <v>3180</v>
      </c>
      <c r="D133">
        <f>_xlfn.IFNA(MATCH(Table17[[#This Row],[//db]],[3]!Table2[\\],0),"")</f>
        <v>1927</v>
      </c>
      <c r="E133" t="str">
        <f>INDEX([3]!db[NB NOTA],Table17[[#This Row],[//db]])</f>
        <v>ZIPPER FILE CLEAR HOLDER 555 20FILE BLUE</v>
      </c>
      <c r="F133" t="str">
        <f>INDEX([3]!db[NB BM],Table17[[#This Row],[//db]])</f>
        <v>Zipper file Clear Holder Topla 555 20 file Biru</v>
      </c>
      <c r="G133" t="str">
        <f>IF(Table17[[#This Row],[dbconcat]]="","",INDEX([3]!Table2[NAMA],Table17[[#This Row],[dbconcat]]))</f>
        <v>ZIPPER FILE CLEAR HOLDER TOPLA 555 20 FILE BIRU</v>
      </c>
      <c r="H133" t="str">
        <f>INDEX([3]!Table2[KODE BARANG],Table17[[#This Row],[dbconcat]])</f>
        <v>MAP-TP214</v>
      </c>
      <c r="I133" t="str">
        <f>IF(Table17[[#This Row],[NAMA_3]]="",UPPER(Table17[[#This Row],[NAMA_2]]),Table17[[#This Row],[NAMA_3]])</f>
        <v>ZIPPER FILE CLEAR HOLDER TOPLA 555 20 FILE BIRU</v>
      </c>
      <c r="J133">
        <f>INDEX(NOTA[QTY],Sheet1!A:A)</f>
        <v>30</v>
      </c>
      <c r="K133" t="str">
        <f>INDEX(NOTA[STN],Sheet1!A:A)</f>
        <v>PCS</v>
      </c>
      <c r="L133" t="str">
        <f>INDEX([3]!db[QTY B],Table17[[#This Row],[//db]])</f>
        <v>60</v>
      </c>
      <c r="M133" t="str">
        <f>INDEX([3]!db[STN B],Table17[[#This Row],[//db]])</f>
        <v>PCS</v>
      </c>
      <c r="N133" t="str">
        <f>IF(Table17[[#This Row],[SATUAN NOTA]]=Table17[[#This Row],[SATUAN DB]],"", MATCH(CONCATENATE(Table17[[#This Row],[SATUAN NOTA]],Table17[[#This Row],[SATUAN DB]]),Table2[4],0))</f>
        <v/>
      </c>
      <c r="O133" t="str" cm="1">
        <f t="array" ref="O133">IF(Table17[[#This Row],[//CONV]]="","",INDEX(Table2[3],Table17[[#This Row],[//CONV]]))</f>
        <v/>
      </c>
      <c r="P133" t="str">
        <f>IF(Table17[[#This Row],[//CONV]]="",Table17[[#This Row],[ISI DB]],Table17[[#This Row],[ISI NOTA]]*Table17[[#This Row],[CONV VAR]])</f>
        <v>60</v>
      </c>
      <c r="Q133" t="str" cm="1">
        <f t="array" ref="Q133">IF(Table17[[#This Row],[//CONV]]="",Table17[[#This Row],[SATUAN DB]],INDEX(Table2[2],Table17[[#This Row],[//CONV]]))</f>
        <v>PCS</v>
      </c>
      <c r="R133" cm="1">
        <f t="array" ref="R133">IF(Table17[[#This Row],[dbconcat]]="","",INDEX([3]!Table2[ISI],Table17[[#This Row],[dbconcat]]))</f>
        <v>60</v>
      </c>
      <c r="S133" t="str" cm="1">
        <f t="array" ref="S133">IF(Table17[[#This Row],[dbconcat]]="","",INDEX([3]!Table2[[SATUAN ]],Table17[[#This Row],[dbconcat]]))</f>
        <v>PCS</v>
      </c>
      <c r="T133" t="str">
        <f>IF(Table17[[#This Row],[SATUAN S]]="","",IF(_xlfn.NUMBERVALUE(Table17[[#This Row],[ISI DB]])=_xlfn.NUMBERVALUE(Table17[[#This Row],[ISI S]]),"",1))</f>
        <v/>
      </c>
      <c r="U133" t="str">
        <f>IF(Table17[[#This Row],[SATUAN S]]="","",IF(Table17[[#This Row],[SATUAN DB]]=Table17[[#This Row],[SATUAN S]],"",1))</f>
        <v/>
      </c>
      <c r="V133" t="str">
        <f>IF(Table17[[#This Row],[CEK STN S]]="","",MATCH(CONCATENATE(Table17[[#This Row],[SATUAN CONV]],Table17[[#This Row],[SATUAN S]]),Table2[4],0))</f>
        <v/>
      </c>
      <c r="X133" t="str" cm="1">
        <f t="array" ref="X133">IF(Table17[[#This Row],[CONV2_//]]="","",INDEX(Table2[3],Table17[[#This Row],[CONV2_//]]))</f>
        <v/>
      </c>
      <c r="Y133" s="2" t="str">
        <f>IF(Table17[[#This Row],[CEK ISI S]]="",Table17[[#This Row],[ISI DB]],Table17[[#This Row],[ISI S]])</f>
        <v>60</v>
      </c>
      <c r="Z133" t="str">
        <f>IF(Table17[[#This Row],[CEK STN S]]="",Table17[[#This Row],[SATUAN DB]],Table17[[#This Row],[SATUAN S]])</f>
        <v>PCS</v>
      </c>
      <c r="AA133">
        <f>IF(Table17[[#This Row],[//CONV]]="",Table17[[#This Row],[ISI NOTA]]/Table17[[#This Row],[ISI_C]],Table17[[#This Row],[ISI DB CONV]]/Table17[[#This Row],[ISI_C]])</f>
        <v>0.5</v>
      </c>
      <c r="AB133">
        <f>INDEX(NOTA[HARGA SATUAN],Sheet1!A:A)</f>
        <v>23000</v>
      </c>
      <c r="AC133">
        <f>IF(Table17[[#This Row],[//CONV]]="",Table17[[#This Row],[HARGA NOTA]],Table17[[#This Row],[HARGA NOTA]]/Table17[[#This Row],[CONV VAR]])</f>
        <v>23000</v>
      </c>
      <c r="AD133">
        <f>IF(Table17[[#This Row],[CEK STN S]]="",Table17[[#This Row],[HARGA CONV]],Table17[[#This Row],[HARGA CONV]]/Table17[[#This Row],[CONV2 VAR]])</f>
        <v>23000</v>
      </c>
      <c r="AE133" s="3" t="str">
        <f>IF(INDEX(NOTA[Column6],Sheet1!A:A)=0,"",INDEX(NOTA[Column6],Sheet1!A:A))</f>
        <v/>
      </c>
      <c r="AF133" s="3" t="str">
        <f>IF(INDEX(NOTA[Column7],Sheet1!A:A)=0,"",INDEX(NOTA[Column7],Sheet1!A:A))</f>
        <v/>
      </c>
      <c r="AG13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3" s="4">
        <f>INDEX(NOTA[HARGA/ CTN_H],Sheet1!A:A)</f>
        <v>690000</v>
      </c>
      <c r="AI133" s="4">
        <f>IF(Table17[[#This Row],[DISC 3]]="",Table17[[#This Row],[HRG / CTN]],Table17[[#This Row],[HRG / CTN]]-(Table17[[#This Row],[HRG / CTN]]*Table17[[#This Row],[DISC 3]]))</f>
        <v>690000</v>
      </c>
      <c r="AJ133" s="5" t="e">
        <f>IF(#REF!&lt;1,Table17[[#This Row],[Column9]],Table17[[#This Row],[Column9]]*#REF!)</f>
        <v>#REF!</v>
      </c>
      <c r="AK133" s="4" t="str">
        <f ca="1">IF(NOT(AP134=Table17[[#This Row],[Column6]]),SUMIF(Table17[Column6],Table17[[#This Row],[Column6]],Table17[Column7]),"")</f>
        <v/>
      </c>
      <c r="AL133" s="6">
        <f ca="1">INDEX(NOTA[TGL_H],Sheet1!A:A)</f>
        <v>45488</v>
      </c>
      <c r="AM133" s="6">
        <f ca="1">INDEX(NOTA[TGL.NOTA_H],Sheet1!A:A)</f>
        <v>45485</v>
      </c>
      <c r="AO133" t="str">
        <f>IF(INDEX(NOTA[Column10],A:A)="","",INDEX(NOTA[Column10],A:A))</f>
        <v/>
      </c>
      <c r="AP133" t="str">
        <f ca="1">INDEX(NOTA[NO.NOTA_H],Sheet1!A:A)</f>
        <v>PK-240700068</v>
      </c>
      <c r="AQ133">
        <f>INDEX(NOTA[Column10],Sheet1!A:A)</f>
        <v>0</v>
      </c>
      <c r="AR133" s="8" t="str">
        <f ca="1">INDEX(NOTA[SUPPLIER_H],Sheet1!A:A)</f>
        <v>TOPLA</v>
      </c>
      <c r="AS133" t="str">
        <f>Table17[[#This Row],[NAMA_C]]</f>
        <v>ZIPPER FILE CLEAR HOLDER TOPLA 555 20 FILE BIRU</v>
      </c>
      <c r="AT133" t="str">
        <f ca="1">Table17[[#This Row],[SUPPLIER]]</f>
        <v>TOPLA</v>
      </c>
      <c r="AU133" t="str">
        <f>SUBSTITUTE(Table17[[#This Row],[CTN]],",",".")</f>
        <v>0.5</v>
      </c>
      <c r="AV133" s="13" t="str">
        <f>Table17[[#This Row],[ISI_C]]</f>
        <v>60</v>
      </c>
      <c r="AW133" t="str">
        <f>Table17[[#This Row],[SATUAN_C]]</f>
        <v>PCS</v>
      </c>
      <c r="AX133">
        <f>Table17[[#This Row],[HARGA CONV2]]</f>
        <v>23000</v>
      </c>
      <c r="AY133" s="9" t="str">
        <f>SUBSTITUTE(Table17[[#This Row],[DISC 3]],",",".")</f>
        <v/>
      </c>
      <c r="AZ133" s="6">
        <f ca="1">Table17[[#This Row],[TGL DATANG]]</f>
        <v>45488</v>
      </c>
      <c r="BA133" s="6">
        <f ca="1">Table17[[#This Row],[Column10]]</f>
        <v>45485</v>
      </c>
      <c r="BB133" s="7"/>
      <c r="BC133" t="str">
        <f>Table17[[#This Row],[KETERANGAN CONDRO]]</f>
        <v/>
      </c>
      <c r="BD133" t="str">
        <f ca="1">Table17[[#This Row],[Column6]]</f>
        <v>PK-240700068</v>
      </c>
    </row>
    <row r="134" spans="1:56">
      <c r="A134" s="55">
        <v>174</v>
      </c>
      <c r="C134">
        <f>INDEX(NOTA[//DB],Sheet1!A:A)</f>
        <v>3185</v>
      </c>
      <c r="D134">
        <f>_xlfn.IFNA(MATCH(Table17[[#This Row],[//db]],[3]!Table2[\\],0),"")</f>
        <v>1948</v>
      </c>
      <c r="E134" t="str">
        <f>INDEX([3]!db[NB NOTA],Table17[[#This Row],[//db]])</f>
        <v>ZIPPER FILE CLEAR HOLDER 555 40FILE GREEN</v>
      </c>
      <c r="F134" t="str">
        <f>INDEX([3]!db[NB BM],Table17[[#This Row],[//db]])</f>
        <v>Zipper file Clear Holder Topla 555 40 file Hijau</v>
      </c>
      <c r="G134" t="str">
        <f>IF(Table17[[#This Row],[dbconcat]]="","",INDEX([3]!Table2[NAMA],Table17[[#This Row],[dbconcat]]))</f>
        <v>ZIPPER FILE CLEAR HOLDER TOPLA 555 40 FILE HIJAU</v>
      </c>
      <c r="H134" t="str">
        <f>INDEX([3]!Table2[KODE BARANG],Table17[[#This Row],[dbconcat]])</f>
        <v>MAP-TP235</v>
      </c>
      <c r="I134" t="str">
        <f>IF(Table17[[#This Row],[NAMA_3]]="",UPPER(Table17[[#This Row],[NAMA_2]]),Table17[[#This Row],[NAMA_3]])</f>
        <v>ZIPPER FILE CLEAR HOLDER TOPLA 555 40 FILE HIJAU</v>
      </c>
      <c r="J134">
        <f>INDEX(NOTA[QTY],Sheet1!A:A)</f>
        <v>30</v>
      </c>
      <c r="K134" t="str">
        <f>INDEX(NOTA[STN],Sheet1!A:A)</f>
        <v>PCS</v>
      </c>
      <c r="L134" t="str">
        <f>INDEX([3]!db[QTY B],Table17[[#This Row],[//db]])</f>
        <v>60</v>
      </c>
      <c r="M134" t="str">
        <f>INDEX([3]!db[STN B],Table17[[#This Row],[//db]])</f>
        <v>PCS</v>
      </c>
      <c r="N134" t="str">
        <f>IF(Table17[[#This Row],[SATUAN NOTA]]=Table17[[#This Row],[SATUAN DB]],"", MATCH(CONCATENATE(Table17[[#This Row],[SATUAN NOTA]],Table17[[#This Row],[SATUAN DB]]),Table2[4],0))</f>
        <v/>
      </c>
      <c r="O134" t="str" cm="1">
        <f t="array" ref="O134">IF(Table17[[#This Row],[//CONV]]="","",INDEX(Table2[3],Table17[[#This Row],[//CONV]]))</f>
        <v/>
      </c>
      <c r="P134" t="str">
        <f>IF(Table17[[#This Row],[//CONV]]="",Table17[[#This Row],[ISI DB]],Table17[[#This Row],[ISI NOTA]]*Table17[[#This Row],[CONV VAR]])</f>
        <v>60</v>
      </c>
      <c r="Q134" t="str" cm="1">
        <f t="array" ref="Q134">IF(Table17[[#This Row],[//CONV]]="",Table17[[#This Row],[SATUAN DB]],INDEX(Table2[2],Table17[[#This Row],[//CONV]]))</f>
        <v>PCS</v>
      </c>
      <c r="R134" cm="1">
        <f t="array" ref="R134">IF(Table17[[#This Row],[dbconcat]]="","",INDEX([3]!Table2[ISI],Table17[[#This Row],[dbconcat]]))</f>
        <v>60</v>
      </c>
      <c r="S134" t="str" cm="1">
        <f t="array" ref="S134">IF(Table17[[#This Row],[dbconcat]]="","",INDEX([3]!Table2[[SATUAN ]],Table17[[#This Row],[dbconcat]]))</f>
        <v>PCS</v>
      </c>
      <c r="T134" t="str">
        <f>IF(Table17[[#This Row],[SATUAN S]]="","",IF(_xlfn.NUMBERVALUE(Table17[[#This Row],[ISI DB]])=_xlfn.NUMBERVALUE(Table17[[#This Row],[ISI S]]),"",1))</f>
        <v/>
      </c>
      <c r="U134" t="str">
        <f>IF(Table17[[#This Row],[SATUAN S]]="","",IF(Table17[[#This Row],[SATUAN DB]]=Table17[[#This Row],[SATUAN S]],"",1))</f>
        <v/>
      </c>
      <c r="V134" t="str">
        <f>IF(Table17[[#This Row],[CEK STN S]]="","",MATCH(CONCATENATE(Table17[[#This Row],[SATUAN CONV]],Table17[[#This Row],[SATUAN S]]),Table2[4],0))</f>
        <v/>
      </c>
      <c r="X134" t="str" cm="1">
        <f t="array" ref="X134">IF(Table17[[#This Row],[CONV2_//]]="","",INDEX(Table2[3],Table17[[#This Row],[CONV2_//]]))</f>
        <v/>
      </c>
      <c r="Y134" s="2" t="str">
        <f>IF(Table17[[#This Row],[CEK ISI S]]="",Table17[[#This Row],[ISI DB]],Table17[[#This Row],[ISI S]])</f>
        <v>60</v>
      </c>
      <c r="Z134" t="str">
        <f>IF(Table17[[#This Row],[CEK STN S]]="",Table17[[#This Row],[SATUAN DB]],Table17[[#This Row],[SATUAN S]])</f>
        <v>PCS</v>
      </c>
      <c r="AA134">
        <f>IF(Table17[[#This Row],[//CONV]]="",Table17[[#This Row],[ISI NOTA]]/Table17[[#This Row],[ISI_C]],Table17[[#This Row],[ISI DB CONV]]/Table17[[#This Row],[ISI_C]])</f>
        <v>0.5</v>
      </c>
      <c r="AB134">
        <f>INDEX(NOTA[HARGA SATUAN],Sheet1!A:A)</f>
        <v>29500</v>
      </c>
      <c r="AC134">
        <f>IF(Table17[[#This Row],[//CONV]]="",Table17[[#This Row],[HARGA NOTA]],Table17[[#This Row],[HARGA NOTA]]/Table17[[#This Row],[CONV VAR]])</f>
        <v>29500</v>
      </c>
      <c r="AD134">
        <f>IF(Table17[[#This Row],[CEK STN S]]="",Table17[[#This Row],[HARGA CONV]],Table17[[#This Row],[HARGA CONV]]/Table17[[#This Row],[CONV2 VAR]])</f>
        <v>29500</v>
      </c>
      <c r="AE134" s="3" t="str">
        <f>IF(INDEX(NOTA[Column6],Sheet1!A:A)=0,"",INDEX(NOTA[Column6],Sheet1!A:A))</f>
        <v/>
      </c>
      <c r="AF134" s="3" t="str">
        <f>IF(INDEX(NOTA[Column7],Sheet1!A:A)=0,"",INDEX(NOTA[Column7],Sheet1!A:A))</f>
        <v/>
      </c>
      <c r="AG13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4" s="4">
        <f>INDEX(NOTA[HARGA/ CTN_H],Sheet1!A:A)</f>
        <v>885000</v>
      </c>
      <c r="AI134" s="4">
        <f>IF(Table17[[#This Row],[DISC 3]]="",Table17[[#This Row],[HRG / CTN]],Table17[[#This Row],[HRG / CTN]]-(Table17[[#This Row],[HRG / CTN]]*Table17[[#This Row],[DISC 3]]))</f>
        <v>885000</v>
      </c>
      <c r="AJ134" s="5" t="e">
        <f>IF(#REF!&lt;1,Table17[[#This Row],[Column9]],Table17[[#This Row],[Column9]]*#REF!)</f>
        <v>#REF!</v>
      </c>
      <c r="AK134" s="4" t="str">
        <f ca="1">IF(NOT(AP135=Table17[[#This Row],[Column6]]),SUMIF(Table17[Column6],Table17[[#This Row],[Column6]],Table17[Column7]),"")</f>
        <v/>
      </c>
      <c r="AL134" s="6">
        <f ca="1">INDEX(NOTA[TGL_H],Sheet1!A:A)</f>
        <v>45488</v>
      </c>
      <c r="AM134" s="6">
        <f ca="1">INDEX(NOTA[TGL.NOTA_H],Sheet1!A:A)</f>
        <v>45485</v>
      </c>
      <c r="AO134" t="str">
        <f>IF(INDEX(NOTA[Column10],A:A)="","",INDEX(NOTA[Column10],A:A))</f>
        <v/>
      </c>
      <c r="AP134" t="str">
        <f ca="1">INDEX(NOTA[NO.NOTA_H],Sheet1!A:A)</f>
        <v>PK-240700068</v>
      </c>
      <c r="AQ134">
        <f>INDEX(NOTA[Column10],Sheet1!A:A)</f>
        <v>0</v>
      </c>
      <c r="AR134" s="8" t="str">
        <f ca="1">INDEX(NOTA[SUPPLIER_H],Sheet1!A:A)</f>
        <v>TOPLA</v>
      </c>
      <c r="AS134" t="str">
        <f>Table17[[#This Row],[NAMA_C]]</f>
        <v>ZIPPER FILE CLEAR HOLDER TOPLA 555 40 FILE HIJAU</v>
      </c>
      <c r="AT134" t="str">
        <f ca="1">Table17[[#This Row],[SUPPLIER]]</f>
        <v>TOPLA</v>
      </c>
      <c r="AU134" t="str">
        <f>SUBSTITUTE(Table17[[#This Row],[CTN]],",",".")</f>
        <v>0.5</v>
      </c>
      <c r="AV134" s="13" t="str">
        <f>Table17[[#This Row],[ISI_C]]</f>
        <v>60</v>
      </c>
      <c r="AW134" t="str">
        <f>Table17[[#This Row],[SATUAN_C]]</f>
        <v>PCS</v>
      </c>
      <c r="AX134">
        <f>Table17[[#This Row],[HARGA CONV2]]</f>
        <v>29500</v>
      </c>
      <c r="AY134" s="9" t="str">
        <f>SUBSTITUTE(Table17[[#This Row],[DISC 3]],",",".")</f>
        <v/>
      </c>
      <c r="AZ134" s="6">
        <f ca="1">Table17[[#This Row],[TGL DATANG]]</f>
        <v>45488</v>
      </c>
      <c r="BA134" s="6">
        <f ca="1">Table17[[#This Row],[Column10]]</f>
        <v>45485</v>
      </c>
      <c r="BB134" s="7"/>
      <c r="BC134" t="str">
        <f>Table17[[#This Row],[KETERANGAN CONDRO]]</f>
        <v/>
      </c>
      <c r="BD134" t="str">
        <f ca="1">Table17[[#This Row],[Column6]]</f>
        <v>PK-240700068</v>
      </c>
    </row>
    <row r="135" spans="1:56">
      <c r="A135" s="55">
        <v>175</v>
      </c>
      <c r="C135">
        <f>INDEX(NOTA[//DB],Sheet1!A:A)</f>
        <v>3186</v>
      </c>
      <c r="D135">
        <f>_xlfn.IFNA(MATCH(Table17[[#This Row],[//db]],[3]!Table2[\\],0),"")</f>
        <v>1946</v>
      </c>
      <c r="E135" t="str">
        <f>INDEX([3]!db[NB NOTA],Table17[[#This Row],[//db]])</f>
        <v>ZIPPER FILE CLEAR HOLDER 555 40FILE RED</v>
      </c>
      <c r="F135" t="str">
        <f>INDEX([3]!db[NB BM],Table17[[#This Row],[//db]])</f>
        <v>Zipper file Clear Holder Topla 555 40 file Merah</v>
      </c>
      <c r="G135" t="str">
        <f>IF(Table17[[#This Row],[dbconcat]]="","",INDEX([3]!Table2[NAMA],Table17[[#This Row],[dbconcat]]))</f>
        <v>ZIPPER FILE CLEAR HOLDER TOPLA 555 40 FILE MERAH</v>
      </c>
      <c r="H135" t="str">
        <f>INDEX([3]!Table2[KODE BARANG],Table17[[#This Row],[dbconcat]])</f>
        <v>MAP-TP233</v>
      </c>
      <c r="I135" t="str">
        <f>IF(Table17[[#This Row],[NAMA_3]]="",UPPER(Table17[[#This Row],[NAMA_2]]),Table17[[#This Row],[NAMA_3]])</f>
        <v>ZIPPER FILE CLEAR HOLDER TOPLA 555 40 FILE MERAH</v>
      </c>
      <c r="J135">
        <f>INDEX(NOTA[QTY],Sheet1!A:A)</f>
        <v>30</v>
      </c>
      <c r="K135" t="str">
        <f>INDEX(NOTA[STN],Sheet1!A:A)</f>
        <v>PCS</v>
      </c>
      <c r="L135" t="str">
        <f>INDEX([3]!db[QTY B],Table17[[#This Row],[//db]])</f>
        <v>60</v>
      </c>
      <c r="M135" t="str">
        <f>INDEX([3]!db[STN B],Table17[[#This Row],[//db]])</f>
        <v>PCS</v>
      </c>
      <c r="N135" t="str">
        <f>IF(Table17[[#This Row],[SATUAN NOTA]]=Table17[[#This Row],[SATUAN DB]],"", MATCH(CONCATENATE(Table17[[#This Row],[SATUAN NOTA]],Table17[[#This Row],[SATUAN DB]]),Table2[4],0))</f>
        <v/>
      </c>
      <c r="O135" t="str" cm="1">
        <f t="array" ref="O135">IF(Table17[[#This Row],[//CONV]]="","",INDEX(Table2[3],Table17[[#This Row],[//CONV]]))</f>
        <v/>
      </c>
      <c r="P135" t="str">
        <f>IF(Table17[[#This Row],[//CONV]]="",Table17[[#This Row],[ISI DB]],Table17[[#This Row],[ISI NOTA]]*Table17[[#This Row],[CONV VAR]])</f>
        <v>60</v>
      </c>
      <c r="Q135" t="str" cm="1">
        <f t="array" ref="Q135">IF(Table17[[#This Row],[//CONV]]="",Table17[[#This Row],[SATUAN DB]],INDEX(Table2[2],Table17[[#This Row],[//CONV]]))</f>
        <v>PCS</v>
      </c>
      <c r="R135" cm="1">
        <f t="array" ref="R135">IF(Table17[[#This Row],[dbconcat]]="","",INDEX([3]!Table2[ISI],Table17[[#This Row],[dbconcat]]))</f>
        <v>60</v>
      </c>
      <c r="S135" t="str" cm="1">
        <f t="array" ref="S135">IF(Table17[[#This Row],[dbconcat]]="","",INDEX([3]!Table2[[SATUAN ]],Table17[[#This Row],[dbconcat]]))</f>
        <v>PCS</v>
      </c>
      <c r="T135" t="str">
        <f>IF(Table17[[#This Row],[SATUAN S]]="","",IF(_xlfn.NUMBERVALUE(Table17[[#This Row],[ISI DB]])=_xlfn.NUMBERVALUE(Table17[[#This Row],[ISI S]]),"",1))</f>
        <v/>
      </c>
      <c r="U135" t="str">
        <f>IF(Table17[[#This Row],[SATUAN S]]="","",IF(Table17[[#This Row],[SATUAN DB]]=Table17[[#This Row],[SATUAN S]],"",1))</f>
        <v/>
      </c>
      <c r="V135" t="str">
        <f>IF(Table17[[#This Row],[CEK STN S]]="","",MATCH(CONCATENATE(Table17[[#This Row],[SATUAN CONV]],Table17[[#This Row],[SATUAN S]]),Table2[4],0))</f>
        <v/>
      </c>
      <c r="X135" t="str" cm="1">
        <f t="array" ref="X135">IF(Table17[[#This Row],[CONV2_//]]="","",INDEX(Table2[3],Table17[[#This Row],[CONV2_//]]))</f>
        <v/>
      </c>
      <c r="Y135" s="2" t="str">
        <f>IF(Table17[[#This Row],[CEK ISI S]]="",Table17[[#This Row],[ISI DB]],Table17[[#This Row],[ISI S]])</f>
        <v>60</v>
      </c>
      <c r="Z135" t="str">
        <f>IF(Table17[[#This Row],[CEK STN S]]="",Table17[[#This Row],[SATUAN DB]],Table17[[#This Row],[SATUAN S]])</f>
        <v>PCS</v>
      </c>
      <c r="AA135">
        <f>IF(Table17[[#This Row],[//CONV]]="",Table17[[#This Row],[ISI NOTA]]/Table17[[#This Row],[ISI_C]],Table17[[#This Row],[ISI DB CONV]]/Table17[[#This Row],[ISI_C]])</f>
        <v>0.5</v>
      </c>
      <c r="AB135">
        <f>INDEX(NOTA[HARGA SATUAN],Sheet1!A:A)</f>
        <v>29500</v>
      </c>
      <c r="AC135">
        <f>IF(Table17[[#This Row],[//CONV]]="",Table17[[#This Row],[HARGA NOTA]],Table17[[#This Row],[HARGA NOTA]]/Table17[[#This Row],[CONV VAR]])</f>
        <v>29500</v>
      </c>
      <c r="AD135">
        <f>IF(Table17[[#This Row],[CEK STN S]]="",Table17[[#This Row],[HARGA CONV]],Table17[[#This Row],[HARGA CONV]]/Table17[[#This Row],[CONV2 VAR]])</f>
        <v>29500</v>
      </c>
      <c r="AE135" s="3" t="str">
        <f>IF(INDEX(NOTA[Column6],Sheet1!A:A)=0,"",INDEX(NOTA[Column6],Sheet1!A:A))</f>
        <v/>
      </c>
      <c r="AF135" s="3" t="str">
        <f>IF(INDEX(NOTA[Column7],Sheet1!A:A)=0,"",INDEX(NOTA[Column7],Sheet1!A:A))</f>
        <v/>
      </c>
      <c r="AG13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5" s="4">
        <f>INDEX(NOTA[HARGA/ CTN_H],Sheet1!A:A)</f>
        <v>885000</v>
      </c>
      <c r="AI135" s="4">
        <f>IF(Table17[[#This Row],[DISC 3]]="",Table17[[#This Row],[HRG / CTN]],Table17[[#This Row],[HRG / CTN]]-(Table17[[#This Row],[HRG / CTN]]*Table17[[#This Row],[DISC 3]]))</f>
        <v>885000</v>
      </c>
      <c r="AJ135" s="5" t="e">
        <f>IF(#REF!&lt;1,Table17[[#This Row],[Column9]],Table17[[#This Row],[Column9]]*#REF!)</f>
        <v>#REF!</v>
      </c>
      <c r="AK135" s="4" t="str">
        <f ca="1">IF(NOT(AP136=Table17[[#This Row],[Column6]]),SUMIF(Table17[Column6],Table17[[#This Row],[Column6]],Table17[Column7]),"")</f>
        <v/>
      </c>
      <c r="AL135" s="6">
        <f ca="1">INDEX(NOTA[TGL_H],Sheet1!A:A)</f>
        <v>45488</v>
      </c>
      <c r="AM135" s="6">
        <f ca="1">INDEX(NOTA[TGL.NOTA_H],Sheet1!A:A)</f>
        <v>45485</v>
      </c>
      <c r="AO135" t="str">
        <f>IF(INDEX(NOTA[Column10],A:A)="","",INDEX(NOTA[Column10],A:A))</f>
        <v/>
      </c>
      <c r="AP135" t="str">
        <f ca="1">INDEX(NOTA[NO.NOTA_H],Sheet1!A:A)</f>
        <v>PK-240700068</v>
      </c>
      <c r="AQ135">
        <f>INDEX(NOTA[Column10],Sheet1!A:A)</f>
        <v>0</v>
      </c>
      <c r="AR135" s="8" t="str">
        <f ca="1">INDEX(NOTA[SUPPLIER_H],Sheet1!A:A)</f>
        <v>TOPLA</v>
      </c>
      <c r="AS135" t="str">
        <f>Table17[[#This Row],[NAMA_C]]</f>
        <v>ZIPPER FILE CLEAR HOLDER TOPLA 555 40 FILE MERAH</v>
      </c>
      <c r="AT135" t="str">
        <f ca="1">Table17[[#This Row],[SUPPLIER]]</f>
        <v>TOPLA</v>
      </c>
      <c r="AU135" t="str">
        <f>SUBSTITUTE(Table17[[#This Row],[CTN]],",",".")</f>
        <v>0.5</v>
      </c>
      <c r="AV135" s="13" t="str">
        <f>Table17[[#This Row],[ISI_C]]</f>
        <v>60</v>
      </c>
      <c r="AW135" t="str">
        <f>Table17[[#This Row],[SATUAN_C]]</f>
        <v>PCS</v>
      </c>
      <c r="AX135">
        <f>Table17[[#This Row],[HARGA CONV2]]</f>
        <v>29500</v>
      </c>
      <c r="AY135" s="9" t="str">
        <f>SUBSTITUTE(Table17[[#This Row],[DISC 3]],",",".")</f>
        <v/>
      </c>
      <c r="AZ135" s="6">
        <f ca="1">Table17[[#This Row],[TGL DATANG]]</f>
        <v>45488</v>
      </c>
      <c r="BA135" s="6">
        <f ca="1">Table17[[#This Row],[Column10]]</f>
        <v>45485</v>
      </c>
      <c r="BB135" s="7"/>
      <c r="BC135" t="str">
        <f>Table17[[#This Row],[KETERANGAN CONDRO]]</f>
        <v/>
      </c>
      <c r="BD135" t="str">
        <f ca="1">Table17[[#This Row],[Column6]]</f>
        <v>PK-240700068</v>
      </c>
    </row>
    <row r="136" spans="1:56">
      <c r="A136" s="55">
        <v>176</v>
      </c>
      <c r="C136">
        <f>INDEX(NOTA[//DB],Sheet1!A:A)</f>
        <v>3187</v>
      </c>
      <c r="D136">
        <f>_xlfn.IFNA(MATCH(Table17[[#This Row],[//db]],[3]!Table2[\\],0),"")</f>
        <v>1947</v>
      </c>
      <c r="E136" t="str">
        <f>INDEX([3]!db[NB NOTA],Table17[[#This Row],[//db]])</f>
        <v>ZIPPER FILE CLEAR HOLDER 555 40FILE YELLOW</v>
      </c>
      <c r="F136" t="str">
        <f>INDEX([3]!db[NB BM],Table17[[#This Row],[//db]])</f>
        <v>Zipper file Clear Holder Topla 555 40 file Kuning</v>
      </c>
      <c r="G136" t="str">
        <f>IF(Table17[[#This Row],[dbconcat]]="","",INDEX([3]!Table2[NAMA],Table17[[#This Row],[dbconcat]]))</f>
        <v>ZIPPER FILE CLEAR HOLDER TOPLA 555 40 FILE KUNING</v>
      </c>
      <c r="H136" t="str">
        <f>INDEX([3]!Table2[KODE BARANG],Table17[[#This Row],[dbconcat]])</f>
        <v>MAP-TP234</v>
      </c>
      <c r="I136" t="str">
        <f>IF(Table17[[#This Row],[NAMA_3]]="",UPPER(Table17[[#This Row],[NAMA_2]]),Table17[[#This Row],[NAMA_3]])</f>
        <v>ZIPPER FILE CLEAR HOLDER TOPLA 555 40 FILE KUNING</v>
      </c>
      <c r="J136">
        <f>INDEX(NOTA[QTY],Sheet1!A:A)</f>
        <v>30</v>
      </c>
      <c r="K136" t="str">
        <f>INDEX(NOTA[STN],Sheet1!A:A)</f>
        <v>PCS</v>
      </c>
      <c r="L136" t="str">
        <f>INDEX([3]!db[QTY B],Table17[[#This Row],[//db]])</f>
        <v>60</v>
      </c>
      <c r="M136" t="str">
        <f>INDEX([3]!db[STN B],Table17[[#This Row],[//db]])</f>
        <v>PCS</v>
      </c>
      <c r="N136" t="str">
        <f>IF(Table17[[#This Row],[SATUAN NOTA]]=Table17[[#This Row],[SATUAN DB]],"", MATCH(CONCATENATE(Table17[[#This Row],[SATUAN NOTA]],Table17[[#This Row],[SATUAN DB]]),Table2[4],0))</f>
        <v/>
      </c>
      <c r="O136" t="str" cm="1">
        <f t="array" ref="O136">IF(Table17[[#This Row],[//CONV]]="","",INDEX(Table2[3],Table17[[#This Row],[//CONV]]))</f>
        <v/>
      </c>
      <c r="P136" t="str">
        <f>IF(Table17[[#This Row],[//CONV]]="",Table17[[#This Row],[ISI DB]],Table17[[#This Row],[ISI NOTA]]*Table17[[#This Row],[CONV VAR]])</f>
        <v>60</v>
      </c>
      <c r="Q136" t="str" cm="1">
        <f t="array" ref="Q136">IF(Table17[[#This Row],[//CONV]]="",Table17[[#This Row],[SATUAN DB]],INDEX(Table2[2],Table17[[#This Row],[//CONV]]))</f>
        <v>PCS</v>
      </c>
      <c r="R136" cm="1">
        <f t="array" ref="R136">IF(Table17[[#This Row],[dbconcat]]="","",INDEX([3]!Table2[ISI],Table17[[#This Row],[dbconcat]]))</f>
        <v>60</v>
      </c>
      <c r="S136" t="str" cm="1">
        <f t="array" ref="S136">IF(Table17[[#This Row],[dbconcat]]="","",INDEX([3]!Table2[[SATUAN ]],Table17[[#This Row],[dbconcat]]))</f>
        <v>PCS</v>
      </c>
      <c r="T136" t="str">
        <f>IF(Table17[[#This Row],[SATUAN S]]="","",IF(_xlfn.NUMBERVALUE(Table17[[#This Row],[ISI DB]])=_xlfn.NUMBERVALUE(Table17[[#This Row],[ISI S]]),"",1))</f>
        <v/>
      </c>
      <c r="U136" t="str">
        <f>IF(Table17[[#This Row],[SATUAN S]]="","",IF(Table17[[#This Row],[SATUAN DB]]=Table17[[#This Row],[SATUAN S]],"",1))</f>
        <v/>
      </c>
      <c r="V136" t="str">
        <f>IF(Table17[[#This Row],[CEK STN S]]="","",MATCH(CONCATENATE(Table17[[#This Row],[SATUAN CONV]],Table17[[#This Row],[SATUAN S]]),Table2[4],0))</f>
        <v/>
      </c>
      <c r="X136" t="str" cm="1">
        <f t="array" ref="X136">IF(Table17[[#This Row],[CONV2_//]]="","",INDEX(Table2[3],Table17[[#This Row],[CONV2_//]]))</f>
        <v/>
      </c>
      <c r="Y136" s="2" t="str">
        <f>IF(Table17[[#This Row],[CEK ISI S]]="",Table17[[#This Row],[ISI DB]],Table17[[#This Row],[ISI S]])</f>
        <v>60</v>
      </c>
      <c r="Z136" t="str">
        <f>IF(Table17[[#This Row],[CEK STN S]]="",Table17[[#This Row],[SATUAN DB]],Table17[[#This Row],[SATUAN S]])</f>
        <v>PCS</v>
      </c>
      <c r="AA136">
        <f>IF(Table17[[#This Row],[//CONV]]="",Table17[[#This Row],[ISI NOTA]]/Table17[[#This Row],[ISI_C]],Table17[[#This Row],[ISI DB CONV]]/Table17[[#This Row],[ISI_C]])</f>
        <v>0.5</v>
      </c>
      <c r="AB136">
        <f>INDEX(NOTA[HARGA SATUAN],Sheet1!A:A)</f>
        <v>29500</v>
      </c>
      <c r="AC136">
        <f>IF(Table17[[#This Row],[//CONV]]="",Table17[[#This Row],[HARGA NOTA]],Table17[[#This Row],[HARGA NOTA]]/Table17[[#This Row],[CONV VAR]])</f>
        <v>29500</v>
      </c>
      <c r="AD136">
        <f>IF(Table17[[#This Row],[CEK STN S]]="",Table17[[#This Row],[HARGA CONV]],Table17[[#This Row],[HARGA CONV]]/Table17[[#This Row],[CONV2 VAR]])</f>
        <v>29500</v>
      </c>
      <c r="AE136" s="3" t="str">
        <f>IF(INDEX(NOTA[Column6],Sheet1!A:A)=0,"",INDEX(NOTA[Column6],Sheet1!A:A))</f>
        <v/>
      </c>
      <c r="AF136" s="3" t="str">
        <f>IF(INDEX(NOTA[Column7],Sheet1!A:A)=0,"",INDEX(NOTA[Column7],Sheet1!A:A))</f>
        <v/>
      </c>
      <c r="AG13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6" s="4">
        <f>INDEX(NOTA[HARGA/ CTN_H],Sheet1!A:A)</f>
        <v>885000</v>
      </c>
      <c r="AI136" s="4">
        <f>IF(Table17[[#This Row],[DISC 3]]="",Table17[[#This Row],[HRG / CTN]],Table17[[#This Row],[HRG / CTN]]-(Table17[[#This Row],[HRG / CTN]]*Table17[[#This Row],[DISC 3]]))</f>
        <v>885000</v>
      </c>
      <c r="AJ136" s="5" t="e">
        <f>IF(#REF!&lt;1,Table17[[#This Row],[Column9]],Table17[[#This Row],[Column9]]*#REF!)</f>
        <v>#REF!</v>
      </c>
      <c r="AK136" s="4" t="str">
        <f ca="1">IF(NOT(AP137=Table17[[#This Row],[Column6]]),SUMIF(Table17[Column6],Table17[[#This Row],[Column6]],Table17[Column7]),"")</f>
        <v/>
      </c>
      <c r="AL136" s="6">
        <f ca="1">INDEX(NOTA[TGL_H],Sheet1!A:A)</f>
        <v>45488</v>
      </c>
      <c r="AM136" s="6">
        <f ca="1">INDEX(NOTA[TGL.NOTA_H],Sheet1!A:A)</f>
        <v>45485</v>
      </c>
      <c r="AO136" t="str">
        <f>IF(INDEX(NOTA[Column10],A:A)="","",INDEX(NOTA[Column10],A:A))</f>
        <v/>
      </c>
      <c r="AP136" t="str">
        <f ca="1">INDEX(NOTA[NO.NOTA_H],Sheet1!A:A)</f>
        <v>PK-240700068</v>
      </c>
      <c r="AQ136">
        <f>INDEX(NOTA[Column10],Sheet1!A:A)</f>
        <v>0</v>
      </c>
      <c r="AR136" s="8" t="str">
        <f ca="1">INDEX(NOTA[SUPPLIER_H],Sheet1!A:A)</f>
        <v>TOPLA</v>
      </c>
      <c r="AS136" t="str">
        <f>Table17[[#This Row],[NAMA_C]]</f>
        <v>ZIPPER FILE CLEAR HOLDER TOPLA 555 40 FILE KUNING</v>
      </c>
      <c r="AT136" t="str">
        <f ca="1">Table17[[#This Row],[SUPPLIER]]</f>
        <v>TOPLA</v>
      </c>
      <c r="AU136" t="str">
        <f>SUBSTITUTE(Table17[[#This Row],[CTN]],",",".")</f>
        <v>0.5</v>
      </c>
      <c r="AV136" s="13" t="str">
        <f>Table17[[#This Row],[ISI_C]]</f>
        <v>60</v>
      </c>
      <c r="AW136" t="str">
        <f>Table17[[#This Row],[SATUAN_C]]</f>
        <v>PCS</v>
      </c>
      <c r="AX136">
        <f>Table17[[#This Row],[HARGA CONV2]]</f>
        <v>29500</v>
      </c>
      <c r="AY136" s="9" t="str">
        <f>SUBSTITUTE(Table17[[#This Row],[DISC 3]],",",".")</f>
        <v/>
      </c>
      <c r="AZ136" s="6">
        <f ca="1">Table17[[#This Row],[TGL DATANG]]</f>
        <v>45488</v>
      </c>
      <c r="BA136" s="6">
        <f ca="1">Table17[[#This Row],[Column10]]</f>
        <v>45485</v>
      </c>
      <c r="BB136" s="7"/>
      <c r="BC136" t="str">
        <f>Table17[[#This Row],[KETERANGAN CONDRO]]</f>
        <v/>
      </c>
      <c r="BD136" t="str">
        <f ca="1">Table17[[#This Row],[Column6]]</f>
        <v>PK-240700068</v>
      </c>
    </row>
    <row r="137" spans="1:56">
      <c r="A137" s="55">
        <v>177</v>
      </c>
      <c r="C137">
        <f>INDEX(NOTA[//DB],Sheet1!A:A)</f>
        <v>3184</v>
      </c>
      <c r="D137">
        <f>_xlfn.IFNA(MATCH(Table17[[#This Row],[//db]],[3]!Table2[\\],0),"")</f>
        <v>1949</v>
      </c>
      <c r="E137" t="str">
        <f>INDEX([3]!db[NB NOTA],Table17[[#This Row],[//db]])</f>
        <v>ZIPPER FILE CLEAR HOLDER 555 40FILE BLUE</v>
      </c>
      <c r="F137" t="str">
        <f>INDEX([3]!db[NB BM],Table17[[#This Row],[//db]])</f>
        <v>Zipper file Clear Holder Topla 555 40 file Biru</v>
      </c>
      <c r="G137" t="str">
        <f>IF(Table17[[#This Row],[dbconcat]]="","",INDEX([3]!Table2[NAMA],Table17[[#This Row],[dbconcat]]))</f>
        <v>ZIPPER FILE CLEAR HOLDER TOPLA 555 40 FILE BIRU</v>
      </c>
      <c r="H137" t="str">
        <f>INDEX([3]!Table2[KODE BARANG],Table17[[#This Row],[dbconcat]])</f>
        <v>MAP-TP236</v>
      </c>
      <c r="I137" t="str">
        <f>IF(Table17[[#This Row],[NAMA_3]]="",UPPER(Table17[[#This Row],[NAMA_2]]),Table17[[#This Row],[NAMA_3]])</f>
        <v>ZIPPER FILE CLEAR HOLDER TOPLA 555 40 FILE BIRU</v>
      </c>
      <c r="J137">
        <f>INDEX(NOTA[QTY],Sheet1!A:A)</f>
        <v>30</v>
      </c>
      <c r="K137" t="str">
        <f>INDEX(NOTA[STN],Sheet1!A:A)</f>
        <v>PCS</v>
      </c>
      <c r="L137" t="str">
        <f>INDEX([3]!db[QTY B],Table17[[#This Row],[//db]])</f>
        <v>60</v>
      </c>
      <c r="M137" t="str">
        <f>INDEX([3]!db[STN B],Table17[[#This Row],[//db]])</f>
        <v>PCS</v>
      </c>
      <c r="N137" t="str">
        <f>IF(Table17[[#This Row],[SATUAN NOTA]]=Table17[[#This Row],[SATUAN DB]],"", MATCH(CONCATENATE(Table17[[#This Row],[SATUAN NOTA]],Table17[[#This Row],[SATUAN DB]]),Table2[4],0))</f>
        <v/>
      </c>
      <c r="O137" t="str" cm="1">
        <f t="array" ref="O137">IF(Table17[[#This Row],[//CONV]]="","",INDEX(Table2[3],Table17[[#This Row],[//CONV]]))</f>
        <v/>
      </c>
      <c r="P137" t="str">
        <f>IF(Table17[[#This Row],[//CONV]]="",Table17[[#This Row],[ISI DB]],Table17[[#This Row],[ISI NOTA]]*Table17[[#This Row],[CONV VAR]])</f>
        <v>60</v>
      </c>
      <c r="Q137" t="str" cm="1">
        <f t="array" ref="Q137">IF(Table17[[#This Row],[//CONV]]="",Table17[[#This Row],[SATUAN DB]],INDEX(Table2[2],Table17[[#This Row],[//CONV]]))</f>
        <v>PCS</v>
      </c>
      <c r="R137" cm="1">
        <f t="array" ref="R137">IF(Table17[[#This Row],[dbconcat]]="","",INDEX([3]!Table2[ISI],Table17[[#This Row],[dbconcat]]))</f>
        <v>60</v>
      </c>
      <c r="S137" t="str" cm="1">
        <f t="array" ref="S137">IF(Table17[[#This Row],[dbconcat]]="","",INDEX([3]!Table2[[SATUAN ]],Table17[[#This Row],[dbconcat]]))</f>
        <v>PCS</v>
      </c>
      <c r="T137" t="str">
        <f>IF(Table17[[#This Row],[SATUAN S]]="","",IF(_xlfn.NUMBERVALUE(Table17[[#This Row],[ISI DB]])=_xlfn.NUMBERVALUE(Table17[[#This Row],[ISI S]]),"",1))</f>
        <v/>
      </c>
      <c r="U137" t="str">
        <f>IF(Table17[[#This Row],[SATUAN S]]="","",IF(Table17[[#This Row],[SATUAN DB]]=Table17[[#This Row],[SATUAN S]],"",1))</f>
        <v/>
      </c>
      <c r="V137" t="str">
        <f>IF(Table17[[#This Row],[CEK STN S]]="","",MATCH(CONCATENATE(Table17[[#This Row],[SATUAN CONV]],Table17[[#This Row],[SATUAN S]]),Table2[4],0))</f>
        <v/>
      </c>
      <c r="X137" t="str" cm="1">
        <f t="array" ref="X137">IF(Table17[[#This Row],[CONV2_//]]="","",INDEX(Table2[3],Table17[[#This Row],[CONV2_//]]))</f>
        <v/>
      </c>
      <c r="Y137" s="2" t="str">
        <f>IF(Table17[[#This Row],[CEK ISI S]]="",Table17[[#This Row],[ISI DB]],Table17[[#This Row],[ISI S]])</f>
        <v>60</v>
      </c>
      <c r="Z137" t="str">
        <f>IF(Table17[[#This Row],[CEK STN S]]="",Table17[[#This Row],[SATUAN DB]],Table17[[#This Row],[SATUAN S]])</f>
        <v>PCS</v>
      </c>
      <c r="AA137">
        <f>IF(Table17[[#This Row],[//CONV]]="",Table17[[#This Row],[ISI NOTA]]/Table17[[#This Row],[ISI_C]],Table17[[#This Row],[ISI DB CONV]]/Table17[[#This Row],[ISI_C]])</f>
        <v>0.5</v>
      </c>
      <c r="AB137">
        <f>INDEX(NOTA[HARGA SATUAN],Sheet1!A:A)</f>
        <v>29500</v>
      </c>
      <c r="AC137">
        <f>IF(Table17[[#This Row],[//CONV]]="",Table17[[#This Row],[HARGA NOTA]],Table17[[#This Row],[HARGA NOTA]]/Table17[[#This Row],[CONV VAR]])</f>
        <v>29500</v>
      </c>
      <c r="AD137">
        <f>IF(Table17[[#This Row],[CEK STN S]]="",Table17[[#This Row],[HARGA CONV]],Table17[[#This Row],[HARGA CONV]]/Table17[[#This Row],[CONV2 VAR]])</f>
        <v>29500</v>
      </c>
      <c r="AE137" s="3" t="str">
        <f>IF(INDEX(NOTA[Column6],Sheet1!A:A)=0,"",INDEX(NOTA[Column6],Sheet1!A:A))</f>
        <v/>
      </c>
      <c r="AF137" s="3" t="str">
        <f>IF(INDEX(NOTA[Column7],Sheet1!A:A)=0,"",INDEX(NOTA[Column7],Sheet1!A:A))</f>
        <v/>
      </c>
      <c r="AG13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7" s="4">
        <f>INDEX(NOTA[HARGA/ CTN_H],Sheet1!A:A)</f>
        <v>885000</v>
      </c>
      <c r="AI137" s="4">
        <f>IF(Table17[[#This Row],[DISC 3]]="",Table17[[#This Row],[HRG / CTN]],Table17[[#This Row],[HRG / CTN]]-(Table17[[#This Row],[HRG / CTN]]*Table17[[#This Row],[DISC 3]]))</f>
        <v>885000</v>
      </c>
      <c r="AJ137" s="5" t="e">
        <f>IF(#REF!&lt;1,Table17[[#This Row],[Column9]],Table17[[#This Row],[Column9]]*#REF!)</f>
        <v>#REF!</v>
      </c>
      <c r="AK137" s="4" t="str">
        <f ca="1">IF(NOT(AP138=Table17[[#This Row],[Column6]]),SUMIF(Table17[Column6],Table17[[#This Row],[Column6]],Table17[Column7]),"")</f>
        <v/>
      </c>
      <c r="AL137" s="6">
        <f ca="1">INDEX(NOTA[TGL_H],Sheet1!A:A)</f>
        <v>45488</v>
      </c>
      <c r="AM137" s="6">
        <f ca="1">INDEX(NOTA[TGL.NOTA_H],Sheet1!A:A)</f>
        <v>45485</v>
      </c>
      <c r="AO137" t="str">
        <f>IF(INDEX(NOTA[Column10],A:A)="","",INDEX(NOTA[Column10],A:A))</f>
        <v/>
      </c>
      <c r="AP137" t="str">
        <f ca="1">INDEX(NOTA[NO.NOTA_H],Sheet1!A:A)</f>
        <v>PK-240700068</v>
      </c>
      <c r="AQ137">
        <f>INDEX(NOTA[Column10],Sheet1!A:A)</f>
        <v>0</v>
      </c>
      <c r="AR137" s="8" t="str">
        <f ca="1">INDEX(NOTA[SUPPLIER_H],Sheet1!A:A)</f>
        <v>TOPLA</v>
      </c>
      <c r="AS137" t="str">
        <f>Table17[[#This Row],[NAMA_C]]</f>
        <v>ZIPPER FILE CLEAR HOLDER TOPLA 555 40 FILE BIRU</v>
      </c>
      <c r="AT137" t="str">
        <f ca="1">Table17[[#This Row],[SUPPLIER]]</f>
        <v>TOPLA</v>
      </c>
      <c r="AU137" t="str">
        <f>SUBSTITUTE(Table17[[#This Row],[CTN]],",",".")</f>
        <v>0.5</v>
      </c>
      <c r="AV137" s="13" t="str">
        <f>Table17[[#This Row],[ISI_C]]</f>
        <v>60</v>
      </c>
      <c r="AW137" t="str">
        <f>Table17[[#This Row],[SATUAN_C]]</f>
        <v>PCS</v>
      </c>
      <c r="AX137">
        <f>Table17[[#This Row],[HARGA CONV2]]</f>
        <v>29500</v>
      </c>
      <c r="AY137" s="9" t="str">
        <f>SUBSTITUTE(Table17[[#This Row],[DISC 3]],",",".")</f>
        <v/>
      </c>
      <c r="AZ137" s="6">
        <f ca="1">Table17[[#This Row],[TGL DATANG]]</f>
        <v>45488</v>
      </c>
      <c r="BA137" s="6">
        <f ca="1">Table17[[#This Row],[Column10]]</f>
        <v>45485</v>
      </c>
      <c r="BB137" s="7"/>
      <c r="BC137" t="str">
        <f>Table17[[#This Row],[KETERANGAN CONDRO]]</f>
        <v/>
      </c>
      <c r="BD137" t="str">
        <f ca="1">Table17[[#This Row],[Column6]]</f>
        <v>PK-240700068</v>
      </c>
    </row>
    <row r="138" spans="1:56">
      <c r="A138" s="55">
        <v>178</v>
      </c>
      <c r="C138">
        <f>INDEX(NOTA[//DB],Sheet1!A:A)</f>
        <v>3189</v>
      </c>
      <c r="D138">
        <f>_xlfn.IFNA(MATCH(Table17[[#This Row],[//db]],[3]!Table2[\\],0),"")</f>
        <v>1952</v>
      </c>
      <c r="E138" t="str">
        <f>INDEX([3]!db[NB NOTA],Table17[[#This Row],[//db]])</f>
        <v>ZIPPER FILE CLEAR HOLDER 555 60FILE GREEN</v>
      </c>
      <c r="F138" t="str">
        <f>INDEX([3]!db[NB BM],Table17[[#This Row],[//db]])</f>
        <v>Zipper file Clear Holder Topla 555 60 file Hijau</v>
      </c>
      <c r="G138" t="str">
        <f>IF(Table17[[#This Row],[dbconcat]]="","",INDEX([3]!Table2[NAMA],Table17[[#This Row],[dbconcat]]))</f>
        <v>ZIPPER FILE CLEAR HOLDER TOPLA 555 60 FILE HIJAU</v>
      </c>
      <c r="H138" t="str">
        <f>INDEX([3]!Table2[KODE BARANG],Table17[[#This Row],[dbconcat]])</f>
        <v>MAP-TP239</v>
      </c>
      <c r="I138" t="str">
        <f>IF(Table17[[#This Row],[NAMA_3]]="",UPPER(Table17[[#This Row],[NAMA_2]]),Table17[[#This Row],[NAMA_3]])</f>
        <v>ZIPPER FILE CLEAR HOLDER TOPLA 555 60 FILE HIJAU</v>
      </c>
      <c r="J138">
        <f>INDEX(NOTA[QTY],Sheet1!A:A)</f>
        <v>30</v>
      </c>
      <c r="K138" t="str">
        <f>INDEX(NOTA[STN],Sheet1!A:A)</f>
        <v>PCS</v>
      </c>
      <c r="L138" t="str">
        <f>INDEX([3]!db[QTY B],Table17[[#This Row],[//db]])</f>
        <v>60</v>
      </c>
      <c r="M138" t="str">
        <f>INDEX([3]!db[STN B],Table17[[#This Row],[//db]])</f>
        <v>PCS</v>
      </c>
      <c r="N138" t="str">
        <f>IF(Table17[[#This Row],[SATUAN NOTA]]=Table17[[#This Row],[SATUAN DB]],"", MATCH(CONCATENATE(Table17[[#This Row],[SATUAN NOTA]],Table17[[#This Row],[SATUAN DB]]),Table2[4],0))</f>
        <v/>
      </c>
      <c r="O138" t="str" cm="1">
        <f t="array" ref="O138">IF(Table17[[#This Row],[//CONV]]="","",INDEX(Table2[3],Table17[[#This Row],[//CONV]]))</f>
        <v/>
      </c>
      <c r="P138" t="str">
        <f>IF(Table17[[#This Row],[//CONV]]="",Table17[[#This Row],[ISI DB]],Table17[[#This Row],[ISI NOTA]]*Table17[[#This Row],[CONV VAR]])</f>
        <v>60</v>
      </c>
      <c r="Q138" t="str" cm="1">
        <f t="array" ref="Q138">IF(Table17[[#This Row],[//CONV]]="",Table17[[#This Row],[SATUAN DB]],INDEX(Table2[2],Table17[[#This Row],[//CONV]]))</f>
        <v>PCS</v>
      </c>
      <c r="R138" cm="1">
        <f t="array" ref="R138">IF(Table17[[#This Row],[dbconcat]]="","",INDEX([3]!Table2[ISI],Table17[[#This Row],[dbconcat]]))</f>
        <v>60</v>
      </c>
      <c r="S138" t="str" cm="1">
        <f t="array" ref="S138">IF(Table17[[#This Row],[dbconcat]]="","",INDEX([3]!Table2[[SATUAN ]],Table17[[#This Row],[dbconcat]]))</f>
        <v>PCS</v>
      </c>
      <c r="T138" t="str">
        <f>IF(Table17[[#This Row],[SATUAN S]]="","",IF(_xlfn.NUMBERVALUE(Table17[[#This Row],[ISI DB]])=_xlfn.NUMBERVALUE(Table17[[#This Row],[ISI S]]),"",1))</f>
        <v/>
      </c>
      <c r="U138" t="str">
        <f>IF(Table17[[#This Row],[SATUAN S]]="","",IF(Table17[[#This Row],[SATUAN DB]]=Table17[[#This Row],[SATUAN S]],"",1))</f>
        <v/>
      </c>
      <c r="V138" t="str">
        <f>IF(Table17[[#This Row],[CEK STN S]]="","",MATCH(CONCATENATE(Table17[[#This Row],[SATUAN CONV]],Table17[[#This Row],[SATUAN S]]),Table2[4],0))</f>
        <v/>
      </c>
      <c r="X138" t="str" cm="1">
        <f t="array" ref="X138">IF(Table17[[#This Row],[CONV2_//]]="","",INDEX(Table2[3],Table17[[#This Row],[CONV2_//]]))</f>
        <v/>
      </c>
      <c r="Y138" s="2" t="str">
        <f>IF(Table17[[#This Row],[CEK ISI S]]="",Table17[[#This Row],[ISI DB]],Table17[[#This Row],[ISI S]])</f>
        <v>60</v>
      </c>
      <c r="Z138" t="str">
        <f>IF(Table17[[#This Row],[CEK STN S]]="",Table17[[#This Row],[SATUAN DB]],Table17[[#This Row],[SATUAN S]])</f>
        <v>PCS</v>
      </c>
      <c r="AA138">
        <f>IF(Table17[[#This Row],[//CONV]]="",Table17[[#This Row],[ISI NOTA]]/Table17[[#This Row],[ISI_C]],Table17[[#This Row],[ISI DB CONV]]/Table17[[#This Row],[ISI_C]])</f>
        <v>0.5</v>
      </c>
      <c r="AB138">
        <f>INDEX(NOTA[HARGA SATUAN],Sheet1!A:A)</f>
        <v>35500</v>
      </c>
      <c r="AC138">
        <f>IF(Table17[[#This Row],[//CONV]]="",Table17[[#This Row],[HARGA NOTA]],Table17[[#This Row],[HARGA NOTA]]/Table17[[#This Row],[CONV VAR]])</f>
        <v>35500</v>
      </c>
      <c r="AD138">
        <f>IF(Table17[[#This Row],[CEK STN S]]="",Table17[[#This Row],[HARGA CONV]],Table17[[#This Row],[HARGA CONV]]/Table17[[#This Row],[CONV2 VAR]])</f>
        <v>35500</v>
      </c>
      <c r="AE138" s="3" t="str">
        <f>IF(INDEX(NOTA[Column6],Sheet1!A:A)=0,"",INDEX(NOTA[Column6],Sheet1!A:A))</f>
        <v/>
      </c>
      <c r="AF138" s="3" t="str">
        <f>IF(INDEX(NOTA[Column7],Sheet1!A:A)=0,"",INDEX(NOTA[Column7],Sheet1!A:A))</f>
        <v/>
      </c>
      <c r="AG13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8" s="4">
        <f>INDEX(NOTA[HARGA/ CTN_H],Sheet1!A:A)</f>
        <v>1065000</v>
      </c>
      <c r="AI138" s="4">
        <f>IF(Table17[[#This Row],[DISC 3]]="",Table17[[#This Row],[HRG / CTN]],Table17[[#This Row],[HRG / CTN]]-(Table17[[#This Row],[HRG / CTN]]*Table17[[#This Row],[DISC 3]]))</f>
        <v>1065000</v>
      </c>
      <c r="AJ138" s="5" t="e">
        <f>IF(#REF!&lt;1,Table17[[#This Row],[Column9]],Table17[[#This Row],[Column9]]*#REF!)</f>
        <v>#REF!</v>
      </c>
      <c r="AK138" s="4" t="str">
        <f ca="1">IF(NOT(AP139=Table17[[#This Row],[Column6]]),SUMIF(Table17[Column6],Table17[[#This Row],[Column6]],Table17[Column7]),"")</f>
        <v/>
      </c>
      <c r="AL138" s="6">
        <f ca="1">INDEX(NOTA[TGL_H],Sheet1!A:A)</f>
        <v>45488</v>
      </c>
      <c r="AM138" s="6">
        <f ca="1">INDEX(NOTA[TGL.NOTA_H],Sheet1!A:A)</f>
        <v>45485</v>
      </c>
      <c r="AO138" t="str">
        <f>IF(INDEX(NOTA[Column10],A:A)="","",INDEX(NOTA[Column10],A:A))</f>
        <v/>
      </c>
      <c r="AP138" t="str">
        <f ca="1">INDEX(NOTA[NO.NOTA_H],Sheet1!A:A)</f>
        <v>PK-240700068</v>
      </c>
      <c r="AQ138">
        <f>INDEX(NOTA[Column10],Sheet1!A:A)</f>
        <v>0</v>
      </c>
      <c r="AR138" s="8" t="str">
        <f ca="1">INDEX(NOTA[SUPPLIER_H],Sheet1!A:A)</f>
        <v>TOPLA</v>
      </c>
      <c r="AS138" t="str">
        <f>Table17[[#This Row],[NAMA_C]]</f>
        <v>ZIPPER FILE CLEAR HOLDER TOPLA 555 60 FILE HIJAU</v>
      </c>
      <c r="AT138" t="str">
        <f ca="1">Table17[[#This Row],[SUPPLIER]]</f>
        <v>TOPLA</v>
      </c>
      <c r="AU138" t="str">
        <f>SUBSTITUTE(Table17[[#This Row],[CTN]],",",".")</f>
        <v>0.5</v>
      </c>
      <c r="AV138" s="13" t="str">
        <f>Table17[[#This Row],[ISI_C]]</f>
        <v>60</v>
      </c>
      <c r="AW138" t="str">
        <f>Table17[[#This Row],[SATUAN_C]]</f>
        <v>PCS</v>
      </c>
      <c r="AX138">
        <f>Table17[[#This Row],[HARGA CONV2]]</f>
        <v>35500</v>
      </c>
      <c r="AY138" s="9" t="str">
        <f>SUBSTITUTE(Table17[[#This Row],[DISC 3]],",",".")</f>
        <v/>
      </c>
      <c r="AZ138" s="6">
        <f ca="1">Table17[[#This Row],[TGL DATANG]]</f>
        <v>45488</v>
      </c>
      <c r="BA138" s="6">
        <f ca="1">Table17[[#This Row],[Column10]]</f>
        <v>45485</v>
      </c>
      <c r="BB138" s="7"/>
      <c r="BC138" t="str">
        <f>Table17[[#This Row],[KETERANGAN CONDRO]]</f>
        <v/>
      </c>
      <c r="BD138" t="str">
        <f ca="1">Table17[[#This Row],[Column6]]</f>
        <v>PK-240700068</v>
      </c>
    </row>
    <row r="139" spans="1:56">
      <c r="A139" s="55">
        <v>179</v>
      </c>
      <c r="C139">
        <f>INDEX(NOTA[//DB],Sheet1!A:A)</f>
        <v>3190</v>
      </c>
      <c r="D139">
        <f>_xlfn.IFNA(MATCH(Table17[[#This Row],[//db]],[3]!Table2[\\],0),"")</f>
        <v>1950</v>
      </c>
      <c r="E139" t="str">
        <f>INDEX([3]!db[NB NOTA],Table17[[#This Row],[//db]])</f>
        <v>ZIPPER FILE CLEAR HOLDER 555 60FILE RED</v>
      </c>
      <c r="F139" t="str">
        <f>INDEX([3]!db[NB BM],Table17[[#This Row],[//db]])</f>
        <v>Zipper file Clear Holder Topla 555 60 file Merah</v>
      </c>
      <c r="G139" t="str">
        <f>IF(Table17[[#This Row],[dbconcat]]="","",INDEX([3]!Table2[NAMA],Table17[[#This Row],[dbconcat]]))</f>
        <v>ZIPPER FILE CLEAR HOLDER TOPLA 555 60 FILE MERAH</v>
      </c>
      <c r="H139" t="str">
        <f>INDEX([3]!Table2[KODE BARANG],Table17[[#This Row],[dbconcat]])</f>
        <v>MAP-TP237</v>
      </c>
      <c r="I139" t="str">
        <f>IF(Table17[[#This Row],[NAMA_3]]="",UPPER(Table17[[#This Row],[NAMA_2]]),Table17[[#This Row],[NAMA_3]])</f>
        <v>ZIPPER FILE CLEAR HOLDER TOPLA 555 60 FILE MERAH</v>
      </c>
      <c r="J139">
        <f>INDEX(NOTA[QTY],Sheet1!A:A)</f>
        <v>30</v>
      </c>
      <c r="K139" t="str">
        <f>INDEX(NOTA[STN],Sheet1!A:A)</f>
        <v>PCS</v>
      </c>
      <c r="L139" t="str">
        <f>INDEX([3]!db[QTY B],Table17[[#This Row],[//db]])</f>
        <v>60</v>
      </c>
      <c r="M139" t="str">
        <f>INDEX([3]!db[STN B],Table17[[#This Row],[//db]])</f>
        <v>PCS</v>
      </c>
      <c r="N139" t="str">
        <f>IF(Table17[[#This Row],[SATUAN NOTA]]=Table17[[#This Row],[SATUAN DB]],"", MATCH(CONCATENATE(Table17[[#This Row],[SATUAN NOTA]],Table17[[#This Row],[SATUAN DB]]),Table2[4],0))</f>
        <v/>
      </c>
      <c r="O139" t="str" cm="1">
        <f t="array" ref="O139">IF(Table17[[#This Row],[//CONV]]="","",INDEX(Table2[3],Table17[[#This Row],[//CONV]]))</f>
        <v/>
      </c>
      <c r="P139" t="str">
        <f>IF(Table17[[#This Row],[//CONV]]="",Table17[[#This Row],[ISI DB]],Table17[[#This Row],[ISI NOTA]]*Table17[[#This Row],[CONV VAR]])</f>
        <v>60</v>
      </c>
      <c r="Q139" t="str" cm="1">
        <f t="array" ref="Q139">IF(Table17[[#This Row],[//CONV]]="",Table17[[#This Row],[SATUAN DB]],INDEX(Table2[2],Table17[[#This Row],[//CONV]]))</f>
        <v>PCS</v>
      </c>
      <c r="R139" cm="1">
        <f t="array" ref="R139">IF(Table17[[#This Row],[dbconcat]]="","",INDEX([3]!Table2[ISI],Table17[[#This Row],[dbconcat]]))</f>
        <v>60</v>
      </c>
      <c r="S139" t="str" cm="1">
        <f t="array" ref="S139">IF(Table17[[#This Row],[dbconcat]]="","",INDEX([3]!Table2[[SATUAN ]],Table17[[#This Row],[dbconcat]]))</f>
        <v>PCS</v>
      </c>
      <c r="T139" t="str">
        <f>IF(Table17[[#This Row],[SATUAN S]]="","",IF(_xlfn.NUMBERVALUE(Table17[[#This Row],[ISI DB]])=_xlfn.NUMBERVALUE(Table17[[#This Row],[ISI S]]),"",1))</f>
        <v/>
      </c>
      <c r="U139" t="str">
        <f>IF(Table17[[#This Row],[SATUAN S]]="","",IF(Table17[[#This Row],[SATUAN DB]]=Table17[[#This Row],[SATUAN S]],"",1))</f>
        <v/>
      </c>
      <c r="V139" t="str">
        <f>IF(Table17[[#This Row],[CEK STN S]]="","",MATCH(CONCATENATE(Table17[[#This Row],[SATUAN CONV]],Table17[[#This Row],[SATUAN S]]),Table2[4],0))</f>
        <v/>
      </c>
      <c r="X139" t="str" cm="1">
        <f t="array" ref="X139">IF(Table17[[#This Row],[CONV2_//]]="","",INDEX(Table2[3],Table17[[#This Row],[CONV2_//]]))</f>
        <v/>
      </c>
      <c r="Y139" s="2" t="str">
        <f>IF(Table17[[#This Row],[CEK ISI S]]="",Table17[[#This Row],[ISI DB]],Table17[[#This Row],[ISI S]])</f>
        <v>60</v>
      </c>
      <c r="Z139" t="str">
        <f>IF(Table17[[#This Row],[CEK STN S]]="",Table17[[#This Row],[SATUAN DB]],Table17[[#This Row],[SATUAN S]])</f>
        <v>PCS</v>
      </c>
      <c r="AA139">
        <f>IF(Table17[[#This Row],[//CONV]]="",Table17[[#This Row],[ISI NOTA]]/Table17[[#This Row],[ISI_C]],Table17[[#This Row],[ISI DB CONV]]/Table17[[#This Row],[ISI_C]])</f>
        <v>0.5</v>
      </c>
      <c r="AB139">
        <f>INDEX(NOTA[HARGA SATUAN],Sheet1!A:A)</f>
        <v>35500</v>
      </c>
      <c r="AC139">
        <f>IF(Table17[[#This Row],[//CONV]]="",Table17[[#This Row],[HARGA NOTA]],Table17[[#This Row],[HARGA NOTA]]/Table17[[#This Row],[CONV VAR]])</f>
        <v>35500</v>
      </c>
      <c r="AD139">
        <f>IF(Table17[[#This Row],[CEK STN S]]="",Table17[[#This Row],[HARGA CONV]],Table17[[#This Row],[HARGA CONV]]/Table17[[#This Row],[CONV2 VAR]])</f>
        <v>35500</v>
      </c>
      <c r="AE139" s="3" t="str">
        <f>IF(INDEX(NOTA[Column6],Sheet1!A:A)=0,"",INDEX(NOTA[Column6],Sheet1!A:A))</f>
        <v/>
      </c>
      <c r="AF139" s="3" t="str">
        <f>IF(INDEX(NOTA[Column7],Sheet1!A:A)=0,"",INDEX(NOTA[Column7],Sheet1!A:A))</f>
        <v/>
      </c>
      <c r="AG13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39" s="4">
        <f>INDEX(NOTA[HARGA/ CTN_H],Sheet1!A:A)</f>
        <v>1065000</v>
      </c>
      <c r="AI139" s="4">
        <f>IF(Table17[[#This Row],[DISC 3]]="",Table17[[#This Row],[HRG / CTN]],Table17[[#This Row],[HRG / CTN]]-(Table17[[#This Row],[HRG / CTN]]*Table17[[#This Row],[DISC 3]]))</f>
        <v>1065000</v>
      </c>
      <c r="AJ139" s="5" t="e">
        <f>IF(#REF!&lt;1,Table17[[#This Row],[Column9]],Table17[[#This Row],[Column9]]*#REF!)</f>
        <v>#REF!</v>
      </c>
      <c r="AK139" s="4" t="str">
        <f ca="1">IF(NOT(AP140=Table17[[#This Row],[Column6]]),SUMIF(Table17[Column6],Table17[[#This Row],[Column6]],Table17[Column7]),"")</f>
        <v/>
      </c>
      <c r="AL139" s="6">
        <f ca="1">INDEX(NOTA[TGL_H],Sheet1!A:A)</f>
        <v>45488</v>
      </c>
      <c r="AM139" s="6">
        <f ca="1">INDEX(NOTA[TGL.NOTA_H],Sheet1!A:A)</f>
        <v>45485</v>
      </c>
      <c r="AO139" t="str">
        <f>IF(INDEX(NOTA[Column10],A:A)="","",INDEX(NOTA[Column10],A:A))</f>
        <v/>
      </c>
      <c r="AP139" t="str">
        <f ca="1">INDEX(NOTA[NO.NOTA_H],Sheet1!A:A)</f>
        <v>PK-240700068</v>
      </c>
      <c r="AQ139">
        <f>INDEX(NOTA[Column10],Sheet1!A:A)</f>
        <v>0</v>
      </c>
      <c r="AR139" s="8" t="str">
        <f ca="1">INDEX(NOTA[SUPPLIER_H],Sheet1!A:A)</f>
        <v>TOPLA</v>
      </c>
      <c r="AS139" t="str">
        <f>Table17[[#This Row],[NAMA_C]]</f>
        <v>ZIPPER FILE CLEAR HOLDER TOPLA 555 60 FILE MERAH</v>
      </c>
      <c r="AT139" t="str">
        <f ca="1">Table17[[#This Row],[SUPPLIER]]</f>
        <v>TOPLA</v>
      </c>
      <c r="AU139" t="str">
        <f>SUBSTITUTE(Table17[[#This Row],[CTN]],",",".")</f>
        <v>0.5</v>
      </c>
      <c r="AV139" s="13" t="str">
        <f>Table17[[#This Row],[ISI_C]]</f>
        <v>60</v>
      </c>
      <c r="AW139" t="str">
        <f>Table17[[#This Row],[SATUAN_C]]</f>
        <v>PCS</v>
      </c>
      <c r="AX139">
        <f>Table17[[#This Row],[HARGA CONV2]]</f>
        <v>35500</v>
      </c>
      <c r="AY139" s="9" t="str">
        <f>SUBSTITUTE(Table17[[#This Row],[DISC 3]],",",".")</f>
        <v/>
      </c>
      <c r="AZ139" s="6">
        <f ca="1">Table17[[#This Row],[TGL DATANG]]</f>
        <v>45488</v>
      </c>
      <c r="BA139" s="6">
        <f ca="1">Table17[[#This Row],[Column10]]</f>
        <v>45485</v>
      </c>
      <c r="BB139" s="7"/>
      <c r="BC139" t="str">
        <f>Table17[[#This Row],[KETERANGAN CONDRO]]</f>
        <v/>
      </c>
      <c r="BD139" t="str">
        <f ca="1">Table17[[#This Row],[Column6]]</f>
        <v>PK-240700068</v>
      </c>
    </row>
    <row r="140" spans="1:56">
      <c r="A140" s="55">
        <v>180</v>
      </c>
      <c r="C140">
        <f>INDEX(NOTA[//DB],Sheet1!A:A)</f>
        <v>3191</v>
      </c>
      <c r="D140">
        <f>_xlfn.IFNA(MATCH(Table17[[#This Row],[//db]],[3]!Table2[\\],0),"")</f>
        <v>1951</v>
      </c>
      <c r="E140" t="str">
        <f>INDEX([3]!db[NB NOTA],Table17[[#This Row],[//db]])</f>
        <v>ZIPPER FILE CLEAR HOLDER 555 60FILE YELLOW</v>
      </c>
      <c r="F140" t="str">
        <f>INDEX([3]!db[NB BM],Table17[[#This Row],[//db]])</f>
        <v>Zipper file Clear Holder Topla 555 60 file Kuning</v>
      </c>
      <c r="G140" t="str">
        <f>IF(Table17[[#This Row],[dbconcat]]="","",INDEX([3]!Table2[NAMA],Table17[[#This Row],[dbconcat]]))</f>
        <v>ZIPPER FILE CLEAR HOLDER TOPLA 555 60 FILE KUNING</v>
      </c>
      <c r="H140" t="str">
        <f>INDEX([3]!Table2[KODE BARANG],Table17[[#This Row],[dbconcat]])</f>
        <v>MAP-TP238</v>
      </c>
      <c r="I140" t="str">
        <f>IF(Table17[[#This Row],[NAMA_3]]="",UPPER(Table17[[#This Row],[NAMA_2]]),Table17[[#This Row],[NAMA_3]])</f>
        <v>ZIPPER FILE CLEAR HOLDER TOPLA 555 60 FILE KUNING</v>
      </c>
      <c r="J140">
        <f>INDEX(NOTA[QTY],Sheet1!A:A)</f>
        <v>30</v>
      </c>
      <c r="K140" t="str">
        <f>INDEX(NOTA[STN],Sheet1!A:A)</f>
        <v>PCS</v>
      </c>
      <c r="L140" t="str">
        <f>INDEX([3]!db[QTY B],Table17[[#This Row],[//db]])</f>
        <v>60</v>
      </c>
      <c r="M140" t="str">
        <f>INDEX([3]!db[STN B],Table17[[#This Row],[//db]])</f>
        <v>PCS</v>
      </c>
      <c r="N140" t="str">
        <f>IF(Table17[[#This Row],[SATUAN NOTA]]=Table17[[#This Row],[SATUAN DB]],"", MATCH(CONCATENATE(Table17[[#This Row],[SATUAN NOTA]],Table17[[#This Row],[SATUAN DB]]),Table2[4],0))</f>
        <v/>
      </c>
      <c r="O140" t="str" cm="1">
        <f t="array" ref="O140">IF(Table17[[#This Row],[//CONV]]="","",INDEX(Table2[3],Table17[[#This Row],[//CONV]]))</f>
        <v/>
      </c>
      <c r="P140" t="str">
        <f>IF(Table17[[#This Row],[//CONV]]="",Table17[[#This Row],[ISI DB]],Table17[[#This Row],[ISI NOTA]]*Table17[[#This Row],[CONV VAR]])</f>
        <v>60</v>
      </c>
      <c r="Q140" t="str" cm="1">
        <f t="array" ref="Q140">IF(Table17[[#This Row],[//CONV]]="",Table17[[#This Row],[SATUAN DB]],INDEX(Table2[2],Table17[[#This Row],[//CONV]]))</f>
        <v>PCS</v>
      </c>
      <c r="R140" cm="1">
        <f t="array" ref="R140">IF(Table17[[#This Row],[dbconcat]]="","",INDEX([3]!Table2[ISI],Table17[[#This Row],[dbconcat]]))</f>
        <v>60</v>
      </c>
      <c r="S140" t="str" cm="1">
        <f t="array" ref="S140">IF(Table17[[#This Row],[dbconcat]]="","",INDEX([3]!Table2[[SATUAN ]],Table17[[#This Row],[dbconcat]]))</f>
        <v>PCS</v>
      </c>
      <c r="T140" t="str">
        <f>IF(Table17[[#This Row],[SATUAN S]]="","",IF(_xlfn.NUMBERVALUE(Table17[[#This Row],[ISI DB]])=_xlfn.NUMBERVALUE(Table17[[#This Row],[ISI S]]),"",1))</f>
        <v/>
      </c>
      <c r="U140" t="str">
        <f>IF(Table17[[#This Row],[SATUAN S]]="","",IF(Table17[[#This Row],[SATUAN DB]]=Table17[[#This Row],[SATUAN S]],"",1))</f>
        <v/>
      </c>
      <c r="V140" t="str">
        <f>IF(Table17[[#This Row],[CEK STN S]]="","",MATCH(CONCATENATE(Table17[[#This Row],[SATUAN CONV]],Table17[[#This Row],[SATUAN S]]),Table2[4],0))</f>
        <v/>
      </c>
      <c r="X140" t="str" cm="1">
        <f t="array" ref="X140">IF(Table17[[#This Row],[CONV2_//]]="","",INDEX(Table2[3],Table17[[#This Row],[CONV2_//]]))</f>
        <v/>
      </c>
      <c r="Y140" s="2" t="str">
        <f>IF(Table17[[#This Row],[CEK ISI S]]="",Table17[[#This Row],[ISI DB]],Table17[[#This Row],[ISI S]])</f>
        <v>60</v>
      </c>
      <c r="Z140" t="str">
        <f>IF(Table17[[#This Row],[CEK STN S]]="",Table17[[#This Row],[SATUAN DB]],Table17[[#This Row],[SATUAN S]])</f>
        <v>PCS</v>
      </c>
      <c r="AA140">
        <f>IF(Table17[[#This Row],[//CONV]]="",Table17[[#This Row],[ISI NOTA]]/Table17[[#This Row],[ISI_C]],Table17[[#This Row],[ISI DB CONV]]/Table17[[#This Row],[ISI_C]])</f>
        <v>0.5</v>
      </c>
      <c r="AB140">
        <f>INDEX(NOTA[HARGA SATUAN],Sheet1!A:A)</f>
        <v>35500</v>
      </c>
      <c r="AC140">
        <f>IF(Table17[[#This Row],[//CONV]]="",Table17[[#This Row],[HARGA NOTA]],Table17[[#This Row],[HARGA NOTA]]/Table17[[#This Row],[CONV VAR]])</f>
        <v>35500</v>
      </c>
      <c r="AD140">
        <f>IF(Table17[[#This Row],[CEK STN S]]="",Table17[[#This Row],[HARGA CONV]],Table17[[#This Row],[HARGA CONV]]/Table17[[#This Row],[CONV2 VAR]])</f>
        <v>35500</v>
      </c>
      <c r="AE140" s="3" t="str">
        <f>IF(INDEX(NOTA[Column6],Sheet1!A:A)=0,"",INDEX(NOTA[Column6],Sheet1!A:A))</f>
        <v/>
      </c>
      <c r="AF140" s="3" t="str">
        <f>IF(INDEX(NOTA[Column7],Sheet1!A:A)=0,"",INDEX(NOTA[Column7],Sheet1!A:A))</f>
        <v/>
      </c>
      <c r="AG14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0" s="4">
        <f>INDEX(NOTA[HARGA/ CTN_H],Sheet1!A:A)</f>
        <v>1065000</v>
      </c>
      <c r="AI140" s="4">
        <f>IF(Table17[[#This Row],[DISC 3]]="",Table17[[#This Row],[HRG / CTN]],Table17[[#This Row],[HRG / CTN]]-(Table17[[#This Row],[HRG / CTN]]*Table17[[#This Row],[DISC 3]]))</f>
        <v>1065000</v>
      </c>
      <c r="AJ140" s="5" t="e">
        <f>IF(#REF!&lt;1,Table17[[#This Row],[Column9]],Table17[[#This Row],[Column9]]*#REF!)</f>
        <v>#REF!</v>
      </c>
      <c r="AK140" s="4" t="str">
        <f ca="1">IF(NOT(AP141=Table17[[#This Row],[Column6]]),SUMIF(Table17[Column6],Table17[[#This Row],[Column6]],Table17[Column7]),"")</f>
        <v/>
      </c>
      <c r="AL140" s="6">
        <f ca="1">INDEX(NOTA[TGL_H],Sheet1!A:A)</f>
        <v>45488</v>
      </c>
      <c r="AM140" s="6">
        <f ca="1">INDEX(NOTA[TGL.NOTA_H],Sheet1!A:A)</f>
        <v>45485</v>
      </c>
      <c r="AO140" t="str">
        <f>IF(INDEX(NOTA[Column10],A:A)="","",INDEX(NOTA[Column10],A:A))</f>
        <v/>
      </c>
      <c r="AP140" t="str">
        <f ca="1">INDEX(NOTA[NO.NOTA_H],Sheet1!A:A)</f>
        <v>PK-240700068</v>
      </c>
      <c r="AQ140">
        <f>INDEX(NOTA[Column10],Sheet1!A:A)</f>
        <v>0</v>
      </c>
      <c r="AR140" s="8" t="str">
        <f ca="1">INDEX(NOTA[SUPPLIER_H],Sheet1!A:A)</f>
        <v>TOPLA</v>
      </c>
      <c r="AS140" t="str">
        <f>Table17[[#This Row],[NAMA_C]]</f>
        <v>ZIPPER FILE CLEAR HOLDER TOPLA 555 60 FILE KUNING</v>
      </c>
      <c r="AT140" t="str">
        <f ca="1">Table17[[#This Row],[SUPPLIER]]</f>
        <v>TOPLA</v>
      </c>
      <c r="AU140" t="str">
        <f>SUBSTITUTE(Table17[[#This Row],[CTN]],",",".")</f>
        <v>0.5</v>
      </c>
      <c r="AV140" s="13" t="str">
        <f>Table17[[#This Row],[ISI_C]]</f>
        <v>60</v>
      </c>
      <c r="AW140" t="str">
        <f>Table17[[#This Row],[SATUAN_C]]</f>
        <v>PCS</v>
      </c>
      <c r="AX140">
        <f>Table17[[#This Row],[HARGA CONV2]]</f>
        <v>35500</v>
      </c>
      <c r="AY140" s="9" t="str">
        <f>SUBSTITUTE(Table17[[#This Row],[DISC 3]],",",".")</f>
        <v/>
      </c>
      <c r="AZ140" s="6">
        <f ca="1">Table17[[#This Row],[TGL DATANG]]</f>
        <v>45488</v>
      </c>
      <c r="BA140" s="6">
        <f ca="1">Table17[[#This Row],[Column10]]</f>
        <v>45485</v>
      </c>
      <c r="BB140" s="7"/>
      <c r="BC140" t="str">
        <f>Table17[[#This Row],[KETERANGAN CONDRO]]</f>
        <v/>
      </c>
      <c r="BD140" t="str">
        <f ca="1">Table17[[#This Row],[Column6]]</f>
        <v>PK-240700068</v>
      </c>
    </row>
    <row r="141" spans="1:56">
      <c r="A141" s="55">
        <v>181</v>
      </c>
      <c r="C141">
        <f>INDEX(NOTA[//DB],Sheet1!A:A)</f>
        <v>3188</v>
      </c>
      <c r="D141">
        <f>_xlfn.IFNA(MATCH(Table17[[#This Row],[//db]],[3]!Table2[\\],0),"")</f>
        <v>1953</v>
      </c>
      <c r="E141" t="str">
        <f>INDEX([3]!db[NB NOTA],Table17[[#This Row],[//db]])</f>
        <v>ZIPPER FILE CLEAR HOLDER 555 60FILE BLUE</v>
      </c>
      <c r="F141" t="str">
        <f>INDEX([3]!db[NB BM],Table17[[#This Row],[//db]])</f>
        <v>Zipper file Clear Holder Topla 555 60 file Biru</v>
      </c>
      <c r="G141" t="str">
        <f>IF(Table17[[#This Row],[dbconcat]]="","",INDEX([3]!Table2[NAMA],Table17[[#This Row],[dbconcat]]))</f>
        <v>ZIPPER FILE CLEAR HOLDER TOPLA 555 60 FILE BIRU</v>
      </c>
      <c r="H141" t="str">
        <f>INDEX([3]!Table2[KODE BARANG],Table17[[#This Row],[dbconcat]])</f>
        <v>MAP-TP240</v>
      </c>
      <c r="I141" t="str">
        <f>IF(Table17[[#This Row],[NAMA_3]]="",UPPER(Table17[[#This Row],[NAMA_2]]),Table17[[#This Row],[NAMA_3]])</f>
        <v>ZIPPER FILE CLEAR HOLDER TOPLA 555 60 FILE BIRU</v>
      </c>
      <c r="J141">
        <f>INDEX(NOTA[QTY],Sheet1!A:A)</f>
        <v>30</v>
      </c>
      <c r="K141" t="str">
        <f>INDEX(NOTA[STN],Sheet1!A:A)</f>
        <v>PCS</v>
      </c>
      <c r="L141" t="str">
        <f>INDEX([3]!db[QTY B],Table17[[#This Row],[//db]])</f>
        <v>60</v>
      </c>
      <c r="M141" t="str">
        <f>INDEX([3]!db[STN B],Table17[[#This Row],[//db]])</f>
        <v>PCS</v>
      </c>
      <c r="N141" t="str">
        <f>IF(Table17[[#This Row],[SATUAN NOTA]]=Table17[[#This Row],[SATUAN DB]],"", MATCH(CONCATENATE(Table17[[#This Row],[SATUAN NOTA]],Table17[[#This Row],[SATUAN DB]]),Table2[4],0))</f>
        <v/>
      </c>
      <c r="O141" t="str" cm="1">
        <f t="array" ref="O141">IF(Table17[[#This Row],[//CONV]]="","",INDEX(Table2[3],Table17[[#This Row],[//CONV]]))</f>
        <v/>
      </c>
      <c r="P141" t="str">
        <f>IF(Table17[[#This Row],[//CONV]]="",Table17[[#This Row],[ISI DB]],Table17[[#This Row],[ISI NOTA]]*Table17[[#This Row],[CONV VAR]])</f>
        <v>60</v>
      </c>
      <c r="Q141" t="str" cm="1">
        <f t="array" ref="Q141">IF(Table17[[#This Row],[//CONV]]="",Table17[[#This Row],[SATUAN DB]],INDEX(Table2[2],Table17[[#This Row],[//CONV]]))</f>
        <v>PCS</v>
      </c>
      <c r="R141" cm="1">
        <f t="array" ref="R141">IF(Table17[[#This Row],[dbconcat]]="","",INDEX([3]!Table2[ISI],Table17[[#This Row],[dbconcat]]))</f>
        <v>60</v>
      </c>
      <c r="S141" t="str" cm="1">
        <f t="array" ref="S141">IF(Table17[[#This Row],[dbconcat]]="","",INDEX([3]!Table2[[SATUAN ]],Table17[[#This Row],[dbconcat]]))</f>
        <v>PCS</v>
      </c>
      <c r="T141" t="str">
        <f>IF(Table17[[#This Row],[SATUAN S]]="","",IF(_xlfn.NUMBERVALUE(Table17[[#This Row],[ISI DB]])=_xlfn.NUMBERVALUE(Table17[[#This Row],[ISI S]]),"",1))</f>
        <v/>
      </c>
      <c r="U141" t="str">
        <f>IF(Table17[[#This Row],[SATUAN S]]="","",IF(Table17[[#This Row],[SATUAN DB]]=Table17[[#This Row],[SATUAN S]],"",1))</f>
        <v/>
      </c>
      <c r="V141" t="str">
        <f>IF(Table17[[#This Row],[CEK STN S]]="","",MATCH(CONCATENATE(Table17[[#This Row],[SATUAN CONV]],Table17[[#This Row],[SATUAN S]]),Table2[4],0))</f>
        <v/>
      </c>
      <c r="X141" t="str" cm="1">
        <f t="array" ref="X141">IF(Table17[[#This Row],[CONV2_//]]="","",INDEX(Table2[3],Table17[[#This Row],[CONV2_//]]))</f>
        <v/>
      </c>
      <c r="Y141" s="2" t="str">
        <f>IF(Table17[[#This Row],[CEK ISI S]]="",Table17[[#This Row],[ISI DB]],Table17[[#This Row],[ISI S]])</f>
        <v>60</v>
      </c>
      <c r="Z141" t="str">
        <f>IF(Table17[[#This Row],[CEK STN S]]="",Table17[[#This Row],[SATUAN DB]],Table17[[#This Row],[SATUAN S]])</f>
        <v>PCS</v>
      </c>
      <c r="AA141">
        <f>IF(Table17[[#This Row],[//CONV]]="",Table17[[#This Row],[ISI NOTA]]/Table17[[#This Row],[ISI_C]],Table17[[#This Row],[ISI DB CONV]]/Table17[[#This Row],[ISI_C]])</f>
        <v>0.5</v>
      </c>
      <c r="AB141">
        <f>INDEX(NOTA[HARGA SATUAN],Sheet1!A:A)</f>
        <v>35500</v>
      </c>
      <c r="AC141">
        <f>IF(Table17[[#This Row],[//CONV]]="",Table17[[#This Row],[HARGA NOTA]],Table17[[#This Row],[HARGA NOTA]]/Table17[[#This Row],[CONV VAR]])</f>
        <v>35500</v>
      </c>
      <c r="AD141">
        <f>IF(Table17[[#This Row],[CEK STN S]]="",Table17[[#This Row],[HARGA CONV]],Table17[[#This Row],[HARGA CONV]]/Table17[[#This Row],[CONV2 VAR]])</f>
        <v>35500</v>
      </c>
      <c r="AE141" s="3" t="str">
        <f>IF(INDEX(NOTA[Column6],Sheet1!A:A)=0,"",INDEX(NOTA[Column6],Sheet1!A:A))</f>
        <v/>
      </c>
      <c r="AF141" s="3" t="str">
        <f>IF(INDEX(NOTA[Column7],Sheet1!A:A)=0,"",INDEX(NOTA[Column7],Sheet1!A:A))</f>
        <v/>
      </c>
      <c r="AG14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1" s="4">
        <f>INDEX(NOTA[HARGA/ CTN_H],Sheet1!A:A)</f>
        <v>1065000</v>
      </c>
      <c r="AI141" s="4">
        <f>IF(Table17[[#This Row],[DISC 3]]="",Table17[[#This Row],[HRG / CTN]],Table17[[#This Row],[HRG / CTN]]-(Table17[[#This Row],[HRG / CTN]]*Table17[[#This Row],[DISC 3]]))</f>
        <v>1065000</v>
      </c>
      <c r="AJ141" s="5" t="e">
        <f>IF(#REF!&lt;1,Table17[[#This Row],[Column9]],Table17[[#This Row],[Column9]]*#REF!)</f>
        <v>#REF!</v>
      </c>
      <c r="AK141" s="4" t="e">
        <f ca="1">IF(NOT(AP142=Table17[[#This Row],[Column6]]),SUMIF(Table17[Column6],Table17[[#This Row],[Column6]],Table17[Column7]),"")</f>
        <v>#REF!</v>
      </c>
      <c r="AL141" s="6">
        <f ca="1">INDEX(NOTA[TGL_H],Sheet1!A:A)</f>
        <v>45488</v>
      </c>
      <c r="AM141" s="6">
        <f ca="1">INDEX(NOTA[TGL.NOTA_H],Sheet1!A:A)</f>
        <v>45485</v>
      </c>
      <c r="AO141" t="str">
        <f>IF(INDEX(NOTA[Column10],A:A)="","",INDEX(NOTA[Column10],A:A))</f>
        <v/>
      </c>
      <c r="AP141" t="str">
        <f ca="1">INDEX(NOTA[NO.NOTA_H],Sheet1!A:A)</f>
        <v>PK-240700068</v>
      </c>
      <c r="AQ141">
        <f>INDEX(NOTA[Column10],Sheet1!A:A)</f>
        <v>0</v>
      </c>
      <c r="AR141" s="8" t="str">
        <f ca="1">INDEX(NOTA[SUPPLIER_H],Sheet1!A:A)</f>
        <v>TOPLA</v>
      </c>
      <c r="AS141" t="str">
        <f>Table17[[#This Row],[NAMA_C]]</f>
        <v>ZIPPER FILE CLEAR HOLDER TOPLA 555 60 FILE BIRU</v>
      </c>
      <c r="AT141" t="str">
        <f ca="1">Table17[[#This Row],[SUPPLIER]]</f>
        <v>TOPLA</v>
      </c>
      <c r="AU141" t="str">
        <f>SUBSTITUTE(Table17[[#This Row],[CTN]],",",".")</f>
        <v>0.5</v>
      </c>
      <c r="AV141" s="13" t="str">
        <f>Table17[[#This Row],[ISI_C]]</f>
        <v>60</v>
      </c>
      <c r="AW141" t="str">
        <f>Table17[[#This Row],[SATUAN_C]]</f>
        <v>PCS</v>
      </c>
      <c r="AX141">
        <f>Table17[[#This Row],[HARGA CONV2]]</f>
        <v>35500</v>
      </c>
      <c r="AY141" s="9" t="str">
        <f>SUBSTITUTE(Table17[[#This Row],[DISC 3]],",",".")</f>
        <v/>
      </c>
      <c r="AZ141" s="6">
        <f ca="1">Table17[[#This Row],[TGL DATANG]]</f>
        <v>45488</v>
      </c>
      <c r="BA141" s="6">
        <f ca="1">Table17[[#This Row],[Column10]]</f>
        <v>45485</v>
      </c>
      <c r="BB141" s="7"/>
      <c r="BC141" t="str">
        <f>Table17[[#This Row],[KETERANGAN CONDRO]]</f>
        <v/>
      </c>
      <c r="BD141" t="str">
        <f ca="1">Table17[[#This Row],[Column6]]</f>
        <v>PK-240700068</v>
      </c>
    </row>
    <row r="142" spans="1:56">
      <c r="A142" s="55">
        <v>183</v>
      </c>
      <c r="C142">
        <f>INDEX(NOTA[//DB],Sheet1!A:A)</f>
        <v>2224</v>
      </c>
      <c r="D142">
        <f>_xlfn.IFNA(MATCH(Table17[[#This Row],[//db]],[3]!Table2[\\],0),"")</f>
        <v>2036</v>
      </c>
      <c r="E142" t="str">
        <f>INDEX([3]!db[NB NOTA],Table17[[#This Row],[//db]])</f>
        <v>N TAG D/BIRU 300</v>
      </c>
      <c r="F142" t="str">
        <f>INDEX([3]!db[NB BM],Table17[[#This Row],[//db]])</f>
        <v>NAME TAG DOS BIRU</v>
      </c>
      <c r="G142" t="str">
        <f>IF(Table17[[#This Row],[dbconcat]]="","",INDEX([3]!Table2[NAMA],Table17[[#This Row],[dbconcat]]))</f>
        <v>NAME TAG DOS BIRU</v>
      </c>
      <c r="H142" t="str">
        <f>INDEX([3]!Table2[KODE BARANG],Table17[[#This Row],[dbconcat]])</f>
        <v>NAM-NB3</v>
      </c>
      <c r="I142" t="str">
        <f>IF(Table17[[#This Row],[NAMA_3]]="",UPPER(Table17[[#This Row],[NAMA_2]]),Table17[[#This Row],[NAMA_3]])</f>
        <v>NAME TAG DOS BIRU</v>
      </c>
      <c r="J142">
        <f>INDEX(NOTA[QTY],Sheet1!A:A)</f>
        <v>12000</v>
      </c>
      <c r="K142" t="str">
        <f>INDEX(NOTA[STN],Sheet1!A:A)</f>
        <v>PCS</v>
      </c>
      <c r="L142" t="str">
        <f>INDEX([3]!db[QTY B],Table17[[#This Row],[//db]])</f>
        <v>4000</v>
      </c>
      <c r="M142" t="str">
        <f>INDEX([3]!db[STN B],Table17[[#This Row],[//db]])</f>
        <v>PCS</v>
      </c>
      <c r="N142" t="str">
        <f>IF(Table17[[#This Row],[SATUAN NOTA]]=Table17[[#This Row],[SATUAN DB]],"", MATCH(CONCATENATE(Table17[[#This Row],[SATUAN NOTA]],Table17[[#This Row],[SATUAN DB]]),Table2[4],0))</f>
        <v/>
      </c>
      <c r="O142" t="str" cm="1">
        <f t="array" ref="O142">IF(Table17[[#This Row],[//CONV]]="","",INDEX(Table2[3],Table17[[#This Row],[//CONV]]))</f>
        <v/>
      </c>
      <c r="P142" t="str">
        <f>IF(Table17[[#This Row],[//CONV]]="",Table17[[#This Row],[ISI DB]],Table17[[#This Row],[ISI NOTA]]*Table17[[#This Row],[CONV VAR]])</f>
        <v>4000</v>
      </c>
      <c r="Q142" t="str" cm="1">
        <f t="array" ref="Q142">IF(Table17[[#This Row],[//CONV]]="",Table17[[#This Row],[SATUAN DB]],INDEX(Table2[2],Table17[[#This Row],[//CONV]]))</f>
        <v>PCS</v>
      </c>
      <c r="R142" cm="1">
        <f t="array" ref="R142">IF(Table17[[#This Row],[dbconcat]]="","",INDEX([3]!Table2[ISI],Table17[[#This Row],[dbconcat]]))</f>
        <v>4000</v>
      </c>
      <c r="S142" t="str" cm="1">
        <f t="array" ref="S142">IF(Table17[[#This Row],[dbconcat]]="","",INDEX([3]!Table2[[SATUAN ]],Table17[[#This Row],[dbconcat]]))</f>
        <v>PCS</v>
      </c>
      <c r="T142" t="str">
        <f>IF(Table17[[#This Row],[SATUAN S]]="","",IF(_xlfn.NUMBERVALUE(Table17[[#This Row],[ISI DB]])=_xlfn.NUMBERVALUE(Table17[[#This Row],[ISI S]]),"",1))</f>
        <v/>
      </c>
      <c r="U142" t="str">
        <f>IF(Table17[[#This Row],[SATUAN S]]="","",IF(Table17[[#This Row],[SATUAN DB]]=Table17[[#This Row],[SATUAN S]],"",1))</f>
        <v/>
      </c>
      <c r="V142" t="str">
        <f>IF(Table17[[#This Row],[CEK STN S]]="","",MATCH(CONCATENATE(Table17[[#This Row],[SATUAN CONV]],Table17[[#This Row],[SATUAN S]]),Table2[4],0))</f>
        <v/>
      </c>
      <c r="X142" t="str" cm="1">
        <f t="array" ref="X142">IF(Table17[[#This Row],[CONV2_//]]="","",INDEX(Table2[3],Table17[[#This Row],[CONV2_//]]))</f>
        <v/>
      </c>
      <c r="Y142" s="2" t="str">
        <f>IF(Table17[[#This Row],[CEK ISI S]]="",Table17[[#This Row],[ISI DB]],Table17[[#This Row],[ISI S]])</f>
        <v>4000</v>
      </c>
      <c r="Z142" t="str">
        <f>IF(Table17[[#This Row],[CEK STN S]]="",Table17[[#This Row],[SATUAN DB]],Table17[[#This Row],[SATUAN S]])</f>
        <v>PCS</v>
      </c>
      <c r="AA142">
        <f>IF(Table17[[#This Row],[//CONV]]="",Table17[[#This Row],[ISI NOTA]]/Table17[[#This Row],[ISI_C]],Table17[[#This Row],[ISI DB CONV]]/Table17[[#This Row],[ISI_C]])</f>
        <v>3</v>
      </c>
      <c r="AB142">
        <f>INDEX(NOTA[HARGA SATUAN],Sheet1!A:A)</f>
        <v>600</v>
      </c>
      <c r="AC142">
        <f>IF(Table17[[#This Row],[//CONV]]="",Table17[[#This Row],[HARGA NOTA]],Table17[[#This Row],[HARGA NOTA]]/Table17[[#This Row],[CONV VAR]])</f>
        <v>600</v>
      </c>
      <c r="AD142">
        <f>IF(Table17[[#This Row],[CEK STN S]]="",Table17[[#This Row],[HARGA CONV]],Table17[[#This Row],[HARGA CONV]]/Table17[[#This Row],[CONV2 VAR]])</f>
        <v>600</v>
      </c>
      <c r="AE142" s="3" t="str">
        <f>IF(INDEX(NOTA[Column6],Sheet1!A:A)=0,"",INDEX(NOTA[Column6],Sheet1!A:A))</f>
        <v/>
      </c>
      <c r="AF142" s="3" t="str">
        <f>IF(INDEX(NOTA[Column7],Sheet1!A:A)=0,"",INDEX(NOTA[Column7],Sheet1!A:A))</f>
        <v/>
      </c>
      <c r="AG14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2" s="4">
        <f>INDEX(NOTA[HARGA/ CTN_H],Sheet1!A:A)</f>
        <v>2400000</v>
      </c>
      <c r="AI142" s="4">
        <f>IF(Table17[[#This Row],[DISC 3]]="",Table17[[#This Row],[HRG / CTN]],Table17[[#This Row],[HRG / CTN]]-(Table17[[#This Row],[HRG / CTN]]*Table17[[#This Row],[DISC 3]]))</f>
        <v>2400000</v>
      </c>
      <c r="AJ142" s="5" t="e">
        <f>IF(#REF!&lt;1,Table17[[#This Row],[Column9]],Table17[[#This Row],[Column9]]*#REF!)</f>
        <v>#REF!</v>
      </c>
      <c r="AK142" s="4" t="str">
        <f ca="1">IF(NOT(AP143=Table17[[#This Row],[Column6]]),SUMIF(Table17[Column6],Table17[[#This Row],[Column6]],Table17[Column7]),"")</f>
        <v/>
      </c>
      <c r="AL142" s="6">
        <f ca="1">INDEX(NOTA[TGL_H],Sheet1!A:A)</f>
        <v>45491</v>
      </c>
      <c r="AM142" s="6">
        <f ca="1">INDEX(NOTA[TGL.NOTA_H],Sheet1!A:A)</f>
        <v>45488</v>
      </c>
      <c r="AO142" t="str">
        <f>IF(INDEX(NOTA[Column10],A:A)="","",INDEX(NOTA[Column10],A:A))</f>
        <v/>
      </c>
      <c r="AP142" t="str">
        <f ca="1">INDEX(NOTA[NO.NOTA_H],Sheet1!A:A)</f>
        <v>K20,24</v>
      </c>
      <c r="AQ142">
        <f>INDEX(NOTA[Column10],Sheet1!A:A)</f>
        <v>0</v>
      </c>
      <c r="AR142" s="8" t="str">
        <f ca="1">INDEX(NOTA[SUPPLIER_H],Sheet1!A:A)</f>
        <v>ETJ</v>
      </c>
      <c r="AS142" t="str">
        <f>Table17[[#This Row],[NAMA_C]]</f>
        <v>NAME TAG DOS BIRU</v>
      </c>
      <c r="AT142" t="str">
        <f ca="1">Table17[[#This Row],[SUPPLIER]]</f>
        <v>ETJ</v>
      </c>
      <c r="AU142" t="str">
        <f>SUBSTITUTE(Table17[[#This Row],[CTN]],",",".")</f>
        <v>3</v>
      </c>
      <c r="AV142" s="13" t="str">
        <f>Table17[[#This Row],[ISI_C]]</f>
        <v>4000</v>
      </c>
      <c r="AW142" t="str">
        <f>Table17[[#This Row],[SATUAN_C]]</f>
        <v>PCS</v>
      </c>
      <c r="AX142">
        <f>Table17[[#This Row],[HARGA CONV2]]</f>
        <v>600</v>
      </c>
      <c r="AY142" s="9" t="str">
        <f>SUBSTITUTE(Table17[[#This Row],[DISC 3]],",",".")</f>
        <v/>
      </c>
      <c r="AZ142" s="6">
        <f ca="1">Table17[[#This Row],[TGL DATANG]]</f>
        <v>45491</v>
      </c>
      <c r="BA142" s="6">
        <f ca="1">Table17[[#This Row],[Column10]]</f>
        <v>45488</v>
      </c>
      <c r="BB142" s="7"/>
      <c r="BC142" t="str">
        <f>Table17[[#This Row],[KETERANGAN CONDRO]]</f>
        <v/>
      </c>
      <c r="BD142" t="str">
        <f ca="1">Table17[[#This Row],[Column6]]</f>
        <v>K20,24</v>
      </c>
    </row>
    <row r="143" spans="1:56">
      <c r="A143" s="55">
        <v>184</v>
      </c>
      <c r="C143">
        <f>INDEX(NOTA[//DB],Sheet1!A:A)</f>
        <v>971</v>
      </c>
      <c r="D143">
        <f>_xlfn.IFNA(MATCH(Table17[[#This Row],[//db]],[3]!Table2[\\],0),"")</f>
        <v>2754</v>
      </c>
      <c r="E143" t="str">
        <f>INDEX([3]!db[NB NOTA],Table17[[#This Row],[//db]])</f>
        <v>ENTER WHITE BOARD 802 (K)</v>
      </c>
      <c r="F143" t="str">
        <f>INDEX([3]!db[NB BM],Table17[[#This Row],[//db]])</f>
        <v>STIP W/B ENTER 802K</v>
      </c>
      <c r="G143" t="str">
        <f>IF(Table17[[#This Row],[dbconcat]]="","",INDEX([3]!Table2[NAMA],Table17[[#This Row],[dbconcat]]))</f>
        <v>STIP W/B ENTER 802K</v>
      </c>
      <c r="H143" t="str">
        <f>INDEX([3]!Table2[KODE BARANG],Table17[[#This Row],[dbconcat]])</f>
        <v>STI-EN6</v>
      </c>
      <c r="I143" t="str">
        <f>IF(Table17[[#This Row],[NAMA_3]]="",UPPER(Table17[[#This Row],[NAMA_2]]),Table17[[#This Row],[NAMA_3]])</f>
        <v>STIP W/B ENTER 802K</v>
      </c>
      <c r="J143">
        <f>INDEX(NOTA[QTY],Sheet1!A:A)</f>
        <v>120</v>
      </c>
      <c r="K143" t="str">
        <f>INDEX(NOTA[STN],Sheet1!A:A)</f>
        <v>LSN</v>
      </c>
      <c r="L143" t="str">
        <f>INDEX([3]!db[QTY B],Table17[[#This Row],[//db]])</f>
        <v>60</v>
      </c>
      <c r="M143" t="str">
        <f>INDEX([3]!db[STN B],Table17[[#This Row],[//db]])</f>
        <v>LSN</v>
      </c>
      <c r="N143" t="str">
        <f>IF(Table17[[#This Row],[SATUAN NOTA]]=Table17[[#This Row],[SATUAN DB]],"", MATCH(CONCATENATE(Table17[[#This Row],[SATUAN NOTA]],Table17[[#This Row],[SATUAN DB]]),Table2[4],0))</f>
        <v/>
      </c>
      <c r="O143" t="str" cm="1">
        <f t="array" ref="O143">IF(Table17[[#This Row],[//CONV]]="","",INDEX(Table2[3],Table17[[#This Row],[//CONV]]))</f>
        <v/>
      </c>
      <c r="P143" t="str">
        <f>IF(Table17[[#This Row],[//CONV]]="",Table17[[#This Row],[ISI DB]],Table17[[#This Row],[ISI NOTA]]*Table17[[#This Row],[CONV VAR]])</f>
        <v>60</v>
      </c>
      <c r="Q143" t="str" cm="1">
        <f t="array" ref="Q143">IF(Table17[[#This Row],[//CONV]]="",Table17[[#This Row],[SATUAN DB]],INDEX(Table2[2],Table17[[#This Row],[//CONV]]))</f>
        <v>LSN</v>
      </c>
      <c r="R143" cm="1">
        <f t="array" ref="R143">IF(Table17[[#This Row],[dbconcat]]="","",INDEX([3]!Table2[ISI],Table17[[#This Row],[dbconcat]]))</f>
        <v>60</v>
      </c>
      <c r="S143" t="str" cm="1">
        <f t="array" ref="S143">IF(Table17[[#This Row],[dbconcat]]="","",INDEX([3]!Table2[[SATUAN ]],Table17[[#This Row],[dbconcat]]))</f>
        <v>LSN</v>
      </c>
      <c r="T143" t="str">
        <f>IF(Table17[[#This Row],[SATUAN S]]="","",IF(_xlfn.NUMBERVALUE(Table17[[#This Row],[ISI DB]])=_xlfn.NUMBERVALUE(Table17[[#This Row],[ISI S]]),"",1))</f>
        <v/>
      </c>
      <c r="U143" t="str">
        <f>IF(Table17[[#This Row],[SATUAN S]]="","",IF(Table17[[#This Row],[SATUAN DB]]=Table17[[#This Row],[SATUAN S]],"",1))</f>
        <v/>
      </c>
      <c r="V143" t="str">
        <f>IF(Table17[[#This Row],[CEK STN S]]="","",MATCH(CONCATENATE(Table17[[#This Row],[SATUAN CONV]],Table17[[#This Row],[SATUAN S]]),Table2[4],0))</f>
        <v/>
      </c>
      <c r="X143" t="str" cm="1">
        <f t="array" ref="X143">IF(Table17[[#This Row],[CONV2_//]]="","",INDEX(Table2[3],Table17[[#This Row],[CONV2_//]]))</f>
        <v/>
      </c>
      <c r="Y143" s="2" t="str">
        <f>IF(Table17[[#This Row],[CEK ISI S]]="",Table17[[#This Row],[ISI DB]],Table17[[#This Row],[ISI S]])</f>
        <v>60</v>
      </c>
      <c r="Z143" t="str">
        <f>IF(Table17[[#This Row],[CEK STN S]]="",Table17[[#This Row],[SATUAN DB]],Table17[[#This Row],[SATUAN S]])</f>
        <v>LSN</v>
      </c>
      <c r="AA143">
        <f>IF(Table17[[#This Row],[//CONV]]="",Table17[[#This Row],[ISI NOTA]]/Table17[[#This Row],[ISI_C]],Table17[[#This Row],[ISI DB CONV]]/Table17[[#This Row],[ISI_C]])</f>
        <v>2</v>
      </c>
      <c r="AB143">
        <f>INDEX(NOTA[HARGA SATUAN],Sheet1!A:A)</f>
        <v>17500</v>
      </c>
      <c r="AC143">
        <f>IF(Table17[[#This Row],[//CONV]]="",Table17[[#This Row],[HARGA NOTA]],Table17[[#This Row],[HARGA NOTA]]/Table17[[#This Row],[CONV VAR]])</f>
        <v>17500</v>
      </c>
      <c r="AD143">
        <f>IF(Table17[[#This Row],[CEK STN S]]="",Table17[[#This Row],[HARGA CONV]],Table17[[#This Row],[HARGA CONV]]/Table17[[#This Row],[CONV2 VAR]])</f>
        <v>17500</v>
      </c>
      <c r="AE143" s="3" t="str">
        <f>IF(INDEX(NOTA[Column6],Sheet1!A:A)=0,"",INDEX(NOTA[Column6],Sheet1!A:A))</f>
        <v/>
      </c>
      <c r="AF143" s="3" t="str">
        <f>IF(INDEX(NOTA[Column7],Sheet1!A:A)=0,"",INDEX(NOTA[Column7],Sheet1!A:A))</f>
        <v/>
      </c>
      <c r="AG14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3" s="4">
        <f>INDEX(NOTA[HARGA/ CTN_H],Sheet1!A:A)</f>
        <v>1050000</v>
      </c>
      <c r="AI143" s="4">
        <f>IF(Table17[[#This Row],[DISC 3]]="",Table17[[#This Row],[HRG / CTN]],Table17[[#This Row],[HRG / CTN]]-(Table17[[#This Row],[HRG / CTN]]*Table17[[#This Row],[DISC 3]]))</f>
        <v>1050000</v>
      </c>
      <c r="AJ143" s="5" t="e">
        <f>IF(#REF!&lt;1,Table17[[#This Row],[Column9]],Table17[[#This Row],[Column9]]*#REF!)</f>
        <v>#REF!</v>
      </c>
      <c r="AK143" s="4" t="e">
        <f ca="1">IF(NOT(AP144=Table17[[#This Row],[Column6]]),SUMIF(Table17[Column6],Table17[[#This Row],[Column6]],Table17[Column7]),"")</f>
        <v>#REF!</v>
      </c>
      <c r="AL143" s="6">
        <f ca="1">INDEX(NOTA[TGL_H],Sheet1!A:A)</f>
        <v>45491</v>
      </c>
      <c r="AM143" s="6">
        <f ca="1">INDEX(NOTA[TGL.NOTA_H],Sheet1!A:A)</f>
        <v>45488</v>
      </c>
      <c r="AO143" t="str">
        <f>IF(INDEX(NOTA[Column10],A:A)="","",INDEX(NOTA[Column10],A:A))</f>
        <v/>
      </c>
      <c r="AP143" t="str">
        <f ca="1">INDEX(NOTA[NO.NOTA_H],Sheet1!A:A)</f>
        <v>K20,24</v>
      </c>
      <c r="AQ143">
        <f>INDEX(NOTA[Column10],Sheet1!A:A)</f>
        <v>0</v>
      </c>
      <c r="AR143" s="8" t="str">
        <f ca="1">INDEX(NOTA[SUPPLIER_H],Sheet1!A:A)</f>
        <v>ETJ</v>
      </c>
      <c r="AS143" t="str">
        <f>Table17[[#This Row],[NAMA_C]]</f>
        <v>STIP W/B ENTER 802K</v>
      </c>
      <c r="AT143" t="str">
        <f ca="1">Table17[[#This Row],[SUPPLIER]]</f>
        <v>ETJ</v>
      </c>
      <c r="AU143" t="str">
        <f>SUBSTITUTE(Table17[[#This Row],[CTN]],",",".")</f>
        <v>2</v>
      </c>
      <c r="AV143" s="13" t="str">
        <f>Table17[[#This Row],[ISI_C]]</f>
        <v>60</v>
      </c>
      <c r="AW143" t="str">
        <f>Table17[[#This Row],[SATUAN_C]]</f>
        <v>LSN</v>
      </c>
      <c r="AX143">
        <f>Table17[[#This Row],[HARGA CONV2]]</f>
        <v>17500</v>
      </c>
      <c r="AY143" s="9" t="str">
        <f>SUBSTITUTE(Table17[[#This Row],[DISC 3]],",",".")</f>
        <v/>
      </c>
      <c r="AZ143" s="6">
        <f ca="1">Table17[[#This Row],[TGL DATANG]]</f>
        <v>45491</v>
      </c>
      <c r="BA143" s="6">
        <f ca="1">Table17[[#This Row],[Column10]]</f>
        <v>45488</v>
      </c>
      <c r="BB143" s="7"/>
      <c r="BC143" t="str">
        <f>Table17[[#This Row],[KETERANGAN CONDRO]]</f>
        <v/>
      </c>
      <c r="BD143" t="str">
        <f ca="1">Table17[[#This Row],[Column6]]</f>
        <v>K20,24</v>
      </c>
    </row>
    <row r="144" spans="1:56">
      <c r="A144" s="55">
        <v>186</v>
      </c>
      <c r="C144">
        <f>INDEX(NOTA[//DB],Sheet1!A:A)</f>
        <v>3435</v>
      </c>
      <c r="D144">
        <f>_xlfn.IFNA(MATCH(Table17[[#This Row],[//db]],[3]!Table2[\\],0),"")</f>
        <v>963</v>
      </c>
      <c r="E144" t="str">
        <f>INDEX([3]!db[NB NOTA],Table17[[#This Row],[//db]])</f>
        <v>TAPE DISPENSER ISOLASI TS-0032</v>
      </c>
      <c r="F144" t="str">
        <f>INDEX([3]!db[NB BM],Table17[[#This Row],[//db]])</f>
        <v>DISPENSER TS-0032</v>
      </c>
      <c r="G144" t="str">
        <f>IF(Table17[[#This Row],[dbconcat]]="","",INDEX([3]!Table2[NAMA],Table17[[#This Row],[dbconcat]]))</f>
        <v>DISPENSER TS-0032</v>
      </c>
      <c r="H144" t="str">
        <f>INDEX([3]!Table2[KODE BARANG],Table17[[#This Row],[dbconcat]])</f>
        <v>DIS-NB13</v>
      </c>
      <c r="I144" t="str">
        <f>IF(Table17[[#This Row],[NAMA_3]]="",UPPER(Table17[[#This Row],[NAMA_2]]),Table17[[#This Row],[NAMA_3]])</f>
        <v>DISPENSER TS-0032</v>
      </c>
      <c r="J144">
        <f>INDEX(NOTA[QTY],Sheet1!A:A)</f>
        <v>240</v>
      </c>
      <c r="K144" t="str">
        <f>INDEX(NOTA[STN],Sheet1!A:A)</f>
        <v>PCS</v>
      </c>
      <c r="L144" t="str">
        <f>INDEX([3]!db[QTY B],Table17[[#This Row],[//db]])</f>
        <v>24</v>
      </c>
      <c r="M144" t="str">
        <f>INDEX([3]!db[STN B],Table17[[#This Row],[//db]])</f>
        <v>PCS</v>
      </c>
      <c r="N144" t="str">
        <f>IF(Table17[[#This Row],[SATUAN NOTA]]=Table17[[#This Row],[SATUAN DB]],"", MATCH(CONCATENATE(Table17[[#This Row],[SATUAN NOTA]],Table17[[#This Row],[SATUAN DB]]),Table2[4],0))</f>
        <v/>
      </c>
      <c r="O144" t="str" cm="1">
        <f t="array" ref="O144">IF(Table17[[#This Row],[//CONV]]="","",INDEX(Table2[3],Table17[[#This Row],[//CONV]]))</f>
        <v/>
      </c>
      <c r="P144" t="str">
        <f>IF(Table17[[#This Row],[//CONV]]="",Table17[[#This Row],[ISI DB]],Table17[[#This Row],[ISI NOTA]]*Table17[[#This Row],[CONV VAR]])</f>
        <v>24</v>
      </c>
      <c r="Q144" t="str" cm="1">
        <f t="array" ref="Q144">IF(Table17[[#This Row],[//CONV]]="",Table17[[#This Row],[SATUAN DB]],INDEX(Table2[2],Table17[[#This Row],[//CONV]]))</f>
        <v>PCS</v>
      </c>
      <c r="R144" cm="1">
        <f t="array" ref="R144">IF(Table17[[#This Row],[dbconcat]]="","",INDEX([3]!Table2[ISI],Table17[[#This Row],[dbconcat]]))</f>
        <v>24</v>
      </c>
      <c r="S144" t="str" cm="1">
        <f t="array" ref="S144">IF(Table17[[#This Row],[dbconcat]]="","",INDEX([3]!Table2[[SATUAN ]],Table17[[#This Row],[dbconcat]]))</f>
        <v>PCS</v>
      </c>
      <c r="T144" t="str">
        <f>IF(Table17[[#This Row],[SATUAN S]]="","",IF(_xlfn.NUMBERVALUE(Table17[[#This Row],[ISI DB]])=_xlfn.NUMBERVALUE(Table17[[#This Row],[ISI S]]),"",1))</f>
        <v/>
      </c>
      <c r="U144" t="str">
        <f>IF(Table17[[#This Row],[SATUAN S]]="","",IF(Table17[[#This Row],[SATUAN DB]]=Table17[[#This Row],[SATUAN S]],"",1))</f>
        <v/>
      </c>
      <c r="V144" t="str">
        <f>IF(Table17[[#This Row],[CEK STN S]]="","",MATCH(CONCATENATE(Table17[[#This Row],[SATUAN CONV]],Table17[[#This Row],[SATUAN S]]),Table2[4],0))</f>
        <v/>
      </c>
      <c r="X144" t="str" cm="1">
        <f t="array" ref="X144">IF(Table17[[#This Row],[CONV2_//]]="","",INDEX(Table2[3],Table17[[#This Row],[CONV2_//]]))</f>
        <v/>
      </c>
      <c r="Y144" s="2" t="str">
        <f>IF(Table17[[#This Row],[CEK ISI S]]="",Table17[[#This Row],[ISI DB]],Table17[[#This Row],[ISI S]])</f>
        <v>24</v>
      </c>
      <c r="Z144" t="str">
        <f>IF(Table17[[#This Row],[CEK STN S]]="",Table17[[#This Row],[SATUAN DB]],Table17[[#This Row],[SATUAN S]])</f>
        <v>PCS</v>
      </c>
      <c r="AA144">
        <f>IF(Table17[[#This Row],[//CONV]]="",Table17[[#This Row],[ISI NOTA]]/Table17[[#This Row],[ISI_C]],Table17[[#This Row],[ISI DB CONV]]/Table17[[#This Row],[ISI_C]])</f>
        <v>10</v>
      </c>
      <c r="AB144">
        <f>INDEX(NOTA[HARGA SATUAN],Sheet1!A:A)</f>
        <v>12500</v>
      </c>
      <c r="AC144">
        <f>IF(Table17[[#This Row],[//CONV]]="",Table17[[#This Row],[HARGA NOTA]],Table17[[#This Row],[HARGA NOTA]]/Table17[[#This Row],[CONV VAR]])</f>
        <v>12500</v>
      </c>
      <c r="AD144">
        <f>IF(Table17[[#This Row],[CEK STN S]]="",Table17[[#This Row],[HARGA CONV]],Table17[[#This Row],[HARGA CONV]]/Table17[[#This Row],[CONV2 VAR]])</f>
        <v>12500</v>
      </c>
      <c r="AE144" s="3" t="str">
        <f>IF(INDEX(NOTA[Column6],Sheet1!A:A)=0,"",INDEX(NOTA[Column6],Sheet1!A:A))</f>
        <v/>
      </c>
      <c r="AF144" s="3" t="str">
        <f>IF(INDEX(NOTA[Column7],Sheet1!A:A)=0,"",INDEX(NOTA[Column7],Sheet1!A:A))</f>
        <v/>
      </c>
      <c r="AG14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4" s="4">
        <f>INDEX(NOTA[HARGA/ CTN_H],Sheet1!A:A)</f>
        <v>300000</v>
      </c>
      <c r="AI144" s="4">
        <f>IF(Table17[[#This Row],[DISC 3]]="",Table17[[#This Row],[HRG / CTN]],Table17[[#This Row],[HRG / CTN]]-(Table17[[#This Row],[HRG / CTN]]*Table17[[#This Row],[DISC 3]]))</f>
        <v>300000</v>
      </c>
      <c r="AJ144" s="5" t="e">
        <f>IF(#REF!&lt;1,Table17[[#This Row],[Column9]],Table17[[#This Row],[Column9]]*#REF!)</f>
        <v>#REF!</v>
      </c>
      <c r="AK144" s="4" t="str">
        <f ca="1">IF(NOT(AP145=Table17[[#This Row],[Column6]]),SUMIF(Table17[Column6],Table17[[#This Row],[Column6]],Table17[Column7]),"")</f>
        <v/>
      </c>
      <c r="AL144" s="6">
        <f ca="1">INDEX(NOTA[TGL_H],Sheet1!A:A)</f>
        <v>45488</v>
      </c>
      <c r="AM144" s="6">
        <f ca="1">INDEX(NOTA[TGL.NOTA_H],Sheet1!A:A)</f>
        <v>45482</v>
      </c>
      <c r="AO144" t="str">
        <f>IF(INDEX(NOTA[Column10],A:A)="","",INDEX(NOTA[Column10],A:A))</f>
        <v/>
      </c>
      <c r="AP144" t="str">
        <f ca="1">INDEX(NOTA[NO.NOTA_H],Sheet1!A:A)</f>
        <v>81175/JL/UTM/0724</v>
      </c>
      <c r="AQ144">
        <f>INDEX(NOTA[Column10],Sheet1!A:A)</f>
        <v>0</v>
      </c>
      <c r="AR144" s="8" t="str">
        <f ca="1">INDEX(NOTA[SUPPLIER_H],Sheet1!A:A)</f>
        <v>DAVIS MANDIRI GLOBALINDO</v>
      </c>
      <c r="AS144" t="str">
        <f>Table17[[#This Row],[NAMA_C]]</f>
        <v>DISPENSER TS-0032</v>
      </c>
      <c r="AT144" t="str">
        <f ca="1">Table17[[#This Row],[SUPPLIER]]</f>
        <v>DAVIS MANDIRI GLOBALINDO</v>
      </c>
      <c r="AU144" t="str">
        <f>SUBSTITUTE(Table17[[#This Row],[CTN]],",",".")</f>
        <v>10</v>
      </c>
      <c r="AV144" s="13" t="str">
        <f>Table17[[#This Row],[ISI_C]]</f>
        <v>24</v>
      </c>
      <c r="AW144" t="str">
        <f>Table17[[#This Row],[SATUAN_C]]</f>
        <v>PCS</v>
      </c>
      <c r="AX144">
        <f>Table17[[#This Row],[HARGA CONV2]]</f>
        <v>12500</v>
      </c>
      <c r="AY144" s="9" t="str">
        <f>SUBSTITUTE(Table17[[#This Row],[DISC 3]],",",".")</f>
        <v/>
      </c>
      <c r="AZ144" s="6">
        <f ca="1">Table17[[#This Row],[TGL DATANG]]</f>
        <v>45488</v>
      </c>
      <c r="BA144" s="6">
        <f ca="1">Table17[[#This Row],[Column10]]</f>
        <v>45482</v>
      </c>
      <c r="BB144" s="7"/>
      <c r="BC144" t="str">
        <f>Table17[[#This Row],[KETERANGAN CONDRO]]</f>
        <v/>
      </c>
      <c r="BD144" t="str">
        <f ca="1">Table17[[#This Row],[Column6]]</f>
        <v>81175/JL/UTM/0724</v>
      </c>
    </row>
    <row r="145" spans="1:56">
      <c r="A145" s="55">
        <v>187</v>
      </c>
      <c r="C145">
        <f>INDEX(NOTA[//DB],Sheet1!A:A)</f>
        <v>3437</v>
      </c>
      <c r="D145">
        <f>_xlfn.IFNA(MATCH(Table17[[#This Row],[//db]],[3]!Table2[\\],0),"")</f>
        <v>932</v>
      </c>
      <c r="E145" t="str">
        <f>INDEX([3]!db[NB NOTA],Table17[[#This Row],[//db]])</f>
        <v>CUTTER L500-JZ</v>
      </c>
      <c r="F145" t="str">
        <f>INDEX([3]!db[NB BM],Table17[[#This Row],[//db]])</f>
        <v>CUTTER L500-JZ</v>
      </c>
      <c r="G145" t="str">
        <f>IF(Table17[[#This Row],[dbconcat]]="","",INDEX([3]!Table2[NAMA],Table17[[#This Row],[dbconcat]]))</f>
        <v>CUTTER L500-JZ</v>
      </c>
      <c r="H145" t="str">
        <f>INDEX([3]!Table2[KODE BARANG],Table17[[#This Row],[dbconcat]])</f>
        <v>CUT-NB3</v>
      </c>
      <c r="I145" t="str">
        <f>IF(Table17[[#This Row],[NAMA_3]]="",UPPER(Table17[[#This Row],[NAMA_2]]),Table17[[#This Row],[NAMA_3]])</f>
        <v>CUTTER L500-JZ</v>
      </c>
      <c r="J145">
        <f>INDEX(NOTA[QTY],Sheet1!A:A)</f>
        <v>1200</v>
      </c>
      <c r="K145" t="str">
        <f>INDEX(NOTA[STN],Sheet1!A:A)</f>
        <v>PCS</v>
      </c>
      <c r="L145" t="str">
        <f>INDEX([3]!db[QTY B],Table17[[#This Row],[//db]])</f>
        <v>240</v>
      </c>
      <c r="M145" t="str">
        <f>INDEX([3]!db[STN B],Table17[[#This Row],[//db]])</f>
        <v>PCS</v>
      </c>
      <c r="N145" t="str">
        <f>IF(Table17[[#This Row],[SATUAN NOTA]]=Table17[[#This Row],[SATUAN DB]],"", MATCH(CONCATENATE(Table17[[#This Row],[SATUAN NOTA]],Table17[[#This Row],[SATUAN DB]]),Table2[4],0))</f>
        <v/>
      </c>
      <c r="O145" t="str" cm="1">
        <f t="array" ref="O145">IF(Table17[[#This Row],[//CONV]]="","",INDEX(Table2[3],Table17[[#This Row],[//CONV]]))</f>
        <v/>
      </c>
      <c r="P145" t="str">
        <f>IF(Table17[[#This Row],[//CONV]]="",Table17[[#This Row],[ISI DB]],Table17[[#This Row],[ISI NOTA]]*Table17[[#This Row],[CONV VAR]])</f>
        <v>240</v>
      </c>
      <c r="Q145" t="str" cm="1">
        <f t="array" ref="Q145">IF(Table17[[#This Row],[//CONV]]="",Table17[[#This Row],[SATUAN DB]],INDEX(Table2[2],Table17[[#This Row],[//CONV]]))</f>
        <v>PCS</v>
      </c>
      <c r="R145" cm="1">
        <f t="array" ref="R145">IF(Table17[[#This Row],[dbconcat]]="","",INDEX([3]!Table2[ISI],Table17[[#This Row],[dbconcat]]))</f>
        <v>20</v>
      </c>
      <c r="S145" t="str" cm="1">
        <f t="array" ref="S145">IF(Table17[[#This Row],[dbconcat]]="","",INDEX([3]!Table2[[SATUAN ]],Table17[[#This Row],[dbconcat]]))</f>
        <v>LSN</v>
      </c>
      <c r="T145">
        <f>IF(Table17[[#This Row],[SATUAN S]]="","",IF(_xlfn.NUMBERVALUE(Table17[[#This Row],[ISI DB]])=_xlfn.NUMBERVALUE(Table17[[#This Row],[ISI S]]),"",1))</f>
        <v>1</v>
      </c>
      <c r="U145">
        <f>IF(Table17[[#This Row],[SATUAN S]]="","",IF(Table17[[#This Row],[SATUAN DB]]=Table17[[#This Row],[SATUAN S]],"",1))</f>
        <v>1</v>
      </c>
      <c r="V145">
        <f>IF(Table17[[#This Row],[CEK STN S]]="","",MATCH(CONCATENATE(Table17[[#This Row],[SATUAN CONV]],Table17[[#This Row],[SATUAN S]]),Table2[4],0))</f>
        <v>2</v>
      </c>
      <c r="X145" cm="1">
        <f t="array" ref="X145">IF(Table17[[#This Row],[CONV2_//]]="","",INDEX(Table2[3],Table17[[#This Row],[CONV2_//]]))</f>
        <v>8.3333333333333329E-2</v>
      </c>
      <c r="Y145" s="2">
        <f>IF(Table17[[#This Row],[CEK ISI S]]="",Table17[[#This Row],[ISI DB]],Table17[[#This Row],[ISI S]])</f>
        <v>20</v>
      </c>
      <c r="Z145" t="str">
        <f>IF(Table17[[#This Row],[CEK STN S]]="",Table17[[#This Row],[SATUAN DB]],Table17[[#This Row],[SATUAN S]])</f>
        <v>LSN</v>
      </c>
      <c r="AA145">
        <f>IF(Table17[[#This Row],[//CONV]]="",Table17[[#This Row],[ISI NOTA]]/Table17[[#This Row],[ISI_C]],Table17[[#This Row],[ISI DB CONV]]/Table17[[#This Row],[ISI_C]])</f>
        <v>60</v>
      </c>
      <c r="AB145">
        <f>INDEX(NOTA[HARGA SATUAN],Sheet1!A:A)</f>
        <v>5500</v>
      </c>
      <c r="AC145">
        <f>IF(Table17[[#This Row],[//CONV]]="",Table17[[#This Row],[HARGA NOTA]],Table17[[#This Row],[HARGA NOTA]]/Table17[[#This Row],[CONV VAR]])</f>
        <v>5500</v>
      </c>
      <c r="AD145">
        <f>IF(Table17[[#This Row],[CEK STN S]]="",Table17[[#This Row],[HARGA CONV]],Table17[[#This Row],[HARGA CONV]]/Table17[[#This Row],[CONV2 VAR]])</f>
        <v>66000</v>
      </c>
      <c r="AE145" s="3" t="str">
        <f>IF(INDEX(NOTA[Column6],Sheet1!A:A)=0,"",INDEX(NOTA[Column6],Sheet1!A:A))</f>
        <v/>
      </c>
      <c r="AF145" s="3" t="str">
        <f>IF(INDEX(NOTA[Column7],Sheet1!A:A)=0,"",INDEX(NOTA[Column7],Sheet1!A:A))</f>
        <v/>
      </c>
      <c r="AG14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5" s="4">
        <f>INDEX(NOTA[HARGA/ CTN_H],Sheet1!A:A)</f>
        <v>1320000</v>
      </c>
      <c r="AI145" s="4">
        <f>IF(Table17[[#This Row],[DISC 3]]="",Table17[[#This Row],[HRG / CTN]],Table17[[#This Row],[HRG / CTN]]-(Table17[[#This Row],[HRG / CTN]]*Table17[[#This Row],[DISC 3]]))</f>
        <v>1320000</v>
      </c>
      <c r="AJ145" s="5" t="e">
        <f>IF(#REF!&lt;1,Table17[[#This Row],[Column9]],Table17[[#This Row],[Column9]]*#REF!)</f>
        <v>#REF!</v>
      </c>
      <c r="AK145" s="4" t="e">
        <f ca="1">IF(NOT(AP146=Table17[[#This Row],[Column6]]),SUMIF(Table17[Column6],Table17[[#This Row],[Column6]],Table17[Column7]),"")</f>
        <v>#REF!</v>
      </c>
      <c r="AL145" s="6">
        <f ca="1">INDEX(NOTA[TGL_H],Sheet1!A:A)</f>
        <v>45488</v>
      </c>
      <c r="AM145" s="6">
        <f ca="1">INDEX(NOTA[TGL.NOTA_H],Sheet1!A:A)</f>
        <v>45482</v>
      </c>
      <c r="AO145" t="str">
        <f>IF(INDEX(NOTA[Column10],A:A)="","",INDEX(NOTA[Column10],A:A))</f>
        <v/>
      </c>
      <c r="AP145" t="str">
        <f ca="1">INDEX(NOTA[NO.NOTA_H],Sheet1!A:A)</f>
        <v>81175/JL/UTM/0724</v>
      </c>
      <c r="AQ145">
        <f>INDEX(NOTA[Column10],Sheet1!A:A)</f>
        <v>0</v>
      </c>
      <c r="AR145" s="8" t="str">
        <f ca="1">INDEX(NOTA[SUPPLIER_H],Sheet1!A:A)</f>
        <v>DAVIS MANDIRI GLOBALINDO</v>
      </c>
      <c r="AS145" t="str">
        <f>Table17[[#This Row],[NAMA_C]]</f>
        <v>CUTTER L500-JZ</v>
      </c>
      <c r="AT145" t="str">
        <f ca="1">Table17[[#This Row],[SUPPLIER]]</f>
        <v>DAVIS MANDIRI GLOBALINDO</v>
      </c>
      <c r="AU145" t="str">
        <f>SUBSTITUTE(Table17[[#This Row],[CTN]],",",".")</f>
        <v>60</v>
      </c>
      <c r="AV145" s="13">
        <f>Table17[[#This Row],[ISI_C]]</f>
        <v>20</v>
      </c>
      <c r="AW145" t="str">
        <f>Table17[[#This Row],[SATUAN_C]]</f>
        <v>LSN</v>
      </c>
      <c r="AX145">
        <f>Table17[[#This Row],[HARGA CONV2]]</f>
        <v>66000</v>
      </c>
      <c r="AY145" s="9" t="str">
        <f>SUBSTITUTE(Table17[[#This Row],[DISC 3]],",",".")</f>
        <v/>
      </c>
      <c r="AZ145" s="6">
        <f ca="1">Table17[[#This Row],[TGL DATANG]]</f>
        <v>45488</v>
      </c>
      <c r="BA145" s="6">
        <f ca="1">Table17[[#This Row],[Column10]]</f>
        <v>45482</v>
      </c>
      <c r="BB145" s="7"/>
      <c r="BC145" t="str">
        <f>Table17[[#This Row],[KETERANGAN CONDRO]]</f>
        <v/>
      </c>
      <c r="BD145" t="str">
        <f ca="1">Table17[[#This Row],[Column6]]</f>
        <v>81175/JL/UTM/0724</v>
      </c>
    </row>
    <row r="146" spans="1:56">
      <c r="A146" s="55">
        <v>189</v>
      </c>
      <c r="C146">
        <f>INDEX(NOTA[//DB],Sheet1!A:A)</f>
        <v>1987</v>
      </c>
      <c r="D146">
        <f>_xlfn.IFNA(MATCH(Table17[[#This Row],[//db]],[3]!Table2[\\],0),"")</f>
        <v>1625</v>
      </c>
      <c r="E146" t="str">
        <f>INDEX([3]!db[NB NOTA],Table17[[#This Row],[//db]])</f>
        <v>LILIN SHINTOENG 12 BTG</v>
      </c>
      <c r="F146" t="str">
        <f>INDEX([3]!db[NB BM],Table17[[#This Row],[//db]])</f>
        <v>LILIN SHINTOENG 12 BATANG</v>
      </c>
      <c r="G146" t="str">
        <f>IF(Table17[[#This Row],[dbconcat]]="","",INDEX([3]!Table2[NAMA],Table17[[#This Row],[dbconcat]]))</f>
        <v>LILIN SHINTOENG 12 BATANG</v>
      </c>
      <c r="H146" t="str">
        <f>INDEX([3]!Table2[KODE BARANG],Table17[[#This Row],[dbconcat]])</f>
        <v>LIL-SH4</v>
      </c>
      <c r="I146" t="str">
        <f>IF(Table17[[#This Row],[NAMA_3]]="",UPPER(Table17[[#This Row],[NAMA_2]]),Table17[[#This Row],[NAMA_3]])</f>
        <v>LILIN SHINTOENG 12 BATANG</v>
      </c>
      <c r="J146">
        <f>INDEX(NOTA[QTY],Sheet1!A:A)</f>
        <v>10</v>
      </c>
      <c r="K146" t="str">
        <f>INDEX(NOTA[STN],Sheet1!A:A)</f>
        <v>LSN</v>
      </c>
      <c r="L146" t="str">
        <f>INDEX([3]!db[QTY B],Table17[[#This Row],[//db]])</f>
        <v>50</v>
      </c>
      <c r="M146" t="str">
        <f>INDEX([3]!db[STN B],Table17[[#This Row],[//db]])</f>
        <v>LSN</v>
      </c>
      <c r="N146" t="str">
        <f>IF(Table17[[#This Row],[SATUAN NOTA]]=Table17[[#This Row],[SATUAN DB]],"", MATCH(CONCATENATE(Table17[[#This Row],[SATUAN NOTA]],Table17[[#This Row],[SATUAN DB]]),Table2[4],0))</f>
        <v/>
      </c>
      <c r="O146" t="str" cm="1">
        <f t="array" ref="O146">IF(Table17[[#This Row],[//CONV]]="","",INDEX(Table2[3],Table17[[#This Row],[//CONV]]))</f>
        <v/>
      </c>
      <c r="P146" t="str">
        <f>IF(Table17[[#This Row],[//CONV]]="",Table17[[#This Row],[ISI DB]],Table17[[#This Row],[ISI NOTA]]*Table17[[#This Row],[CONV VAR]])</f>
        <v>50</v>
      </c>
      <c r="Q146" t="str" cm="1">
        <f t="array" ref="Q146">IF(Table17[[#This Row],[//CONV]]="",Table17[[#This Row],[SATUAN DB]],INDEX(Table2[2],Table17[[#This Row],[//CONV]]))</f>
        <v>LSN</v>
      </c>
      <c r="R146" cm="1">
        <f t="array" ref="R146">IF(Table17[[#This Row],[dbconcat]]="","",INDEX([3]!Table2[ISI],Table17[[#This Row],[dbconcat]]))</f>
        <v>50</v>
      </c>
      <c r="S146" t="str" cm="1">
        <f t="array" ref="S146">IF(Table17[[#This Row],[dbconcat]]="","",INDEX([3]!Table2[[SATUAN ]],Table17[[#This Row],[dbconcat]]))</f>
        <v>LSN</v>
      </c>
      <c r="T146" t="str">
        <f>IF(Table17[[#This Row],[SATUAN S]]="","",IF(_xlfn.NUMBERVALUE(Table17[[#This Row],[ISI DB]])=_xlfn.NUMBERVALUE(Table17[[#This Row],[ISI S]]),"",1))</f>
        <v/>
      </c>
      <c r="U146" t="str">
        <f>IF(Table17[[#This Row],[SATUAN S]]="","",IF(Table17[[#This Row],[SATUAN DB]]=Table17[[#This Row],[SATUAN S]],"",1))</f>
        <v/>
      </c>
      <c r="V146" t="str">
        <f>IF(Table17[[#This Row],[CEK STN S]]="","",MATCH(CONCATENATE(Table17[[#This Row],[SATUAN CONV]],Table17[[#This Row],[SATUAN S]]),Table2[4],0))</f>
        <v/>
      </c>
      <c r="X146" t="str" cm="1">
        <f t="array" ref="X146">IF(Table17[[#This Row],[CONV2_//]]="","",INDEX(Table2[3],Table17[[#This Row],[CONV2_//]]))</f>
        <v/>
      </c>
      <c r="Y146" s="2" t="str">
        <f>IF(Table17[[#This Row],[CEK ISI S]]="",Table17[[#This Row],[ISI DB]],Table17[[#This Row],[ISI S]])</f>
        <v>50</v>
      </c>
      <c r="Z146" t="str">
        <f>IF(Table17[[#This Row],[CEK STN S]]="",Table17[[#This Row],[SATUAN DB]],Table17[[#This Row],[SATUAN S]])</f>
        <v>LSN</v>
      </c>
      <c r="AA146">
        <f>IF(Table17[[#This Row],[//CONV]]="",Table17[[#This Row],[ISI NOTA]]/Table17[[#This Row],[ISI_C]],Table17[[#This Row],[ISI DB CONV]]/Table17[[#This Row],[ISI_C]])</f>
        <v>0.2</v>
      </c>
      <c r="AB146">
        <f>INDEX(NOTA[HARGA SATUAN],Sheet1!A:A)</f>
        <v>39000</v>
      </c>
      <c r="AC146">
        <f>IF(Table17[[#This Row],[//CONV]]="",Table17[[#This Row],[HARGA NOTA]],Table17[[#This Row],[HARGA NOTA]]/Table17[[#This Row],[CONV VAR]])</f>
        <v>39000</v>
      </c>
      <c r="AD146">
        <f>IF(Table17[[#This Row],[CEK STN S]]="",Table17[[#This Row],[HARGA CONV]],Table17[[#This Row],[HARGA CONV]]/Table17[[#This Row],[CONV2 VAR]])</f>
        <v>39000</v>
      </c>
      <c r="AE146" s="3" t="str">
        <f>IF(INDEX(NOTA[Column6],Sheet1!A:A)=0,"",INDEX(NOTA[Column6],Sheet1!A:A))</f>
        <v/>
      </c>
      <c r="AF146" s="3" t="str">
        <f>IF(INDEX(NOTA[Column7],Sheet1!A:A)=0,"",INDEX(NOTA[Column7],Sheet1!A:A))</f>
        <v/>
      </c>
      <c r="AG14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6" s="4">
        <f>INDEX(NOTA[HARGA/ CTN_H],Sheet1!A:A)</f>
        <v>390000</v>
      </c>
      <c r="AI146" s="4">
        <f>IF(Table17[[#This Row],[DISC 3]]="",Table17[[#This Row],[HRG / CTN]],Table17[[#This Row],[HRG / CTN]]-(Table17[[#This Row],[HRG / CTN]]*Table17[[#This Row],[DISC 3]]))</f>
        <v>390000</v>
      </c>
      <c r="AJ146" s="5" t="e">
        <f>IF(#REF!&lt;1,Table17[[#This Row],[Column9]],Table17[[#This Row],[Column9]]*#REF!)</f>
        <v>#REF!</v>
      </c>
      <c r="AK146" s="4" t="str">
        <f ca="1">IF(NOT(AP147=Table17[[#This Row],[Column6]]),SUMIF(Table17[Column6],Table17[[#This Row],[Column6]],Table17[Column7]),"")</f>
        <v/>
      </c>
      <c r="AL146" s="6">
        <f ca="1">INDEX(NOTA[TGL_H],Sheet1!A:A)</f>
        <v>45488</v>
      </c>
      <c r="AM146" s="6">
        <f ca="1">INDEX(NOTA[TGL.NOTA_H],Sheet1!A:A)</f>
        <v>45488</v>
      </c>
      <c r="AO146" t="str">
        <f>IF(INDEX(NOTA[Column10],A:A)="","",INDEX(NOTA[Column10],A:A))</f>
        <v/>
      </c>
      <c r="AP146" t="str">
        <f ca="1">INDEX(NOTA[NO.NOTA_H],Sheet1!A:A)</f>
        <v>HN072024183</v>
      </c>
      <c r="AQ146">
        <f>INDEX(NOTA[Column10],Sheet1!A:A)</f>
        <v>0</v>
      </c>
      <c r="AR146" s="8" t="str">
        <f ca="1">INDEX(NOTA[SUPPLIER_H],Sheet1!A:A)</f>
        <v>HANSA</v>
      </c>
      <c r="AS146" t="str">
        <f>Table17[[#This Row],[NAMA_C]]</f>
        <v>LILIN SHINTOENG 12 BATANG</v>
      </c>
      <c r="AT146" t="str">
        <f ca="1">Table17[[#This Row],[SUPPLIER]]</f>
        <v>HANSA</v>
      </c>
      <c r="AU146" t="str">
        <f>SUBSTITUTE(Table17[[#This Row],[CTN]],",",".")</f>
        <v>0.2</v>
      </c>
      <c r="AV146" s="13" t="str">
        <f>Table17[[#This Row],[ISI_C]]</f>
        <v>50</v>
      </c>
      <c r="AW146" t="str">
        <f>Table17[[#This Row],[SATUAN_C]]</f>
        <v>LSN</v>
      </c>
      <c r="AX146">
        <f>Table17[[#This Row],[HARGA CONV2]]</f>
        <v>39000</v>
      </c>
      <c r="AY146" s="9" t="str">
        <f>SUBSTITUTE(Table17[[#This Row],[DISC 3]],",",".")</f>
        <v/>
      </c>
      <c r="AZ146" s="6">
        <f ca="1">Table17[[#This Row],[TGL DATANG]]</f>
        <v>45488</v>
      </c>
      <c r="BA146" s="6">
        <f ca="1">Table17[[#This Row],[Column10]]</f>
        <v>45488</v>
      </c>
      <c r="BB146" s="7"/>
      <c r="BC146" t="str">
        <f>Table17[[#This Row],[KETERANGAN CONDRO]]</f>
        <v/>
      </c>
      <c r="BD146" t="str">
        <f ca="1">Table17[[#This Row],[Column6]]</f>
        <v>HN072024183</v>
      </c>
    </row>
    <row r="147" spans="1:56">
      <c r="A147" s="55">
        <v>190</v>
      </c>
      <c r="C147">
        <f>INDEX(NOTA[//DB],Sheet1!A:A)</f>
        <v>1988</v>
      </c>
      <c r="D147">
        <f>_xlfn.IFNA(MATCH(Table17[[#This Row],[//db]],[3]!Table2[\\],0),"")</f>
        <v>1626</v>
      </c>
      <c r="E147" t="str">
        <f>INDEX([3]!db[NB NOTA],Table17[[#This Row],[//db]])</f>
        <v>LILIN SHINTOENG 24 BTG</v>
      </c>
      <c r="F147" t="str">
        <f>INDEX([3]!db[NB BM],Table17[[#This Row],[//db]])</f>
        <v>Lilin Shintoeng 24 BATANG</v>
      </c>
      <c r="G147" t="str">
        <f>IF(Table17[[#This Row],[dbconcat]]="","",INDEX([3]!Table2[NAMA],Table17[[#This Row],[dbconcat]]))</f>
        <v>LILIN SHINTOENG 24 BATANG</v>
      </c>
      <c r="H147" t="str">
        <f>INDEX([3]!Table2[KODE BARANG],Table17[[#This Row],[dbconcat]])</f>
        <v>LIL-SH6</v>
      </c>
      <c r="I147" t="str">
        <f>IF(Table17[[#This Row],[NAMA_3]]="",UPPER(Table17[[#This Row],[NAMA_2]]),Table17[[#This Row],[NAMA_3]])</f>
        <v>LILIN SHINTOENG 24 BATANG</v>
      </c>
      <c r="J147">
        <f>INDEX(NOTA[QTY],Sheet1!A:A)</f>
        <v>10</v>
      </c>
      <c r="K147" t="str">
        <f>INDEX(NOTA[STN],Sheet1!A:A)</f>
        <v>LSN</v>
      </c>
      <c r="L147" t="str">
        <f>INDEX([3]!db[QTY B],Table17[[#This Row],[//db]])</f>
        <v>40</v>
      </c>
      <c r="M147" t="str">
        <f>INDEX([3]!db[STN B],Table17[[#This Row],[//db]])</f>
        <v>LSN</v>
      </c>
      <c r="N147" t="str">
        <f>IF(Table17[[#This Row],[SATUAN NOTA]]=Table17[[#This Row],[SATUAN DB]],"", MATCH(CONCATENATE(Table17[[#This Row],[SATUAN NOTA]],Table17[[#This Row],[SATUAN DB]]),Table2[4],0))</f>
        <v/>
      </c>
      <c r="O147" t="str" cm="1">
        <f t="array" ref="O147">IF(Table17[[#This Row],[//CONV]]="","",INDEX(Table2[3],Table17[[#This Row],[//CONV]]))</f>
        <v/>
      </c>
      <c r="P147" t="str">
        <f>IF(Table17[[#This Row],[//CONV]]="",Table17[[#This Row],[ISI DB]],Table17[[#This Row],[ISI NOTA]]*Table17[[#This Row],[CONV VAR]])</f>
        <v>40</v>
      </c>
      <c r="Q147" t="str" cm="1">
        <f t="array" ref="Q147">IF(Table17[[#This Row],[//CONV]]="",Table17[[#This Row],[SATUAN DB]],INDEX(Table2[2],Table17[[#This Row],[//CONV]]))</f>
        <v>LSN</v>
      </c>
      <c r="R147" cm="1">
        <f t="array" ref="R147">IF(Table17[[#This Row],[dbconcat]]="","",INDEX([3]!Table2[ISI],Table17[[#This Row],[dbconcat]]))</f>
        <v>40</v>
      </c>
      <c r="S147" t="str" cm="1">
        <f t="array" ref="S147">IF(Table17[[#This Row],[dbconcat]]="","",INDEX([3]!Table2[[SATUAN ]],Table17[[#This Row],[dbconcat]]))</f>
        <v>LSN</v>
      </c>
      <c r="T147" t="str">
        <f>IF(Table17[[#This Row],[SATUAN S]]="","",IF(_xlfn.NUMBERVALUE(Table17[[#This Row],[ISI DB]])=_xlfn.NUMBERVALUE(Table17[[#This Row],[ISI S]]),"",1))</f>
        <v/>
      </c>
      <c r="U147" t="str">
        <f>IF(Table17[[#This Row],[SATUAN S]]="","",IF(Table17[[#This Row],[SATUAN DB]]=Table17[[#This Row],[SATUAN S]],"",1))</f>
        <v/>
      </c>
      <c r="V147" t="str">
        <f>IF(Table17[[#This Row],[CEK STN S]]="","",MATCH(CONCATENATE(Table17[[#This Row],[SATUAN CONV]],Table17[[#This Row],[SATUAN S]]),Table2[4],0))</f>
        <v/>
      </c>
      <c r="X147" t="str" cm="1">
        <f t="array" ref="X147">IF(Table17[[#This Row],[CONV2_//]]="","",INDEX(Table2[3],Table17[[#This Row],[CONV2_//]]))</f>
        <v/>
      </c>
      <c r="Y147" s="2" t="str">
        <f>IF(Table17[[#This Row],[CEK ISI S]]="",Table17[[#This Row],[ISI DB]],Table17[[#This Row],[ISI S]])</f>
        <v>40</v>
      </c>
      <c r="Z147" t="str">
        <f>IF(Table17[[#This Row],[CEK STN S]]="",Table17[[#This Row],[SATUAN DB]],Table17[[#This Row],[SATUAN S]])</f>
        <v>LSN</v>
      </c>
      <c r="AA147">
        <f>IF(Table17[[#This Row],[//CONV]]="",Table17[[#This Row],[ISI NOTA]]/Table17[[#This Row],[ISI_C]],Table17[[#This Row],[ISI DB CONV]]/Table17[[#This Row],[ISI_C]])</f>
        <v>0.25</v>
      </c>
      <c r="AB147">
        <f>INDEX(NOTA[HARGA SATUAN],Sheet1!A:A)</f>
        <v>41000</v>
      </c>
      <c r="AC147">
        <f>IF(Table17[[#This Row],[//CONV]]="",Table17[[#This Row],[HARGA NOTA]],Table17[[#This Row],[HARGA NOTA]]/Table17[[#This Row],[CONV VAR]])</f>
        <v>41000</v>
      </c>
      <c r="AD147">
        <f>IF(Table17[[#This Row],[CEK STN S]]="",Table17[[#This Row],[HARGA CONV]],Table17[[#This Row],[HARGA CONV]]/Table17[[#This Row],[CONV2 VAR]])</f>
        <v>41000</v>
      </c>
      <c r="AE147" s="3" t="str">
        <f>IF(INDEX(NOTA[Column6],Sheet1!A:A)=0,"",INDEX(NOTA[Column6],Sheet1!A:A))</f>
        <v/>
      </c>
      <c r="AF147" s="3" t="str">
        <f>IF(INDEX(NOTA[Column7],Sheet1!A:A)=0,"",INDEX(NOTA[Column7],Sheet1!A:A))</f>
        <v/>
      </c>
      <c r="AG14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47" s="4">
        <f>INDEX(NOTA[HARGA/ CTN_H],Sheet1!A:A)</f>
        <v>410000</v>
      </c>
      <c r="AI147" s="4">
        <f>IF(Table17[[#This Row],[DISC 3]]="",Table17[[#This Row],[HRG / CTN]],Table17[[#This Row],[HRG / CTN]]-(Table17[[#This Row],[HRG / CTN]]*Table17[[#This Row],[DISC 3]]))</f>
        <v>410000</v>
      </c>
      <c r="AJ147" s="5" t="e">
        <f>IF(#REF!&lt;1,Table17[[#This Row],[Column9]],Table17[[#This Row],[Column9]]*#REF!)</f>
        <v>#REF!</v>
      </c>
      <c r="AK147" s="4" t="e">
        <f ca="1">IF(NOT(AP148=Table17[[#This Row],[Column6]]),SUMIF(Table17[Column6],Table17[[#This Row],[Column6]],Table17[Column7]),"")</f>
        <v>#REF!</v>
      </c>
      <c r="AL147" s="6">
        <f ca="1">INDEX(NOTA[TGL_H],Sheet1!A:A)</f>
        <v>45488</v>
      </c>
      <c r="AM147" s="6">
        <f ca="1">INDEX(NOTA[TGL.NOTA_H],Sheet1!A:A)</f>
        <v>45488</v>
      </c>
      <c r="AO147" t="str">
        <f>IF(INDEX(NOTA[Column10],A:A)="","",INDEX(NOTA[Column10],A:A))</f>
        <v/>
      </c>
      <c r="AP147" t="str">
        <f ca="1">INDEX(NOTA[NO.NOTA_H],Sheet1!A:A)</f>
        <v>HN072024183</v>
      </c>
      <c r="AQ147">
        <f>INDEX(NOTA[Column10],Sheet1!A:A)</f>
        <v>0</v>
      </c>
      <c r="AR147" s="8" t="str">
        <f ca="1">INDEX(NOTA[SUPPLIER_H],Sheet1!A:A)</f>
        <v>HANSA</v>
      </c>
      <c r="AS147" t="str">
        <f>Table17[[#This Row],[NAMA_C]]</f>
        <v>LILIN SHINTOENG 24 BATANG</v>
      </c>
      <c r="AT147" t="str">
        <f ca="1">Table17[[#This Row],[SUPPLIER]]</f>
        <v>HANSA</v>
      </c>
      <c r="AU147" t="str">
        <f>SUBSTITUTE(Table17[[#This Row],[CTN]],",",".")</f>
        <v>0.25</v>
      </c>
      <c r="AV147" s="13" t="str">
        <f>Table17[[#This Row],[ISI_C]]</f>
        <v>40</v>
      </c>
      <c r="AW147" t="str">
        <f>Table17[[#This Row],[SATUAN_C]]</f>
        <v>LSN</v>
      </c>
      <c r="AX147">
        <f>Table17[[#This Row],[HARGA CONV2]]</f>
        <v>41000</v>
      </c>
      <c r="AY147" s="9" t="str">
        <f>SUBSTITUTE(Table17[[#This Row],[DISC 3]],",",".")</f>
        <v/>
      </c>
      <c r="AZ147" s="6">
        <f ca="1">Table17[[#This Row],[TGL DATANG]]</f>
        <v>45488</v>
      </c>
      <c r="BA147" s="6">
        <f ca="1">Table17[[#This Row],[Column10]]</f>
        <v>45488</v>
      </c>
      <c r="BB147" s="7"/>
      <c r="BC147" t="str">
        <f>Table17[[#This Row],[KETERANGAN CONDRO]]</f>
        <v/>
      </c>
      <c r="BD147" t="str">
        <f ca="1">Table17[[#This Row],[Column6]]</f>
        <v>HN072024183</v>
      </c>
    </row>
    <row r="148" spans="1:56">
      <c r="A148" s="55">
        <v>192</v>
      </c>
      <c r="C148">
        <f>INDEX(NOTA[//DB],Sheet1!A:A)</f>
        <v>2295</v>
      </c>
      <c r="D148">
        <f>_xlfn.IFNA(MATCH(Table17[[#This Row],[//db]],[3]!Table2[\\],0),"")</f>
        <v>2857</v>
      </c>
      <c r="E148" t="str">
        <f>INDEX([3]!db[NB NOTA],Table17[[#This Row],[//db]])</f>
        <v>P BAG BATIK TG TALI PUTIH</v>
      </c>
      <c r="F148" t="str">
        <f>INDEX([3]!db[NB BM],Table17[[#This Row],[//db]])</f>
        <v xml:space="preserve">TAS BATIK T ALPINDO </v>
      </c>
      <c r="G148" t="str">
        <f>IF(Table17[[#This Row],[dbconcat]]="","",INDEX([3]!Table2[NAMA],Table17[[#This Row],[dbconcat]]))</f>
        <v>TAS BATIK T ALPINDO</v>
      </c>
      <c r="H148" t="str">
        <f>INDEX([3]!Table2[KODE BARANG],Table17[[#This Row],[dbconcat]])</f>
        <v>TAS-NB64</v>
      </c>
      <c r="I148" t="str">
        <f>IF(Table17[[#This Row],[NAMA_3]]="",UPPER(Table17[[#This Row],[NAMA_2]]),Table17[[#This Row],[NAMA_3]])</f>
        <v>TAS BATIK T ALPINDO</v>
      </c>
      <c r="J148">
        <f>INDEX(NOTA[QTY],Sheet1!A:A)</f>
        <v>250</v>
      </c>
      <c r="K148" t="str">
        <f>INDEX(NOTA[STN],Sheet1!A:A)</f>
        <v>LSN</v>
      </c>
      <c r="L148" t="str">
        <f>INDEX([3]!db[QTY B],Table17[[#This Row],[//db]])</f>
        <v>50</v>
      </c>
      <c r="M148" t="str">
        <f>INDEX([3]!db[STN B],Table17[[#This Row],[//db]])</f>
        <v>LSN</v>
      </c>
      <c r="N148" t="str">
        <f>IF(Table17[[#This Row],[SATUAN NOTA]]=Table17[[#This Row],[SATUAN DB]],"", MATCH(CONCATENATE(Table17[[#This Row],[SATUAN NOTA]],Table17[[#This Row],[SATUAN DB]]),Table2[4],0))</f>
        <v/>
      </c>
      <c r="O148" t="str" cm="1">
        <f t="array" ref="O148">IF(Table17[[#This Row],[//CONV]]="","",INDEX(Table2[3],Table17[[#This Row],[//CONV]]))</f>
        <v/>
      </c>
      <c r="P148" t="str">
        <f>IF(Table17[[#This Row],[//CONV]]="",Table17[[#This Row],[ISI DB]],Table17[[#This Row],[ISI NOTA]]*Table17[[#This Row],[CONV VAR]])</f>
        <v>50</v>
      </c>
      <c r="Q148" t="str" cm="1">
        <f t="array" ref="Q148">IF(Table17[[#This Row],[//CONV]]="",Table17[[#This Row],[SATUAN DB]],INDEX(Table2[2],Table17[[#This Row],[//CONV]]))</f>
        <v>LSN</v>
      </c>
      <c r="R148" cm="1">
        <f t="array" ref="R148">IF(Table17[[#This Row],[dbconcat]]="","",INDEX([3]!Table2[ISI],Table17[[#This Row],[dbconcat]]))</f>
        <v>50</v>
      </c>
      <c r="S148" t="str" cm="1">
        <f t="array" ref="S148">IF(Table17[[#This Row],[dbconcat]]="","",INDEX([3]!Table2[[SATUAN ]],Table17[[#This Row],[dbconcat]]))</f>
        <v>LSN</v>
      </c>
      <c r="T148" t="str">
        <f>IF(Table17[[#This Row],[SATUAN S]]="","",IF(_xlfn.NUMBERVALUE(Table17[[#This Row],[ISI DB]])=_xlfn.NUMBERVALUE(Table17[[#This Row],[ISI S]]),"",1))</f>
        <v/>
      </c>
      <c r="U148" t="str">
        <f>IF(Table17[[#This Row],[SATUAN S]]="","",IF(Table17[[#This Row],[SATUAN DB]]=Table17[[#This Row],[SATUAN S]],"",1))</f>
        <v/>
      </c>
      <c r="V148" t="str">
        <f>IF(Table17[[#This Row],[CEK STN S]]="","",MATCH(CONCATENATE(Table17[[#This Row],[SATUAN CONV]],Table17[[#This Row],[SATUAN S]]),Table2[4],0))</f>
        <v/>
      </c>
      <c r="X148" t="str" cm="1">
        <f t="array" ref="X148">IF(Table17[[#This Row],[CONV2_//]]="","",INDEX(Table2[3],Table17[[#This Row],[CONV2_//]]))</f>
        <v/>
      </c>
      <c r="Y148" s="2" t="str">
        <f>IF(Table17[[#This Row],[CEK ISI S]]="",Table17[[#This Row],[ISI DB]],Table17[[#This Row],[ISI S]])</f>
        <v>50</v>
      </c>
      <c r="Z148" t="str">
        <f>IF(Table17[[#This Row],[CEK STN S]]="",Table17[[#This Row],[SATUAN DB]],Table17[[#This Row],[SATUAN S]])</f>
        <v>LSN</v>
      </c>
      <c r="AA148">
        <f>IF(Table17[[#This Row],[//CONV]]="",Table17[[#This Row],[ISI NOTA]]/Table17[[#This Row],[ISI_C]],Table17[[#This Row],[ISI DB CONV]]/Table17[[#This Row],[ISI_C]])</f>
        <v>5</v>
      </c>
      <c r="AB148">
        <f>INDEX(NOTA[HARGA SATUAN],Sheet1!A:A)</f>
        <v>25000</v>
      </c>
      <c r="AC148">
        <f>IF(Table17[[#This Row],[//CONV]]="",Table17[[#This Row],[HARGA NOTA]],Table17[[#This Row],[HARGA NOTA]]/Table17[[#This Row],[CONV VAR]])</f>
        <v>25000</v>
      </c>
      <c r="AD148">
        <f>IF(Table17[[#This Row],[CEK STN S]]="",Table17[[#This Row],[HARGA CONV]],Table17[[#This Row],[HARGA CONV]]/Table17[[#This Row],[CONV2 VAR]])</f>
        <v>25000</v>
      </c>
      <c r="AE148" s="3">
        <f>IF(INDEX(NOTA[Column6],Sheet1!A:A)=0,"",INDEX(NOTA[Column6],Sheet1!A:A))</f>
        <v>0.1</v>
      </c>
      <c r="AF148" s="3" t="str">
        <f>IF(INDEX(NOTA[Column7],Sheet1!A:A)=0,"",INDEX(NOTA[Column7],Sheet1!A:A))</f>
        <v/>
      </c>
      <c r="AG148" s="3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H148" s="4">
        <f>INDEX(NOTA[HARGA/ CTN_H],Sheet1!A:A)</f>
        <v>1250000</v>
      </c>
      <c r="AI148" s="4">
        <f>IF(Table17[[#This Row],[DISC 3]]="",Table17[[#This Row],[HRG / CTN]],Table17[[#This Row],[HRG / CTN]]-(Table17[[#This Row],[HRG / CTN]]*Table17[[#This Row],[DISC 3]]))</f>
        <v>1125000</v>
      </c>
      <c r="AJ148" s="5" t="e">
        <f>IF(#REF!&lt;1,Table17[[#This Row],[Column9]],Table17[[#This Row],[Column9]]*#REF!)</f>
        <v>#REF!</v>
      </c>
      <c r="AK148" s="4" t="str">
        <f ca="1">IF(NOT(AP149=Table17[[#This Row],[Column6]]),SUMIF(Table17[Column6],Table17[[#This Row],[Column6]],Table17[Column7]),"")</f>
        <v/>
      </c>
      <c r="AL148" s="6">
        <f ca="1">INDEX(NOTA[TGL_H],Sheet1!A:A)</f>
        <v>45488</v>
      </c>
      <c r="AM148" s="6">
        <f ca="1">INDEX(NOTA[TGL.NOTA_H],Sheet1!A:A)</f>
        <v>45488</v>
      </c>
      <c r="AO148" t="str">
        <f>IF(INDEX(NOTA[Column10],A:A)="","",INDEX(NOTA[Column10],A:A))</f>
        <v/>
      </c>
      <c r="AP148" t="str">
        <f ca="1">INDEX(NOTA[NO.NOTA_H],Sheet1!A:A)</f>
        <v>I13</v>
      </c>
      <c r="AQ148">
        <f>INDEX(NOTA[Column10],Sheet1!A:A)</f>
        <v>0</v>
      </c>
      <c r="AR148" s="8" t="str">
        <f ca="1">INDEX(NOTA[SUPPLIER_H],Sheet1!A:A)</f>
        <v>ALPINDO</v>
      </c>
      <c r="AS148" t="str">
        <f>Table17[[#This Row],[NAMA_C]]</f>
        <v>TAS BATIK T ALPINDO</v>
      </c>
      <c r="AT148" t="str">
        <f ca="1">Table17[[#This Row],[SUPPLIER]]</f>
        <v>ALPINDO</v>
      </c>
      <c r="AU148" t="str">
        <f>SUBSTITUTE(Table17[[#This Row],[CTN]],",",".")</f>
        <v>5</v>
      </c>
      <c r="AV148" s="13" t="str">
        <f>Table17[[#This Row],[ISI_C]]</f>
        <v>50</v>
      </c>
      <c r="AW148" t="str">
        <f>Table17[[#This Row],[SATUAN_C]]</f>
        <v>LSN</v>
      </c>
      <c r="AX148">
        <f>Table17[[#This Row],[HARGA CONV2]]</f>
        <v>25000</v>
      </c>
      <c r="AY148" s="9" t="str">
        <f>SUBSTITUTE(Table17[[#This Row],[DISC 3]],",",".")</f>
        <v>0.1</v>
      </c>
      <c r="AZ148" s="6">
        <f ca="1">Table17[[#This Row],[TGL DATANG]]</f>
        <v>45488</v>
      </c>
      <c r="BA148" s="6">
        <f ca="1">Table17[[#This Row],[Column10]]</f>
        <v>45488</v>
      </c>
      <c r="BB148" s="7"/>
      <c r="BC148" t="str">
        <f>Table17[[#This Row],[KETERANGAN CONDRO]]</f>
        <v/>
      </c>
      <c r="BD148" t="str">
        <f ca="1">Table17[[#This Row],[Column6]]</f>
        <v>I13</v>
      </c>
    </row>
    <row r="149" spans="1:56">
      <c r="A149" s="55">
        <v>193</v>
      </c>
      <c r="C149">
        <f>INDEX(NOTA[//DB],Sheet1!A:A)</f>
        <v>2291</v>
      </c>
      <c r="D149">
        <f>_xlfn.IFNA(MATCH(Table17[[#This Row],[//db]],[3]!Table2[\\],0),"")</f>
        <v>2840</v>
      </c>
      <c r="E149" t="str">
        <f>INDEX([3]!db[NB NOTA],Table17[[#This Row],[//db]])</f>
        <v>P BAG BATIK B TALI PUTIH</v>
      </c>
      <c r="F149" t="str">
        <f>INDEX([3]!db[NB BM],Table17[[#This Row],[//db]])</f>
        <v>TAS BATIK B ALPINDO</v>
      </c>
      <c r="G149" t="str">
        <f>IF(Table17[[#This Row],[dbconcat]]="","",INDEX([3]!Table2[NAMA],Table17[[#This Row],[dbconcat]]))</f>
        <v>TAS BATIK B ALPINDO</v>
      </c>
      <c r="H149" t="str">
        <f>INDEX([3]!Table2[KODE BARANG],Table17[[#This Row],[dbconcat]])</f>
        <v>TAS-NB47</v>
      </c>
      <c r="I149" t="str">
        <f>IF(Table17[[#This Row],[NAMA_3]]="",UPPER(Table17[[#This Row],[NAMA_2]]),Table17[[#This Row],[NAMA_3]])</f>
        <v>TAS BATIK B ALPINDO</v>
      </c>
      <c r="J149">
        <f>INDEX(NOTA[QTY],Sheet1!A:A)</f>
        <v>250</v>
      </c>
      <c r="K149" t="str">
        <f>INDEX(NOTA[STN],Sheet1!A:A)</f>
        <v>LSN</v>
      </c>
      <c r="L149" t="str">
        <f>INDEX([3]!db[QTY B],Table17[[#This Row],[//db]])</f>
        <v>50</v>
      </c>
      <c r="M149" t="str">
        <f>INDEX([3]!db[STN B],Table17[[#This Row],[//db]])</f>
        <v>LSN</v>
      </c>
      <c r="N149" t="str">
        <f>IF(Table17[[#This Row],[SATUAN NOTA]]=Table17[[#This Row],[SATUAN DB]],"", MATCH(CONCATENATE(Table17[[#This Row],[SATUAN NOTA]],Table17[[#This Row],[SATUAN DB]]),Table2[4],0))</f>
        <v/>
      </c>
      <c r="O149" t="str" cm="1">
        <f t="array" ref="O149">IF(Table17[[#This Row],[//CONV]]="","",INDEX(Table2[3],Table17[[#This Row],[//CONV]]))</f>
        <v/>
      </c>
      <c r="P149" t="str">
        <f>IF(Table17[[#This Row],[//CONV]]="",Table17[[#This Row],[ISI DB]],Table17[[#This Row],[ISI NOTA]]*Table17[[#This Row],[CONV VAR]])</f>
        <v>50</v>
      </c>
      <c r="Q149" t="str" cm="1">
        <f t="array" ref="Q149">IF(Table17[[#This Row],[//CONV]]="",Table17[[#This Row],[SATUAN DB]],INDEX(Table2[2],Table17[[#This Row],[//CONV]]))</f>
        <v>LSN</v>
      </c>
      <c r="R149" cm="1">
        <f t="array" ref="R149">IF(Table17[[#This Row],[dbconcat]]="","",INDEX([3]!Table2[ISI],Table17[[#This Row],[dbconcat]]))</f>
        <v>50</v>
      </c>
      <c r="S149" t="str" cm="1">
        <f t="array" ref="S149">IF(Table17[[#This Row],[dbconcat]]="","",INDEX([3]!Table2[[SATUAN ]],Table17[[#This Row],[dbconcat]]))</f>
        <v>LSN</v>
      </c>
      <c r="T149" t="str">
        <f>IF(Table17[[#This Row],[SATUAN S]]="","",IF(_xlfn.NUMBERVALUE(Table17[[#This Row],[ISI DB]])=_xlfn.NUMBERVALUE(Table17[[#This Row],[ISI S]]),"",1))</f>
        <v/>
      </c>
      <c r="U149" t="str">
        <f>IF(Table17[[#This Row],[SATUAN S]]="","",IF(Table17[[#This Row],[SATUAN DB]]=Table17[[#This Row],[SATUAN S]],"",1))</f>
        <v/>
      </c>
      <c r="V149" t="str">
        <f>IF(Table17[[#This Row],[CEK STN S]]="","",MATCH(CONCATENATE(Table17[[#This Row],[SATUAN CONV]],Table17[[#This Row],[SATUAN S]]),Table2[4],0))</f>
        <v/>
      </c>
      <c r="X149" t="str" cm="1">
        <f t="array" ref="X149">IF(Table17[[#This Row],[CONV2_//]]="","",INDEX(Table2[3],Table17[[#This Row],[CONV2_//]]))</f>
        <v/>
      </c>
      <c r="Y149" s="2" t="str">
        <f>IF(Table17[[#This Row],[CEK ISI S]]="",Table17[[#This Row],[ISI DB]],Table17[[#This Row],[ISI S]])</f>
        <v>50</v>
      </c>
      <c r="Z149" t="str">
        <f>IF(Table17[[#This Row],[CEK STN S]]="",Table17[[#This Row],[SATUAN DB]],Table17[[#This Row],[SATUAN S]])</f>
        <v>LSN</v>
      </c>
      <c r="AA149">
        <f>IF(Table17[[#This Row],[//CONV]]="",Table17[[#This Row],[ISI NOTA]]/Table17[[#This Row],[ISI_C]],Table17[[#This Row],[ISI DB CONV]]/Table17[[#This Row],[ISI_C]])</f>
        <v>5</v>
      </c>
      <c r="AB149">
        <f>INDEX(NOTA[HARGA SATUAN],Sheet1!A:A)</f>
        <v>29000</v>
      </c>
      <c r="AC149">
        <f>IF(Table17[[#This Row],[//CONV]]="",Table17[[#This Row],[HARGA NOTA]],Table17[[#This Row],[HARGA NOTA]]/Table17[[#This Row],[CONV VAR]])</f>
        <v>29000</v>
      </c>
      <c r="AD149">
        <f>IF(Table17[[#This Row],[CEK STN S]]="",Table17[[#This Row],[HARGA CONV]],Table17[[#This Row],[HARGA CONV]]/Table17[[#This Row],[CONV2 VAR]])</f>
        <v>29000</v>
      </c>
      <c r="AE149" s="3">
        <f>IF(INDEX(NOTA[Column6],Sheet1!A:A)=0,"",INDEX(NOTA[Column6],Sheet1!A:A))</f>
        <v>0.1</v>
      </c>
      <c r="AF149" s="3" t="str">
        <f>IF(INDEX(NOTA[Column7],Sheet1!A:A)=0,"",INDEX(NOTA[Column7],Sheet1!A:A))</f>
        <v/>
      </c>
      <c r="AG149" s="3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H149" s="4">
        <f>INDEX(NOTA[HARGA/ CTN_H],Sheet1!A:A)</f>
        <v>1450000</v>
      </c>
      <c r="AI149" s="4">
        <f>IF(Table17[[#This Row],[DISC 3]]="",Table17[[#This Row],[HRG / CTN]],Table17[[#This Row],[HRG / CTN]]-(Table17[[#This Row],[HRG / CTN]]*Table17[[#This Row],[DISC 3]]))</f>
        <v>1305000</v>
      </c>
      <c r="AJ149" s="5" t="e">
        <f>IF(#REF!&lt;1,Table17[[#This Row],[Column9]],Table17[[#This Row],[Column9]]*#REF!)</f>
        <v>#REF!</v>
      </c>
      <c r="AK149" s="4" t="e">
        <f ca="1">IF(NOT(AP150=Table17[[#This Row],[Column6]]),SUMIF(Table17[Column6],Table17[[#This Row],[Column6]],Table17[Column7]),"")</f>
        <v>#REF!</v>
      </c>
      <c r="AL149" s="6">
        <f ca="1">INDEX(NOTA[TGL_H],Sheet1!A:A)</f>
        <v>45488</v>
      </c>
      <c r="AM149" s="6">
        <f ca="1">INDEX(NOTA[TGL.NOTA_H],Sheet1!A:A)</f>
        <v>45488</v>
      </c>
      <c r="AO149" t="str">
        <f>IF(INDEX(NOTA[Column10],A:A)="","",INDEX(NOTA[Column10],A:A))</f>
        <v/>
      </c>
      <c r="AP149" t="str">
        <f ca="1">INDEX(NOTA[NO.NOTA_H],Sheet1!A:A)</f>
        <v>I13</v>
      </c>
      <c r="AQ149">
        <f>INDEX(NOTA[Column10],Sheet1!A:A)</f>
        <v>0</v>
      </c>
      <c r="AR149" s="8" t="str">
        <f ca="1">INDEX(NOTA[SUPPLIER_H],Sheet1!A:A)</f>
        <v>ALPINDO</v>
      </c>
      <c r="AS149" t="str">
        <f>Table17[[#This Row],[NAMA_C]]</f>
        <v>TAS BATIK B ALPINDO</v>
      </c>
      <c r="AT149" t="str">
        <f ca="1">Table17[[#This Row],[SUPPLIER]]</f>
        <v>ALPINDO</v>
      </c>
      <c r="AU149" t="str">
        <f>SUBSTITUTE(Table17[[#This Row],[CTN]],",",".")</f>
        <v>5</v>
      </c>
      <c r="AV149" s="13" t="str">
        <f>Table17[[#This Row],[ISI_C]]</f>
        <v>50</v>
      </c>
      <c r="AW149" t="str">
        <f>Table17[[#This Row],[SATUAN_C]]</f>
        <v>LSN</v>
      </c>
      <c r="AX149">
        <f>Table17[[#This Row],[HARGA CONV2]]</f>
        <v>29000</v>
      </c>
      <c r="AY149" s="9" t="str">
        <f>SUBSTITUTE(Table17[[#This Row],[DISC 3]],",",".")</f>
        <v>0.1</v>
      </c>
      <c r="AZ149" s="6">
        <f ca="1">Table17[[#This Row],[TGL DATANG]]</f>
        <v>45488</v>
      </c>
      <c r="BA149" s="6">
        <f ca="1">Table17[[#This Row],[Column10]]</f>
        <v>45488</v>
      </c>
      <c r="BB149" s="7"/>
      <c r="BC149" t="str">
        <f>Table17[[#This Row],[KETERANGAN CONDRO]]</f>
        <v/>
      </c>
      <c r="BD149" t="str">
        <f ca="1">Table17[[#This Row],[Column6]]</f>
        <v>I13</v>
      </c>
    </row>
    <row r="150" spans="1:56">
      <c r="A150" s="55">
        <v>195</v>
      </c>
      <c r="C150">
        <f>INDEX(NOTA[//DB],Sheet1!A:A)</f>
        <v>515</v>
      </c>
      <c r="D150">
        <f>_xlfn.IFNA(MATCH(Table17[[#This Row],[//db]],[3]!Table2[\\],0),"")</f>
        <v>1046</v>
      </c>
      <c r="E150" t="str">
        <f>INDEX([3]!db[NB NOTA],Table17[[#This Row],[//db]])</f>
        <v>BT 30 CM</v>
      </c>
      <c r="F150" t="str">
        <f>INDEX([3]!db[NB BM],Table17[[#This Row],[//db]])</f>
        <v>GARISAN BUTTERFLY BT 30 CM</v>
      </c>
      <c r="G150" t="str">
        <f>IF(Table17[[#This Row],[dbconcat]]="","",INDEX([3]!Table2[NAMA],Table17[[#This Row],[dbconcat]]))</f>
        <v>GARISAN BUTTERFLY BT 30 CM</v>
      </c>
      <c r="H150" t="str">
        <f>INDEX([3]!Table2[KODE BARANG],Table17[[#This Row],[dbconcat]])</f>
        <v>GAR-BT25</v>
      </c>
      <c r="I150" t="str">
        <f>IF(Table17[[#This Row],[NAMA_3]]="",UPPER(Table17[[#This Row],[NAMA_2]]),Table17[[#This Row],[NAMA_3]])</f>
        <v>GARISAN BUTTERFLY BT 30 CM</v>
      </c>
      <c r="J150">
        <f>INDEX(NOTA[QTY],Sheet1!A:A)</f>
        <v>1000</v>
      </c>
      <c r="K150" t="str">
        <f>INDEX(NOTA[STN],Sheet1!A:A)</f>
        <v>LSN</v>
      </c>
      <c r="L150" t="str">
        <f>INDEX([3]!db[QTY B],Table17[[#This Row],[//db]])</f>
        <v>100</v>
      </c>
      <c r="M150" t="str">
        <f>INDEX([3]!db[STN B],Table17[[#This Row],[//db]])</f>
        <v>LSN</v>
      </c>
      <c r="N150" t="str">
        <f>IF(Table17[[#This Row],[SATUAN NOTA]]=Table17[[#This Row],[SATUAN DB]],"", MATCH(CONCATENATE(Table17[[#This Row],[SATUAN NOTA]],Table17[[#This Row],[SATUAN DB]]),Table2[4],0))</f>
        <v/>
      </c>
      <c r="O150" t="str" cm="1">
        <f t="array" ref="O150">IF(Table17[[#This Row],[//CONV]]="","",INDEX(Table2[3],Table17[[#This Row],[//CONV]]))</f>
        <v/>
      </c>
      <c r="P150" t="str">
        <f>IF(Table17[[#This Row],[//CONV]]="",Table17[[#This Row],[ISI DB]],Table17[[#This Row],[ISI NOTA]]*Table17[[#This Row],[CONV VAR]])</f>
        <v>100</v>
      </c>
      <c r="Q150" t="str" cm="1">
        <f t="array" ref="Q150">IF(Table17[[#This Row],[//CONV]]="",Table17[[#This Row],[SATUAN DB]],INDEX(Table2[2],Table17[[#This Row],[//CONV]]))</f>
        <v>LSN</v>
      </c>
      <c r="R150" cm="1">
        <f t="array" ref="R150">IF(Table17[[#This Row],[dbconcat]]="","",INDEX([3]!Table2[ISI],Table17[[#This Row],[dbconcat]]))</f>
        <v>100</v>
      </c>
      <c r="S150" t="str" cm="1">
        <f t="array" ref="S150">IF(Table17[[#This Row],[dbconcat]]="","",INDEX([3]!Table2[[SATUAN ]],Table17[[#This Row],[dbconcat]]))</f>
        <v>LSN</v>
      </c>
      <c r="T150" t="str">
        <f>IF(Table17[[#This Row],[SATUAN S]]="","",IF(_xlfn.NUMBERVALUE(Table17[[#This Row],[ISI DB]])=_xlfn.NUMBERVALUE(Table17[[#This Row],[ISI S]]),"",1))</f>
        <v/>
      </c>
      <c r="U150" t="str">
        <f>IF(Table17[[#This Row],[SATUAN S]]="","",IF(Table17[[#This Row],[SATUAN DB]]=Table17[[#This Row],[SATUAN S]],"",1))</f>
        <v/>
      </c>
      <c r="V150" t="str">
        <f>IF(Table17[[#This Row],[CEK STN S]]="","",MATCH(CONCATENATE(Table17[[#This Row],[SATUAN CONV]],Table17[[#This Row],[SATUAN S]]),Table2[4],0))</f>
        <v/>
      </c>
      <c r="X150" t="str" cm="1">
        <f t="array" ref="X150">IF(Table17[[#This Row],[CONV2_//]]="","",INDEX(Table2[3],Table17[[#This Row],[CONV2_//]]))</f>
        <v/>
      </c>
      <c r="Y150" s="2" t="str">
        <f>IF(Table17[[#This Row],[CEK ISI S]]="",Table17[[#This Row],[ISI DB]],Table17[[#This Row],[ISI S]])</f>
        <v>100</v>
      </c>
      <c r="Z150" t="str">
        <f>IF(Table17[[#This Row],[CEK STN S]]="",Table17[[#This Row],[SATUAN DB]],Table17[[#This Row],[SATUAN S]])</f>
        <v>LSN</v>
      </c>
      <c r="AA150">
        <f>IF(Table17[[#This Row],[//CONV]]="",Table17[[#This Row],[ISI NOTA]]/Table17[[#This Row],[ISI_C]],Table17[[#This Row],[ISI DB CONV]]/Table17[[#This Row],[ISI_C]])</f>
        <v>10</v>
      </c>
      <c r="AB150">
        <f>INDEX(NOTA[HARGA SATUAN],Sheet1!A:A)</f>
        <v>26780</v>
      </c>
      <c r="AC150">
        <f>IF(Table17[[#This Row],[//CONV]]="",Table17[[#This Row],[HARGA NOTA]],Table17[[#This Row],[HARGA NOTA]]/Table17[[#This Row],[CONV VAR]])</f>
        <v>26780</v>
      </c>
      <c r="AD150">
        <f>IF(Table17[[#This Row],[CEK STN S]]="",Table17[[#This Row],[HARGA CONV]],Table17[[#This Row],[HARGA CONV]]/Table17[[#This Row],[CONV2 VAR]])</f>
        <v>26780</v>
      </c>
      <c r="AE150" s="3">
        <f>IF(INDEX(NOTA[Column6],Sheet1!A:A)=0,"",INDEX(NOTA[Column6],Sheet1!A:A))</f>
        <v>0.2</v>
      </c>
      <c r="AF150" s="3">
        <f>IF(INDEX(NOTA[Column7],Sheet1!A:A)=0,"",INDEX(NOTA[Column7],Sheet1!A:A))</f>
        <v>0.04</v>
      </c>
      <c r="AG150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150" s="4">
        <f>INDEX(NOTA[HARGA/ CTN_H],Sheet1!A:A)</f>
        <v>2678000</v>
      </c>
      <c r="AI150" s="4">
        <f>IF(Table17[[#This Row],[DISC 3]]="",Table17[[#This Row],[HRG / CTN]],Table17[[#This Row],[HRG / CTN]]-(Table17[[#This Row],[HRG / CTN]]*Table17[[#This Row],[DISC 3]]))</f>
        <v>2056704</v>
      </c>
      <c r="AJ150" s="5" t="e">
        <f>IF(#REF!&lt;1,Table17[[#This Row],[Column9]],Table17[[#This Row],[Column9]]*#REF!)</f>
        <v>#REF!</v>
      </c>
      <c r="AK150" s="4" t="e">
        <f ca="1">IF(NOT(AP151=Table17[[#This Row],[Column6]]),SUMIF(Table17[Column6],Table17[[#This Row],[Column6]],Table17[Column7]),"")</f>
        <v>#REF!</v>
      </c>
      <c r="AL150" s="6">
        <f ca="1">INDEX(NOTA[TGL_H],Sheet1!A:A)</f>
        <v>45490</v>
      </c>
      <c r="AM150" s="6">
        <f ca="1">INDEX(NOTA[TGL.NOTA_H],Sheet1!A:A)</f>
        <v>45488</v>
      </c>
      <c r="AO150" t="str">
        <f>IF(INDEX(NOTA[Column10],A:A)="","",INDEX(NOTA[Column10],A:A))</f>
        <v/>
      </c>
      <c r="AP150" t="str">
        <f ca="1">INDEX(NOTA[NO.NOTA_H],Sheet1!A:A)</f>
        <v>0264/HW/VII/24</v>
      </c>
      <c r="AQ150">
        <f>INDEX(NOTA[Column10],Sheet1!A:A)</f>
        <v>0</v>
      </c>
      <c r="AR150" s="8" t="str">
        <f ca="1">INDEX(NOTA[SUPPLIER_H],Sheet1!A:A)</f>
        <v>PPW</v>
      </c>
      <c r="AS150" t="str">
        <f>Table17[[#This Row],[NAMA_C]]</f>
        <v>GARISAN BUTTERFLY BT 30 CM</v>
      </c>
      <c r="AT150" t="str">
        <f ca="1">Table17[[#This Row],[SUPPLIER]]</f>
        <v>PPW</v>
      </c>
      <c r="AU150" t="str">
        <f>SUBSTITUTE(Table17[[#This Row],[CTN]],",",".")</f>
        <v>10</v>
      </c>
      <c r="AV150" s="13" t="str">
        <f>Table17[[#This Row],[ISI_C]]</f>
        <v>100</v>
      </c>
      <c r="AW150" t="str">
        <f>Table17[[#This Row],[SATUAN_C]]</f>
        <v>LSN</v>
      </c>
      <c r="AX150">
        <f>Table17[[#This Row],[HARGA CONV2]]</f>
        <v>26780</v>
      </c>
      <c r="AY150" s="9" t="str">
        <f>SUBSTITUTE(Table17[[#This Row],[DISC 3]],",",".")</f>
        <v>0.232</v>
      </c>
      <c r="AZ150" s="6">
        <f ca="1">Table17[[#This Row],[TGL DATANG]]</f>
        <v>45490</v>
      </c>
      <c r="BA150" s="6">
        <f ca="1">Table17[[#This Row],[Column10]]</f>
        <v>45488</v>
      </c>
      <c r="BB150" s="7"/>
      <c r="BC150" t="str">
        <f>Table17[[#This Row],[KETERANGAN CONDRO]]</f>
        <v/>
      </c>
      <c r="BD150" t="str">
        <f ca="1">Table17[[#This Row],[Column6]]</f>
        <v>0264/HW/VII/24</v>
      </c>
    </row>
    <row r="151" spans="1:56">
      <c r="A151" s="55">
        <v>197</v>
      </c>
      <c r="C151">
        <f>INDEX(NOTA[//DB],Sheet1!A:A)</f>
        <v>521</v>
      </c>
      <c r="D151">
        <f>_xlfn.IFNA(MATCH(Table17[[#This Row],[//db]],[3]!Table2[\\],0),"")</f>
        <v>1216</v>
      </c>
      <c r="E151" t="str">
        <f>INDEX([3]!db[NB NOTA],Table17[[#This Row],[//db]])</f>
        <v>BT R5</v>
      </c>
      <c r="F151" t="str">
        <f>INDEX([3]!db[NB BM],Table17[[#This Row],[//db]])</f>
        <v>Garisan BT R5</v>
      </c>
      <c r="G151" t="str">
        <f>IF(Table17[[#This Row],[dbconcat]]="","",INDEX([3]!Table2[NAMA],Table17[[#This Row],[dbconcat]]))</f>
        <v>GARISAN BT R5</v>
      </c>
      <c r="H151" t="str">
        <f>INDEX([3]!Table2[KODE BARANG],Table17[[#This Row],[dbconcat]])</f>
        <v>GAR-BT252</v>
      </c>
      <c r="I151" t="str">
        <f>IF(Table17[[#This Row],[NAMA_3]]="",UPPER(Table17[[#This Row],[NAMA_2]]),Table17[[#This Row],[NAMA_3]])</f>
        <v>GARISAN BT R5</v>
      </c>
      <c r="J151">
        <f>INDEX(NOTA[QTY],Sheet1!A:A)</f>
        <v>12</v>
      </c>
      <c r="K151" t="str">
        <f>INDEX(NOTA[STN],Sheet1!A:A)</f>
        <v>LSN</v>
      </c>
      <c r="L151" t="str">
        <f>INDEX([3]!db[QTY B],Table17[[#This Row],[//db]])</f>
        <v>12</v>
      </c>
      <c r="M151" t="str">
        <f>INDEX([3]!db[STN B],Table17[[#This Row],[//db]])</f>
        <v>LSN</v>
      </c>
      <c r="N151" t="str">
        <f>IF(Table17[[#This Row],[SATUAN NOTA]]=Table17[[#This Row],[SATUAN DB]],"", MATCH(CONCATENATE(Table17[[#This Row],[SATUAN NOTA]],Table17[[#This Row],[SATUAN DB]]),Table2[4],0))</f>
        <v/>
      </c>
      <c r="O151" t="str" cm="1">
        <f t="array" ref="O151">IF(Table17[[#This Row],[//CONV]]="","",INDEX(Table2[3],Table17[[#This Row],[//CONV]]))</f>
        <v/>
      </c>
      <c r="P151" t="str">
        <f>IF(Table17[[#This Row],[//CONV]]="",Table17[[#This Row],[ISI DB]],Table17[[#This Row],[ISI NOTA]]*Table17[[#This Row],[CONV VAR]])</f>
        <v>12</v>
      </c>
      <c r="Q151" t="str" cm="1">
        <f t="array" ref="Q151">IF(Table17[[#This Row],[//CONV]]="",Table17[[#This Row],[SATUAN DB]],INDEX(Table2[2],Table17[[#This Row],[//CONV]]))</f>
        <v>LSN</v>
      </c>
      <c r="R151" cm="1">
        <f t="array" ref="R151">IF(Table17[[#This Row],[dbconcat]]="","",INDEX([3]!Table2[ISI],Table17[[#This Row],[dbconcat]]))</f>
        <v>12</v>
      </c>
      <c r="S151" t="str" cm="1">
        <f t="array" ref="S151">IF(Table17[[#This Row],[dbconcat]]="","",INDEX([3]!Table2[[SATUAN ]],Table17[[#This Row],[dbconcat]]))</f>
        <v>LSN</v>
      </c>
      <c r="T151" t="str">
        <f>IF(Table17[[#This Row],[SATUAN S]]="","",IF(_xlfn.NUMBERVALUE(Table17[[#This Row],[ISI DB]])=_xlfn.NUMBERVALUE(Table17[[#This Row],[ISI S]]),"",1))</f>
        <v/>
      </c>
      <c r="U151" t="str">
        <f>IF(Table17[[#This Row],[SATUAN S]]="","",IF(Table17[[#This Row],[SATUAN DB]]=Table17[[#This Row],[SATUAN S]],"",1))</f>
        <v/>
      </c>
      <c r="V151" t="str">
        <f>IF(Table17[[#This Row],[CEK STN S]]="","",MATCH(CONCATENATE(Table17[[#This Row],[SATUAN CONV]],Table17[[#This Row],[SATUAN S]]),Table2[4],0))</f>
        <v/>
      </c>
      <c r="X151" t="str" cm="1">
        <f t="array" ref="X151">IF(Table17[[#This Row],[CONV2_//]]="","",INDEX(Table2[3],Table17[[#This Row],[CONV2_//]]))</f>
        <v/>
      </c>
      <c r="Y151" s="2" t="str">
        <f>IF(Table17[[#This Row],[CEK ISI S]]="",Table17[[#This Row],[ISI DB]],Table17[[#This Row],[ISI S]])</f>
        <v>12</v>
      </c>
      <c r="Z151" t="str">
        <f>IF(Table17[[#This Row],[CEK STN S]]="",Table17[[#This Row],[SATUAN DB]],Table17[[#This Row],[SATUAN S]])</f>
        <v>LSN</v>
      </c>
      <c r="AA151">
        <f>IF(Table17[[#This Row],[//CONV]]="",Table17[[#This Row],[ISI NOTA]]/Table17[[#This Row],[ISI_C]],Table17[[#This Row],[ISI DB CONV]]/Table17[[#This Row],[ISI_C]])</f>
        <v>1</v>
      </c>
      <c r="AB151">
        <f>INDEX(NOTA[HARGA SATUAN],Sheet1!A:A)</f>
        <v>279000</v>
      </c>
      <c r="AC151">
        <f>IF(Table17[[#This Row],[//CONV]]="",Table17[[#This Row],[HARGA NOTA]],Table17[[#This Row],[HARGA NOTA]]/Table17[[#This Row],[CONV VAR]])</f>
        <v>279000</v>
      </c>
      <c r="AD151">
        <f>IF(Table17[[#This Row],[CEK STN S]]="",Table17[[#This Row],[HARGA CONV]],Table17[[#This Row],[HARGA CONV]]/Table17[[#This Row],[CONV2 VAR]])</f>
        <v>279000</v>
      </c>
      <c r="AE151" s="3">
        <f>IF(INDEX(NOTA[Column6],Sheet1!A:A)=0,"",INDEX(NOTA[Column6],Sheet1!A:A))</f>
        <v>0.2</v>
      </c>
      <c r="AF151" s="3">
        <f>IF(INDEX(NOTA[Column7],Sheet1!A:A)=0,"",INDEX(NOTA[Column7],Sheet1!A:A))</f>
        <v>0.04</v>
      </c>
      <c r="AG151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151" s="4">
        <f>INDEX(NOTA[HARGA/ CTN_H],Sheet1!A:A)</f>
        <v>3348000</v>
      </c>
      <c r="AI151" s="4">
        <f>IF(Table17[[#This Row],[DISC 3]]="",Table17[[#This Row],[HRG / CTN]],Table17[[#This Row],[HRG / CTN]]-(Table17[[#This Row],[HRG / CTN]]*Table17[[#This Row],[DISC 3]]))</f>
        <v>2571264</v>
      </c>
      <c r="AJ151" s="5" t="e">
        <f>IF(#REF!&lt;1,Table17[[#This Row],[Column9]],Table17[[#This Row],[Column9]]*#REF!)</f>
        <v>#REF!</v>
      </c>
      <c r="AK151" s="4" t="str">
        <f ca="1">IF(NOT(AP152=Table17[[#This Row],[Column6]]),SUMIF(Table17[Column6],Table17[[#This Row],[Column6]],Table17[Column7]),"")</f>
        <v/>
      </c>
      <c r="AL151" s="6">
        <f ca="1">INDEX(NOTA[TGL_H],Sheet1!A:A)</f>
        <v>45490</v>
      </c>
      <c r="AM151" s="6">
        <f ca="1">INDEX(NOTA[TGL.NOTA_H],Sheet1!A:A)</f>
        <v>45488</v>
      </c>
      <c r="AO151" t="str">
        <f>IF(INDEX(NOTA[Column10],A:A)="","",INDEX(NOTA[Column10],A:A))</f>
        <v/>
      </c>
      <c r="AP151" t="str">
        <f ca="1">INDEX(NOTA[NO.NOTA_H],Sheet1!A:A)</f>
        <v>085/EPW/VII/24</v>
      </c>
      <c r="AQ151">
        <f>INDEX(NOTA[Column10],Sheet1!A:A)</f>
        <v>0</v>
      </c>
      <c r="AR151" s="8" t="str">
        <f ca="1">INDEX(NOTA[SUPPLIER_H],Sheet1!A:A)</f>
        <v>PPW</v>
      </c>
      <c r="AS151" t="str">
        <f>Table17[[#This Row],[NAMA_C]]</f>
        <v>GARISAN BT R5</v>
      </c>
      <c r="AT151" t="str">
        <f ca="1">Table17[[#This Row],[SUPPLIER]]</f>
        <v>PPW</v>
      </c>
      <c r="AU151" t="str">
        <f>SUBSTITUTE(Table17[[#This Row],[CTN]],",",".")</f>
        <v>1</v>
      </c>
      <c r="AV151" s="13" t="str">
        <f>Table17[[#This Row],[ISI_C]]</f>
        <v>12</v>
      </c>
      <c r="AW151" t="str">
        <f>Table17[[#This Row],[SATUAN_C]]</f>
        <v>LSN</v>
      </c>
      <c r="AX151">
        <f>Table17[[#This Row],[HARGA CONV2]]</f>
        <v>279000</v>
      </c>
      <c r="AY151" s="9" t="str">
        <f>SUBSTITUTE(Table17[[#This Row],[DISC 3]],",",".")</f>
        <v>0.232</v>
      </c>
      <c r="AZ151" s="6">
        <f ca="1">Table17[[#This Row],[TGL DATANG]]</f>
        <v>45490</v>
      </c>
      <c r="BA151" s="6">
        <f ca="1">Table17[[#This Row],[Column10]]</f>
        <v>45488</v>
      </c>
      <c r="BB151" s="7"/>
      <c r="BC151" t="str">
        <f>Table17[[#This Row],[KETERANGAN CONDRO]]</f>
        <v/>
      </c>
      <c r="BD151" t="str">
        <f ca="1">Table17[[#This Row],[Column6]]</f>
        <v>085/EPW/VII/24</v>
      </c>
    </row>
    <row r="152" spans="1:56">
      <c r="A152" s="55">
        <v>198</v>
      </c>
      <c r="C152">
        <f>INDEX(NOTA[//DB],Sheet1!A:A)</f>
        <v>520</v>
      </c>
      <c r="D152">
        <f>_xlfn.IFNA(MATCH(Table17[[#This Row],[//db]],[3]!Table2[\\],0),"")</f>
        <v>1062</v>
      </c>
      <c r="E152" t="str">
        <f>INDEX([3]!db[NB NOTA],Table17[[#This Row],[//db]])</f>
        <v>BT R3</v>
      </c>
      <c r="F152" t="str">
        <f>INDEX([3]!db[NB BM],Table17[[#This Row],[//db]])</f>
        <v>Garisan BT R3</v>
      </c>
      <c r="G152" t="str">
        <f>IF(Table17[[#This Row],[dbconcat]]="","",INDEX([3]!Table2[NAMA],Table17[[#This Row],[dbconcat]]))</f>
        <v>GARISAN BT R3</v>
      </c>
      <c r="H152" t="str">
        <f>INDEX([3]!Table2[KODE BARANG],Table17[[#This Row],[dbconcat]])</f>
        <v>GAR-BT44</v>
      </c>
      <c r="I152" t="str">
        <f>IF(Table17[[#This Row],[NAMA_3]]="",UPPER(Table17[[#This Row],[NAMA_2]]),Table17[[#This Row],[NAMA_3]])</f>
        <v>GARISAN BT R3</v>
      </c>
      <c r="J152">
        <f>INDEX(NOTA[QTY],Sheet1!A:A)</f>
        <v>12</v>
      </c>
      <c r="K152" t="str">
        <f>INDEX(NOTA[STN],Sheet1!A:A)</f>
        <v>LSN</v>
      </c>
      <c r="L152" t="str">
        <f>INDEX([3]!db[QTY B],Table17[[#This Row],[//db]])</f>
        <v>12</v>
      </c>
      <c r="M152" t="str">
        <f>INDEX([3]!db[STN B],Table17[[#This Row],[//db]])</f>
        <v>LSN</v>
      </c>
      <c r="N152" t="str">
        <f>IF(Table17[[#This Row],[SATUAN NOTA]]=Table17[[#This Row],[SATUAN DB]],"", MATCH(CONCATENATE(Table17[[#This Row],[SATUAN NOTA]],Table17[[#This Row],[SATUAN DB]]),Table2[4],0))</f>
        <v/>
      </c>
      <c r="O152" t="str" cm="1">
        <f t="array" ref="O152">IF(Table17[[#This Row],[//CONV]]="","",INDEX(Table2[3],Table17[[#This Row],[//CONV]]))</f>
        <v/>
      </c>
      <c r="P152" t="str">
        <f>IF(Table17[[#This Row],[//CONV]]="",Table17[[#This Row],[ISI DB]],Table17[[#This Row],[ISI NOTA]]*Table17[[#This Row],[CONV VAR]])</f>
        <v>12</v>
      </c>
      <c r="Q152" t="str" cm="1">
        <f t="array" ref="Q152">IF(Table17[[#This Row],[//CONV]]="",Table17[[#This Row],[SATUAN DB]],INDEX(Table2[2],Table17[[#This Row],[//CONV]]))</f>
        <v>LSN</v>
      </c>
      <c r="R152" cm="1">
        <f t="array" ref="R152">IF(Table17[[#This Row],[dbconcat]]="","",INDEX([3]!Table2[ISI],Table17[[#This Row],[dbconcat]]))</f>
        <v>12</v>
      </c>
      <c r="S152" t="str" cm="1">
        <f t="array" ref="S152">IF(Table17[[#This Row],[dbconcat]]="","",INDEX([3]!Table2[[SATUAN ]],Table17[[#This Row],[dbconcat]]))</f>
        <v>LSN</v>
      </c>
      <c r="T152" t="str">
        <f>IF(Table17[[#This Row],[SATUAN S]]="","",IF(_xlfn.NUMBERVALUE(Table17[[#This Row],[ISI DB]])=_xlfn.NUMBERVALUE(Table17[[#This Row],[ISI S]]),"",1))</f>
        <v/>
      </c>
      <c r="U152" t="str">
        <f>IF(Table17[[#This Row],[SATUAN S]]="","",IF(Table17[[#This Row],[SATUAN DB]]=Table17[[#This Row],[SATUAN S]],"",1))</f>
        <v/>
      </c>
      <c r="V152" t="str">
        <f>IF(Table17[[#This Row],[CEK STN S]]="","",MATCH(CONCATENATE(Table17[[#This Row],[SATUAN CONV]],Table17[[#This Row],[SATUAN S]]),Table2[4],0))</f>
        <v/>
      </c>
      <c r="X152" t="str" cm="1">
        <f t="array" ref="X152">IF(Table17[[#This Row],[CONV2_//]]="","",INDEX(Table2[3],Table17[[#This Row],[CONV2_//]]))</f>
        <v/>
      </c>
      <c r="Y152" s="2" t="str">
        <f>IF(Table17[[#This Row],[CEK ISI S]]="",Table17[[#This Row],[ISI DB]],Table17[[#This Row],[ISI S]])</f>
        <v>12</v>
      </c>
      <c r="Z152" t="str">
        <f>IF(Table17[[#This Row],[CEK STN S]]="",Table17[[#This Row],[SATUAN DB]],Table17[[#This Row],[SATUAN S]])</f>
        <v>LSN</v>
      </c>
      <c r="AA152">
        <f>IF(Table17[[#This Row],[//CONV]]="",Table17[[#This Row],[ISI NOTA]]/Table17[[#This Row],[ISI_C]],Table17[[#This Row],[ISI DB CONV]]/Table17[[#This Row],[ISI_C]])</f>
        <v>1</v>
      </c>
      <c r="AB152">
        <f>INDEX(NOTA[HARGA SATUAN],Sheet1!A:A)</f>
        <v>252300</v>
      </c>
      <c r="AC152">
        <f>IF(Table17[[#This Row],[//CONV]]="",Table17[[#This Row],[HARGA NOTA]],Table17[[#This Row],[HARGA NOTA]]/Table17[[#This Row],[CONV VAR]])</f>
        <v>252300</v>
      </c>
      <c r="AD152">
        <f>IF(Table17[[#This Row],[CEK STN S]]="",Table17[[#This Row],[HARGA CONV]],Table17[[#This Row],[HARGA CONV]]/Table17[[#This Row],[CONV2 VAR]])</f>
        <v>252300</v>
      </c>
      <c r="AE152" s="3">
        <f>IF(INDEX(NOTA[Column6],Sheet1!A:A)=0,"",INDEX(NOTA[Column6],Sheet1!A:A))</f>
        <v>0.2</v>
      </c>
      <c r="AF152" s="3">
        <f>IF(INDEX(NOTA[Column7],Sheet1!A:A)=0,"",INDEX(NOTA[Column7],Sheet1!A:A))</f>
        <v>0.04</v>
      </c>
      <c r="AG152" s="3">
        <f>IF(Table17[[#This Row],[DISC 1]]="","",IF(Table17[[#This Row],[DISC 2]]="",Table17[[#This Row],[DISC 1]],Table17[[#This Row],[DISC 1]]+Table17[[#This Row],[DISC 2]]-(Table17[[#This Row],[DISC 1]]*Table17[[#This Row],[DISC 2]])))</f>
        <v>0.23200000000000001</v>
      </c>
      <c r="AH152" s="4">
        <f>INDEX(NOTA[HARGA/ CTN_H],Sheet1!A:A)</f>
        <v>3027600</v>
      </c>
      <c r="AI152" s="4">
        <f>IF(Table17[[#This Row],[DISC 3]]="",Table17[[#This Row],[HRG / CTN]],Table17[[#This Row],[HRG / CTN]]-(Table17[[#This Row],[HRG / CTN]]*Table17[[#This Row],[DISC 3]]))</f>
        <v>2325196.7999999998</v>
      </c>
      <c r="AJ152" s="5" t="e">
        <f>IF(#REF!&lt;1,Table17[[#This Row],[Column9]],Table17[[#This Row],[Column9]]*#REF!)</f>
        <v>#REF!</v>
      </c>
      <c r="AK152" s="4" t="e">
        <f ca="1">IF(NOT(AP153=Table17[[#This Row],[Column6]]),SUMIF(Table17[Column6],Table17[[#This Row],[Column6]],Table17[Column7]),"")</f>
        <v>#REF!</v>
      </c>
      <c r="AL152" s="6">
        <f ca="1">INDEX(NOTA[TGL_H],Sheet1!A:A)</f>
        <v>45490</v>
      </c>
      <c r="AM152" s="6">
        <f ca="1">INDEX(NOTA[TGL.NOTA_H],Sheet1!A:A)</f>
        <v>45488</v>
      </c>
      <c r="AO152" t="str">
        <f>IF(INDEX(NOTA[Column10],A:A)="","",INDEX(NOTA[Column10],A:A))</f>
        <v/>
      </c>
      <c r="AP152" t="str">
        <f ca="1">INDEX(NOTA[NO.NOTA_H],Sheet1!A:A)</f>
        <v>085/EPW/VII/24</v>
      </c>
      <c r="AQ152">
        <f>INDEX(NOTA[Column10],Sheet1!A:A)</f>
        <v>0</v>
      </c>
      <c r="AR152" s="8" t="str">
        <f ca="1">INDEX(NOTA[SUPPLIER_H],Sheet1!A:A)</f>
        <v>PPW</v>
      </c>
      <c r="AS152" t="str">
        <f>Table17[[#This Row],[NAMA_C]]</f>
        <v>GARISAN BT R3</v>
      </c>
      <c r="AT152" t="str">
        <f ca="1">Table17[[#This Row],[SUPPLIER]]</f>
        <v>PPW</v>
      </c>
      <c r="AU152" t="str">
        <f>SUBSTITUTE(Table17[[#This Row],[CTN]],",",".")</f>
        <v>1</v>
      </c>
      <c r="AV152" s="13" t="str">
        <f>Table17[[#This Row],[ISI_C]]</f>
        <v>12</v>
      </c>
      <c r="AW152" t="str">
        <f>Table17[[#This Row],[SATUAN_C]]</f>
        <v>LSN</v>
      </c>
      <c r="AX152">
        <f>Table17[[#This Row],[HARGA CONV2]]</f>
        <v>252300</v>
      </c>
      <c r="AY152" s="9" t="str">
        <f>SUBSTITUTE(Table17[[#This Row],[DISC 3]],",",".")</f>
        <v>0.232</v>
      </c>
      <c r="AZ152" s="6">
        <f ca="1">Table17[[#This Row],[TGL DATANG]]</f>
        <v>45490</v>
      </c>
      <c r="BA152" s="6">
        <f ca="1">Table17[[#This Row],[Column10]]</f>
        <v>45488</v>
      </c>
      <c r="BB152" s="7"/>
      <c r="BC152" t="str">
        <f>Table17[[#This Row],[KETERANGAN CONDRO]]</f>
        <v/>
      </c>
      <c r="BD152" t="str">
        <f ca="1">Table17[[#This Row],[Column6]]</f>
        <v>085/EPW/VII/24</v>
      </c>
    </row>
    <row r="153" spans="1:56">
      <c r="A153" s="55">
        <v>200</v>
      </c>
      <c r="C153">
        <f>INDEX(NOTA[//DB],Sheet1!A:A)</f>
        <v>171</v>
      </c>
      <c r="D153">
        <f>_xlfn.IFNA(MATCH(Table17[[#This Row],[//db]],[3]!Table2[\\],0),"")</f>
        <v>277</v>
      </c>
      <c r="E153" t="str">
        <f>INDEX([3]!db[NB NOTA],Table17[[#This Row],[//db]])</f>
        <v>BALON MERAH  PUTIH BL-10178</v>
      </c>
      <c r="F153" t="str">
        <f>INDEX([3]!db[NB BM],Table17[[#This Row],[//db]])</f>
        <v>BALON BL 100178 M/ P</v>
      </c>
      <c r="G153" t="str">
        <f>IF(Table17[[#This Row],[dbconcat]]="","",INDEX([3]!Table2[NAMA],Table17[[#This Row],[dbconcat]]))</f>
        <v>BALON BL 100178 M/ P</v>
      </c>
      <c r="H153" t="str">
        <f>INDEX([3]!Table2[KODE BARANG],Table17[[#This Row],[dbconcat]])</f>
        <v>BAL-LK32</v>
      </c>
      <c r="I153" t="str">
        <f>IF(Table17[[#This Row],[NAMA_3]]="",UPPER(Table17[[#This Row],[NAMA_2]]),Table17[[#This Row],[NAMA_3]])</f>
        <v>BALON BL 100178 M/ P</v>
      </c>
      <c r="J153">
        <f>INDEX(NOTA[QTY],Sheet1!A:A)</f>
        <v>300</v>
      </c>
      <c r="K153" t="str">
        <f>INDEX(NOTA[STN],Sheet1!A:A)</f>
        <v>PAK</v>
      </c>
      <c r="L153" t="str">
        <f>INDEX([3]!db[QTY B],Table17[[#This Row],[//db]])</f>
        <v>100</v>
      </c>
      <c r="M153" t="str">
        <f>INDEX([3]!db[STN B],Table17[[#This Row],[//db]])</f>
        <v>PAK</v>
      </c>
      <c r="N153" t="str">
        <f>IF(Table17[[#This Row],[SATUAN NOTA]]=Table17[[#This Row],[SATUAN DB]],"", MATCH(CONCATENATE(Table17[[#This Row],[SATUAN NOTA]],Table17[[#This Row],[SATUAN DB]]),Table2[4],0))</f>
        <v/>
      </c>
      <c r="O153" t="str" cm="1">
        <f t="array" ref="O153">IF(Table17[[#This Row],[//CONV]]="","",INDEX(Table2[3],Table17[[#This Row],[//CONV]]))</f>
        <v/>
      </c>
      <c r="P153" t="str">
        <f>IF(Table17[[#This Row],[//CONV]]="",Table17[[#This Row],[ISI DB]],Table17[[#This Row],[ISI NOTA]]*Table17[[#This Row],[CONV VAR]])</f>
        <v>100</v>
      </c>
      <c r="Q153" t="str" cm="1">
        <f t="array" ref="Q153">IF(Table17[[#This Row],[//CONV]]="",Table17[[#This Row],[SATUAN DB]],INDEX(Table2[2],Table17[[#This Row],[//CONV]]))</f>
        <v>PAK</v>
      </c>
      <c r="R153" cm="1">
        <f t="array" ref="R153">IF(Table17[[#This Row],[dbconcat]]="","",INDEX([3]!Table2[ISI],Table17[[#This Row],[dbconcat]]))</f>
        <v>100</v>
      </c>
      <c r="S153" t="str" cm="1">
        <f t="array" ref="S153">IF(Table17[[#This Row],[dbconcat]]="","",INDEX([3]!Table2[[SATUAN ]],Table17[[#This Row],[dbconcat]]))</f>
        <v>DISP</v>
      </c>
      <c r="T153" t="str">
        <f>IF(Table17[[#This Row],[SATUAN S]]="","",IF(_xlfn.NUMBERVALUE(Table17[[#This Row],[ISI DB]])=_xlfn.NUMBERVALUE(Table17[[#This Row],[ISI S]]),"",1))</f>
        <v/>
      </c>
      <c r="U153">
        <f>IF(Table17[[#This Row],[SATUAN S]]="","",IF(Table17[[#This Row],[SATUAN DB]]=Table17[[#This Row],[SATUAN S]],"",1))</f>
        <v>1</v>
      </c>
      <c r="V153">
        <f>IF(Table17[[#This Row],[CEK STN S]]="","",MATCH(CONCATENATE(Table17[[#This Row],[SATUAN CONV]],Table17[[#This Row],[SATUAN S]]),Table2[4],0))</f>
        <v>61</v>
      </c>
      <c r="X153" cm="1">
        <f t="array" ref="X153">IF(Table17[[#This Row],[CONV2_//]]="","",INDEX(Table2[3],Table17[[#This Row],[CONV2_//]]))</f>
        <v>1</v>
      </c>
      <c r="Y153" s="2" t="str">
        <f>IF(Table17[[#This Row],[CEK ISI S]]="",Table17[[#This Row],[ISI DB]],Table17[[#This Row],[ISI S]])</f>
        <v>100</v>
      </c>
      <c r="Z153" t="str">
        <f>IF(Table17[[#This Row],[CEK STN S]]="",Table17[[#This Row],[SATUAN DB]],Table17[[#This Row],[SATUAN S]])</f>
        <v>DISP</v>
      </c>
      <c r="AA153">
        <f>IF(Table17[[#This Row],[//CONV]]="",Table17[[#This Row],[ISI NOTA]]/Table17[[#This Row],[ISI_C]],Table17[[#This Row],[ISI DB CONV]]/Table17[[#This Row],[ISI_C]])</f>
        <v>3</v>
      </c>
      <c r="AB153">
        <f>INDEX(NOTA[HARGA SATUAN],Sheet1!A:A)</f>
        <v>68750</v>
      </c>
      <c r="AC153">
        <f>IF(Table17[[#This Row],[//CONV]]="",Table17[[#This Row],[HARGA NOTA]],Table17[[#This Row],[HARGA NOTA]]/Table17[[#This Row],[CONV VAR]])</f>
        <v>68750</v>
      </c>
      <c r="AD153">
        <f>IF(Table17[[#This Row],[CEK STN S]]="",Table17[[#This Row],[HARGA CONV]],Table17[[#This Row],[HARGA CONV]]/Table17[[#This Row],[CONV2 VAR]])</f>
        <v>68750</v>
      </c>
      <c r="AE153" s="3">
        <f>IF(INDEX(NOTA[Column6],Sheet1!A:A)=0,"",INDEX(NOTA[Column6],Sheet1!A:A))</f>
        <v>0.2</v>
      </c>
      <c r="AF153" s="3">
        <f>IF(INDEX(NOTA[Column7],Sheet1!A:A)=0,"",INDEX(NOTA[Column7],Sheet1!A:A))</f>
        <v>0.05</v>
      </c>
      <c r="AG153" s="3">
        <f>IF(Table17[[#This Row],[DISC 1]]="","",IF(Table17[[#This Row],[DISC 2]]="",Table17[[#This Row],[DISC 1]],Table17[[#This Row],[DISC 1]]+Table17[[#This Row],[DISC 2]]-(Table17[[#This Row],[DISC 1]]*Table17[[#This Row],[DISC 2]])))</f>
        <v>0.24</v>
      </c>
      <c r="AH153" s="4">
        <f>INDEX(NOTA[HARGA/ CTN_H],Sheet1!A:A)</f>
        <v>6875000</v>
      </c>
      <c r="AI153" s="4">
        <f>IF(Table17[[#This Row],[DISC 3]]="",Table17[[#This Row],[HRG / CTN]],Table17[[#This Row],[HRG / CTN]]-(Table17[[#This Row],[HRG / CTN]]*Table17[[#This Row],[DISC 3]]))</f>
        <v>5225000</v>
      </c>
      <c r="AJ153" s="5" t="e">
        <f>IF(#REF!&lt;1,Table17[[#This Row],[Column9]],Table17[[#This Row],[Column9]]*#REF!)</f>
        <v>#REF!</v>
      </c>
      <c r="AK153" s="4" t="e">
        <f ca="1">IF(NOT(AP154=Table17[[#This Row],[Column6]]),SUMIF(Table17[Column6],Table17[[#This Row],[Column6]],Table17[Column7]),"")</f>
        <v>#REF!</v>
      </c>
      <c r="AL153" s="6">
        <f ca="1">INDEX(NOTA[TGL_H],Sheet1!A:A)</f>
        <v>45492</v>
      </c>
      <c r="AM153" s="6">
        <f ca="1">INDEX(NOTA[TGL.NOTA_H],Sheet1!A:A)</f>
        <v>45491</v>
      </c>
      <c r="AO153" t="str">
        <f>IF(INDEX(NOTA[Column10],A:A)="","",INDEX(NOTA[Column10],A:A))</f>
        <v/>
      </c>
      <c r="AP153" t="str">
        <f ca="1">INDEX(NOTA[NO.NOTA_H],Sheet1!A:A)</f>
        <v>EMMJ-2407-00887</v>
      </c>
      <c r="AQ153">
        <f>INDEX(NOTA[Column10],Sheet1!A:A)</f>
        <v>0</v>
      </c>
      <c r="AR153" s="8" t="str">
        <f ca="1">INDEX(NOTA[SUPPLIER_H],Sheet1!A:A)</f>
        <v>MAJU MAPAN JAYA</v>
      </c>
      <c r="AS153" t="str">
        <f>Table17[[#This Row],[NAMA_C]]</f>
        <v>BALON BL 100178 M/ P</v>
      </c>
      <c r="AT153" t="str">
        <f ca="1">Table17[[#This Row],[SUPPLIER]]</f>
        <v>MAJU MAPAN JAYA</v>
      </c>
      <c r="AU153" t="str">
        <f>SUBSTITUTE(Table17[[#This Row],[CTN]],",",".")</f>
        <v>3</v>
      </c>
      <c r="AV153" s="13" t="str">
        <f>Table17[[#This Row],[ISI_C]]</f>
        <v>100</v>
      </c>
      <c r="AW153" t="str">
        <f>Table17[[#This Row],[SATUAN_C]]</f>
        <v>DISP</v>
      </c>
      <c r="AX153">
        <f>Table17[[#This Row],[HARGA CONV2]]</f>
        <v>68750</v>
      </c>
      <c r="AY153" s="9" t="str">
        <f>SUBSTITUTE(Table17[[#This Row],[DISC 3]],",",".")</f>
        <v>0.24</v>
      </c>
      <c r="AZ153" s="6">
        <f ca="1">Table17[[#This Row],[TGL DATANG]]</f>
        <v>45492</v>
      </c>
      <c r="BA153" s="6">
        <f ca="1">Table17[[#This Row],[Column10]]</f>
        <v>45491</v>
      </c>
      <c r="BB153" s="7"/>
      <c r="BC153" t="str">
        <f>Table17[[#This Row],[KETERANGAN CONDRO]]</f>
        <v/>
      </c>
      <c r="BD153" t="str">
        <f ca="1">Table17[[#This Row],[Column6]]</f>
        <v>EMMJ-2407-00887</v>
      </c>
    </row>
    <row r="154" spans="1:56">
      <c r="A154" s="55">
        <v>202</v>
      </c>
      <c r="C154">
        <f>INDEX(NOTA[//DB],Sheet1!A:A)</f>
        <v>922</v>
      </c>
      <c r="D154">
        <f>_xlfn.IFNA(MATCH(Table17[[#This Row],[//db]],[3]!Table2[\\],0),"")</f>
        <v>2647</v>
      </c>
      <c r="E154" t="str">
        <f>INDEX([3]!db[NB NOTA],Table17[[#This Row],[//db]])</f>
        <v>ENTER 345</v>
      </c>
      <c r="F154" t="str">
        <f>INDEX([3]!db[NB BM],Table17[[#This Row],[//db]])</f>
        <v>SAMPUL ROLL ENTER 345</v>
      </c>
      <c r="G154" t="str">
        <f>IF(Table17[[#This Row],[dbconcat]]="","",INDEX([3]!Table2[NAMA],Table17[[#This Row],[dbconcat]]))</f>
        <v>SAMPUL ROLL ENTER 345</v>
      </c>
      <c r="H154" t="str">
        <f>INDEX([3]!Table2[KODE BARANG],Table17[[#This Row],[dbconcat]])</f>
        <v>SAM-EN4</v>
      </c>
      <c r="I154" t="str">
        <f>IF(Table17[[#This Row],[NAMA_3]]="",UPPER(Table17[[#This Row],[NAMA_2]]),Table17[[#This Row],[NAMA_3]])</f>
        <v>SAMPUL ROLL ENTER 345</v>
      </c>
      <c r="J154">
        <f>INDEX(NOTA[QTY],Sheet1!A:A)</f>
        <v>1200</v>
      </c>
      <c r="K154" t="str">
        <f>INDEX(NOTA[STN],Sheet1!A:A)</f>
        <v>ROL</v>
      </c>
      <c r="L154" t="str">
        <f>INDEX([3]!db[QTY B],Table17[[#This Row],[//db]])</f>
        <v>400</v>
      </c>
      <c r="M154" t="str">
        <f>INDEX([3]!db[STN B],Table17[[#This Row],[//db]])</f>
        <v>ROL</v>
      </c>
      <c r="N154" t="str">
        <f>IF(Table17[[#This Row],[SATUAN NOTA]]=Table17[[#This Row],[SATUAN DB]],"", MATCH(CONCATENATE(Table17[[#This Row],[SATUAN NOTA]],Table17[[#This Row],[SATUAN DB]]),Table2[4],0))</f>
        <v/>
      </c>
      <c r="O154" t="str" cm="1">
        <f t="array" ref="O154">IF(Table17[[#This Row],[//CONV]]="","",INDEX(Table2[3],Table17[[#This Row],[//CONV]]))</f>
        <v/>
      </c>
      <c r="P154" t="str">
        <f>IF(Table17[[#This Row],[//CONV]]="",Table17[[#This Row],[ISI DB]],Table17[[#This Row],[ISI NOTA]]*Table17[[#This Row],[CONV VAR]])</f>
        <v>400</v>
      </c>
      <c r="Q154" t="str" cm="1">
        <f t="array" ref="Q154">IF(Table17[[#This Row],[//CONV]]="",Table17[[#This Row],[SATUAN DB]],INDEX(Table2[2],Table17[[#This Row],[//CONV]]))</f>
        <v>ROL</v>
      </c>
      <c r="R154" cm="1">
        <f t="array" ref="R154">IF(Table17[[#This Row],[dbconcat]]="","",INDEX([3]!Table2[ISI],Table17[[#This Row],[dbconcat]]))</f>
        <v>400</v>
      </c>
      <c r="S154" t="str" cm="1">
        <f t="array" ref="S154">IF(Table17[[#This Row],[dbconcat]]="","",INDEX([3]!Table2[[SATUAN ]],Table17[[#This Row],[dbconcat]]))</f>
        <v>ROL</v>
      </c>
      <c r="T154" t="str">
        <f>IF(Table17[[#This Row],[SATUAN S]]="","",IF(_xlfn.NUMBERVALUE(Table17[[#This Row],[ISI DB]])=_xlfn.NUMBERVALUE(Table17[[#This Row],[ISI S]]),"",1))</f>
        <v/>
      </c>
      <c r="U154" t="str">
        <f>IF(Table17[[#This Row],[SATUAN S]]="","",IF(Table17[[#This Row],[SATUAN DB]]=Table17[[#This Row],[SATUAN S]],"",1))</f>
        <v/>
      </c>
      <c r="V154" t="str">
        <f>IF(Table17[[#This Row],[CEK STN S]]="","",MATCH(CONCATENATE(Table17[[#This Row],[SATUAN CONV]],Table17[[#This Row],[SATUAN S]]),Table2[4],0))</f>
        <v/>
      </c>
      <c r="X154" t="str" cm="1">
        <f t="array" ref="X154">IF(Table17[[#This Row],[CONV2_//]]="","",INDEX(Table2[3],Table17[[#This Row],[CONV2_//]]))</f>
        <v/>
      </c>
      <c r="Y154" s="2" t="str">
        <f>IF(Table17[[#This Row],[CEK ISI S]]="",Table17[[#This Row],[ISI DB]],Table17[[#This Row],[ISI S]])</f>
        <v>400</v>
      </c>
      <c r="Z154" t="str">
        <f>IF(Table17[[#This Row],[CEK STN S]]="",Table17[[#This Row],[SATUAN DB]],Table17[[#This Row],[SATUAN S]])</f>
        <v>ROL</v>
      </c>
      <c r="AA154">
        <f>IF(Table17[[#This Row],[//CONV]]="",Table17[[#This Row],[ISI NOTA]]/Table17[[#This Row],[ISI_C]],Table17[[#This Row],[ISI DB CONV]]/Table17[[#This Row],[ISI_C]])</f>
        <v>3</v>
      </c>
      <c r="AB154">
        <f>INDEX(NOTA[HARGA SATUAN],Sheet1!A:A)</f>
        <v>7000</v>
      </c>
      <c r="AC154">
        <f>IF(Table17[[#This Row],[//CONV]]="",Table17[[#This Row],[HARGA NOTA]],Table17[[#This Row],[HARGA NOTA]]/Table17[[#This Row],[CONV VAR]])</f>
        <v>7000</v>
      </c>
      <c r="AD154">
        <f>IF(Table17[[#This Row],[CEK STN S]]="",Table17[[#This Row],[HARGA CONV]],Table17[[#This Row],[HARGA CONV]]/Table17[[#This Row],[CONV2 VAR]])</f>
        <v>7000</v>
      </c>
      <c r="AE154" s="3" t="str">
        <f>IF(INDEX(NOTA[Column6],Sheet1!A:A)=0,"",INDEX(NOTA[Column6],Sheet1!A:A))</f>
        <v/>
      </c>
      <c r="AF154" s="3" t="str">
        <f>IF(INDEX(NOTA[Column7],Sheet1!A:A)=0,"",INDEX(NOTA[Column7],Sheet1!A:A))</f>
        <v/>
      </c>
      <c r="AG15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4" s="4">
        <f>INDEX(NOTA[HARGA/ CTN_H],Sheet1!A:A)</f>
        <v>2800000</v>
      </c>
      <c r="AI154" s="4">
        <f>IF(Table17[[#This Row],[DISC 3]]="",Table17[[#This Row],[HRG / CTN]],Table17[[#This Row],[HRG / CTN]]-(Table17[[#This Row],[HRG / CTN]]*Table17[[#This Row],[DISC 3]]))</f>
        <v>2800000</v>
      </c>
      <c r="AJ154" s="5" t="e">
        <f>IF(#REF!&lt;1,Table17[[#This Row],[Column9]],Table17[[#This Row],[Column9]]*#REF!)</f>
        <v>#REF!</v>
      </c>
      <c r="AK154" s="4" t="str">
        <f ca="1">IF(NOT(AP155=Table17[[#This Row],[Column6]]),SUMIF(Table17[Column6],Table17[[#This Row],[Column6]],Table17[Column7]),"")</f>
        <v/>
      </c>
      <c r="AL154" s="6">
        <f ca="1">INDEX(NOTA[TGL_H],Sheet1!A:A)</f>
        <v>45492</v>
      </c>
      <c r="AM154" s="6">
        <f ca="1">INDEX(NOTA[TGL.NOTA_H],Sheet1!A:A)</f>
        <v>45489</v>
      </c>
      <c r="AO154" t="str">
        <f>IF(INDEX(NOTA[Column10],A:A)="","",INDEX(NOTA[Column10],A:A))</f>
        <v/>
      </c>
      <c r="AP154" t="str">
        <f ca="1">INDEX(NOTA[NO.NOTA_H],Sheet1!A:A)</f>
        <v>K41,24</v>
      </c>
      <c r="AQ154">
        <f>INDEX(NOTA[Column10],Sheet1!A:A)</f>
        <v>0</v>
      </c>
      <c r="AR154" s="8" t="str">
        <f ca="1">INDEX(NOTA[SUPPLIER_H],Sheet1!A:A)</f>
        <v>ETJ</v>
      </c>
      <c r="AS154" t="str">
        <f>Table17[[#This Row],[NAMA_C]]</f>
        <v>SAMPUL ROLL ENTER 345</v>
      </c>
      <c r="AT154" t="str">
        <f ca="1">Table17[[#This Row],[SUPPLIER]]</f>
        <v>ETJ</v>
      </c>
      <c r="AU154" t="str">
        <f>SUBSTITUTE(Table17[[#This Row],[CTN]],",",".")</f>
        <v>3</v>
      </c>
      <c r="AV154" s="13" t="str">
        <f>Table17[[#This Row],[ISI_C]]</f>
        <v>400</v>
      </c>
      <c r="AW154" t="str">
        <f>Table17[[#This Row],[SATUAN_C]]</f>
        <v>ROL</v>
      </c>
      <c r="AX154">
        <f>Table17[[#This Row],[HARGA CONV2]]</f>
        <v>7000</v>
      </c>
      <c r="AY154" s="9" t="str">
        <f>SUBSTITUTE(Table17[[#This Row],[DISC 3]],",",".")</f>
        <v/>
      </c>
      <c r="AZ154" s="6">
        <f ca="1">Table17[[#This Row],[TGL DATANG]]</f>
        <v>45492</v>
      </c>
      <c r="BA154" s="6">
        <f ca="1">Table17[[#This Row],[Column10]]</f>
        <v>45489</v>
      </c>
      <c r="BB154" s="7"/>
      <c r="BC154" t="str">
        <f>Table17[[#This Row],[KETERANGAN CONDRO]]</f>
        <v/>
      </c>
      <c r="BD154" t="str">
        <f ca="1">Table17[[#This Row],[Column6]]</f>
        <v>K41,24</v>
      </c>
    </row>
    <row r="155" spans="1:56">
      <c r="A155" s="55">
        <v>203</v>
      </c>
      <c r="C155">
        <f>INDEX(NOTA[//DB],Sheet1!A:A)</f>
        <v>924</v>
      </c>
      <c r="D155">
        <f>_xlfn.IFNA(MATCH(Table17[[#This Row],[//db]],[3]!Table2[\\],0),"")</f>
        <v>2657</v>
      </c>
      <c r="E155" t="str">
        <f>INDEX([3]!db[NB NOTA],Table17[[#This Row],[//db]])</f>
        <v>DUST 454</v>
      </c>
      <c r="F155" t="str">
        <f>INDEX([3]!db[NB BM],Table17[[#This Row],[//db]])</f>
        <v>Sampul Roll Dust 454</v>
      </c>
      <c r="G155" t="str">
        <f>IF(Table17[[#This Row],[dbconcat]]="","",INDEX([3]!Table2[NAMA],Table17[[#This Row],[dbconcat]]))</f>
        <v>SAMPUL ROLL DUST 454</v>
      </c>
      <c r="H155" t="str">
        <f>INDEX([3]!Table2[KODE BARANG],Table17[[#This Row],[dbconcat]])</f>
        <v>SAM-DU24</v>
      </c>
      <c r="I155" t="str">
        <f>IF(Table17[[#This Row],[NAMA_3]]="",UPPER(Table17[[#This Row],[NAMA_2]]),Table17[[#This Row],[NAMA_3]])</f>
        <v>SAMPUL ROLL DUST 454</v>
      </c>
      <c r="J155">
        <f>INDEX(NOTA[QTY],Sheet1!A:A)</f>
        <v>900</v>
      </c>
      <c r="K155" t="str">
        <f>INDEX(NOTA[STN],Sheet1!A:A)</f>
        <v>ROL</v>
      </c>
      <c r="L155" t="str">
        <f>INDEX([3]!db[QTY B],Table17[[#This Row],[//db]])</f>
        <v>300</v>
      </c>
      <c r="M155" t="str">
        <f>INDEX([3]!db[STN B],Table17[[#This Row],[//db]])</f>
        <v>ROL</v>
      </c>
      <c r="N155" t="str">
        <f>IF(Table17[[#This Row],[SATUAN NOTA]]=Table17[[#This Row],[SATUAN DB]],"", MATCH(CONCATENATE(Table17[[#This Row],[SATUAN NOTA]],Table17[[#This Row],[SATUAN DB]]),Table2[4],0))</f>
        <v/>
      </c>
      <c r="O155" t="str" cm="1">
        <f t="array" ref="O155">IF(Table17[[#This Row],[//CONV]]="","",INDEX(Table2[3],Table17[[#This Row],[//CONV]]))</f>
        <v/>
      </c>
      <c r="P155" t="str">
        <f>IF(Table17[[#This Row],[//CONV]]="",Table17[[#This Row],[ISI DB]],Table17[[#This Row],[ISI NOTA]]*Table17[[#This Row],[CONV VAR]])</f>
        <v>300</v>
      </c>
      <c r="Q155" t="str" cm="1">
        <f t="array" ref="Q155">IF(Table17[[#This Row],[//CONV]]="",Table17[[#This Row],[SATUAN DB]],INDEX(Table2[2],Table17[[#This Row],[//CONV]]))</f>
        <v>ROL</v>
      </c>
      <c r="R155" cm="1">
        <f t="array" ref="R155">IF(Table17[[#This Row],[dbconcat]]="","",INDEX([3]!Table2[ISI],Table17[[#This Row],[dbconcat]]))</f>
        <v>300</v>
      </c>
      <c r="S155" t="str" cm="1">
        <f t="array" ref="S155">IF(Table17[[#This Row],[dbconcat]]="","",INDEX([3]!Table2[[SATUAN ]],Table17[[#This Row],[dbconcat]]))</f>
        <v>ROL</v>
      </c>
      <c r="T155" t="str">
        <f>IF(Table17[[#This Row],[SATUAN S]]="","",IF(_xlfn.NUMBERVALUE(Table17[[#This Row],[ISI DB]])=_xlfn.NUMBERVALUE(Table17[[#This Row],[ISI S]]),"",1))</f>
        <v/>
      </c>
      <c r="U155" t="str">
        <f>IF(Table17[[#This Row],[SATUAN S]]="","",IF(Table17[[#This Row],[SATUAN DB]]=Table17[[#This Row],[SATUAN S]],"",1))</f>
        <v/>
      </c>
      <c r="V155" t="str">
        <f>IF(Table17[[#This Row],[CEK STN S]]="","",MATCH(CONCATENATE(Table17[[#This Row],[SATUAN CONV]],Table17[[#This Row],[SATUAN S]]),Table2[4],0))</f>
        <v/>
      </c>
      <c r="X155" t="str" cm="1">
        <f t="array" ref="X155">IF(Table17[[#This Row],[CONV2_//]]="","",INDEX(Table2[3],Table17[[#This Row],[CONV2_//]]))</f>
        <v/>
      </c>
      <c r="Y155" s="2" t="str">
        <f>IF(Table17[[#This Row],[CEK ISI S]]="",Table17[[#This Row],[ISI DB]],Table17[[#This Row],[ISI S]])</f>
        <v>300</v>
      </c>
      <c r="Z155" t="str">
        <f>IF(Table17[[#This Row],[CEK STN S]]="",Table17[[#This Row],[SATUAN DB]],Table17[[#This Row],[SATUAN S]])</f>
        <v>ROL</v>
      </c>
      <c r="AA155">
        <f>IF(Table17[[#This Row],[//CONV]]="",Table17[[#This Row],[ISI NOTA]]/Table17[[#This Row],[ISI_C]],Table17[[#This Row],[ISI DB CONV]]/Table17[[#This Row],[ISI_C]])</f>
        <v>3</v>
      </c>
      <c r="AB155">
        <f>INDEX(NOTA[HARGA SATUAN],Sheet1!A:A)</f>
        <v>7750</v>
      </c>
      <c r="AC155">
        <f>IF(Table17[[#This Row],[//CONV]]="",Table17[[#This Row],[HARGA NOTA]],Table17[[#This Row],[HARGA NOTA]]/Table17[[#This Row],[CONV VAR]])</f>
        <v>7750</v>
      </c>
      <c r="AD155">
        <f>IF(Table17[[#This Row],[CEK STN S]]="",Table17[[#This Row],[HARGA CONV]],Table17[[#This Row],[HARGA CONV]]/Table17[[#This Row],[CONV2 VAR]])</f>
        <v>7750</v>
      </c>
      <c r="AE155" s="3" t="str">
        <f>IF(INDEX(NOTA[Column6],Sheet1!A:A)=0,"",INDEX(NOTA[Column6],Sheet1!A:A))</f>
        <v/>
      </c>
      <c r="AF155" s="3" t="str">
        <f>IF(INDEX(NOTA[Column7],Sheet1!A:A)=0,"",INDEX(NOTA[Column7],Sheet1!A:A))</f>
        <v/>
      </c>
      <c r="AG15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5" s="4">
        <f>INDEX(NOTA[HARGA/ CTN_H],Sheet1!A:A)</f>
        <v>2325000</v>
      </c>
      <c r="AI155" s="4">
        <f>IF(Table17[[#This Row],[DISC 3]]="",Table17[[#This Row],[HRG / CTN]],Table17[[#This Row],[HRG / CTN]]-(Table17[[#This Row],[HRG / CTN]]*Table17[[#This Row],[DISC 3]]))</f>
        <v>2325000</v>
      </c>
      <c r="AJ155" s="5" t="e">
        <f>IF(#REF!&lt;1,Table17[[#This Row],[Column9]],Table17[[#This Row],[Column9]]*#REF!)</f>
        <v>#REF!</v>
      </c>
      <c r="AK155" s="4" t="e">
        <f ca="1">IF(NOT(AP156=Table17[[#This Row],[Column6]]),SUMIF(Table17[Column6],Table17[[#This Row],[Column6]],Table17[Column7]),"")</f>
        <v>#REF!</v>
      </c>
      <c r="AL155" s="6">
        <f ca="1">INDEX(NOTA[TGL_H],Sheet1!A:A)</f>
        <v>45492</v>
      </c>
      <c r="AM155" s="6">
        <f ca="1">INDEX(NOTA[TGL.NOTA_H],Sheet1!A:A)</f>
        <v>45489</v>
      </c>
      <c r="AO155" t="str">
        <f>IF(INDEX(NOTA[Column10],A:A)="","",INDEX(NOTA[Column10],A:A))</f>
        <v/>
      </c>
      <c r="AP155" t="str">
        <f ca="1">INDEX(NOTA[NO.NOTA_H],Sheet1!A:A)</f>
        <v>K41,24</v>
      </c>
      <c r="AQ155">
        <f>INDEX(NOTA[Column10],Sheet1!A:A)</f>
        <v>0</v>
      </c>
      <c r="AR155" s="8" t="str">
        <f ca="1">INDEX(NOTA[SUPPLIER_H],Sheet1!A:A)</f>
        <v>ETJ</v>
      </c>
      <c r="AS155" t="str">
        <f>Table17[[#This Row],[NAMA_C]]</f>
        <v>SAMPUL ROLL DUST 454</v>
      </c>
      <c r="AT155" t="str">
        <f ca="1">Table17[[#This Row],[SUPPLIER]]</f>
        <v>ETJ</v>
      </c>
      <c r="AU155" t="str">
        <f>SUBSTITUTE(Table17[[#This Row],[CTN]],",",".")</f>
        <v>3</v>
      </c>
      <c r="AV155" s="13" t="str">
        <f>Table17[[#This Row],[ISI_C]]</f>
        <v>300</v>
      </c>
      <c r="AW155" t="str">
        <f>Table17[[#This Row],[SATUAN_C]]</f>
        <v>ROL</v>
      </c>
      <c r="AX155">
        <f>Table17[[#This Row],[HARGA CONV2]]</f>
        <v>7750</v>
      </c>
      <c r="AY155" s="9" t="str">
        <f>SUBSTITUTE(Table17[[#This Row],[DISC 3]],",",".")</f>
        <v/>
      </c>
      <c r="AZ155" s="6">
        <f ca="1">Table17[[#This Row],[TGL DATANG]]</f>
        <v>45492</v>
      </c>
      <c r="BA155" s="6">
        <f ca="1">Table17[[#This Row],[Column10]]</f>
        <v>45489</v>
      </c>
      <c r="BB155" s="7"/>
      <c r="BC155" t="str">
        <f>Table17[[#This Row],[KETERANGAN CONDRO]]</f>
        <v/>
      </c>
      <c r="BD155" t="str">
        <f ca="1">Table17[[#This Row],[Column6]]</f>
        <v>K41,24</v>
      </c>
    </row>
    <row r="156" spans="1:56">
      <c r="A156" s="55">
        <v>205</v>
      </c>
      <c r="C156">
        <f>INDEX(NOTA[//DB],Sheet1!A:A)</f>
        <v>2863</v>
      </c>
      <c r="D156">
        <f>_xlfn.IFNA(MATCH(Table17[[#This Row],[//db]],[3]!Table2[\\],0),"")</f>
        <v>2677</v>
      </c>
      <c r="E156" t="str">
        <f>INDEX([3]!db[NB NOTA],Table17[[#This Row],[//db]])</f>
        <v>SEMPOA 17 T</v>
      </c>
      <c r="F156" t="str">
        <f>INDEX([3]!db[NB BM],Table17[[#This Row],[//db]])</f>
        <v>SEMPOA JAYA 17 BARIS</v>
      </c>
      <c r="G156" t="str">
        <f>IF(Table17[[#This Row],[dbconcat]]="","",INDEX([3]!Table2[NAMA],Table17[[#This Row],[dbconcat]]))</f>
        <v>SEMPOA JAYA 17 BARIS</v>
      </c>
      <c r="H156" t="str">
        <f>INDEX([3]!Table2[KODE BARANG],Table17[[#This Row],[dbconcat]])</f>
        <v>SEM-NB17</v>
      </c>
      <c r="I156" t="str">
        <f>IF(Table17[[#This Row],[NAMA_3]]="",UPPER(Table17[[#This Row],[NAMA_2]]),Table17[[#This Row],[NAMA_3]])</f>
        <v>SEMPOA JAYA 17 BARIS</v>
      </c>
      <c r="J156">
        <f>INDEX(NOTA[QTY],Sheet1!A:A)</f>
        <v>900</v>
      </c>
      <c r="K156" t="str">
        <f>INDEX(NOTA[STN],Sheet1!A:A)</f>
        <v>PCS</v>
      </c>
      <c r="L156" t="str">
        <f>INDEX([3]!db[QTY B],Table17[[#This Row],[//db]])</f>
        <v>300</v>
      </c>
      <c r="M156" t="str">
        <f>INDEX([3]!db[STN B],Table17[[#This Row],[//db]])</f>
        <v>PCS</v>
      </c>
      <c r="N156" t="str">
        <f>IF(Table17[[#This Row],[SATUAN NOTA]]=Table17[[#This Row],[SATUAN DB]],"", MATCH(CONCATENATE(Table17[[#This Row],[SATUAN NOTA]],Table17[[#This Row],[SATUAN DB]]),Table2[4],0))</f>
        <v/>
      </c>
      <c r="O156" t="str" cm="1">
        <f t="array" ref="O156">IF(Table17[[#This Row],[//CONV]]="","",INDEX(Table2[3],Table17[[#This Row],[//CONV]]))</f>
        <v/>
      </c>
      <c r="P156" t="str">
        <f>IF(Table17[[#This Row],[//CONV]]="",Table17[[#This Row],[ISI DB]],Table17[[#This Row],[ISI NOTA]]*Table17[[#This Row],[CONV VAR]])</f>
        <v>300</v>
      </c>
      <c r="Q156" t="str" cm="1">
        <f t="array" ref="Q156">IF(Table17[[#This Row],[//CONV]]="",Table17[[#This Row],[SATUAN DB]],INDEX(Table2[2],Table17[[#This Row],[//CONV]]))</f>
        <v>PCS</v>
      </c>
      <c r="R156" cm="1">
        <f t="array" ref="R156">IF(Table17[[#This Row],[dbconcat]]="","",INDEX([3]!Table2[ISI],Table17[[#This Row],[dbconcat]]))</f>
        <v>300</v>
      </c>
      <c r="S156" t="str" cm="1">
        <f t="array" ref="S156">IF(Table17[[#This Row],[dbconcat]]="","",INDEX([3]!Table2[[SATUAN ]],Table17[[#This Row],[dbconcat]]))</f>
        <v>PCS</v>
      </c>
      <c r="T156" t="str">
        <f>IF(Table17[[#This Row],[SATUAN S]]="","",IF(_xlfn.NUMBERVALUE(Table17[[#This Row],[ISI DB]])=_xlfn.NUMBERVALUE(Table17[[#This Row],[ISI S]]),"",1))</f>
        <v/>
      </c>
      <c r="U156" t="str">
        <f>IF(Table17[[#This Row],[SATUAN S]]="","",IF(Table17[[#This Row],[SATUAN DB]]=Table17[[#This Row],[SATUAN S]],"",1))</f>
        <v/>
      </c>
      <c r="V156" t="str">
        <f>IF(Table17[[#This Row],[CEK STN S]]="","",MATCH(CONCATENATE(Table17[[#This Row],[SATUAN CONV]],Table17[[#This Row],[SATUAN S]]),Table2[4],0))</f>
        <v/>
      </c>
      <c r="X156" t="str" cm="1">
        <f t="array" ref="X156">IF(Table17[[#This Row],[CONV2_//]]="","",INDEX(Table2[3],Table17[[#This Row],[CONV2_//]]))</f>
        <v/>
      </c>
      <c r="Y156" s="2" t="str">
        <f>IF(Table17[[#This Row],[CEK ISI S]]="",Table17[[#This Row],[ISI DB]],Table17[[#This Row],[ISI S]])</f>
        <v>300</v>
      </c>
      <c r="Z156" t="str">
        <f>IF(Table17[[#This Row],[CEK STN S]]="",Table17[[#This Row],[SATUAN DB]],Table17[[#This Row],[SATUAN S]])</f>
        <v>PCS</v>
      </c>
      <c r="AA156">
        <f>IF(Table17[[#This Row],[//CONV]]="",Table17[[#This Row],[ISI NOTA]]/Table17[[#This Row],[ISI_C]],Table17[[#This Row],[ISI DB CONV]]/Table17[[#This Row],[ISI_C]])</f>
        <v>3</v>
      </c>
      <c r="AB156">
        <f>INDEX(NOTA[HARGA SATUAN],Sheet1!A:A)</f>
        <v>9250</v>
      </c>
      <c r="AC156">
        <f>IF(Table17[[#This Row],[//CONV]]="",Table17[[#This Row],[HARGA NOTA]],Table17[[#This Row],[HARGA NOTA]]/Table17[[#This Row],[CONV VAR]])</f>
        <v>9250</v>
      </c>
      <c r="AD156">
        <f>IF(Table17[[#This Row],[CEK STN S]]="",Table17[[#This Row],[HARGA CONV]],Table17[[#This Row],[HARGA CONV]]/Table17[[#This Row],[CONV2 VAR]])</f>
        <v>9250</v>
      </c>
      <c r="AE156" s="3" t="str">
        <f>IF(INDEX(NOTA[Column6],Sheet1!A:A)=0,"",INDEX(NOTA[Column6],Sheet1!A:A))</f>
        <v/>
      </c>
      <c r="AF156" s="3" t="str">
        <f>IF(INDEX(NOTA[Column7],Sheet1!A:A)=0,"",INDEX(NOTA[Column7],Sheet1!A:A))</f>
        <v/>
      </c>
      <c r="AG15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6" s="4">
        <f>INDEX(NOTA[HARGA/ CTN_H],Sheet1!A:A)</f>
        <v>2775000</v>
      </c>
      <c r="AI156" s="4">
        <f>IF(Table17[[#This Row],[DISC 3]]="",Table17[[#This Row],[HRG / CTN]],Table17[[#This Row],[HRG / CTN]]-(Table17[[#This Row],[HRG / CTN]]*Table17[[#This Row],[DISC 3]]))</f>
        <v>2775000</v>
      </c>
      <c r="AJ156" s="5" t="e">
        <f>IF(#REF!&lt;1,Table17[[#This Row],[Column9]],Table17[[#This Row],[Column9]]*#REF!)</f>
        <v>#REF!</v>
      </c>
      <c r="AK156" s="4" t="e">
        <f ca="1">IF(NOT(AP157=Table17[[#This Row],[Column6]]),SUMIF(Table17[Column6],Table17[[#This Row],[Column6]],Table17[Column7]),"")</f>
        <v>#REF!</v>
      </c>
      <c r="AL156" s="6">
        <f ca="1">INDEX(NOTA[TGL_H],Sheet1!A:A)</f>
        <v>45492</v>
      </c>
      <c r="AM156" s="6">
        <f ca="1">INDEX(NOTA[TGL.NOTA_H],Sheet1!A:A)</f>
        <v>45490</v>
      </c>
      <c r="AO156" t="str">
        <f>IF(INDEX(NOTA[Column10],A:A)="","",INDEX(NOTA[Column10],A:A))</f>
        <v/>
      </c>
      <c r="AP156" t="str">
        <f ca="1">INDEX(NOTA[NO.NOTA_H],Sheet1!A:A)</f>
        <v>K50,24</v>
      </c>
      <c r="AQ156">
        <f>INDEX(NOTA[Column10],Sheet1!A:A)</f>
        <v>0</v>
      </c>
      <c r="AR156" s="8" t="str">
        <f ca="1">INDEX(NOTA[SUPPLIER_H],Sheet1!A:A)</f>
        <v>ETJ</v>
      </c>
      <c r="AS156" t="str">
        <f>Table17[[#This Row],[NAMA_C]]</f>
        <v>SEMPOA JAYA 17 BARIS</v>
      </c>
      <c r="AT156" t="str">
        <f ca="1">Table17[[#This Row],[SUPPLIER]]</f>
        <v>ETJ</v>
      </c>
      <c r="AU156" t="str">
        <f>SUBSTITUTE(Table17[[#This Row],[CTN]],",",".")</f>
        <v>3</v>
      </c>
      <c r="AV156" s="13" t="str">
        <f>Table17[[#This Row],[ISI_C]]</f>
        <v>300</v>
      </c>
      <c r="AW156" t="str">
        <f>Table17[[#This Row],[SATUAN_C]]</f>
        <v>PCS</v>
      </c>
      <c r="AX156">
        <f>Table17[[#This Row],[HARGA CONV2]]</f>
        <v>9250</v>
      </c>
      <c r="AY156" s="9" t="str">
        <f>SUBSTITUTE(Table17[[#This Row],[DISC 3]],",",".")</f>
        <v/>
      </c>
      <c r="AZ156" s="6">
        <f ca="1">Table17[[#This Row],[TGL DATANG]]</f>
        <v>45492</v>
      </c>
      <c r="BA156" s="6">
        <f ca="1">Table17[[#This Row],[Column10]]</f>
        <v>45490</v>
      </c>
      <c r="BB156" s="7"/>
      <c r="BC156" t="str">
        <f>Table17[[#This Row],[KETERANGAN CONDRO]]</f>
        <v/>
      </c>
      <c r="BD156" t="str">
        <f ca="1">Table17[[#This Row],[Column6]]</f>
        <v>K50,24</v>
      </c>
    </row>
    <row r="157" spans="1:56">
      <c r="A157" s="55">
        <v>207</v>
      </c>
      <c r="C157">
        <f>INDEX(NOTA[//DB],Sheet1!A:A)</f>
        <v>573</v>
      </c>
      <c r="D157">
        <f>_xlfn.IFNA(MATCH(Table17[[#This Row],[//db]],[3]!Table2[\\],0),"")</f>
        <v>1023</v>
      </c>
      <c r="E157" t="str">
        <f>INDEX([3]!db[NB NOTA],Table17[[#This Row],[//db]])</f>
        <v>BUSUR 3 1/2 MIKA</v>
      </c>
      <c r="F157" t="str">
        <f>INDEX([3]!db[NB BM],Table17[[#This Row],[//db]])</f>
        <v>GARISAN BUSUR ENTER 3.5 NO. 110</v>
      </c>
      <c r="G157" t="str">
        <f>IF(Table17[[#This Row],[dbconcat]]="","",INDEX([3]!Table2[NAMA],Table17[[#This Row],[dbconcat]]))</f>
        <v>GARISAN BUSUR ENTER 3.5 NO. 110</v>
      </c>
      <c r="H157" t="str">
        <f>INDEX([3]!Table2[KODE BARANG],Table17[[#This Row],[dbconcat]])</f>
        <v>GAR-EN1</v>
      </c>
      <c r="I157" t="str">
        <f>IF(Table17[[#This Row],[NAMA_3]]="",UPPER(Table17[[#This Row],[NAMA_2]]),Table17[[#This Row],[NAMA_3]])</f>
        <v>GARISAN BUSUR ENTER 3.5 NO. 110</v>
      </c>
      <c r="J157">
        <f>INDEX(NOTA[QTY],Sheet1!A:A)</f>
        <v>6000</v>
      </c>
      <c r="K157" t="str">
        <f>INDEX(NOTA[STN],Sheet1!A:A)</f>
        <v>LSN</v>
      </c>
      <c r="L157" t="str">
        <f>INDEX([3]!db[QTY B],Table17[[#This Row],[//db]])</f>
        <v>1500</v>
      </c>
      <c r="M157" t="str">
        <f>INDEX([3]!db[STN B],Table17[[#This Row],[//db]])</f>
        <v>LSN</v>
      </c>
      <c r="N157" t="str">
        <f>IF(Table17[[#This Row],[SATUAN NOTA]]=Table17[[#This Row],[SATUAN DB]],"", MATCH(CONCATENATE(Table17[[#This Row],[SATUAN NOTA]],Table17[[#This Row],[SATUAN DB]]),Table2[4],0))</f>
        <v/>
      </c>
      <c r="O157" t="str" cm="1">
        <f t="array" ref="O157">IF(Table17[[#This Row],[//CONV]]="","",INDEX(Table2[3],Table17[[#This Row],[//CONV]]))</f>
        <v/>
      </c>
      <c r="P157" t="str">
        <f>IF(Table17[[#This Row],[//CONV]]="",Table17[[#This Row],[ISI DB]],Table17[[#This Row],[ISI NOTA]]*Table17[[#This Row],[CONV VAR]])</f>
        <v>1500</v>
      </c>
      <c r="Q157" t="str" cm="1">
        <f t="array" ref="Q157">IF(Table17[[#This Row],[//CONV]]="",Table17[[#This Row],[SATUAN DB]],INDEX(Table2[2],Table17[[#This Row],[//CONV]]))</f>
        <v>LSN</v>
      </c>
      <c r="R157" cm="1">
        <f t="array" ref="R157">IF(Table17[[#This Row],[dbconcat]]="","",INDEX([3]!Table2[ISI],Table17[[#This Row],[dbconcat]]))</f>
        <v>1500</v>
      </c>
      <c r="S157" t="str" cm="1">
        <f t="array" ref="S157">IF(Table17[[#This Row],[dbconcat]]="","",INDEX([3]!Table2[[SATUAN ]],Table17[[#This Row],[dbconcat]]))</f>
        <v>LSN</v>
      </c>
      <c r="T157" t="str">
        <f>IF(Table17[[#This Row],[SATUAN S]]="","",IF(_xlfn.NUMBERVALUE(Table17[[#This Row],[ISI DB]])=_xlfn.NUMBERVALUE(Table17[[#This Row],[ISI S]]),"",1))</f>
        <v/>
      </c>
      <c r="U157" t="str">
        <f>IF(Table17[[#This Row],[SATUAN S]]="","",IF(Table17[[#This Row],[SATUAN DB]]=Table17[[#This Row],[SATUAN S]],"",1))</f>
        <v/>
      </c>
      <c r="V157" t="str">
        <f>IF(Table17[[#This Row],[CEK STN S]]="","",MATCH(CONCATENATE(Table17[[#This Row],[SATUAN CONV]],Table17[[#This Row],[SATUAN S]]),Table2[4],0))</f>
        <v/>
      </c>
      <c r="X157" t="str" cm="1">
        <f t="array" ref="X157">IF(Table17[[#This Row],[CONV2_//]]="","",INDEX(Table2[3],Table17[[#This Row],[CONV2_//]]))</f>
        <v/>
      </c>
      <c r="Y157" s="2" t="str">
        <f>IF(Table17[[#This Row],[CEK ISI S]]="",Table17[[#This Row],[ISI DB]],Table17[[#This Row],[ISI S]])</f>
        <v>1500</v>
      </c>
      <c r="Z157" t="str">
        <f>IF(Table17[[#This Row],[CEK STN S]]="",Table17[[#This Row],[SATUAN DB]],Table17[[#This Row],[SATUAN S]])</f>
        <v>LSN</v>
      </c>
      <c r="AA157">
        <f>IF(Table17[[#This Row],[//CONV]]="",Table17[[#This Row],[ISI NOTA]]/Table17[[#This Row],[ISI_C]],Table17[[#This Row],[ISI DB CONV]]/Table17[[#This Row],[ISI_C]])</f>
        <v>4</v>
      </c>
      <c r="AB157">
        <f>INDEX(NOTA[HARGA SATUAN],Sheet1!A:A)</f>
        <v>5000</v>
      </c>
      <c r="AC157">
        <f>IF(Table17[[#This Row],[//CONV]]="",Table17[[#This Row],[HARGA NOTA]],Table17[[#This Row],[HARGA NOTA]]/Table17[[#This Row],[CONV VAR]])</f>
        <v>5000</v>
      </c>
      <c r="AD157">
        <f>IF(Table17[[#This Row],[CEK STN S]]="",Table17[[#This Row],[HARGA CONV]],Table17[[#This Row],[HARGA CONV]]/Table17[[#This Row],[CONV2 VAR]])</f>
        <v>5000</v>
      </c>
      <c r="AE157" s="3" t="str">
        <f>IF(INDEX(NOTA[Column6],Sheet1!A:A)=0,"",INDEX(NOTA[Column6],Sheet1!A:A))</f>
        <v/>
      </c>
      <c r="AF157" s="3" t="str">
        <f>IF(INDEX(NOTA[Column7],Sheet1!A:A)=0,"",INDEX(NOTA[Column7],Sheet1!A:A))</f>
        <v/>
      </c>
      <c r="AG15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7" s="4">
        <f>INDEX(NOTA[HARGA/ CTN_H],Sheet1!A:A)</f>
        <v>7500000</v>
      </c>
      <c r="AI157" s="4">
        <f>IF(Table17[[#This Row],[DISC 3]]="",Table17[[#This Row],[HRG / CTN]],Table17[[#This Row],[HRG / CTN]]-(Table17[[#This Row],[HRG / CTN]]*Table17[[#This Row],[DISC 3]]))</f>
        <v>7500000</v>
      </c>
      <c r="AJ157" s="5" t="e">
        <f>IF(#REF!&lt;1,Table17[[#This Row],[Column9]],Table17[[#This Row],[Column9]]*#REF!)</f>
        <v>#REF!</v>
      </c>
      <c r="AK157" s="4" t="str">
        <f ca="1">IF(NOT(AP158=Table17[[#This Row],[Column6]]),SUMIF(Table17[Column6],Table17[[#This Row],[Column6]],Table17[Column7]),"")</f>
        <v/>
      </c>
      <c r="AL157" s="6">
        <f ca="1">INDEX(NOTA[TGL_H],Sheet1!A:A)</f>
        <v>45495</v>
      </c>
      <c r="AM157" s="6">
        <f ca="1">INDEX(NOTA[TGL.NOTA_H],Sheet1!A:A)</f>
        <v>45491</v>
      </c>
      <c r="AO157" t="str">
        <f>IF(INDEX(NOTA[Column10],A:A)="","",INDEX(NOTA[Column10],A:A))</f>
        <v/>
      </c>
      <c r="AP157" t="str">
        <f ca="1">INDEX(NOTA[NO.NOTA_H],Sheet1!A:A)</f>
        <v>K55,24</v>
      </c>
      <c r="AQ157">
        <f>INDEX(NOTA[Column10],Sheet1!A:A)</f>
        <v>0</v>
      </c>
      <c r="AR157" s="8" t="str">
        <f ca="1">INDEX(NOTA[SUPPLIER_H],Sheet1!A:A)</f>
        <v>ETJ</v>
      </c>
      <c r="AS157" t="str">
        <f>Table17[[#This Row],[NAMA_C]]</f>
        <v>GARISAN BUSUR ENTER 3.5 NO. 110</v>
      </c>
      <c r="AT157" t="str">
        <f ca="1">Table17[[#This Row],[SUPPLIER]]</f>
        <v>ETJ</v>
      </c>
      <c r="AU157" t="str">
        <f>SUBSTITUTE(Table17[[#This Row],[CTN]],",",".")</f>
        <v>4</v>
      </c>
      <c r="AV157" s="13" t="str">
        <f>Table17[[#This Row],[ISI_C]]</f>
        <v>1500</v>
      </c>
      <c r="AW157" t="str">
        <f>Table17[[#This Row],[SATUAN_C]]</f>
        <v>LSN</v>
      </c>
      <c r="AX157">
        <f>Table17[[#This Row],[HARGA CONV2]]</f>
        <v>5000</v>
      </c>
      <c r="AY157" s="9" t="str">
        <f>SUBSTITUTE(Table17[[#This Row],[DISC 3]],",",".")</f>
        <v/>
      </c>
      <c r="AZ157" s="6">
        <f ca="1">Table17[[#This Row],[TGL DATANG]]</f>
        <v>45495</v>
      </c>
      <c r="BA157" s="6">
        <f ca="1">Table17[[#This Row],[Column10]]</f>
        <v>45491</v>
      </c>
      <c r="BB157" s="7"/>
      <c r="BC157" t="str">
        <f>Table17[[#This Row],[KETERANGAN CONDRO]]</f>
        <v/>
      </c>
      <c r="BD157" t="str">
        <f ca="1">Table17[[#This Row],[Column6]]</f>
        <v>K55,24</v>
      </c>
    </row>
    <row r="158" spans="1:56">
      <c r="A158" s="55">
        <v>208</v>
      </c>
      <c r="C158">
        <f>INDEX(NOTA[//DB],Sheet1!A:A)</f>
        <v>574</v>
      </c>
      <c r="D158">
        <f>_xlfn.IFNA(MATCH(Table17[[#This Row],[//db]],[3]!Table2[\\],0),"")</f>
        <v>1052</v>
      </c>
      <c r="E158" t="str">
        <f>INDEX([3]!db[NB NOTA],Table17[[#This Row],[//db]])</f>
        <v>BUSUR NO.4 MIKA</v>
      </c>
      <c r="F158" t="str">
        <f>INDEX([3]!db[NB BM],Table17[[#This Row],[//db]])</f>
        <v>GARISAN BUSUR ENTER NO. 4 PLST BIRU</v>
      </c>
      <c r="G158" t="str">
        <f>IF(Table17[[#This Row],[dbconcat]]="","",INDEX([3]!Table2[NAMA],Table17[[#This Row],[dbconcat]]))</f>
        <v>GARISAN BUSUR ENTER NO. 4 PLST BIRU</v>
      </c>
      <c r="H158" t="str">
        <f>INDEX([3]!Table2[KODE BARANG],Table17[[#This Row],[dbconcat]])</f>
        <v>GAR-EN33</v>
      </c>
      <c r="I158" t="str">
        <f>IF(Table17[[#This Row],[NAMA_3]]="",UPPER(Table17[[#This Row],[NAMA_2]]),Table17[[#This Row],[NAMA_3]])</f>
        <v>GARISAN BUSUR ENTER NO. 4 PLST BIRU</v>
      </c>
      <c r="J158">
        <f>INDEX(NOTA[QTY],Sheet1!A:A)</f>
        <v>2000</v>
      </c>
      <c r="K158" t="str">
        <f>INDEX(NOTA[STN],Sheet1!A:A)</f>
        <v>LSN</v>
      </c>
      <c r="L158" t="str">
        <f>INDEX([3]!db[QTY B],Table17[[#This Row],[//db]])</f>
        <v>1000</v>
      </c>
      <c r="M158" t="str">
        <f>INDEX([3]!db[STN B],Table17[[#This Row],[//db]])</f>
        <v>LSN</v>
      </c>
      <c r="N158" t="str">
        <f>IF(Table17[[#This Row],[SATUAN NOTA]]=Table17[[#This Row],[SATUAN DB]],"", MATCH(CONCATENATE(Table17[[#This Row],[SATUAN NOTA]],Table17[[#This Row],[SATUAN DB]]),Table2[4],0))</f>
        <v/>
      </c>
      <c r="O158" t="str" cm="1">
        <f t="array" ref="O158">IF(Table17[[#This Row],[//CONV]]="","",INDEX(Table2[3],Table17[[#This Row],[//CONV]]))</f>
        <v/>
      </c>
      <c r="P158" t="str">
        <f>IF(Table17[[#This Row],[//CONV]]="",Table17[[#This Row],[ISI DB]],Table17[[#This Row],[ISI NOTA]]*Table17[[#This Row],[CONV VAR]])</f>
        <v>1000</v>
      </c>
      <c r="Q158" t="str" cm="1">
        <f t="array" ref="Q158">IF(Table17[[#This Row],[//CONV]]="",Table17[[#This Row],[SATUAN DB]],INDEX(Table2[2],Table17[[#This Row],[//CONV]]))</f>
        <v>LSN</v>
      </c>
      <c r="R158" cm="1">
        <f t="array" ref="R158">IF(Table17[[#This Row],[dbconcat]]="","",INDEX([3]!Table2[ISI],Table17[[#This Row],[dbconcat]]))</f>
        <v>1000</v>
      </c>
      <c r="S158" t="str" cm="1">
        <f t="array" ref="S158">IF(Table17[[#This Row],[dbconcat]]="","",INDEX([3]!Table2[[SATUAN ]],Table17[[#This Row],[dbconcat]]))</f>
        <v>LSN</v>
      </c>
      <c r="T158" t="str">
        <f>IF(Table17[[#This Row],[SATUAN S]]="","",IF(_xlfn.NUMBERVALUE(Table17[[#This Row],[ISI DB]])=_xlfn.NUMBERVALUE(Table17[[#This Row],[ISI S]]),"",1))</f>
        <v/>
      </c>
      <c r="U158" t="str">
        <f>IF(Table17[[#This Row],[SATUAN S]]="","",IF(Table17[[#This Row],[SATUAN DB]]=Table17[[#This Row],[SATUAN S]],"",1))</f>
        <v/>
      </c>
      <c r="V158" t="str">
        <f>IF(Table17[[#This Row],[CEK STN S]]="","",MATCH(CONCATENATE(Table17[[#This Row],[SATUAN CONV]],Table17[[#This Row],[SATUAN S]]),Table2[4],0))</f>
        <v/>
      </c>
      <c r="X158" t="str" cm="1">
        <f t="array" ref="X158">IF(Table17[[#This Row],[CONV2_//]]="","",INDEX(Table2[3],Table17[[#This Row],[CONV2_//]]))</f>
        <v/>
      </c>
      <c r="Y158" s="2" t="str">
        <f>IF(Table17[[#This Row],[CEK ISI S]]="",Table17[[#This Row],[ISI DB]],Table17[[#This Row],[ISI S]])</f>
        <v>1000</v>
      </c>
      <c r="Z158" t="str">
        <f>IF(Table17[[#This Row],[CEK STN S]]="",Table17[[#This Row],[SATUAN DB]],Table17[[#This Row],[SATUAN S]])</f>
        <v>LSN</v>
      </c>
      <c r="AA158">
        <f>IF(Table17[[#This Row],[//CONV]]="",Table17[[#This Row],[ISI NOTA]]/Table17[[#This Row],[ISI_C]],Table17[[#This Row],[ISI DB CONV]]/Table17[[#This Row],[ISI_C]])</f>
        <v>2</v>
      </c>
      <c r="AB158">
        <f>INDEX(NOTA[HARGA SATUAN],Sheet1!A:A)</f>
        <v>5500</v>
      </c>
      <c r="AC158">
        <f>IF(Table17[[#This Row],[//CONV]]="",Table17[[#This Row],[HARGA NOTA]],Table17[[#This Row],[HARGA NOTA]]/Table17[[#This Row],[CONV VAR]])</f>
        <v>5500</v>
      </c>
      <c r="AD158">
        <f>IF(Table17[[#This Row],[CEK STN S]]="",Table17[[#This Row],[HARGA CONV]],Table17[[#This Row],[HARGA CONV]]/Table17[[#This Row],[CONV2 VAR]])</f>
        <v>5500</v>
      </c>
      <c r="AE158" s="3" t="str">
        <f>IF(INDEX(NOTA[Column6],Sheet1!A:A)=0,"",INDEX(NOTA[Column6],Sheet1!A:A))</f>
        <v/>
      </c>
      <c r="AF158" s="3" t="str">
        <f>IF(INDEX(NOTA[Column7],Sheet1!A:A)=0,"",INDEX(NOTA[Column7],Sheet1!A:A))</f>
        <v/>
      </c>
      <c r="AG15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8" s="4">
        <f>INDEX(NOTA[HARGA/ CTN_H],Sheet1!A:A)</f>
        <v>5500000</v>
      </c>
      <c r="AI158" s="4">
        <f>IF(Table17[[#This Row],[DISC 3]]="",Table17[[#This Row],[HRG / CTN]],Table17[[#This Row],[HRG / CTN]]-(Table17[[#This Row],[HRG / CTN]]*Table17[[#This Row],[DISC 3]]))</f>
        <v>5500000</v>
      </c>
      <c r="AJ158" s="5" t="e">
        <f>IF(#REF!&lt;1,Table17[[#This Row],[Column9]],Table17[[#This Row],[Column9]]*#REF!)</f>
        <v>#REF!</v>
      </c>
      <c r="AK158" s="4" t="str">
        <f ca="1">IF(NOT(AP159=Table17[[#This Row],[Column6]]),SUMIF(Table17[Column6],Table17[[#This Row],[Column6]],Table17[Column7]),"")</f>
        <v/>
      </c>
      <c r="AL158" s="6">
        <f ca="1">INDEX(NOTA[TGL_H],Sheet1!A:A)</f>
        <v>45495</v>
      </c>
      <c r="AM158" s="6">
        <f ca="1">INDEX(NOTA[TGL.NOTA_H],Sheet1!A:A)</f>
        <v>45491</v>
      </c>
      <c r="AO158" t="str">
        <f>IF(INDEX(NOTA[Column10],A:A)="","",INDEX(NOTA[Column10],A:A))</f>
        <v/>
      </c>
      <c r="AP158" t="str">
        <f ca="1">INDEX(NOTA[NO.NOTA_H],Sheet1!A:A)</f>
        <v>K55,24</v>
      </c>
      <c r="AQ158">
        <f>INDEX(NOTA[Column10],Sheet1!A:A)</f>
        <v>0</v>
      </c>
      <c r="AR158" s="8" t="str">
        <f ca="1">INDEX(NOTA[SUPPLIER_H],Sheet1!A:A)</f>
        <v>ETJ</v>
      </c>
      <c r="AS158" t="str">
        <f>Table17[[#This Row],[NAMA_C]]</f>
        <v>GARISAN BUSUR ENTER NO. 4 PLST BIRU</v>
      </c>
      <c r="AT158" t="str">
        <f ca="1">Table17[[#This Row],[SUPPLIER]]</f>
        <v>ETJ</v>
      </c>
      <c r="AU158" t="str">
        <f>SUBSTITUTE(Table17[[#This Row],[CTN]],",",".")</f>
        <v>2</v>
      </c>
      <c r="AV158" s="13" t="str">
        <f>Table17[[#This Row],[ISI_C]]</f>
        <v>1000</v>
      </c>
      <c r="AW158" t="str">
        <f>Table17[[#This Row],[SATUAN_C]]</f>
        <v>LSN</v>
      </c>
      <c r="AX158">
        <f>Table17[[#This Row],[HARGA CONV2]]</f>
        <v>5500</v>
      </c>
      <c r="AY158" s="9" t="str">
        <f>SUBSTITUTE(Table17[[#This Row],[DISC 3]],",",".")</f>
        <v/>
      </c>
      <c r="AZ158" s="6">
        <f ca="1">Table17[[#This Row],[TGL DATANG]]</f>
        <v>45495</v>
      </c>
      <c r="BA158" s="6">
        <f ca="1">Table17[[#This Row],[Column10]]</f>
        <v>45491</v>
      </c>
      <c r="BB158" s="7"/>
      <c r="BC158" t="str">
        <f>Table17[[#This Row],[KETERANGAN CONDRO]]</f>
        <v/>
      </c>
      <c r="BD158" t="str">
        <f ca="1">Table17[[#This Row],[Column6]]</f>
        <v>K55,24</v>
      </c>
    </row>
    <row r="159" spans="1:56">
      <c r="A159" s="55">
        <v>209</v>
      </c>
      <c r="C159">
        <f>INDEX(NOTA[//DB],Sheet1!A:A)</f>
        <v>2224</v>
      </c>
      <c r="D159">
        <f>_xlfn.IFNA(MATCH(Table17[[#This Row],[//db]],[3]!Table2[\\],0),"")</f>
        <v>2036</v>
      </c>
      <c r="E159" t="str">
        <f>INDEX([3]!db[NB NOTA],Table17[[#This Row],[//db]])</f>
        <v>N TAG D/BIRU 300</v>
      </c>
      <c r="F159" t="str">
        <f>INDEX([3]!db[NB BM],Table17[[#This Row],[//db]])</f>
        <v>NAME TAG DOS BIRU</v>
      </c>
      <c r="G159" t="str">
        <f>IF(Table17[[#This Row],[dbconcat]]="","",INDEX([3]!Table2[NAMA],Table17[[#This Row],[dbconcat]]))</f>
        <v>NAME TAG DOS BIRU</v>
      </c>
      <c r="H159" t="str">
        <f>INDEX([3]!Table2[KODE BARANG],Table17[[#This Row],[dbconcat]])</f>
        <v>NAM-NB3</v>
      </c>
      <c r="I159" t="str">
        <f>IF(Table17[[#This Row],[NAMA_3]]="",UPPER(Table17[[#This Row],[NAMA_2]]),Table17[[#This Row],[NAMA_3]])</f>
        <v>NAME TAG DOS BIRU</v>
      </c>
      <c r="J159">
        <f>INDEX(NOTA[QTY],Sheet1!A:A)</f>
        <v>20000</v>
      </c>
      <c r="K159" t="str">
        <f>INDEX(NOTA[STN],Sheet1!A:A)</f>
        <v>PCS</v>
      </c>
      <c r="L159" t="str">
        <f>INDEX([3]!db[QTY B],Table17[[#This Row],[//db]])</f>
        <v>4000</v>
      </c>
      <c r="M159" t="str">
        <f>INDEX([3]!db[STN B],Table17[[#This Row],[//db]])</f>
        <v>PCS</v>
      </c>
      <c r="N159" t="str">
        <f>IF(Table17[[#This Row],[SATUAN NOTA]]=Table17[[#This Row],[SATUAN DB]],"", MATCH(CONCATENATE(Table17[[#This Row],[SATUAN NOTA]],Table17[[#This Row],[SATUAN DB]]),Table2[4],0))</f>
        <v/>
      </c>
      <c r="O159" t="str" cm="1">
        <f t="array" ref="O159">IF(Table17[[#This Row],[//CONV]]="","",INDEX(Table2[3],Table17[[#This Row],[//CONV]]))</f>
        <v/>
      </c>
      <c r="P159" t="str">
        <f>IF(Table17[[#This Row],[//CONV]]="",Table17[[#This Row],[ISI DB]],Table17[[#This Row],[ISI NOTA]]*Table17[[#This Row],[CONV VAR]])</f>
        <v>4000</v>
      </c>
      <c r="Q159" t="str" cm="1">
        <f t="array" ref="Q159">IF(Table17[[#This Row],[//CONV]]="",Table17[[#This Row],[SATUAN DB]],INDEX(Table2[2],Table17[[#This Row],[//CONV]]))</f>
        <v>PCS</v>
      </c>
      <c r="R159" cm="1">
        <f t="array" ref="R159">IF(Table17[[#This Row],[dbconcat]]="","",INDEX([3]!Table2[ISI],Table17[[#This Row],[dbconcat]]))</f>
        <v>4000</v>
      </c>
      <c r="S159" t="str" cm="1">
        <f t="array" ref="S159">IF(Table17[[#This Row],[dbconcat]]="","",INDEX([3]!Table2[[SATUAN ]],Table17[[#This Row],[dbconcat]]))</f>
        <v>PCS</v>
      </c>
      <c r="T159" t="str">
        <f>IF(Table17[[#This Row],[SATUAN S]]="","",IF(_xlfn.NUMBERVALUE(Table17[[#This Row],[ISI DB]])=_xlfn.NUMBERVALUE(Table17[[#This Row],[ISI S]]),"",1))</f>
        <v/>
      </c>
      <c r="U159" t="str">
        <f>IF(Table17[[#This Row],[SATUAN S]]="","",IF(Table17[[#This Row],[SATUAN DB]]=Table17[[#This Row],[SATUAN S]],"",1))</f>
        <v/>
      </c>
      <c r="V159" t="str">
        <f>IF(Table17[[#This Row],[CEK STN S]]="","",MATCH(CONCATENATE(Table17[[#This Row],[SATUAN CONV]],Table17[[#This Row],[SATUAN S]]),Table2[4],0))</f>
        <v/>
      </c>
      <c r="X159" t="str" cm="1">
        <f t="array" ref="X159">IF(Table17[[#This Row],[CONV2_//]]="","",INDEX(Table2[3],Table17[[#This Row],[CONV2_//]]))</f>
        <v/>
      </c>
      <c r="Y159" s="2" t="str">
        <f>IF(Table17[[#This Row],[CEK ISI S]]="",Table17[[#This Row],[ISI DB]],Table17[[#This Row],[ISI S]])</f>
        <v>4000</v>
      </c>
      <c r="Z159" t="str">
        <f>IF(Table17[[#This Row],[CEK STN S]]="",Table17[[#This Row],[SATUAN DB]],Table17[[#This Row],[SATUAN S]])</f>
        <v>PCS</v>
      </c>
      <c r="AA159">
        <f>IF(Table17[[#This Row],[//CONV]]="",Table17[[#This Row],[ISI NOTA]]/Table17[[#This Row],[ISI_C]],Table17[[#This Row],[ISI DB CONV]]/Table17[[#This Row],[ISI_C]])</f>
        <v>5</v>
      </c>
      <c r="AB159">
        <f>INDEX(NOTA[HARGA SATUAN],Sheet1!A:A)</f>
        <v>600</v>
      </c>
      <c r="AC159">
        <f>IF(Table17[[#This Row],[//CONV]]="",Table17[[#This Row],[HARGA NOTA]],Table17[[#This Row],[HARGA NOTA]]/Table17[[#This Row],[CONV VAR]])</f>
        <v>600</v>
      </c>
      <c r="AD159">
        <f>IF(Table17[[#This Row],[CEK STN S]]="",Table17[[#This Row],[HARGA CONV]],Table17[[#This Row],[HARGA CONV]]/Table17[[#This Row],[CONV2 VAR]])</f>
        <v>600</v>
      </c>
      <c r="AE159" s="3" t="str">
        <f>IF(INDEX(NOTA[Column6],Sheet1!A:A)=0,"",INDEX(NOTA[Column6],Sheet1!A:A))</f>
        <v/>
      </c>
      <c r="AF159" s="3" t="str">
        <f>IF(INDEX(NOTA[Column7],Sheet1!A:A)=0,"",INDEX(NOTA[Column7],Sheet1!A:A))</f>
        <v/>
      </c>
      <c r="AG15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59" s="4">
        <f>INDEX(NOTA[HARGA/ CTN_H],Sheet1!A:A)</f>
        <v>2400000</v>
      </c>
      <c r="AI159" s="4">
        <f>IF(Table17[[#This Row],[DISC 3]]="",Table17[[#This Row],[HRG / CTN]],Table17[[#This Row],[HRG / CTN]]-(Table17[[#This Row],[HRG / CTN]]*Table17[[#This Row],[DISC 3]]))</f>
        <v>2400000</v>
      </c>
      <c r="AJ159" s="5" t="e">
        <f>IF(#REF!&lt;1,Table17[[#This Row],[Column9]],Table17[[#This Row],[Column9]]*#REF!)</f>
        <v>#REF!</v>
      </c>
      <c r="AK159" s="4" t="e">
        <f ca="1">IF(NOT(AP160=Table17[[#This Row],[Column6]]),SUMIF(Table17[Column6],Table17[[#This Row],[Column6]],Table17[Column7]),"")</f>
        <v>#REF!</v>
      </c>
      <c r="AL159" s="6">
        <f ca="1">INDEX(NOTA[TGL_H],Sheet1!A:A)</f>
        <v>45495</v>
      </c>
      <c r="AM159" s="6">
        <f ca="1">INDEX(NOTA[TGL.NOTA_H],Sheet1!A:A)</f>
        <v>45491</v>
      </c>
      <c r="AO159" t="str">
        <f>IF(INDEX(NOTA[Column10],A:A)="","",INDEX(NOTA[Column10],A:A))</f>
        <v/>
      </c>
      <c r="AP159" t="str">
        <f ca="1">INDEX(NOTA[NO.NOTA_H],Sheet1!A:A)</f>
        <v>K55,24</v>
      </c>
      <c r="AQ159">
        <f>INDEX(NOTA[Column10],Sheet1!A:A)</f>
        <v>0</v>
      </c>
      <c r="AR159" s="8" t="str">
        <f ca="1">INDEX(NOTA[SUPPLIER_H],Sheet1!A:A)</f>
        <v>ETJ</v>
      </c>
      <c r="AS159" t="str">
        <f>Table17[[#This Row],[NAMA_C]]</f>
        <v>NAME TAG DOS BIRU</v>
      </c>
      <c r="AT159" t="str">
        <f ca="1">Table17[[#This Row],[SUPPLIER]]</f>
        <v>ETJ</v>
      </c>
      <c r="AU159" t="str">
        <f>SUBSTITUTE(Table17[[#This Row],[CTN]],",",".")</f>
        <v>5</v>
      </c>
      <c r="AV159" s="13" t="str">
        <f>Table17[[#This Row],[ISI_C]]</f>
        <v>4000</v>
      </c>
      <c r="AW159" t="str">
        <f>Table17[[#This Row],[SATUAN_C]]</f>
        <v>PCS</v>
      </c>
      <c r="AX159">
        <f>Table17[[#This Row],[HARGA CONV2]]</f>
        <v>600</v>
      </c>
      <c r="AY159" s="9" t="str">
        <f>SUBSTITUTE(Table17[[#This Row],[DISC 3]],",",".")</f>
        <v/>
      </c>
      <c r="AZ159" s="6">
        <f ca="1">Table17[[#This Row],[TGL DATANG]]</f>
        <v>45495</v>
      </c>
      <c r="BA159" s="6">
        <f ca="1">Table17[[#This Row],[Column10]]</f>
        <v>45491</v>
      </c>
      <c r="BB159" s="7"/>
      <c r="BC159" t="str">
        <f>Table17[[#This Row],[KETERANGAN CONDRO]]</f>
        <v/>
      </c>
      <c r="BD159" t="str">
        <f ca="1">Table17[[#This Row],[Column6]]</f>
        <v>K55,24</v>
      </c>
    </row>
    <row r="160" spans="1:56">
      <c r="A160" s="55">
        <v>211</v>
      </c>
      <c r="C160">
        <f>INDEX(NOTA[//DB],Sheet1!A:A)</f>
        <v>2697</v>
      </c>
      <c r="D160">
        <f>_xlfn.IFNA(MATCH(Table17[[#This Row],[//db]],[3]!Table2[\\],0),"")</f>
        <v>2529</v>
      </c>
      <c r="E160" t="str">
        <f>INDEX([3]!db[NB NOTA],Table17[[#This Row],[//db]])</f>
        <v>PENSIL KAYAGI SKIN KY-PF2025</v>
      </c>
      <c r="F160" t="str">
        <f>INDEX([3]!db[NB BM],Table17[[#This Row],[//db]])</f>
        <v>Pensil 2B Kayagi KY-PF2025</v>
      </c>
      <c r="G160" t="str">
        <f>IF(Table17[[#This Row],[dbconcat]]="","",INDEX([3]!Table2[NAMA],Table17[[#This Row],[dbconcat]]))</f>
        <v>PENSIL 2B KAYAGI KY-PF2025</v>
      </c>
      <c r="H160" t="str">
        <f>INDEX([3]!Table2[KODE BARANG],Table17[[#This Row],[dbconcat]])</f>
        <v>PEN-KY61</v>
      </c>
      <c r="I160" t="str">
        <f>IF(Table17[[#This Row],[NAMA_3]]="",UPPER(Table17[[#This Row],[NAMA_2]]),Table17[[#This Row],[NAMA_3]])</f>
        <v>PENSIL 2B KAYAGI KY-PF2025</v>
      </c>
      <c r="J160">
        <f>INDEX(NOTA[QTY],Sheet1!A:A)</f>
        <v>360</v>
      </c>
      <c r="K160" t="str">
        <f>INDEX(NOTA[STN],Sheet1!A:A)</f>
        <v>LSN</v>
      </c>
      <c r="L160" t="str">
        <f>INDEX([3]!db[QTY B],Table17[[#This Row],[//db]])</f>
        <v>360</v>
      </c>
      <c r="M160" t="str">
        <f>INDEX([3]!db[STN B],Table17[[#This Row],[//db]])</f>
        <v>LSN</v>
      </c>
      <c r="N160" t="str">
        <f>IF(Table17[[#This Row],[SATUAN NOTA]]=Table17[[#This Row],[SATUAN DB]],"", MATCH(CONCATENATE(Table17[[#This Row],[SATUAN NOTA]],Table17[[#This Row],[SATUAN DB]]),Table2[4],0))</f>
        <v/>
      </c>
      <c r="O160" t="str" cm="1">
        <f t="array" ref="O160">IF(Table17[[#This Row],[//CONV]]="","",INDEX(Table2[3],Table17[[#This Row],[//CONV]]))</f>
        <v/>
      </c>
      <c r="P160" t="str">
        <f>IF(Table17[[#This Row],[//CONV]]="",Table17[[#This Row],[ISI DB]],Table17[[#This Row],[ISI NOTA]]*Table17[[#This Row],[CONV VAR]])</f>
        <v>360</v>
      </c>
      <c r="Q160" t="str" cm="1">
        <f t="array" ref="Q160">IF(Table17[[#This Row],[//CONV]]="",Table17[[#This Row],[SATUAN DB]],INDEX(Table2[2],Table17[[#This Row],[//CONV]]))</f>
        <v>LSN</v>
      </c>
      <c r="R160" cm="1">
        <f t="array" ref="R160">IF(Table17[[#This Row],[dbconcat]]="","",INDEX([3]!Table2[ISI],Table17[[#This Row],[dbconcat]]))</f>
        <v>30</v>
      </c>
      <c r="S160" t="str" cm="1">
        <f t="array" ref="S160">IF(Table17[[#This Row],[dbconcat]]="","",INDEX([3]!Table2[[SATUAN ]],Table17[[#This Row],[dbconcat]]))</f>
        <v>GRS</v>
      </c>
      <c r="T160">
        <f>IF(Table17[[#This Row],[SATUAN S]]="","",IF(_xlfn.NUMBERVALUE(Table17[[#This Row],[ISI DB]])=_xlfn.NUMBERVALUE(Table17[[#This Row],[ISI S]]),"",1))</f>
        <v>1</v>
      </c>
      <c r="U160">
        <f>IF(Table17[[#This Row],[SATUAN S]]="","",IF(Table17[[#This Row],[SATUAN DB]]=Table17[[#This Row],[SATUAN S]],"",1))</f>
        <v>1</v>
      </c>
      <c r="V160">
        <f>IF(Table17[[#This Row],[CEK STN S]]="","",MATCH(CONCATENATE(Table17[[#This Row],[SATUAN CONV]],Table17[[#This Row],[SATUAN S]]),Table2[4],0))</f>
        <v>6</v>
      </c>
      <c r="X160" cm="1">
        <f t="array" ref="X160">IF(Table17[[#This Row],[CONV2_//]]="","",INDEX(Table2[3],Table17[[#This Row],[CONV2_//]]))</f>
        <v>8.3333333329999995E-2</v>
      </c>
      <c r="Y160" s="2">
        <f>IF(Table17[[#This Row],[CEK ISI S]]="",Table17[[#This Row],[ISI DB]],Table17[[#This Row],[ISI S]])</f>
        <v>30</v>
      </c>
      <c r="Z160" t="str">
        <f>IF(Table17[[#This Row],[CEK STN S]]="",Table17[[#This Row],[SATUAN DB]],Table17[[#This Row],[SATUAN S]])</f>
        <v>GRS</v>
      </c>
      <c r="AA160">
        <f>IF(Table17[[#This Row],[//CONV]]="",Table17[[#This Row],[ISI NOTA]]/Table17[[#This Row],[ISI_C]],Table17[[#This Row],[ISI DB CONV]]/Table17[[#This Row],[ISI_C]])</f>
        <v>12</v>
      </c>
      <c r="AB160">
        <f>INDEX(NOTA[HARGA SATUAN],Sheet1!A:A)</f>
        <v>7700</v>
      </c>
      <c r="AC160">
        <f>IF(Table17[[#This Row],[//CONV]]="",Table17[[#This Row],[HARGA NOTA]],Table17[[#This Row],[HARGA NOTA]]/Table17[[#This Row],[CONV VAR]])</f>
        <v>7700</v>
      </c>
      <c r="AD160">
        <f>IF(Table17[[#This Row],[CEK STN S]]="",Table17[[#This Row],[HARGA CONV]],Table17[[#This Row],[HARGA CONV]]/Table17[[#This Row],[CONV2 VAR]])</f>
        <v>92400.000003696012</v>
      </c>
      <c r="AE160" s="3" t="str">
        <f>IF(INDEX(NOTA[Column6],Sheet1!A:A)=0,"",INDEX(NOTA[Column6],Sheet1!A:A))</f>
        <v/>
      </c>
      <c r="AF160" s="3" t="str">
        <f>IF(INDEX(NOTA[Column7],Sheet1!A:A)=0,"",INDEX(NOTA[Column7],Sheet1!A:A))</f>
        <v/>
      </c>
      <c r="AG16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0" s="4">
        <f>INDEX(NOTA[HARGA/ CTN_H],Sheet1!A:A)</f>
        <v>2772000</v>
      </c>
      <c r="AI160" s="4">
        <f>IF(Table17[[#This Row],[DISC 3]]="",Table17[[#This Row],[HRG / CTN]],Table17[[#This Row],[HRG / CTN]]-(Table17[[#This Row],[HRG / CTN]]*Table17[[#This Row],[DISC 3]]))</f>
        <v>2772000</v>
      </c>
      <c r="AJ160" s="5" t="e">
        <f>IF(#REF!&lt;1,Table17[[#This Row],[Column9]],Table17[[#This Row],[Column9]]*#REF!)</f>
        <v>#REF!</v>
      </c>
      <c r="AK160" s="4" t="str">
        <f ca="1">IF(NOT(AP161=Table17[[#This Row],[Column6]]),SUMIF(Table17[Column6],Table17[[#This Row],[Column6]],Table17[Column7]),"")</f>
        <v/>
      </c>
      <c r="AL160" s="6">
        <f ca="1">INDEX(NOTA[TGL_H],Sheet1!A:A)</f>
        <v>45495</v>
      </c>
      <c r="AM160" s="6">
        <f ca="1">INDEX(NOTA[TGL.NOTA_H],Sheet1!A:A)</f>
        <v>45492</v>
      </c>
      <c r="AO160" t="str">
        <f>IF(INDEX(NOTA[Column10],A:A)="","",INDEX(NOTA[Column10],A:A))</f>
        <v/>
      </c>
      <c r="AP160" t="str">
        <f ca="1">INDEX(NOTA[NO.NOTA_H],Sheet1!A:A)</f>
        <v>JUG481/24</v>
      </c>
      <c r="AQ160">
        <f>INDEX(NOTA[Column10],Sheet1!A:A)</f>
        <v>0</v>
      </c>
      <c r="AR160" s="8" t="str">
        <f ca="1">INDEX(NOTA[SUPPLIER_H],Sheet1!A:A)</f>
        <v>DB STATIONERY</v>
      </c>
      <c r="AS160" t="str">
        <f>Table17[[#This Row],[NAMA_C]]</f>
        <v>PENSIL 2B KAYAGI KY-PF2025</v>
      </c>
      <c r="AT160" t="str">
        <f ca="1">Table17[[#This Row],[SUPPLIER]]</f>
        <v>DB STATIONERY</v>
      </c>
      <c r="AU160" t="str">
        <f>SUBSTITUTE(Table17[[#This Row],[CTN]],",",".")</f>
        <v>12</v>
      </c>
      <c r="AV160" s="13">
        <f>Table17[[#This Row],[ISI_C]]</f>
        <v>30</v>
      </c>
      <c r="AW160" t="str">
        <f>Table17[[#This Row],[SATUAN_C]]</f>
        <v>GRS</v>
      </c>
      <c r="AX160">
        <f>Table17[[#This Row],[HARGA CONV2]]</f>
        <v>92400.000003696012</v>
      </c>
      <c r="AY160" s="9" t="str">
        <f>SUBSTITUTE(Table17[[#This Row],[DISC 3]],",",".")</f>
        <v/>
      </c>
      <c r="AZ160" s="6">
        <f ca="1">Table17[[#This Row],[TGL DATANG]]</f>
        <v>45495</v>
      </c>
      <c r="BA160" s="6">
        <f ca="1">Table17[[#This Row],[Column10]]</f>
        <v>45492</v>
      </c>
      <c r="BB160" s="7"/>
      <c r="BC160" t="str">
        <f>Table17[[#This Row],[KETERANGAN CONDRO]]</f>
        <v/>
      </c>
      <c r="BD160" t="str">
        <f ca="1">Table17[[#This Row],[Column6]]</f>
        <v>JUG481/24</v>
      </c>
    </row>
    <row r="161" spans="1:56">
      <c r="A161" s="55">
        <v>212</v>
      </c>
      <c r="C161">
        <f>INDEX(NOTA[//DB],Sheet1!A:A)</f>
        <v>2682</v>
      </c>
      <c r="D161">
        <f>_xlfn.IFNA(MATCH(Table17[[#This Row],[//db]],[3]!Table2[\\],0),"")</f>
        <v>2486</v>
      </c>
      <c r="E161" t="str">
        <f>INDEX([3]!db[NB NOTA],Table17[[#This Row],[//db]])</f>
        <v>PENSIL 2B KAYAGI KY-PF3053</v>
      </c>
      <c r="F161" t="str">
        <f>INDEX([3]!db[NB BM],Table17[[#This Row],[//db]])</f>
        <v>PENSIL 2B KAYAGI 3053</v>
      </c>
      <c r="G161" t="str">
        <f>IF(Table17[[#This Row],[dbconcat]]="","",INDEX([3]!Table2[NAMA],Table17[[#This Row],[dbconcat]]))</f>
        <v>PENSIL 2B KAYAGI 3053</v>
      </c>
      <c r="H161" t="str">
        <f>INDEX([3]!Table2[KODE BARANG],Table17[[#This Row],[dbconcat]])</f>
        <v>PEN-KY17</v>
      </c>
      <c r="I161" t="str">
        <f>IF(Table17[[#This Row],[NAMA_3]]="",UPPER(Table17[[#This Row],[NAMA_2]]),Table17[[#This Row],[NAMA_3]])</f>
        <v>PENSIL 2B KAYAGI 3053</v>
      </c>
      <c r="J161">
        <f>INDEX(NOTA[QTY],Sheet1!A:A)</f>
        <v>360</v>
      </c>
      <c r="K161" t="str">
        <f>INDEX(NOTA[STN],Sheet1!A:A)</f>
        <v>LSN</v>
      </c>
      <c r="L161" t="str">
        <f>INDEX([3]!db[QTY B],Table17[[#This Row],[//db]])</f>
        <v>360</v>
      </c>
      <c r="M161" t="str">
        <f>INDEX([3]!db[STN B],Table17[[#This Row],[//db]])</f>
        <v>LSN</v>
      </c>
      <c r="N161" t="str">
        <f>IF(Table17[[#This Row],[SATUAN NOTA]]=Table17[[#This Row],[SATUAN DB]],"", MATCH(CONCATENATE(Table17[[#This Row],[SATUAN NOTA]],Table17[[#This Row],[SATUAN DB]]),Table2[4],0))</f>
        <v/>
      </c>
      <c r="O161" t="str" cm="1">
        <f t="array" ref="O161">IF(Table17[[#This Row],[//CONV]]="","",INDEX(Table2[3],Table17[[#This Row],[//CONV]]))</f>
        <v/>
      </c>
      <c r="P161" t="str">
        <f>IF(Table17[[#This Row],[//CONV]]="",Table17[[#This Row],[ISI DB]],Table17[[#This Row],[ISI NOTA]]*Table17[[#This Row],[CONV VAR]])</f>
        <v>360</v>
      </c>
      <c r="Q161" t="str" cm="1">
        <f t="array" ref="Q161">IF(Table17[[#This Row],[//CONV]]="",Table17[[#This Row],[SATUAN DB]],INDEX(Table2[2],Table17[[#This Row],[//CONV]]))</f>
        <v>LSN</v>
      </c>
      <c r="R161" cm="1">
        <f t="array" ref="R161">IF(Table17[[#This Row],[dbconcat]]="","",INDEX([3]!Table2[ISI],Table17[[#This Row],[dbconcat]]))</f>
        <v>30</v>
      </c>
      <c r="S161" t="str" cm="1">
        <f t="array" ref="S161">IF(Table17[[#This Row],[dbconcat]]="","",INDEX([3]!Table2[[SATUAN ]],Table17[[#This Row],[dbconcat]]))</f>
        <v>GRS</v>
      </c>
      <c r="T161">
        <f>IF(Table17[[#This Row],[SATUAN S]]="","",IF(_xlfn.NUMBERVALUE(Table17[[#This Row],[ISI DB]])=_xlfn.NUMBERVALUE(Table17[[#This Row],[ISI S]]),"",1))</f>
        <v>1</v>
      </c>
      <c r="U161">
        <f>IF(Table17[[#This Row],[SATUAN S]]="","",IF(Table17[[#This Row],[SATUAN DB]]=Table17[[#This Row],[SATUAN S]],"",1))</f>
        <v>1</v>
      </c>
      <c r="V161">
        <f>IF(Table17[[#This Row],[CEK STN S]]="","",MATCH(CONCATENATE(Table17[[#This Row],[SATUAN CONV]],Table17[[#This Row],[SATUAN S]]),Table2[4],0))</f>
        <v>6</v>
      </c>
      <c r="X161" cm="1">
        <f t="array" ref="X161">IF(Table17[[#This Row],[CONV2_//]]="","",INDEX(Table2[3],Table17[[#This Row],[CONV2_//]]))</f>
        <v>8.3333333329999995E-2</v>
      </c>
      <c r="Y161" s="2">
        <f>IF(Table17[[#This Row],[CEK ISI S]]="",Table17[[#This Row],[ISI DB]],Table17[[#This Row],[ISI S]])</f>
        <v>30</v>
      </c>
      <c r="Z161" t="str">
        <f>IF(Table17[[#This Row],[CEK STN S]]="",Table17[[#This Row],[SATUAN DB]],Table17[[#This Row],[SATUAN S]])</f>
        <v>GRS</v>
      </c>
      <c r="AA161">
        <f>IF(Table17[[#This Row],[//CONV]]="",Table17[[#This Row],[ISI NOTA]]/Table17[[#This Row],[ISI_C]],Table17[[#This Row],[ISI DB CONV]]/Table17[[#This Row],[ISI_C]])</f>
        <v>12</v>
      </c>
      <c r="AB161">
        <f>INDEX(NOTA[HARGA SATUAN],Sheet1!A:A)</f>
        <v>7700</v>
      </c>
      <c r="AC161">
        <f>IF(Table17[[#This Row],[//CONV]]="",Table17[[#This Row],[HARGA NOTA]],Table17[[#This Row],[HARGA NOTA]]/Table17[[#This Row],[CONV VAR]])</f>
        <v>7700</v>
      </c>
      <c r="AD161">
        <f>IF(Table17[[#This Row],[CEK STN S]]="",Table17[[#This Row],[HARGA CONV]],Table17[[#This Row],[HARGA CONV]]/Table17[[#This Row],[CONV2 VAR]])</f>
        <v>92400.000003696012</v>
      </c>
      <c r="AE161" s="3" t="str">
        <f>IF(INDEX(NOTA[Column6],Sheet1!A:A)=0,"",INDEX(NOTA[Column6],Sheet1!A:A))</f>
        <v/>
      </c>
      <c r="AF161" s="3" t="str">
        <f>IF(INDEX(NOTA[Column7],Sheet1!A:A)=0,"",INDEX(NOTA[Column7],Sheet1!A:A))</f>
        <v/>
      </c>
      <c r="AG16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1" s="4">
        <f>INDEX(NOTA[HARGA/ CTN_H],Sheet1!A:A)</f>
        <v>2772000</v>
      </c>
      <c r="AI161" s="4">
        <f>IF(Table17[[#This Row],[DISC 3]]="",Table17[[#This Row],[HRG / CTN]],Table17[[#This Row],[HRG / CTN]]-(Table17[[#This Row],[HRG / CTN]]*Table17[[#This Row],[DISC 3]]))</f>
        <v>2772000</v>
      </c>
      <c r="AJ161" s="5" t="e">
        <f>IF(#REF!&lt;1,Table17[[#This Row],[Column9]],Table17[[#This Row],[Column9]]*#REF!)</f>
        <v>#REF!</v>
      </c>
      <c r="AK161" s="4" t="str">
        <f ca="1">IF(NOT(AP162=Table17[[#This Row],[Column6]]),SUMIF(Table17[Column6],Table17[[#This Row],[Column6]],Table17[Column7]),"")</f>
        <v/>
      </c>
      <c r="AL161" s="6">
        <f ca="1">INDEX(NOTA[TGL_H],Sheet1!A:A)</f>
        <v>45495</v>
      </c>
      <c r="AM161" s="6">
        <f ca="1">INDEX(NOTA[TGL.NOTA_H],Sheet1!A:A)</f>
        <v>45492</v>
      </c>
      <c r="AO161" t="str">
        <f>IF(INDEX(NOTA[Column10],A:A)="","",INDEX(NOTA[Column10],A:A))</f>
        <v/>
      </c>
      <c r="AP161" t="str">
        <f ca="1">INDEX(NOTA[NO.NOTA_H],Sheet1!A:A)</f>
        <v>JUG481/24</v>
      </c>
      <c r="AQ161">
        <f>INDEX(NOTA[Column10],Sheet1!A:A)</f>
        <v>0</v>
      </c>
      <c r="AR161" s="8" t="str">
        <f ca="1">INDEX(NOTA[SUPPLIER_H],Sheet1!A:A)</f>
        <v>DB STATIONERY</v>
      </c>
      <c r="AS161" t="str">
        <f>Table17[[#This Row],[NAMA_C]]</f>
        <v>PENSIL 2B KAYAGI 3053</v>
      </c>
      <c r="AT161" t="str">
        <f ca="1">Table17[[#This Row],[SUPPLIER]]</f>
        <v>DB STATIONERY</v>
      </c>
      <c r="AU161" t="str">
        <f>SUBSTITUTE(Table17[[#This Row],[CTN]],",",".")</f>
        <v>12</v>
      </c>
      <c r="AV161" s="13">
        <f>Table17[[#This Row],[ISI_C]]</f>
        <v>30</v>
      </c>
      <c r="AW161" t="str">
        <f>Table17[[#This Row],[SATUAN_C]]</f>
        <v>GRS</v>
      </c>
      <c r="AX161">
        <f>Table17[[#This Row],[HARGA CONV2]]</f>
        <v>92400.000003696012</v>
      </c>
      <c r="AY161" s="9" t="str">
        <f>SUBSTITUTE(Table17[[#This Row],[DISC 3]],",",".")</f>
        <v/>
      </c>
      <c r="AZ161" s="6">
        <f ca="1">Table17[[#This Row],[TGL DATANG]]</f>
        <v>45495</v>
      </c>
      <c r="BA161" s="6">
        <f ca="1">Table17[[#This Row],[Column10]]</f>
        <v>45492</v>
      </c>
      <c r="BB161" s="7"/>
      <c r="BC161" t="str">
        <f>Table17[[#This Row],[KETERANGAN CONDRO]]</f>
        <v/>
      </c>
      <c r="BD161" t="str">
        <f ca="1">Table17[[#This Row],[Column6]]</f>
        <v>JUG481/24</v>
      </c>
    </row>
    <row r="162" spans="1:56">
      <c r="A162" s="55">
        <v>213</v>
      </c>
      <c r="C162">
        <f>INDEX(NOTA[//DB],Sheet1!A:A)</f>
        <v>2686</v>
      </c>
      <c r="D162">
        <f>_xlfn.IFNA(MATCH(Table17[[#This Row],[//db]],[3]!Table2[\\],0),"")</f>
        <v>2487</v>
      </c>
      <c r="E162" t="str">
        <f>INDEX([3]!db[NB NOTA],Table17[[#This Row],[//db]])</f>
        <v>PENSIL 2B KAYAGI KY-PF3060</v>
      </c>
      <c r="F162" t="str">
        <f>INDEX([3]!db[NB BM],Table17[[#This Row],[//db]])</f>
        <v>PENSIL 2B KAYAGI 3060</v>
      </c>
      <c r="G162" t="str">
        <f>IF(Table17[[#This Row],[dbconcat]]="","",INDEX([3]!Table2[NAMA],Table17[[#This Row],[dbconcat]]))</f>
        <v>PENSIL 2B KAYAGI 3060</v>
      </c>
      <c r="H162" t="str">
        <f>INDEX([3]!Table2[KODE BARANG],Table17[[#This Row],[dbconcat]])</f>
        <v>PEN-KY18</v>
      </c>
      <c r="I162" t="str">
        <f>IF(Table17[[#This Row],[NAMA_3]]="",UPPER(Table17[[#This Row],[NAMA_2]]),Table17[[#This Row],[NAMA_3]])</f>
        <v>PENSIL 2B KAYAGI 3060</v>
      </c>
      <c r="J162">
        <f>INDEX(NOTA[QTY],Sheet1!A:A)</f>
        <v>360</v>
      </c>
      <c r="K162" t="str">
        <f>INDEX(NOTA[STN],Sheet1!A:A)</f>
        <v>LSN</v>
      </c>
      <c r="L162" t="str">
        <f>INDEX([3]!db[QTY B],Table17[[#This Row],[//db]])</f>
        <v>360</v>
      </c>
      <c r="M162" t="str">
        <f>INDEX([3]!db[STN B],Table17[[#This Row],[//db]])</f>
        <v>LSN</v>
      </c>
      <c r="N162" t="str">
        <f>IF(Table17[[#This Row],[SATUAN NOTA]]=Table17[[#This Row],[SATUAN DB]],"", MATCH(CONCATENATE(Table17[[#This Row],[SATUAN NOTA]],Table17[[#This Row],[SATUAN DB]]),Table2[4],0))</f>
        <v/>
      </c>
      <c r="O162" t="str" cm="1">
        <f t="array" ref="O162">IF(Table17[[#This Row],[//CONV]]="","",INDEX(Table2[3],Table17[[#This Row],[//CONV]]))</f>
        <v/>
      </c>
      <c r="P162" t="str">
        <f>IF(Table17[[#This Row],[//CONV]]="",Table17[[#This Row],[ISI DB]],Table17[[#This Row],[ISI NOTA]]*Table17[[#This Row],[CONV VAR]])</f>
        <v>360</v>
      </c>
      <c r="Q162" t="str" cm="1">
        <f t="array" ref="Q162">IF(Table17[[#This Row],[//CONV]]="",Table17[[#This Row],[SATUAN DB]],INDEX(Table2[2],Table17[[#This Row],[//CONV]]))</f>
        <v>LSN</v>
      </c>
      <c r="R162" cm="1">
        <f t="array" ref="R162">IF(Table17[[#This Row],[dbconcat]]="","",INDEX([3]!Table2[ISI],Table17[[#This Row],[dbconcat]]))</f>
        <v>30</v>
      </c>
      <c r="S162" t="str" cm="1">
        <f t="array" ref="S162">IF(Table17[[#This Row],[dbconcat]]="","",INDEX([3]!Table2[[SATUAN ]],Table17[[#This Row],[dbconcat]]))</f>
        <v>GRS</v>
      </c>
      <c r="T162">
        <f>IF(Table17[[#This Row],[SATUAN S]]="","",IF(_xlfn.NUMBERVALUE(Table17[[#This Row],[ISI DB]])=_xlfn.NUMBERVALUE(Table17[[#This Row],[ISI S]]),"",1))</f>
        <v>1</v>
      </c>
      <c r="U162">
        <f>IF(Table17[[#This Row],[SATUAN S]]="","",IF(Table17[[#This Row],[SATUAN DB]]=Table17[[#This Row],[SATUAN S]],"",1))</f>
        <v>1</v>
      </c>
      <c r="V162">
        <f>IF(Table17[[#This Row],[CEK STN S]]="","",MATCH(CONCATENATE(Table17[[#This Row],[SATUAN CONV]],Table17[[#This Row],[SATUAN S]]),Table2[4],0))</f>
        <v>6</v>
      </c>
      <c r="X162" cm="1">
        <f t="array" ref="X162">IF(Table17[[#This Row],[CONV2_//]]="","",INDEX(Table2[3],Table17[[#This Row],[CONV2_//]]))</f>
        <v>8.3333333329999995E-2</v>
      </c>
      <c r="Y162" s="2">
        <f>IF(Table17[[#This Row],[CEK ISI S]]="",Table17[[#This Row],[ISI DB]],Table17[[#This Row],[ISI S]])</f>
        <v>30</v>
      </c>
      <c r="Z162" t="str">
        <f>IF(Table17[[#This Row],[CEK STN S]]="",Table17[[#This Row],[SATUAN DB]],Table17[[#This Row],[SATUAN S]])</f>
        <v>GRS</v>
      </c>
      <c r="AA162">
        <f>IF(Table17[[#This Row],[//CONV]]="",Table17[[#This Row],[ISI NOTA]]/Table17[[#This Row],[ISI_C]],Table17[[#This Row],[ISI DB CONV]]/Table17[[#This Row],[ISI_C]])</f>
        <v>12</v>
      </c>
      <c r="AB162">
        <f>INDEX(NOTA[HARGA SATUAN],Sheet1!A:A)</f>
        <v>7700</v>
      </c>
      <c r="AC162">
        <f>IF(Table17[[#This Row],[//CONV]]="",Table17[[#This Row],[HARGA NOTA]],Table17[[#This Row],[HARGA NOTA]]/Table17[[#This Row],[CONV VAR]])</f>
        <v>7700</v>
      </c>
      <c r="AD162">
        <f>IF(Table17[[#This Row],[CEK STN S]]="",Table17[[#This Row],[HARGA CONV]],Table17[[#This Row],[HARGA CONV]]/Table17[[#This Row],[CONV2 VAR]])</f>
        <v>92400.000003696012</v>
      </c>
      <c r="AE162" s="3" t="str">
        <f>IF(INDEX(NOTA[Column6],Sheet1!A:A)=0,"",INDEX(NOTA[Column6],Sheet1!A:A))</f>
        <v/>
      </c>
      <c r="AF162" s="3" t="str">
        <f>IF(INDEX(NOTA[Column7],Sheet1!A:A)=0,"",INDEX(NOTA[Column7],Sheet1!A:A))</f>
        <v/>
      </c>
      <c r="AG162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2" s="4">
        <f>INDEX(NOTA[HARGA/ CTN_H],Sheet1!A:A)</f>
        <v>2772000</v>
      </c>
      <c r="AI162" s="4">
        <f>IF(Table17[[#This Row],[DISC 3]]="",Table17[[#This Row],[HRG / CTN]],Table17[[#This Row],[HRG / CTN]]-(Table17[[#This Row],[HRG / CTN]]*Table17[[#This Row],[DISC 3]]))</f>
        <v>2772000</v>
      </c>
      <c r="AJ162" s="5" t="e">
        <f>IF(#REF!&lt;1,Table17[[#This Row],[Column9]],Table17[[#This Row],[Column9]]*#REF!)</f>
        <v>#REF!</v>
      </c>
      <c r="AK162" s="4" t="str">
        <f ca="1">IF(NOT(AP163=Table17[[#This Row],[Column6]]),SUMIF(Table17[Column6],Table17[[#This Row],[Column6]],Table17[Column7]),"")</f>
        <v/>
      </c>
      <c r="AL162" s="6">
        <f ca="1">INDEX(NOTA[TGL_H],Sheet1!A:A)</f>
        <v>45495</v>
      </c>
      <c r="AM162" s="6">
        <f ca="1">INDEX(NOTA[TGL.NOTA_H],Sheet1!A:A)</f>
        <v>45492</v>
      </c>
      <c r="AO162" t="str">
        <f>IF(INDEX(NOTA[Column10],A:A)="","",INDEX(NOTA[Column10],A:A))</f>
        <v/>
      </c>
      <c r="AP162" t="str">
        <f ca="1">INDEX(NOTA[NO.NOTA_H],Sheet1!A:A)</f>
        <v>JUG481/24</v>
      </c>
      <c r="AQ162">
        <f>INDEX(NOTA[Column10],Sheet1!A:A)</f>
        <v>0</v>
      </c>
      <c r="AR162" s="8" t="str">
        <f ca="1">INDEX(NOTA[SUPPLIER_H],Sheet1!A:A)</f>
        <v>DB STATIONERY</v>
      </c>
      <c r="AS162" t="str">
        <f>Table17[[#This Row],[NAMA_C]]</f>
        <v>PENSIL 2B KAYAGI 3060</v>
      </c>
      <c r="AT162" t="str">
        <f ca="1">Table17[[#This Row],[SUPPLIER]]</f>
        <v>DB STATIONERY</v>
      </c>
      <c r="AU162" t="str">
        <f>SUBSTITUTE(Table17[[#This Row],[CTN]],",",".")</f>
        <v>12</v>
      </c>
      <c r="AV162" s="13">
        <f>Table17[[#This Row],[ISI_C]]</f>
        <v>30</v>
      </c>
      <c r="AW162" t="str">
        <f>Table17[[#This Row],[SATUAN_C]]</f>
        <v>GRS</v>
      </c>
      <c r="AX162">
        <f>Table17[[#This Row],[HARGA CONV2]]</f>
        <v>92400.000003696012</v>
      </c>
      <c r="AY162" s="9" t="str">
        <f>SUBSTITUTE(Table17[[#This Row],[DISC 3]],",",".")</f>
        <v/>
      </c>
      <c r="AZ162" s="6">
        <f ca="1">Table17[[#This Row],[TGL DATANG]]</f>
        <v>45495</v>
      </c>
      <c r="BA162" s="6">
        <f ca="1">Table17[[#This Row],[Column10]]</f>
        <v>45492</v>
      </c>
      <c r="BB162" s="7"/>
      <c r="BC162" t="str">
        <f>Table17[[#This Row],[KETERANGAN CONDRO]]</f>
        <v/>
      </c>
      <c r="BD162" t="str">
        <f ca="1">Table17[[#This Row],[Column6]]</f>
        <v>JUG481/24</v>
      </c>
    </row>
    <row r="163" spans="1:56">
      <c r="A163" s="55">
        <v>214</v>
      </c>
      <c r="C163">
        <f>INDEX(NOTA[//DB],Sheet1!A:A)</f>
        <v>2661</v>
      </c>
      <c r="D163">
        <f>_xlfn.IFNA(MATCH(Table17[[#This Row],[//db]],[3]!Table2[\\],0),"")</f>
        <v>2524</v>
      </c>
      <c r="E163" t="str">
        <f>INDEX([3]!db[NB NOTA],Table17[[#This Row],[//db]])</f>
        <v>PENSIL 2B FANCY KY-PF3066</v>
      </c>
      <c r="F163" t="str">
        <f>INDEX([3]!db[NB BM],Table17[[#This Row],[//db]])</f>
        <v>Pensil 2B Fancy KY-PF 3066</v>
      </c>
      <c r="G163" t="str">
        <f>IF(Table17[[#This Row],[dbconcat]]="","",INDEX([3]!Table2[NAMA],Table17[[#This Row],[dbconcat]]))</f>
        <v>PENSIL 2B FANCY KY-PF 3066</v>
      </c>
      <c r="H163" t="str">
        <f>INDEX([3]!Table2[KODE BARANG],Table17[[#This Row],[dbconcat]])</f>
        <v>PEN-KY56</v>
      </c>
      <c r="I163" t="str">
        <f>IF(Table17[[#This Row],[NAMA_3]]="",UPPER(Table17[[#This Row],[NAMA_2]]),Table17[[#This Row],[NAMA_3]])</f>
        <v>PENSIL 2B FANCY KY-PF 3066</v>
      </c>
      <c r="J163">
        <f>INDEX(NOTA[QTY],Sheet1!A:A)</f>
        <v>360</v>
      </c>
      <c r="K163" t="str">
        <f>INDEX(NOTA[STN],Sheet1!A:A)</f>
        <v>LSN</v>
      </c>
      <c r="L163" t="str">
        <f>INDEX([3]!db[QTY B],Table17[[#This Row],[//db]])</f>
        <v>360</v>
      </c>
      <c r="M163" t="str">
        <f>INDEX([3]!db[STN B],Table17[[#This Row],[//db]])</f>
        <v>LSN</v>
      </c>
      <c r="N163" t="str">
        <f>IF(Table17[[#This Row],[SATUAN NOTA]]=Table17[[#This Row],[SATUAN DB]],"", MATCH(CONCATENATE(Table17[[#This Row],[SATUAN NOTA]],Table17[[#This Row],[SATUAN DB]]),Table2[4],0))</f>
        <v/>
      </c>
      <c r="O163" t="str" cm="1">
        <f t="array" ref="O163">IF(Table17[[#This Row],[//CONV]]="","",INDEX(Table2[3],Table17[[#This Row],[//CONV]]))</f>
        <v/>
      </c>
      <c r="P163" t="str">
        <f>IF(Table17[[#This Row],[//CONV]]="",Table17[[#This Row],[ISI DB]],Table17[[#This Row],[ISI NOTA]]*Table17[[#This Row],[CONV VAR]])</f>
        <v>360</v>
      </c>
      <c r="Q163" t="str" cm="1">
        <f t="array" ref="Q163">IF(Table17[[#This Row],[//CONV]]="",Table17[[#This Row],[SATUAN DB]],INDEX(Table2[2],Table17[[#This Row],[//CONV]]))</f>
        <v>LSN</v>
      </c>
      <c r="R163" cm="1">
        <f t="array" ref="R163">IF(Table17[[#This Row],[dbconcat]]="","",INDEX([3]!Table2[ISI],Table17[[#This Row],[dbconcat]]))</f>
        <v>30</v>
      </c>
      <c r="S163" t="str" cm="1">
        <f t="array" ref="S163">IF(Table17[[#This Row],[dbconcat]]="","",INDEX([3]!Table2[[SATUAN ]],Table17[[#This Row],[dbconcat]]))</f>
        <v>GRS</v>
      </c>
      <c r="T163">
        <f>IF(Table17[[#This Row],[SATUAN S]]="","",IF(_xlfn.NUMBERVALUE(Table17[[#This Row],[ISI DB]])=_xlfn.NUMBERVALUE(Table17[[#This Row],[ISI S]]),"",1))</f>
        <v>1</v>
      </c>
      <c r="U163">
        <f>IF(Table17[[#This Row],[SATUAN S]]="","",IF(Table17[[#This Row],[SATUAN DB]]=Table17[[#This Row],[SATUAN S]],"",1))</f>
        <v>1</v>
      </c>
      <c r="V163">
        <f>IF(Table17[[#This Row],[CEK STN S]]="","",MATCH(CONCATENATE(Table17[[#This Row],[SATUAN CONV]],Table17[[#This Row],[SATUAN S]]),Table2[4],0))</f>
        <v>6</v>
      </c>
      <c r="X163" cm="1">
        <f t="array" ref="X163">IF(Table17[[#This Row],[CONV2_//]]="","",INDEX(Table2[3],Table17[[#This Row],[CONV2_//]]))</f>
        <v>8.3333333329999995E-2</v>
      </c>
      <c r="Y163" s="2">
        <f>IF(Table17[[#This Row],[CEK ISI S]]="",Table17[[#This Row],[ISI DB]],Table17[[#This Row],[ISI S]])</f>
        <v>30</v>
      </c>
      <c r="Z163" t="str">
        <f>IF(Table17[[#This Row],[CEK STN S]]="",Table17[[#This Row],[SATUAN DB]],Table17[[#This Row],[SATUAN S]])</f>
        <v>GRS</v>
      </c>
      <c r="AA163">
        <f>IF(Table17[[#This Row],[//CONV]]="",Table17[[#This Row],[ISI NOTA]]/Table17[[#This Row],[ISI_C]],Table17[[#This Row],[ISI DB CONV]]/Table17[[#This Row],[ISI_C]])</f>
        <v>12</v>
      </c>
      <c r="AB163">
        <f>INDEX(NOTA[HARGA SATUAN],Sheet1!A:A)</f>
        <v>7700</v>
      </c>
      <c r="AC163">
        <f>IF(Table17[[#This Row],[//CONV]]="",Table17[[#This Row],[HARGA NOTA]],Table17[[#This Row],[HARGA NOTA]]/Table17[[#This Row],[CONV VAR]])</f>
        <v>7700</v>
      </c>
      <c r="AD163">
        <f>IF(Table17[[#This Row],[CEK STN S]]="",Table17[[#This Row],[HARGA CONV]],Table17[[#This Row],[HARGA CONV]]/Table17[[#This Row],[CONV2 VAR]])</f>
        <v>92400.000003696012</v>
      </c>
      <c r="AE163" s="3" t="str">
        <f>IF(INDEX(NOTA[Column6],Sheet1!A:A)=0,"",INDEX(NOTA[Column6],Sheet1!A:A))</f>
        <v/>
      </c>
      <c r="AF163" s="3" t="str">
        <f>IF(INDEX(NOTA[Column7],Sheet1!A:A)=0,"",INDEX(NOTA[Column7],Sheet1!A:A))</f>
        <v/>
      </c>
      <c r="AG16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3" s="4">
        <f>INDEX(NOTA[HARGA/ CTN_H],Sheet1!A:A)</f>
        <v>2772000</v>
      </c>
      <c r="AI163" s="4">
        <f>IF(Table17[[#This Row],[DISC 3]]="",Table17[[#This Row],[HRG / CTN]],Table17[[#This Row],[HRG / CTN]]-(Table17[[#This Row],[HRG / CTN]]*Table17[[#This Row],[DISC 3]]))</f>
        <v>2772000</v>
      </c>
      <c r="AJ163" s="5" t="e">
        <f>IF(#REF!&lt;1,Table17[[#This Row],[Column9]],Table17[[#This Row],[Column9]]*#REF!)</f>
        <v>#REF!</v>
      </c>
      <c r="AK163" s="4" t="str">
        <f ca="1">IF(NOT(AP164=Table17[[#This Row],[Column6]]),SUMIF(Table17[Column6],Table17[[#This Row],[Column6]],Table17[Column7]),"")</f>
        <v/>
      </c>
      <c r="AL163" s="6">
        <f ca="1">INDEX(NOTA[TGL_H],Sheet1!A:A)</f>
        <v>45495</v>
      </c>
      <c r="AM163" s="6">
        <f ca="1">INDEX(NOTA[TGL.NOTA_H],Sheet1!A:A)</f>
        <v>45492</v>
      </c>
      <c r="AO163" t="str">
        <f>IF(INDEX(NOTA[Column10],A:A)="","",INDEX(NOTA[Column10],A:A))</f>
        <v/>
      </c>
      <c r="AP163" t="str">
        <f ca="1">INDEX(NOTA[NO.NOTA_H],Sheet1!A:A)</f>
        <v>JUG481/24</v>
      </c>
      <c r="AQ163">
        <f>INDEX(NOTA[Column10],Sheet1!A:A)</f>
        <v>0</v>
      </c>
      <c r="AR163" s="8" t="str">
        <f ca="1">INDEX(NOTA[SUPPLIER_H],Sheet1!A:A)</f>
        <v>DB STATIONERY</v>
      </c>
      <c r="AS163" t="str">
        <f>Table17[[#This Row],[NAMA_C]]</f>
        <v>PENSIL 2B FANCY KY-PF 3066</v>
      </c>
      <c r="AT163" t="str">
        <f ca="1">Table17[[#This Row],[SUPPLIER]]</f>
        <v>DB STATIONERY</v>
      </c>
      <c r="AU163" t="str">
        <f>SUBSTITUTE(Table17[[#This Row],[CTN]],",",".")</f>
        <v>12</v>
      </c>
      <c r="AV163" s="13">
        <f>Table17[[#This Row],[ISI_C]]</f>
        <v>30</v>
      </c>
      <c r="AW163" t="str">
        <f>Table17[[#This Row],[SATUAN_C]]</f>
        <v>GRS</v>
      </c>
      <c r="AX163">
        <f>Table17[[#This Row],[HARGA CONV2]]</f>
        <v>92400.000003696012</v>
      </c>
      <c r="AY163" s="9" t="str">
        <f>SUBSTITUTE(Table17[[#This Row],[DISC 3]],",",".")</f>
        <v/>
      </c>
      <c r="AZ163" s="6">
        <f ca="1">Table17[[#This Row],[TGL DATANG]]</f>
        <v>45495</v>
      </c>
      <c r="BA163" s="6">
        <f ca="1">Table17[[#This Row],[Column10]]</f>
        <v>45492</v>
      </c>
      <c r="BB163" s="7"/>
      <c r="BC163" t="str">
        <f>Table17[[#This Row],[KETERANGAN CONDRO]]</f>
        <v/>
      </c>
      <c r="BD163" t="str">
        <f ca="1">Table17[[#This Row],[Column6]]</f>
        <v>JUG481/24</v>
      </c>
    </row>
    <row r="164" spans="1:56">
      <c r="A164" s="55">
        <v>215</v>
      </c>
      <c r="C164">
        <f>INDEX(NOTA[//DB],Sheet1!A:A)</f>
        <v>2683</v>
      </c>
      <c r="D164" t="str">
        <f>_xlfn.IFNA(MATCH(Table17[[#This Row],[//db]],[3]!Table2[\\],0),"")</f>
        <v/>
      </c>
      <c r="E164" t="str">
        <f>INDEX([3]!db[NB NOTA],Table17[[#This Row],[//db]])</f>
        <v>PENSIL 2B KAYAGI KY-PF3055</v>
      </c>
      <c r="F164" t="str">
        <f>INDEX([3]!db[NB BM],Table17[[#This Row],[//db]])</f>
        <v>Pwnsil 2B Kayagi KY-PF 3055</v>
      </c>
      <c r="G164" t="str">
        <f>IF(Table17[[#This Row],[dbconcat]]="","",INDEX([3]!Table2[NAMA],Table17[[#This Row],[dbconcat]]))</f>
        <v/>
      </c>
      <c r="H164" t="e">
        <f>INDEX([3]!Table2[KODE BARANG],Table17[[#This Row],[dbconcat]])</f>
        <v>#VALUE!</v>
      </c>
      <c r="I164" t="str">
        <f>IF(Table17[[#This Row],[NAMA_3]]="",UPPER(Table17[[#This Row],[NAMA_2]]),Table17[[#This Row],[NAMA_3]])</f>
        <v>PWNSIL 2B KAYAGI KY-PF 3055</v>
      </c>
      <c r="J164">
        <f>INDEX(NOTA[QTY],Sheet1!A:A)</f>
        <v>360</v>
      </c>
      <c r="K164" t="str">
        <f>INDEX(NOTA[STN],Sheet1!A:A)</f>
        <v>LSN</v>
      </c>
      <c r="L164" t="str">
        <f>INDEX([3]!db[QTY B],Table17[[#This Row],[//db]])</f>
        <v>360</v>
      </c>
      <c r="M164" t="str">
        <f>INDEX([3]!db[STN B],Table17[[#This Row],[//db]])</f>
        <v>LSN</v>
      </c>
      <c r="N164" t="str">
        <f>IF(Table17[[#This Row],[SATUAN NOTA]]=Table17[[#This Row],[SATUAN DB]],"", MATCH(CONCATENATE(Table17[[#This Row],[SATUAN NOTA]],Table17[[#This Row],[SATUAN DB]]),Table2[4],0))</f>
        <v/>
      </c>
      <c r="O164" t="str" cm="1">
        <f t="array" ref="O164">IF(Table17[[#This Row],[//CONV]]="","",INDEX(Table2[3],Table17[[#This Row],[//CONV]]))</f>
        <v/>
      </c>
      <c r="P164" t="str">
        <f>IF(Table17[[#This Row],[//CONV]]="",Table17[[#This Row],[ISI DB]],Table17[[#This Row],[ISI NOTA]]*Table17[[#This Row],[CONV VAR]])</f>
        <v>360</v>
      </c>
      <c r="Q164" t="str" cm="1">
        <f t="array" ref="Q164">IF(Table17[[#This Row],[//CONV]]="",Table17[[#This Row],[SATUAN DB]],INDEX(Table2[2],Table17[[#This Row],[//CONV]]))</f>
        <v>LSN</v>
      </c>
      <c r="R164" t="str" cm="1">
        <f t="array" ref="R164">IF(Table17[[#This Row],[dbconcat]]="","",INDEX([3]!Table2[ISI],Table17[[#This Row],[dbconcat]]))</f>
        <v/>
      </c>
      <c r="S164" t="str" cm="1">
        <f t="array" ref="S164">IF(Table17[[#This Row],[dbconcat]]="","",INDEX([3]!Table2[[SATUAN ]],Table17[[#This Row],[dbconcat]]))</f>
        <v/>
      </c>
      <c r="T164" t="str">
        <f>IF(Table17[[#This Row],[SATUAN S]]="","",IF(_xlfn.NUMBERVALUE(Table17[[#This Row],[ISI DB]])=_xlfn.NUMBERVALUE(Table17[[#This Row],[ISI S]]),"",1))</f>
        <v/>
      </c>
      <c r="U164" t="str">
        <f>IF(Table17[[#This Row],[SATUAN S]]="","",IF(Table17[[#This Row],[SATUAN DB]]=Table17[[#This Row],[SATUAN S]],"",1))</f>
        <v/>
      </c>
      <c r="V164" t="str">
        <f>IF(Table17[[#This Row],[CEK STN S]]="","",MATCH(CONCATENATE(Table17[[#This Row],[SATUAN CONV]],Table17[[#This Row],[SATUAN S]]),Table2[4],0))</f>
        <v/>
      </c>
      <c r="X164" t="str" cm="1">
        <f t="array" ref="X164">IF(Table17[[#This Row],[CONV2_//]]="","",INDEX(Table2[3],Table17[[#This Row],[CONV2_//]]))</f>
        <v/>
      </c>
      <c r="Y164" s="2" t="str">
        <f>IF(Table17[[#This Row],[CEK ISI S]]="",Table17[[#This Row],[ISI DB]],Table17[[#This Row],[ISI S]])</f>
        <v>360</v>
      </c>
      <c r="Z164" t="str">
        <f>IF(Table17[[#This Row],[CEK STN S]]="",Table17[[#This Row],[SATUAN DB]],Table17[[#This Row],[SATUAN S]])</f>
        <v>LSN</v>
      </c>
      <c r="AA164">
        <f>IF(Table17[[#This Row],[//CONV]]="",Table17[[#This Row],[ISI NOTA]]/Table17[[#This Row],[ISI_C]],Table17[[#This Row],[ISI DB CONV]]/Table17[[#This Row],[ISI_C]])</f>
        <v>1</v>
      </c>
      <c r="AB164">
        <f>INDEX(NOTA[HARGA SATUAN],Sheet1!A:A)</f>
        <v>7700</v>
      </c>
      <c r="AC164">
        <f>IF(Table17[[#This Row],[//CONV]]="",Table17[[#This Row],[HARGA NOTA]],Table17[[#This Row],[HARGA NOTA]]/Table17[[#This Row],[CONV VAR]])</f>
        <v>7700</v>
      </c>
      <c r="AD164">
        <f>IF(Table17[[#This Row],[CEK STN S]]="",Table17[[#This Row],[HARGA CONV]],Table17[[#This Row],[HARGA CONV]]/Table17[[#This Row],[CONV2 VAR]])</f>
        <v>7700</v>
      </c>
      <c r="AE164" s="3" t="str">
        <f>IF(INDEX(NOTA[Column6],Sheet1!A:A)=0,"",INDEX(NOTA[Column6],Sheet1!A:A))</f>
        <v/>
      </c>
      <c r="AF164" s="3" t="str">
        <f>IF(INDEX(NOTA[Column7],Sheet1!A:A)=0,"",INDEX(NOTA[Column7],Sheet1!A:A))</f>
        <v/>
      </c>
      <c r="AG16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4" s="4">
        <f>INDEX(NOTA[HARGA/ CTN_H],Sheet1!A:A)</f>
        <v>2772000</v>
      </c>
      <c r="AI164" s="4">
        <f>IF(Table17[[#This Row],[DISC 3]]="",Table17[[#This Row],[HRG / CTN]],Table17[[#This Row],[HRG / CTN]]-(Table17[[#This Row],[HRG / CTN]]*Table17[[#This Row],[DISC 3]]))</f>
        <v>2772000</v>
      </c>
      <c r="AJ164" s="5" t="e">
        <f>IF(#REF!&lt;1,Table17[[#This Row],[Column9]],Table17[[#This Row],[Column9]]*#REF!)</f>
        <v>#REF!</v>
      </c>
      <c r="AK164" s="4" t="str">
        <f ca="1">IF(NOT(AP165=Table17[[#This Row],[Column6]]),SUMIF(Table17[Column6],Table17[[#This Row],[Column6]],Table17[Column7]),"")</f>
        <v/>
      </c>
      <c r="AL164" s="6">
        <f ca="1">INDEX(NOTA[TGL_H],Sheet1!A:A)</f>
        <v>45495</v>
      </c>
      <c r="AM164" s="6">
        <f ca="1">INDEX(NOTA[TGL.NOTA_H],Sheet1!A:A)</f>
        <v>45492</v>
      </c>
      <c r="AO164" t="str">
        <f>IF(INDEX(NOTA[Column10],A:A)="","",INDEX(NOTA[Column10],A:A))</f>
        <v/>
      </c>
      <c r="AP164" t="str">
        <f ca="1">INDEX(NOTA[NO.NOTA_H],Sheet1!A:A)</f>
        <v>JUG481/24</v>
      </c>
      <c r="AQ164">
        <f>INDEX(NOTA[Column10],Sheet1!A:A)</f>
        <v>0</v>
      </c>
      <c r="AR164" s="8" t="str">
        <f ca="1">INDEX(NOTA[SUPPLIER_H],Sheet1!A:A)</f>
        <v>DB STATIONERY</v>
      </c>
      <c r="AS164" t="str">
        <f>Table17[[#This Row],[NAMA_C]]</f>
        <v>PWNSIL 2B KAYAGI KY-PF 3055</v>
      </c>
      <c r="AT164" t="str">
        <f ca="1">Table17[[#This Row],[SUPPLIER]]</f>
        <v>DB STATIONERY</v>
      </c>
      <c r="AU164" t="str">
        <f>SUBSTITUTE(Table17[[#This Row],[CTN]],",",".")</f>
        <v>1</v>
      </c>
      <c r="AV164" s="13" t="str">
        <f>Table17[[#This Row],[ISI_C]]</f>
        <v>360</v>
      </c>
      <c r="AW164" t="str">
        <f>Table17[[#This Row],[SATUAN_C]]</f>
        <v>LSN</v>
      </c>
      <c r="AX164">
        <f>Table17[[#This Row],[HARGA CONV2]]</f>
        <v>7700</v>
      </c>
      <c r="AY164" s="9" t="str">
        <f>SUBSTITUTE(Table17[[#This Row],[DISC 3]],",",".")</f>
        <v/>
      </c>
      <c r="AZ164" s="6">
        <f ca="1">Table17[[#This Row],[TGL DATANG]]</f>
        <v>45495</v>
      </c>
      <c r="BA164" s="6">
        <f ca="1">Table17[[#This Row],[Column10]]</f>
        <v>45492</v>
      </c>
      <c r="BB164" s="7"/>
      <c r="BC164" t="str">
        <f>Table17[[#This Row],[KETERANGAN CONDRO]]</f>
        <v/>
      </c>
      <c r="BD164" t="str">
        <f ca="1">Table17[[#This Row],[Column6]]</f>
        <v>JUG481/24</v>
      </c>
    </row>
    <row r="165" spans="1:56">
      <c r="A165" s="55">
        <v>216</v>
      </c>
      <c r="C165">
        <f>INDEX(NOTA[//DB],Sheet1!A:A)</f>
        <v>2670</v>
      </c>
      <c r="D165" t="str">
        <f>_xlfn.IFNA(MATCH(Table17[[#This Row],[//db]],[3]!Table2[\\],0),"")</f>
        <v/>
      </c>
      <c r="E165" t="str">
        <f>INDEX([3]!db[NB NOTA],Table17[[#This Row],[//db]])</f>
        <v>PENSIL 2B KAYAGI KY-PF3090</v>
      </c>
      <c r="F165" t="str">
        <f>INDEX([3]!db[NB BM],Table17[[#This Row],[//db]])</f>
        <v>Pwnsil 2B Kayagi KY-PF 3090</v>
      </c>
      <c r="G165" t="str">
        <f>IF(Table17[[#This Row],[dbconcat]]="","",INDEX([3]!Table2[NAMA],Table17[[#This Row],[dbconcat]]))</f>
        <v/>
      </c>
      <c r="H165" t="e">
        <f>INDEX([3]!Table2[KODE BARANG],Table17[[#This Row],[dbconcat]])</f>
        <v>#VALUE!</v>
      </c>
      <c r="I165" t="str">
        <f>IF(Table17[[#This Row],[NAMA_3]]="",UPPER(Table17[[#This Row],[NAMA_2]]),Table17[[#This Row],[NAMA_3]])</f>
        <v>PWNSIL 2B KAYAGI KY-PF 3090</v>
      </c>
      <c r="J165">
        <f>INDEX(NOTA[QTY],Sheet1!A:A)</f>
        <v>360</v>
      </c>
      <c r="K165" t="str">
        <f>INDEX(NOTA[STN],Sheet1!A:A)</f>
        <v>LSN</v>
      </c>
      <c r="L165" t="str">
        <f>INDEX([3]!db[QTY B],Table17[[#This Row],[//db]])</f>
        <v>360</v>
      </c>
      <c r="M165" t="str">
        <f>INDEX([3]!db[STN B],Table17[[#This Row],[//db]])</f>
        <v>LSN</v>
      </c>
      <c r="N165" t="str">
        <f>IF(Table17[[#This Row],[SATUAN NOTA]]=Table17[[#This Row],[SATUAN DB]],"", MATCH(CONCATENATE(Table17[[#This Row],[SATUAN NOTA]],Table17[[#This Row],[SATUAN DB]]),Table2[4],0))</f>
        <v/>
      </c>
      <c r="O165" t="str" cm="1">
        <f t="array" ref="O165">IF(Table17[[#This Row],[//CONV]]="","",INDEX(Table2[3],Table17[[#This Row],[//CONV]]))</f>
        <v/>
      </c>
      <c r="P165" t="str">
        <f>IF(Table17[[#This Row],[//CONV]]="",Table17[[#This Row],[ISI DB]],Table17[[#This Row],[ISI NOTA]]*Table17[[#This Row],[CONV VAR]])</f>
        <v>360</v>
      </c>
      <c r="Q165" t="str" cm="1">
        <f t="array" ref="Q165">IF(Table17[[#This Row],[//CONV]]="",Table17[[#This Row],[SATUAN DB]],INDEX(Table2[2],Table17[[#This Row],[//CONV]]))</f>
        <v>LSN</v>
      </c>
      <c r="R165" t="str" cm="1">
        <f t="array" ref="R165">IF(Table17[[#This Row],[dbconcat]]="","",INDEX([3]!Table2[ISI],Table17[[#This Row],[dbconcat]]))</f>
        <v/>
      </c>
      <c r="S165" t="str" cm="1">
        <f t="array" ref="S165">IF(Table17[[#This Row],[dbconcat]]="","",INDEX([3]!Table2[[SATUAN ]],Table17[[#This Row],[dbconcat]]))</f>
        <v/>
      </c>
      <c r="T165" t="str">
        <f>IF(Table17[[#This Row],[SATUAN S]]="","",IF(_xlfn.NUMBERVALUE(Table17[[#This Row],[ISI DB]])=_xlfn.NUMBERVALUE(Table17[[#This Row],[ISI S]]),"",1))</f>
        <v/>
      </c>
      <c r="U165" t="str">
        <f>IF(Table17[[#This Row],[SATUAN S]]="","",IF(Table17[[#This Row],[SATUAN DB]]=Table17[[#This Row],[SATUAN S]],"",1))</f>
        <v/>
      </c>
      <c r="V165" t="str">
        <f>IF(Table17[[#This Row],[CEK STN S]]="","",MATCH(CONCATENATE(Table17[[#This Row],[SATUAN CONV]],Table17[[#This Row],[SATUAN S]]),Table2[4],0))</f>
        <v/>
      </c>
      <c r="X165" t="str" cm="1">
        <f t="array" ref="X165">IF(Table17[[#This Row],[CONV2_//]]="","",INDEX(Table2[3],Table17[[#This Row],[CONV2_//]]))</f>
        <v/>
      </c>
      <c r="Y165" s="2" t="str">
        <f>IF(Table17[[#This Row],[CEK ISI S]]="",Table17[[#This Row],[ISI DB]],Table17[[#This Row],[ISI S]])</f>
        <v>360</v>
      </c>
      <c r="Z165" t="str">
        <f>IF(Table17[[#This Row],[CEK STN S]]="",Table17[[#This Row],[SATUAN DB]],Table17[[#This Row],[SATUAN S]])</f>
        <v>LSN</v>
      </c>
      <c r="AA165">
        <f>IF(Table17[[#This Row],[//CONV]]="",Table17[[#This Row],[ISI NOTA]]/Table17[[#This Row],[ISI_C]],Table17[[#This Row],[ISI DB CONV]]/Table17[[#This Row],[ISI_C]])</f>
        <v>1</v>
      </c>
      <c r="AB165">
        <f>INDEX(NOTA[HARGA SATUAN],Sheet1!A:A)</f>
        <v>7700</v>
      </c>
      <c r="AC165">
        <f>IF(Table17[[#This Row],[//CONV]]="",Table17[[#This Row],[HARGA NOTA]],Table17[[#This Row],[HARGA NOTA]]/Table17[[#This Row],[CONV VAR]])</f>
        <v>7700</v>
      </c>
      <c r="AD165">
        <f>IF(Table17[[#This Row],[CEK STN S]]="",Table17[[#This Row],[HARGA CONV]],Table17[[#This Row],[HARGA CONV]]/Table17[[#This Row],[CONV2 VAR]])</f>
        <v>7700</v>
      </c>
      <c r="AE165" s="3" t="str">
        <f>IF(INDEX(NOTA[Column6],Sheet1!A:A)=0,"",INDEX(NOTA[Column6],Sheet1!A:A))</f>
        <v/>
      </c>
      <c r="AF165" s="3" t="str">
        <f>IF(INDEX(NOTA[Column7],Sheet1!A:A)=0,"",INDEX(NOTA[Column7],Sheet1!A:A))</f>
        <v/>
      </c>
      <c r="AG16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5" s="4">
        <f>INDEX(NOTA[HARGA/ CTN_H],Sheet1!A:A)</f>
        <v>2772000</v>
      </c>
      <c r="AI165" s="4">
        <f>IF(Table17[[#This Row],[DISC 3]]="",Table17[[#This Row],[HRG / CTN]],Table17[[#This Row],[HRG / CTN]]-(Table17[[#This Row],[HRG / CTN]]*Table17[[#This Row],[DISC 3]]))</f>
        <v>2772000</v>
      </c>
      <c r="AJ165" s="5" t="e">
        <f>IF(#REF!&lt;1,Table17[[#This Row],[Column9]],Table17[[#This Row],[Column9]]*#REF!)</f>
        <v>#REF!</v>
      </c>
      <c r="AK165" s="4" t="str">
        <f ca="1">IF(NOT(AP166=Table17[[#This Row],[Column6]]),SUMIF(Table17[Column6],Table17[[#This Row],[Column6]],Table17[Column7]),"")</f>
        <v/>
      </c>
      <c r="AL165" s="6">
        <f ca="1">INDEX(NOTA[TGL_H],Sheet1!A:A)</f>
        <v>45495</v>
      </c>
      <c r="AM165" s="6">
        <f ca="1">INDEX(NOTA[TGL.NOTA_H],Sheet1!A:A)</f>
        <v>45492</v>
      </c>
      <c r="AO165" t="str">
        <f>IF(INDEX(NOTA[Column10],A:A)="","",INDEX(NOTA[Column10],A:A))</f>
        <v/>
      </c>
      <c r="AP165" t="str">
        <f ca="1">INDEX(NOTA[NO.NOTA_H],Sheet1!A:A)</f>
        <v>JUG481/24</v>
      </c>
      <c r="AQ165">
        <f>INDEX(NOTA[Column10],Sheet1!A:A)</f>
        <v>0</v>
      </c>
      <c r="AR165" s="8" t="str">
        <f ca="1">INDEX(NOTA[SUPPLIER_H],Sheet1!A:A)</f>
        <v>DB STATIONERY</v>
      </c>
      <c r="AS165" t="str">
        <f>Table17[[#This Row],[NAMA_C]]</f>
        <v>PWNSIL 2B KAYAGI KY-PF 3090</v>
      </c>
      <c r="AT165" t="str">
        <f ca="1">Table17[[#This Row],[SUPPLIER]]</f>
        <v>DB STATIONERY</v>
      </c>
      <c r="AU165" t="str">
        <f>SUBSTITUTE(Table17[[#This Row],[CTN]],",",".")</f>
        <v>1</v>
      </c>
      <c r="AV165" s="13" t="str">
        <f>Table17[[#This Row],[ISI_C]]</f>
        <v>360</v>
      </c>
      <c r="AW165" t="str">
        <f>Table17[[#This Row],[SATUAN_C]]</f>
        <v>LSN</v>
      </c>
      <c r="AX165">
        <f>Table17[[#This Row],[HARGA CONV2]]</f>
        <v>7700</v>
      </c>
      <c r="AY165" s="9" t="str">
        <f>SUBSTITUTE(Table17[[#This Row],[DISC 3]],",",".")</f>
        <v/>
      </c>
      <c r="AZ165" s="6">
        <f ca="1">Table17[[#This Row],[TGL DATANG]]</f>
        <v>45495</v>
      </c>
      <c r="BA165" s="6">
        <f ca="1">Table17[[#This Row],[Column10]]</f>
        <v>45492</v>
      </c>
      <c r="BB165" s="7"/>
      <c r="BC165" t="str">
        <f>Table17[[#This Row],[KETERANGAN CONDRO]]</f>
        <v/>
      </c>
      <c r="BD165" t="str">
        <f ca="1">Table17[[#This Row],[Column6]]</f>
        <v>JUG481/24</v>
      </c>
    </row>
    <row r="166" spans="1:56">
      <c r="A166" s="55">
        <v>217</v>
      </c>
      <c r="C166">
        <f>INDEX(NOTA[//DB],Sheet1!A:A)</f>
        <v>2690</v>
      </c>
      <c r="D166">
        <f>_xlfn.IFNA(MATCH(Table17[[#This Row],[//db]],[3]!Table2[\\],0),"")</f>
        <v>2527</v>
      </c>
      <c r="E166" t="str">
        <f>INDEX([3]!db[NB NOTA],Table17[[#This Row],[//db]])</f>
        <v>PENSIL 2B KAYAGI KY-PF3091</v>
      </c>
      <c r="F166" t="str">
        <f>INDEX([3]!db[NB BM],Table17[[#This Row],[//db]])</f>
        <v>Pensil 2B Kayagi KY-PF 3091</v>
      </c>
      <c r="G166" t="str">
        <f>IF(Table17[[#This Row],[dbconcat]]="","",INDEX([3]!Table2[NAMA],Table17[[#This Row],[dbconcat]]))</f>
        <v>PENSIL 2B KAYAGI KY-PF 3091</v>
      </c>
      <c r="H166" t="str">
        <f>INDEX([3]!Table2[KODE BARANG],Table17[[#This Row],[dbconcat]])</f>
        <v>PEN-KY59</v>
      </c>
      <c r="I166" t="str">
        <f>IF(Table17[[#This Row],[NAMA_3]]="",UPPER(Table17[[#This Row],[NAMA_2]]),Table17[[#This Row],[NAMA_3]])</f>
        <v>PENSIL 2B KAYAGI KY-PF 3091</v>
      </c>
      <c r="J166">
        <f>INDEX(NOTA[QTY],Sheet1!A:A)</f>
        <v>360</v>
      </c>
      <c r="K166" t="str">
        <f>INDEX(NOTA[STN],Sheet1!A:A)</f>
        <v>LSN</v>
      </c>
      <c r="L166" t="str">
        <f>INDEX([3]!db[QTY B],Table17[[#This Row],[//db]])</f>
        <v>360</v>
      </c>
      <c r="M166" t="str">
        <f>INDEX([3]!db[STN B],Table17[[#This Row],[//db]])</f>
        <v>LSN</v>
      </c>
      <c r="N166" t="str">
        <f>IF(Table17[[#This Row],[SATUAN NOTA]]=Table17[[#This Row],[SATUAN DB]],"", MATCH(CONCATENATE(Table17[[#This Row],[SATUAN NOTA]],Table17[[#This Row],[SATUAN DB]]),Table2[4],0))</f>
        <v/>
      </c>
      <c r="O166" t="str" cm="1">
        <f t="array" ref="O166">IF(Table17[[#This Row],[//CONV]]="","",INDEX(Table2[3],Table17[[#This Row],[//CONV]]))</f>
        <v/>
      </c>
      <c r="P166" t="str">
        <f>IF(Table17[[#This Row],[//CONV]]="",Table17[[#This Row],[ISI DB]],Table17[[#This Row],[ISI NOTA]]*Table17[[#This Row],[CONV VAR]])</f>
        <v>360</v>
      </c>
      <c r="Q166" t="str" cm="1">
        <f t="array" ref="Q166">IF(Table17[[#This Row],[//CONV]]="",Table17[[#This Row],[SATUAN DB]],INDEX(Table2[2],Table17[[#This Row],[//CONV]]))</f>
        <v>LSN</v>
      </c>
      <c r="R166" cm="1">
        <f t="array" ref="R166">IF(Table17[[#This Row],[dbconcat]]="","",INDEX([3]!Table2[ISI],Table17[[#This Row],[dbconcat]]))</f>
        <v>30</v>
      </c>
      <c r="S166" t="str" cm="1">
        <f t="array" ref="S166">IF(Table17[[#This Row],[dbconcat]]="","",INDEX([3]!Table2[[SATUAN ]],Table17[[#This Row],[dbconcat]]))</f>
        <v>GRS</v>
      </c>
      <c r="T166">
        <f>IF(Table17[[#This Row],[SATUAN S]]="","",IF(_xlfn.NUMBERVALUE(Table17[[#This Row],[ISI DB]])=_xlfn.NUMBERVALUE(Table17[[#This Row],[ISI S]]),"",1))</f>
        <v>1</v>
      </c>
      <c r="U166">
        <f>IF(Table17[[#This Row],[SATUAN S]]="","",IF(Table17[[#This Row],[SATUAN DB]]=Table17[[#This Row],[SATUAN S]],"",1))</f>
        <v>1</v>
      </c>
      <c r="V166">
        <f>IF(Table17[[#This Row],[CEK STN S]]="","",MATCH(CONCATENATE(Table17[[#This Row],[SATUAN CONV]],Table17[[#This Row],[SATUAN S]]),Table2[4],0))</f>
        <v>6</v>
      </c>
      <c r="X166" cm="1">
        <f t="array" ref="X166">IF(Table17[[#This Row],[CONV2_//]]="","",INDEX(Table2[3],Table17[[#This Row],[CONV2_//]]))</f>
        <v>8.3333333329999995E-2</v>
      </c>
      <c r="Y166" s="2">
        <f>IF(Table17[[#This Row],[CEK ISI S]]="",Table17[[#This Row],[ISI DB]],Table17[[#This Row],[ISI S]])</f>
        <v>30</v>
      </c>
      <c r="Z166" t="str">
        <f>IF(Table17[[#This Row],[CEK STN S]]="",Table17[[#This Row],[SATUAN DB]],Table17[[#This Row],[SATUAN S]])</f>
        <v>GRS</v>
      </c>
      <c r="AA166">
        <f>IF(Table17[[#This Row],[//CONV]]="",Table17[[#This Row],[ISI NOTA]]/Table17[[#This Row],[ISI_C]],Table17[[#This Row],[ISI DB CONV]]/Table17[[#This Row],[ISI_C]])</f>
        <v>12</v>
      </c>
      <c r="AB166">
        <f>INDEX(NOTA[HARGA SATUAN],Sheet1!A:A)</f>
        <v>7700</v>
      </c>
      <c r="AC166">
        <f>IF(Table17[[#This Row],[//CONV]]="",Table17[[#This Row],[HARGA NOTA]],Table17[[#This Row],[HARGA NOTA]]/Table17[[#This Row],[CONV VAR]])</f>
        <v>7700</v>
      </c>
      <c r="AD166">
        <f>IF(Table17[[#This Row],[CEK STN S]]="",Table17[[#This Row],[HARGA CONV]],Table17[[#This Row],[HARGA CONV]]/Table17[[#This Row],[CONV2 VAR]])</f>
        <v>92400.000003696012</v>
      </c>
      <c r="AE166" s="3" t="str">
        <f>IF(INDEX(NOTA[Column6],Sheet1!A:A)=0,"",INDEX(NOTA[Column6],Sheet1!A:A))</f>
        <v/>
      </c>
      <c r="AF166" s="3" t="str">
        <f>IF(INDEX(NOTA[Column7],Sheet1!A:A)=0,"",INDEX(NOTA[Column7],Sheet1!A:A))</f>
        <v/>
      </c>
      <c r="AG16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6" s="4">
        <f>INDEX(NOTA[HARGA/ CTN_H],Sheet1!A:A)</f>
        <v>2772000</v>
      </c>
      <c r="AI166" s="4">
        <f>IF(Table17[[#This Row],[DISC 3]]="",Table17[[#This Row],[HRG / CTN]],Table17[[#This Row],[HRG / CTN]]-(Table17[[#This Row],[HRG / CTN]]*Table17[[#This Row],[DISC 3]]))</f>
        <v>2772000</v>
      </c>
      <c r="AJ166" s="5" t="e">
        <f>IF(#REF!&lt;1,Table17[[#This Row],[Column9]],Table17[[#This Row],[Column9]]*#REF!)</f>
        <v>#REF!</v>
      </c>
      <c r="AK166" s="4" t="str">
        <f ca="1">IF(NOT(AP167=Table17[[#This Row],[Column6]]),SUMIF(Table17[Column6],Table17[[#This Row],[Column6]],Table17[Column7]),"")</f>
        <v/>
      </c>
      <c r="AL166" s="6">
        <f ca="1">INDEX(NOTA[TGL_H],Sheet1!A:A)</f>
        <v>45495</v>
      </c>
      <c r="AM166" s="6">
        <f ca="1">INDEX(NOTA[TGL.NOTA_H],Sheet1!A:A)</f>
        <v>45492</v>
      </c>
      <c r="AO166" t="str">
        <f>IF(INDEX(NOTA[Column10],A:A)="","",INDEX(NOTA[Column10],A:A))</f>
        <v/>
      </c>
      <c r="AP166" t="str">
        <f ca="1">INDEX(NOTA[NO.NOTA_H],Sheet1!A:A)</f>
        <v>JUG481/24</v>
      </c>
      <c r="AQ166">
        <f>INDEX(NOTA[Column10],Sheet1!A:A)</f>
        <v>0</v>
      </c>
      <c r="AR166" s="8" t="str">
        <f ca="1">INDEX(NOTA[SUPPLIER_H],Sheet1!A:A)</f>
        <v>DB STATIONERY</v>
      </c>
      <c r="AS166" t="str">
        <f>Table17[[#This Row],[NAMA_C]]</f>
        <v>PENSIL 2B KAYAGI KY-PF 3091</v>
      </c>
      <c r="AT166" t="str">
        <f ca="1">Table17[[#This Row],[SUPPLIER]]</f>
        <v>DB STATIONERY</v>
      </c>
      <c r="AU166" t="str">
        <f>SUBSTITUTE(Table17[[#This Row],[CTN]],",",".")</f>
        <v>12</v>
      </c>
      <c r="AV166" s="13">
        <f>Table17[[#This Row],[ISI_C]]</f>
        <v>30</v>
      </c>
      <c r="AW166" t="str">
        <f>Table17[[#This Row],[SATUAN_C]]</f>
        <v>GRS</v>
      </c>
      <c r="AX166">
        <f>Table17[[#This Row],[HARGA CONV2]]</f>
        <v>92400.000003696012</v>
      </c>
      <c r="AY166" s="9" t="str">
        <f>SUBSTITUTE(Table17[[#This Row],[DISC 3]],",",".")</f>
        <v/>
      </c>
      <c r="AZ166" s="6">
        <f ca="1">Table17[[#This Row],[TGL DATANG]]</f>
        <v>45495</v>
      </c>
      <c r="BA166" s="6">
        <f ca="1">Table17[[#This Row],[Column10]]</f>
        <v>45492</v>
      </c>
      <c r="BB166" s="7"/>
      <c r="BC166" t="str">
        <f>Table17[[#This Row],[KETERANGAN CONDRO]]</f>
        <v/>
      </c>
      <c r="BD166" t="str">
        <f ca="1">Table17[[#This Row],[Column6]]</f>
        <v>JUG481/24</v>
      </c>
    </row>
    <row r="167" spans="1:56">
      <c r="A167" s="55">
        <v>218</v>
      </c>
      <c r="C167">
        <f>INDEX(NOTA[//DB],Sheet1!A:A)</f>
        <v>2671</v>
      </c>
      <c r="D167" t="str">
        <f>_xlfn.IFNA(MATCH(Table17[[#This Row],[//db]],[3]!Table2[\\],0),"")</f>
        <v/>
      </c>
      <c r="E167" t="str">
        <f>INDEX([3]!db[NB NOTA],Table17[[#This Row],[//db]])</f>
        <v>PENSIL 2B KAYAGI KY-PF3092</v>
      </c>
      <c r="F167" t="str">
        <f>INDEX([3]!db[NB BM],Table17[[#This Row],[//db]])</f>
        <v>Pwnsil 2B Kayagi KY-PF 3092</v>
      </c>
      <c r="G167" t="str">
        <f>IF(Table17[[#This Row],[dbconcat]]="","",INDEX([3]!Table2[NAMA],Table17[[#This Row],[dbconcat]]))</f>
        <v/>
      </c>
      <c r="H167" t="e">
        <f>INDEX([3]!Table2[KODE BARANG],Table17[[#This Row],[dbconcat]])</f>
        <v>#VALUE!</v>
      </c>
      <c r="I167" t="str">
        <f>IF(Table17[[#This Row],[NAMA_3]]="",UPPER(Table17[[#This Row],[NAMA_2]]),Table17[[#This Row],[NAMA_3]])</f>
        <v>PWNSIL 2B KAYAGI KY-PF 3092</v>
      </c>
      <c r="J167">
        <f>INDEX(NOTA[QTY],Sheet1!A:A)</f>
        <v>360</v>
      </c>
      <c r="K167" t="str">
        <f>INDEX(NOTA[STN],Sheet1!A:A)</f>
        <v>LSN</v>
      </c>
      <c r="L167" t="str">
        <f>INDEX([3]!db[QTY B],Table17[[#This Row],[//db]])</f>
        <v>360</v>
      </c>
      <c r="M167" t="str">
        <f>INDEX([3]!db[STN B],Table17[[#This Row],[//db]])</f>
        <v>LSN</v>
      </c>
      <c r="N167" t="str">
        <f>IF(Table17[[#This Row],[SATUAN NOTA]]=Table17[[#This Row],[SATUAN DB]],"", MATCH(CONCATENATE(Table17[[#This Row],[SATUAN NOTA]],Table17[[#This Row],[SATUAN DB]]),Table2[4],0))</f>
        <v/>
      </c>
      <c r="O167" t="str" cm="1">
        <f t="array" ref="O167">IF(Table17[[#This Row],[//CONV]]="","",INDEX(Table2[3],Table17[[#This Row],[//CONV]]))</f>
        <v/>
      </c>
      <c r="P167" t="str">
        <f>IF(Table17[[#This Row],[//CONV]]="",Table17[[#This Row],[ISI DB]],Table17[[#This Row],[ISI NOTA]]*Table17[[#This Row],[CONV VAR]])</f>
        <v>360</v>
      </c>
      <c r="Q167" t="str" cm="1">
        <f t="array" ref="Q167">IF(Table17[[#This Row],[//CONV]]="",Table17[[#This Row],[SATUAN DB]],INDEX(Table2[2],Table17[[#This Row],[//CONV]]))</f>
        <v>LSN</v>
      </c>
      <c r="R167" t="str" cm="1">
        <f t="array" ref="R167">IF(Table17[[#This Row],[dbconcat]]="","",INDEX([3]!Table2[ISI],Table17[[#This Row],[dbconcat]]))</f>
        <v/>
      </c>
      <c r="S167" t="str" cm="1">
        <f t="array" ref="S167">IF(Table17[[#This Row],[dbconcat]]="","",INDEX([3]!Table2[[SATUAN ]],Table17[[#This Row],[dbconcat]]))</f>
        <v/>
      </c>
      <c r="T167" t="str">
        <f>IF(Table17[[#This Row],[SATUAN S]]="","",IF(_xlfn.NUMBERVALUE(Table17[[#This Row],[ISI DB]])=_xlfn.NUMBERVALUE(Table17[[#This Row],[ISI S]]),"",1))</f>
        <v/>
      </c>
      <c r="U167" t="str">
        <f>IF(Table17[[#This Row],[SATUAN S]]="","",IF(Table17[[#This Row],[SATUAN DB]]=Table17[[#This Row],[SATUAN S]],"",1))</f>
        <v/>
      </c>
      <c r="V167" t="str">
        <f>IF(Table17[[#This Row],[CEK STN S]]="","",MATCH(CONCATENATE(Table17[[#This Row],[SATUAN CONV]],Table17[[#This Row],[SATUAN S]]),Table2[4],0))</f>
        <v/>
      </c>
      <c r="X167" t="str" cm="1">
        <f t="array" ref="X167">IF(Table17[[#This Row],[CONV2_//]]="","",INDEX(Table2[3],Table17[[#This Row],[CONV2_//]]))</f>
        <v/>
      </c>
      <c r="Y167" s="2" t="str">
        <f>IF(Table17[[#This Row],[CEK ISI S]]="",Table17[[#This Row],[ISI DB]],Table17[[#This Row],[ISI S]])</f>
        <v>360</v>
      </c>
      <c r="Z167" t="str">
        <f>IF(Table17[[#This Row],[CEK STN S]]="",Table17[[#This Row],[SATUAN DB]],Table17[[#This Row],[SATUAN S]])</f>
        <v>LSN</v>
      </c>
      <c r="AA167">
        <f>IF(Table17[[#This Row],[//CONV]]="",Table17[[#This Row],[ISI NOTA]]/Table17[[#This Row],[ISI_C]],Table17[[#This Row],[ISI DB CONV]]/Table17[[#This Row],[ISI_C]])</f>
        <v>1</v>
      </c>
      <c r="AB167">
        <f>INDEX(NOTA[HARGA SATUAN],Sheet1!A:A)</f>
        <v>7700</v>
      </c>
      <c r="AC167">
        <f>IF(Table17[[#This Row],[//CONV]]="",Table17[[#This Row],[HARGA NOTA]],Table17[[#This Row],[HARGA NOTA]]/Table17[[#This Row],[CONV VAR]])</f>
        <v>7700</v>
      </c>
      <c r="AD167">
        <f>IF(Table17[[#This Row],[CEK STN S]]="",Table17[[#This Row],[HARGA CONV]],Table17[[#This Row],[HARGA CONV]]/Table17[[#This Row],[CONV2 VAR]])</f>
        <v>7700</v>
      </c>
      <c r="AE167" s="3" t="str">
        <f>IF(INDEX(NOTA[Column6],Sheet1!A:A)=0,"",INDEX(NOTA[Column6],Sheet1!A:A))</f>
        <v/>
      </c>
      <c r="AF167" s="3" t="str">
        <f>IF(INDEX(NOTA[Column7],Sheet1!A:A)=0,"",INDEX(NOTA[Column7],Sheet1!A:A))</f>
        <v/>
      </c>
      <c r="AG16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7" s="4">
        <f>INDEX(NOTA[HARGA/ CTN_H],Sheet1!A:A)</f>
        <v>2772000</v>
      </c>
      <c r="AI167" s="4">
        <f>IF(Table17[[#This Row],[DISC 3]]="",Table17[[#This Row],[HRG / CTN]],Table17[[#This Row],[HRG / CTN]]-(Table17[[#This Row],[HRG / CTN]]*Table17[[#This Row],[DISC 3]]))</f>
        <v>2772000</v>
      </c>
      <c r="AJ167" s="5" t="e">
        <f>IF(#REF!&lt;1,Table17[[#This Row],[Column9]],Table17[[#This Row],[Column9]]*#REF!)</f>
        <v>#REF!</v>
      </c>
      <c r="AK167" s="4" t="str">
        <f ca="1">IF(NOT(AP168=Table17[[#This Row],[Column6]]),SUMIF(Table17[Column6],Table17[[#This Row],[Column6]],Table17[Column7]),"")</f>
        <v/>
      </c>
      <c r="AL167" s="6">
        <f ca="1">INDEX(NOTA[TGL_H],Sheet1!A:A)</f>
        <v>45495</v>
      </c>
      <c r="AM167" s="6">
        <f ca="1">INDEX(NOTA[TGL.NOTA_H],Sheet1!A:A)</f>
        <v>45492</v>
      </c>
      <c r="AO167" t="str">
        <f>IF(INDEX(NOTA[Column10],A:A)="","",INDEX(NOTA[Column10],A:A))</f>
        <v/>
      </c>
      <c r="AP167" t="str">
        <f ca="1">INDEX(NOTA[NO.NOTA_H],Sheet1!A:A)</f>
        <v>JUG481/24</v>
      </c>
      <c r="AQ167">
        <f>INDEX(NOTA[Column10],Sheet1!A:A)</f>
        <v>0</v>
      </c>
      <c r="AR167" s="8" t="str">
        <f ca="1">INDEX(NOTA[SUPPLIER_H],Sheet1!A:A)</f>
        <v>DB STATIONERY</v>
      </c>
      <c r="AS167" t="str">
        <f>Table17[[#This Row],[NAMA_C]]</f>
        <v>PWNSIL 2B KAYAGI KY-PF 3092</v>
      </c>
      <c r="AT167" t="str">
        <f ca="1">Table17[[#This Row],[SUPPLIER]]</f>
        <v>DB STATIONERY</v>
      </c>
      <c r="AU167" t="str">
        <f>SUBSTITUTE(Table17[[#This Row],[CTN]],",",".")</f>
        <v>1</v>
      </c>
      <c r="AV167" s="13" t="str">
        <f>Table17[[#This Row],[ISI_C]]</f>
        <v>360</v>
      </c>
      <c r="AW167" t="str">
        <f>Table17[[#This Row],[SATUAN_C]]</f>
        <v>LSN</v>
      </c>
      <c r="AX167">
        <f>Table17[[#This Row],[HARGA CONV2]]</f>
        <v>7700</v>
      </c>
      <c r="AY167" s="9" t="str">
        <f>SUBSTITUTE(Table17[[#This Row],[DISC 3]],",",".")</f>
        <v/>
      </c>
      <c r="AZ167" s="6">
        <f ca="1">Table17[[#This Row],[TGL DATANG]]</f>
        <v>45495</v>
      </c>
      <c r="BA167" s="6">
        <f ca="1">Table17[[#This Row],[Column10]]</f>
        <v>45492</v>
      </c>
      <c r="BB167" s="7"/>
      <c r="BC167" t="str">
        <f>Table17[[#This Row],[KETERANGAN CONDRO]]</f>
        <v/>
      </c>
      <c r="BD167" t="str">
        <f ca="1">Table17[[#This Row],[Column6]]</f>
        <v>JUG481/24</v>
      </c>
    </row>
    <row r="168" spans="1:56">
      <c r="A168" s="55">
        <v>219</v>
      </c>
      <c r="C168">
        <f>INDEX(NOTA[//DB],Sheet1!A:A)</f>
        <v>2672</v>
      </c>
      <c r="D168" t="str">
        <f>_xlfn.IFNA(MATCH(Table17[[#This Row],[//db]],[3]!Table2[\\],0),"")</f>
        <v/>
      </c>
      <c r="E168" t="str">
        <f>INDEX([3]!db[NB NOTA],Table17[[#This Row],[//db]])</f>
        <v>PENSIL 2B KAYAGI KY-PF3093</v>
      </c>
      <c r="F168" t="str">
        <f>INDEX([3]!db[NB BM],Table17[[#This Row],[//db]])</f>
        <v>PENSIL KAYAGI 2B PF3093</v>
      </c>
      <c r="G168" t="str">
        <f>IF(Table17[[#This Row],[dbconcat]]="","",INDEX([3]!Table2[NAMA],Table17[[#This Row],[dbconcat]]))</f>
        <v/>
      </c>
      <c r="H168" t="e">
        <f>INDEX([3]!Table2[KODE BARANG],Table17[[#This Row],[dbconcat]])</f>
        <v>#VALUE!</v>
      </c>
      <c r="I168" t="str">
        <f>IF(Table17[[#This Row],[NAMA_3]]="",UPPER(Table17[[#This Row],[NAMA_2]]),Table17[[#This Row],[NAMA_3]])</f>
        <v>PENSIL KAYAGI 2B PF3093</v>
      </c>
      <c r="J168">
        <f>INDEX(NOTA[QTY],Sheet1!A:A)</f>
        <v>360</v>
      </c>
      <c r="K168" t="str">
        <f>INDEX(NOTA[STN],Sheet1!A:A)</f>
        <v>LSN</v>
      </c>
      <c r="L168" t="str">
        <f>INDEX([3]!db[QTY B],Table17[[#This Row],[//db]])</f>
        <v>360</v>
      </c>
      <c r="M168" t="str">
        <f>INDEX([3]!db[STN B],Table17[[#This Row],[//db]])</f>
        <v>LSN</v>
      </c>
      <c r="N168" t="str">
        <f>IF(Table17[[#This Row],[SATUAN NOTA]]=Table17[[#This Row],[SATUAN DB]],"", MATCH(CONCATENATE(Table17[[#This Row],[SATUAN NOTA]],Table17[[#This Row],[SATUAN DB]]),Table2[4],0))</f>
        <v/>
      </c>
      <c r="O168" t="str" cm="1">
        <f t="array" ref="O168">IF(Table17[[#This Row],[//CONV]]="","",INDEX(Table2[3],Table17[[#This Row],[//CONV]]))</f>
        <v/>
      </c>
      <c r="P168" t="str">
        <f>IF(Table17[[#This Row],[//CONV]]="",Table17[[#This Row],[ISI DB]],Table17[[#This Row],[ISI NOTA]]*Table17[[#This Row],[CONV VAR]])</f>
        <v>360</v>
      </c>
      <c r="Q168" t="str" cm="1">
        <f t="array" ref="Q168">IF(Table17[[#This Row],[//CONV]]="",Table17[[#This Row],[SATUAN DB]],INDEX(Table2[2],Table17[[#This Row],[//CONV]]))</f>
        <v>LSN</v>
      </c>
      <c r="R168" t="str" cm="1">
        <f t="array" ref="R168">IF(Table17[[#This Row],[dbconcat]]="","",INDEX([3]!Table2[ISI],Table17[[#This Row],[dbconcat]]))</f>
        <v/>
      </c>
      <c r="S168" t="str" cm="1">
        <f t="array" ref="S168">IF(Table17[[#This Row],[dbconcat]]="","",INDEX([3]!Table2[[SATUAN ]],Table17[[#This Row],[dbconcat]]))</f>
        <v/>
      </c>
      <c r="T168" t="str">
        <f>IF(Table17[[#This Row],[SATUAN S]]="","",IF(_xlfn.NUMBERVALUE(Table17[[#This Row],[ISI DB]])=_xlfn.NUMBERVALUE(Table17[[#This Row],[ISI S]]),"",1))</f>
        <v/>
      </c>
      <c r="U168" t="str">
        <f>IF(Table17[[#This Row],[SATUAN S]]="","",IF(Table17[[#This Row],[SATUAN DB]]=Table17[[#This Row],[SATUAN S]],"",1))</f>
        <v/>
      </c>
      <c r="V168" t="str">
        <f>IF(Table17[[#This Row],[CEK STN S]]="","",MATCH(CONCATENATE(Table17[[#This Row],[SATUAN CONV]],Table17[[#This Row],[SATUAN S]]),Table2[4],0))</f>
        <v/>
      </c>
      <c r="X168" t="str" cm="1">
        <f t="array" ref="X168">IF(Table17[[#This Row],[CONV2_//]]="","",INDEX(Table2[3],Table17[[#This Row],[CONV2_//]]))</f>
        <v/>
      </c>
      <c r="Y168" s="2" t="str">
        <f>IF(Table17[[#This Row],[CEK ISI S]]="",Table17[[#This Row],[ISI DB]],Table17[[#This Row],[ISI S]])</f>
        <v>360</v>
      </c>
      <c r="Z168" t="str">
        <f>IF(Table17[[#This Row],[CEK STN S]]="",Table17[[#This Row],[SATUAN DB]],Table17[[#This Row],[SATUAN S]])</f>
        <v>LSN</v>
      </c>
      <c r="AA168">
        <f>IF(Table17[[#This Row],[//CONV]]="",Table17[[#This Row],[ISI NOTA]]/Table17[[#This Row],[ISI_C]],Table17[[#This Row],[ISI DB CONV]]/Table17[[#This Row],[ISI_C]])</f>
        <v>1</v>
      </c>
      <c r="AB168">
        <f>INDEX(NOTA[HARGA SATUAN],Sheet1!A:A)</f>
        <v>7700</v>
      </c>
      <c r="AC168">
        <f>IF(Table17[[#This Row],[//CONV]]="",Table17[[#This Row],[HARGA NOTA]],Table17[[#This Row],[HARGA NOTA]]/Table17[[#This Row],[CONV VAR]])</f>
        <v>7700</v>
      </c>
      <c r="AD168">
        <f>IF(Table17[[#This Row],[CEK STN S]]="",Table17[[#This Row],[HARGA CONV]],Table17[[#This Row],[HARGA CONV]]/Table17[[#This Row],[CONV2 VAR]])</f>
        <v>7700</v>
      </c>
      <c r="AE168" s="3" t="str">
        <f>IF(INDEX(NOTA[Column6],Sheet1!A:A)=0,"",INDEX(NOTA[Column6],Sheet1!A:A))</f>
        <v/>
      </c>
      <c r="AF168" s="3" t="str">
        <f>IF(INDEX(NOTA[Column7],Sheet1!A:A)=0,"",INDEX(NOTA[Column7],Sheet1!A:A))</f>
        <v/>
      </c>
      <c r="AG16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8" s="4">
        <f>INDEX(NOTA[HARGA/ CTN_H],Sheet1!A:A)</f>
        <v>2772000</v>
      </c>
      <c r="AI168" s="4">
        <f>IF(Table17[[#This Row],[DISC 3]]="",Table17[[#This Row],[HRG / CTN]],Table17[[#This Row],[HRG / CTN]]-(Table17[[#This Row],[HRG / CTN]]*Table17[[#This Row],[DISC 3]]))</f>
        <v>2772000</v>
      </c>
      <c r="AJ168" s="5" t="e">
        <f>IF(#REF!&lt;1,Table17[[#This Row],[Column9]],Table17[[#This Row],[Column9]]*#REF!)</f>
        <v>#REF!</v>
      </c>
      <c r="AK168" s="4" t="str">
        <f ca="1">IF(NOT(AP169=Table17[[#This Row],[Column6]]),SUMIF(Table17[Column6],Table17[[#This Row],[Column6]],Table17[Column7]),"")</f>
        <v/>
      </c>
      <c r="AL168" s="6">
        <f ca="1">INDEX(NOTA[TGL_H],Sheet1!A:A)</f>
        <v>45495</v>
      </c>
      <c r="AM168" s="6">
        <f ca="1">INDEX(NOTA[TGL.NOTA_H],Sheet1!A:A)</f>
        <v>45492</v>
      </c>
      <c r="AO168" t="str">
        <f>IF(INDEX(NOTA[Column10],A:A)="","",INDEX(NOTA[Column10],A:A))</f>
        <v/>
      </c>
      <c r="AP168" t="str">
        <f ca="1">INDEX(NOTA[NO.NOTA_H],Sheet1!A:A)</f>
        <v>JUG481/24</v>
      </c>
      <c r="AQ168">
        <f>INDEX(NOTA[Column10],Sheet1!A:A)</f>
        <v>0</v>
      </c>
      <c r="AR168" s="8" t="str">
        <f ca="1">INDEX(NOTA[SUPPLIER_H],Sheet1!A:A)</f>
        <v>DB STATIONERY</v>
      </c>
      <c r="AS168" t="str">
        <f>Table17[[#This Row],[NAMA_C]]</f>
        <v>PENSIL KAYAGI 2B PF3093</v>
      </c>
      <c r="AT168" t="str">
        <f ca="1">Table17[[#This Row],[SUPPLIER]]</f>
        <v>DB STATIONERY</v>
      </c>
      <c r="AU168" t="str">
        <f>SUBSTITUTE(Table17[[#This Row],[CTN]],",",".")</f>
        <v>1</v>
      </c>
      <c r="AV168" s="13" t="str">
        <f>Table17[[#This Row],[ISI_C]]</f>
        <v>360</v>
      </c>
      <c r="AW168" t="str">
        <f>Table17[[#This Row],[SATUAN_C]]</f>
        <v>LSN</v>
      </c>
      <c r="AX168">
        <f>Table17[[#This Row],[HARGA CONV2]]</f>
        <v>7700</v>
      </c>
      <c r="AY168" s="9" t="str">
        <f>SUBSTITUTE(Table17[[#This Row],[DISC 3]],",",".")</f>
        <v/>
      </c>
      <c r="AZ168" s="6">
        <f ca="1">Table17[[#This Row],[TGL DATANG]]</f>
        <v>45495</v>
      </c>
      <c r="BA168" s="6">
        <f ca="1">Table17[[#This Row],[Column10]]</f>
        <v>45492</v>
      </c>
      <c r="BB168" s="7"/>
      <c r="BC168" t="str">
        <f>Table17[[#This Row],[KETERANGAN CONDRO]]</f>
        <v/>
      </c>
      <c r="BD168" t="str">
        <f ca="1">Table17[[#This Row],[Column6]]</f>
        <v>JUG481/24</v>
      </c>
    </row>
    <row r="169" spans="1:56">
      <c r="A169" s="55">
        <v>220</v>
      </c>
      <c r="C169">
        <f>INDEX(NOTA[//DB],Sheet1!A:A)</f>
        <v>2673</v>
      </c>
      <c r="D169" t="str">
        <f>_xlfn.IFNA(MATCH(Table17[[#This Row],[//db]],[3]!Table2[\\],0),"")</f>
        <v/>
      </c>
      <c r="E169" t="str">
        <f>INDEX([3]!db[NB NOTA],Table17[[#This Row],[//db]])</f>
        <v>PENSIL 2B KAYAGI KY-PF3058</v>
      </c>
      <c r="F169" t="str">
        <f>INDEX([3]!db[NB BM],Table17[[#This Row],[//db]])</f>
        <v>Pwnsil 2B Kayagi KY-PF 3058</v>
      </c>
      <c r="G169" t="str">
        <f>IF(Table17[[#This Row],[dbconcat]]="","",INDEX([3]!Table2[NAMA],Table17[[#This Row],[dbconcat]]))</f>
        <v/>
      </c>
      <c r="H169" t="e">
        <f>INDEX([3]!Table2[KODE BARANG],Table17[[#This Row],[dbconcat]])</f>
        <v>#VALUE!</v>
      </c>
      <c r="I169" t="str">
        <f>IF(Table17[[#This Row],[NAMA_3]]="",UPPER(Table17[[#This Row],[NAMA_2]]),Table17[[#This Row],[NAMA_3]])</f>
        <v>PWNSIL 2B KAYAGI KY-PF 3058</v>
      </c>
      <c r="J169">
        <f>INDEX(NOTA[QTY],Sheet1!A:A)</f>
        <v>360</v>
      </c>
      <c r="K169" t="str">
        <f>INDEX(NOTA[STN],Sheet1!A:A)</f>
        <v>LSN</v>
      </c>
      <c r="L169" t="str">
        <f>INDEX([3]!db[QTY B],Table17[[#This Row],[//db]])</f>
        <v>360</v>
      </c>
      <c r="M169" t="str">
        <f>INDEX([3]!db[STN B],Table17[[#This Row],[//db]])</f>
        <v>LSN</v>
      </c>
      <c r="N169" t="str">
        <f>IF(Table17[[#This Row],[SATUAN NOTA]]=Table17[[#This Row],[SATUAN DB]],"", MATCH(CONCATENATE(Table17[[#This Row],[SATUAN NOTA]],Table17[[#This Row],[SATUAN DB]]),Table2[4],0))</f>
        <v/>
      </c>
      <c r="O169" t="str" cm="1">
        <f t="array" ref="O169">IF(Table17[[#This Row],[//CONV]]="","",INDEX(Table2[3],Table17[[#This Row],[//CONV]]))</f>
        <v/>
      </c>
      <c r="P169" t="str">
        <f>IF(Table17[[#This Row],[//CONV]]="",Table17[[#This Row],[ISI DB]],Table17[[#This Row],[ISI NOTA]]*Table17[[#This Row],[CONV VAR]])</f>
        <v>360</v>
      </c>
      <c r="Q169" t="str" cm="1">
        <f t="array" ref="Q169">IF(Table17[[#This Row],[//CONV]]="",Table17[[#This Row],[SATUAN DB]],INDEX(Table2[2],Table17[[#This Row],[//CONV]]))</f>
        <v>LSN</v>
      </c>
      <c r="R169" t="str" cm="1">
        <f t="array" ref="R169">IF(Table17[[#This Row],[dbconcat]]="","",INDEX([3]!Table2[ISI],Table17[[#This Row],[dbconcat]]))</f>
        <v/>
      </c>
      <c r="S169" t="str" cm="1">
        <f t="array" ref="S169">IF(Table17[[#This Row],[dbconcat]]="","",INDEX([3]!Table2[[SATUAN ]],Table17[[#This Row],[dbconcat]]))</f>
        <v/>
      </c>
      <c r="T169" t="str">
        <f>IF(Table17[[#This Row],[SATUAN S]]="","",IF(_xlfn.NUMBERVALUE(Table17[[#This Row],[ISI DB]])=_xlfn.NUMBERVALUE(Table17[[#This Row],[ISI S]]),"",1))</f>
        <v/>
      </c>
      <c r="U169" t="str">
        <f>IF(Table17[[#This Row],[SATUAN S]]="","",IF(Table17[[#This Row],[SATUAN DB]]=Table17[[#This Row],[SATUAN S]],"",1))</f>
        <v/>
      </c>
      <c r="V169" t="str">
        <f>IF(Table17[[#This Row],[CEK STN S]]="","",MATCH(CONCATENATE(Table17[[#This Row],[SATUAN CONV]],Table17[[#This Row],[SATUAN S]]),Table2[4],0))</f>
        <v/>
      </c>
      <c r="X169" t="str" cm="1">
        <f t="array" ref="X169">IF(Table17[[#This Row],[CONV2_//]]="","",INDEX(Table2[3],Table17[[#This Row],[CONV2_//]]))</f>
        <v/>
      </c>
      <c r="Y169" s="2" t="str">
        <f>IF(Table17[[#This Row],[CEK ISI S]]="",Table17[[#This Row],[ISI DB]],Table17[[#This Row],[ISI S]])</f>
        <v>360</v>
      </c>
      <c r="Z169" t="str">
        <f>IF(Table17[[#This Row],[CEK STN S]]="",Table17[[#This Row],[SATUAN DB]],Table17[[#This Row],[SATUAN S]])</f>
        <v>LSN</v>
      </c>
      <c r="AA169">
        <f>IF(Table17[[#This Row],[//CONV]]="",Table17[[#This Row],[ISI NOTA]]/Table17[[#This Row],[ISI_C]],Table17[[#This Row],[ISI DB CONV]]/Table17[[#This Row],[ISI_C]])</f>
        <v>1</v>
      </c>
      <c r="AB169">
        <f>INDEX(NOTA[HARGA SATUAN],Sheet1!A:A)</f>
        <v>7700</v>
      </c>
      <c r="AC169">
        <f>IF(Table17[[#This Row],[//CONV]]="",Table17[[#This Row],[HARGA NOTA]],Table17[[#This Row],[HARGA NOTA]]/Table17[[#This Row],[CONV VAR]])</f>
        <v>7700</v>
      </c>
      <c r="AD169">
        <f>IF(Table17[[#This Row],[CEK STN S]]="",Table17[[#This Row],[HARGA CONV]],Table17[[#This Row],[HARGA CONV]]/Table17[[#This Row],[CONV2 VAR]])</f>
        <v>7700</v>
      </c>
      <c r="AE169" s="3" t="str">
        <f>IF(INDEX(NOTA[Column6],Sheet1!A:A)=0,"",INDEX(NOTA[Column6],Sheet1!A:A))</f>
        <v/>
      </c>
      <c r="AF169" s="3" t="str">
        <f>IF(INDEX(NOTA[Column7],Sheet1!A:A)=0,"",INDEX(NOTA[Column7],Sheet1!A:A))</f>
        <v/>
      </c>
      <c r="AG169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69" s="4">
        <f>INDEX(NOTA[HARGA/ CTN_H],Sheet1!A:A)</f>
        <v>2772000</v>
      </c>
      <c r="AI169" s="4">
        <f>IF(Table17[[#This Row],[DISC 3]]="",Table17[[#This Row],[HRG / CTN]],Table17[[#This Row],[HRG / CTN]]-(Table17[[#This Row],[HRG / CTN]]*Table17[[#This Row],[DISC 3]]))</f>
        <v>2772000</v>
      </c>
      <c r="AJ169" s="5" t="e">
        <f>IF(#REF!&lt;1,Table17[[#This Row],[Column9]],Table17[[#This Row],[Column9]]*#REF!)</f>
        <v>#REF!</v>
      </c>
      <c r="AK169" s="4" t="str">
        <f ca="1">IF(NOT(AP170=Table17[[#This Row],[Column6]]),SUMIF(Table17[Column6],Table17[[#This Row],[Column6]],Table17[Column7]),"")</f>
        <v/>
      </c>
      <c r="AL169" s="6">
        <f ca="1">INDEX(NOTA[TGL_H],Sheet1!A:A)</f>
        <v>45495</v>
      </c>
      <c r="AM169" s="6">
        <f ca="1">INDEX(NOTA[TGL.NOTA_H],Sheet1!A:A)</f>
        <v>45492</v>
      </c>
      <c r="AO169" t="str">
        <f>IF(INDEX(NOTA[Column10],A:A)="","",INDEX(NOTA[Column10],A:A))</f>
        <v/>
      </c>
      <c r="AP169" t="str">
        <f ca="1">INDEX(NOTA[NO.NOTA_H],Sheet1!A:A)</f>
        <v>JUG481/24</v>
      </c>
      <c r="AQ169">
        <f>INDEX(NOTA[Column10],Sheet1!A:A)</f>
        <v>0</v>
      </c>
      <c r="AR169" s="8" t="str">
        <f ca="1">INDEX(NOTA[SUPPLIER_H],Sheet1!A:A)</f>
        <v>DB STATIONERY</v>
      </c>
      <c r="AS169" t="str">
        <f>Table17[[#This Row],[NAMA_C]]</f>
        <v>PWNSIL 2B KAYAGI KY-PF 3058</v>
      </c>
      <c r="AT169" t="str">
        <f ca="1">Table17[[#This Row],[SUPPLIER]]</f>
        <v>DB STATIONERY</v>
      </c>
      <c r="AU169" t="str">
        <f>SUBSTITUTE(Table17[[#This Row],[CTN]],",",".")</f>
        <v>1</v>
      </c>
      <c r="AV169" s="13" t="str">
        <f>Table17[[#This Row],[ISI_C]]</f>
        <v>360</v>
      </c>
      <c r="AW169" t="str">
        <f>Table17[[#This Row],[SATUAN_C]]</f>
        <v>LSN</v>
      </c>
      <c r="AX169">
        <f>Table17[[#This Row],[HARGA CONV2]]</f>
        <v>7700</v>
      </c>
      <c r="AY169" s="9" t="str">
        <f>SUBSTITUTE(Table17[[#This Row],[DISC 3]],",",".")</f>
        <v/>
      </c>
      <c r="AZ169" s="6">
        <f ca="1">Table17[[#This Row],[TGL DATANG]]</f>
        <v>45495</v>
      </c>
      <c r="BA169" s="6">
        <f ca="1">Table17[[#This Row],[Column10]]</f>
        <v>45492</v>
      </c>
      <c r="BB169" s="7"/>
      <c r="BC169" t="str">
        <f>Table17[[#This Row],[KETERANGAN CONDRO]]</f>
        <v/>
      </c>
      <c r="BD169" t="str">
        <f ca="1">Table17[[#This Row],[Column6]]</f>
        <v>JUG481/24</v>
      </c>
    </row>
    <row r="170" spans="1:56">
      <c r="A170" s="55">
        <v>221</v>
      </c>
      <c r="C170">
        <f>INDEX(NOTA[//DB],Sheet1!A:A)</f>
        <v>3025</v>
      </c>
      <c r="D170" t="str">
        <f>_xlfn.IFNA(MATCH(Table17[[#This Row],[//db]],[3]!Table2[\\],0),"")</f>
        <v/>
      </c>
      <c r="E170" t="str">
        <f>INDEX([3]!db[NB NOTA],Table17[[#This Row],[//db]])</f>
        <v>TAS CABIN ELPIDA HIJAU EP-CB007HJ</v>
      </c>
      <c r="F170" t="str">
        <f>INDEX([3]!db[NB BM],Table17[[#This Row],[//db]])</f>
        <v>TAS CABIN ELPIDA EP-CB007</v>
      </c>
      <c r="G170" t="str">
        <f>IF(Table17[[#This Row],[dbconcat]]="","",INDEX([3]!Table2[NAMA],Table17[[#This Row],[dbconcat]]))</f>
        <v/>
      </c>
      <c r="H170" t="e">
        <f>INDEX([3]!Table2[KODE BARANG],Table17[[#This Row],[dbconcat]])</f>
        <v>#VALUE!</v>
      </c>
      <c r="I170" t="str">
        <f>IF(Table17[[#This Row],[NAMA_3]]="",UPPER(Table17[[#This Row],[NAMA_2]]),Table17[[#This Row],[NAMA_3]])</f>
        <v>TAS CABIN ELPIDA EP-CB007</v>
      </c>
      <c r="J170">
        <f>INDEX(NOTA[QTY],Sheet1!A:A)</f>
        <v>1</v>
      </c>
      <c r="K170" t="str">
        <f>INDEX(NOTA[STN],Sheet1!A:A)</f>
        <v>PCS</v>
      </c>
      <c r="L170" t="str">
        <f>INDEX([3]!db[QTY B],Table17[[#This Row],[//db]])</f>
        <v>1</v>
      </c>
      <c r="M170" t="str">
        <f>INDEX([3]!db[STN B],Table17[[#This Row],[//db]])</f>
        <v>PCS</v>
      </c>
      <c r="N170" t="str">
        <f>IF(Table17[[#This Row],[SATUAN NOTA]]=Table17[[#This Row],[SATUAN DB]],"", MATCH(CONCATENATE(Table17[[#This Row],[SATUAN NOTA]],Table17[[#This Row],[SATUAN DB]]),Table2[4],0))</f>
        <v/>
      </c>
      <c r="O170" t="str" cm="1">
        <f t="array" ref="O170">IF(Table17[[#This Row],[//CONV]]="","",INDEX(Table2[3],Table17[[#This Row],[//CONV]]))</f>
        <v/>
      </c>
      <c r="P170" t="str">
        <f>IF(Table17[[#This Row],[//CONV]]="",Table17[[#This Row],[ISI DB]],Table17[[#This Row],[ISI NOTA]]*Table17[[#This Row],[CONV VAR]])</f>
        <v>1</v>
      </c>
      <c r="Q170" t="str" cm="1">
        <f t="array" ref="Q170">IF(Table17[[#This Row],[//CONV]]="",Table17[[#This Row],[SATUAN DB]],INDEX(Table2[2],Table17[[#This Row],[//CONV]]))</f>
        <v>PCS</v>
      </c>
      <c r="R170" t="str" cm="1">
        <f t="array" ref="R170">IF(Table17[[#This Row],[dbconcat]]="","",INDEX([3]!Table2[ISI],Table17[[#This Row],[dbconcat]]))</f>
        <v/>
      </c>
      <c r="S170" t="str" cm="1">
        <f t="array" ref="S170">IF(Table17[[#This Row],[dbconcat]]="","",INDEX([3]!Table2[[SATUAN ]],Table17[[#This Row],[dbconcat]]))</f>
        <v/>
      </c>
      <c r="T170" t="str">
        <f>IF(Table17[[#This Row],[SATUAN S]]="","",IF(_xlfn.NUMBERVALUE(Table17[[#This Row],[ISI DB]])=_xlfn.NUMBERVALUE(Table17[[#This Row],[ISI S]]),"",1))</f>
        <v/>
      </c>
      <c r="U170" t="str">
        <f>IF(Table17[[#This Row],[SATUAN S]]="","",IF(Table17[[#This Row],[SATUAN DB]]=Table17[[#This Row],[SATUAN S]],"",1))</f>
        <v/>
      </c>
      <c r="V170" t="str">
        <f>IF(Table17[[#This Row],[CEK STN S]]="","",MATCH(CONCATENATE(Table17[[#This Row],[SATUAN CONV]],Table17[[#This Row],[SATUAN S]]),Table2[4],0))</f>
        <v/>
      </c>
      <c r="X170" t="str" cm="1">
        <f t="array" ref="X170">IF(Table17[[#This Row],[CONV2_//]]="","",INDEX(Table2[3],Table17[[#This Row],[CONV2_//]]))</f>
        <v/>
      </c>
      <c r="Y170" s="2" t="str">
        <f>IF(Table17[[#This Row],[CEK ISI S]]="",Table17[[#This Row],[ISI DB]],Table17[[#This Row],[ISI S]])</f>
        <v>1</v>
      </c>
      <c r="Z170" t="str">
        <f>IF(Table17[[#This Row],[CEK STN S]]="",Table17[[#This Row],[SATUAN DB]],Table17[[#This Row],[SATUAN S]])</f>
        <v>PCS</v>
      </c>
      <c r="AA170">
        <f>IF(Table17[[#This Row],[//CONV]]="",Table17[[#This Row],[ISI NOTA]]/Table17[[#This Row],[ISI_C]],Table17[[#This Row],[ISI DB CONV]]/Table17[[#This Row],[ISI_C]])</f>
        <v>1</v>
      </c>
      <c r="AB170">
        <f>INDEX(NOTA[HARGA SATUAN],Sheet1!A:A)</f>
        <v>0</v>
      </c>
      <c r="AC170">
        <f>IF(Table17[[#This Row],[//CONV]]="",Table17[[#This Row],[HARGA NOTA]],Table17[[#This Row],[HARGA NOTA]]/Table17[[#This Row],[CONV VAR]])</f>
        <v>0</v>
      </c>
      <c r="AD170">
        <f>IF(Table17[[#This Row],[CEK STN S]]="",Table17[[#This Row],[HARGA CONV]],Table17[[#This Row],[HARGA CONV]]/Table17[[#This Row],[CONV2 VAR]])</f>
        <v>0</v>
      </c>
      <c r="AE170" s="3" t="str">
        <f>IF(INDEX(NOTA[Column6],Sheet1!A:A)=0,"",INDEX(NOTA[Column6],Sheet1!A:A))</f>
        <v/>
      </c>
      <c r="AF170" s="3" t="str">
        <f>IF(INDEX(NOTA[Column7],Sheet1!A:A)=0,"",INDEX(NOTA[Column7],Sheet1!A:A))</f>
        <v/>
      </c>
      <c r="AG170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0" s="4">
        <f>INDEX(NOTA[HARGA/ CTN_H],Sheet1!A:A)</f>
        <v>0</v>
      </c>
      <c r="AI170" s="4">
        <f>IF(Table17[[#This Row],[DISC 3]]="",Table17[[#This Row],[HRG / CTN]],Table17[[#This Row],[HRG / CTN]]-(Table17[[#This Row],[HRG / CTN]]*Table17[[#This Row],[DISC 3]]))</f>
        <v>0</v>
      </c>
      <c r="AJ170" s="5" t="e">
        <f>IF(#REF!&lt;1,Table17[[#This Row],[Column9]],Table17[[#This Row],[Column9]]*#REF!)</f>
        <v>#REF!</v>
      </c>
      <c r="AK170" s="4" t="e">
        <f ca="1">IF(NOT(AP171=Table17[[#This Row],[Column6]]),SUMIF(Table17[Column6],Table17[[#This Row],[Column6]],Table17[Column7]),"")</f>
        <v>#REF!</v>
      </c>
      <c r="AL170" s="6">
        <f ca="1">INDEX(NOTA[TGL_H],Sheet1!A:A)</f>
        <v>45495</v>
      </c>
      <c r="AM170" s="6">
        <f ca="1">INDEX(NOTA[TGL.NOTA_H],Sheet1!A:A)</f>
        <v>45492</v>
      </c>
      <c r="AO170" t="str">
        <f>IF(INDEX(NOTA[Column10],A:A)="","",INDEX(NOTA[Column10],A:A))</f>
        <v>BONUS</v>
      </c>
      <c r="AP170" t="str">
        <f ca="1">INDEX(NOTA[NO.NOTA_H],Sheet1!A:A)</f>
        <v>JUG481/24</v>
      </c>
      <c r="AQ170" t="str">
        <f>INDEX(NOTA[Column10],Sheet1!A:A)</f>
        <v>BONUS</v>
      </c>
      <c r="AR170" s="8" t="str">
        <f ca="1">INDEX(NOTA[SUPPLIER_H],Sheet1!A:A)</f>
        <v>DB STATIONERY</v>
      </c>
      <c r="AS170" t="str">
        <f>Table17[[#This Row],[NAMA_C]]</f>
        <v>TAS CABIN ELPIDA EP-CB007</v>
      </c>
      <c r="AT170" t="str">
        <f ca="1">Table17[[#This Row],[SUPPLIER]]</f>
        <v>DB STATIONERY</v>
      </c>
      <c r="AU170" t="str">
        <f>SUBSTITUTE(Table17[[#This Row],[CTN]],",",".")</f>
        <v>1</v>
      </c>
      <c r="AV170" s="13" t="str">
        <f>Table17[[#This Row],[ISI_C]]</f>
        <v>1</v>
      </c>
      <c r="AW170" t="str">
        <f>Table17[[#This Row],[SATUAN_C]]</f>
        <v>PCS</v>
      </c>
      <c r="AX170">
        <f>Table17[[#This Row],[HARGA CONV2]]</f>
        <v>0</v>
      </c>
      <c r="AY170" s="9" t="str">
        <f>SUBSTITUTE(Table17[[#This Row],[DISC 3]],",",".")</f>
        <v/>
      </c>
      <c r="AZ170" s="6">
        <f ca="1">Table17[[#This Row],[TGL DATANG]]</f>
        <v>45495</v>
      </c>
      <c r="BA170" s="6">
        <f ca="1">Table17[[#This Row],[Column10]]</f>
        <v>45492</v>
      </c>
      <c r="BB170" s="7"/>
      <c r="BC170" t="str">
        <f>Table17[[#This Row],[KETERANGAN CONDRO]]</f>
        <v>BONUS</v>
      </c>
      <c r="BD170" t="str">
        <f ca="1">Table17[[#This Row],[Column6]]</f>
        <v>JUG481/24</v>
      </c>
    </row>
    <row r="171" spans="1:56">
      <c r="A171" s="55">
        <v>223</v>
      </c>
      <c r="C171">
        <f>INDEX(NOTA[//DB],Sheet1!A:A)</f>
        <v>2147</v>
      </c>
      <c r="D171">
        <f>_xlfn.IFNA(MATCH(Table17[[#This Row],[//db]],[3]!Table2[\\],0),"")</f>
        <v>2027</v>
      </c>
      <c r="E171" t="str">
        <f>INDEX([3]!db[NB NOTA],Table17[[#This Row],[//db]])</f>
        <v>MEJA IPAD IMPORT JUMBO KARAKTER</v>
      </c>
      <c r="F171" t="str">
        <f>INDEX([3]!db[NB BM],Table17[[#This Row],[//db]])</f>
        <v>MEJA BELAJAR FANCY VAN ART</v>
      </c>
      <c r="G171" t="str">
        <f>IF(Table17[[#This Row],[dbconcat]]="","",INDEX([3]!Table2[NAMA],Table17[[#This Row],[dbconcat]]))</f>
        <v>MEJA BELAJAR FANCY VAN ART</v>
      </c>
      <c r="H171" t="str">
        <f>INDEX([3]!Table2[KODE BARANG],Table17[[#This Row],[dbconcat]])</f>
        <v>MEJ-VA7</v>
      </c>
      <c r="I171" t="str">
        <f>IF(Table17[[#This Row],[NAMA_3]]="",UPPER(Table17[[#This Row],[NAMA_2]]),Table17[[#This Row],[NAMA_3]])</f>
        <v>MEJA BELAJAR FANCY VAN ART</v>
      </c>
      <c r="J171">
        <f>INDEX(NOTA[QTY],Sheet1!A:A)</f>
        <v>10</v>
      </c>
      <c r="K171" t="str">
        <f>INDEX(NOTA[STN],Sheet1!A:A)</f>
        <v>PCS</v>
      </c>
      <c r="L171" t="str">
        <f>INDEX([3]!db[QTY B],Table17[[#This Row],[//db]])</f>
        <v>10</v>
      </c>
      <c r="M171" t="str">
        <f>INDEX([3]!db[STN B],Table17[[#This Row],[//db]])</f>
        <v>PCS</v>
      </c>
      <c r="N171" t="str">
        <f>IF(Table17[[#This Row],[SATUAN NOTA]]=Table17[[#This Row],[SATUAN DB]],"", MATCH(CONCATENATE(Table17[[#This Row],[SATUAN NOTA]],Table17[[#This Row],[SATUAN DB]]),Table2[4],0))</f>
        <v/>
      </c>
      <c r="O171" t="str" cm="1">
        <f t="array" ref="O171">IF(Table17[[#This Row],[//CONV]]="","",INDEX(Table2[3],Table17[[#This Row],[//CONV]]))</f>
        <v/>
      </c>
      <c r="P171" t="str">
        <f>IF(Table17[[#This Row],[//CONV]]="",Table17[[#This Row],[ISI DB]],Table17[[#This Row],[ISI NOTA]]*Table17[[#This Row],[CONV VAR]])</f>
        <v>10</v>
      </c>
      <c r="Q171" t="str" cm="1">
        <f t="array" ref="Q171">IF(Table17[[#This Row],[//CONV]]="",Table17[[#This Row],[SATUAN DB]],INDEX(Table2[2],Table17[[#This Row],[//CONV]]))</f>
        <v>PCS</v>
      </c>
      <c r="R171" cm="1">
        <f t="array" ref="R171">IF(Table17[[#This Row],[dbconcat]]="","",INDEX([3]!Table2[ISI],Table17[[#This Row],[dbconcat]]))</f>
        <v>10</v>
      </c>
      <c r="S171" t="str" cm="1">
        <f t="array" ref="S171">IF(Table17[[#This Row],[dbconcat]]="","",INDEX([3]!Table2[[SATUAN ]],Table17[[#This Row],[dbconcat]]))</f>
        <v>PCS</v>
      </c>
      <c r="T171" t="str">
        <f>IF(Table17[[#This Row],[SATUAN S]]="","",IF(_xlfn.NUMBERVALUE(Table17[[#This Row],[ISI DB]])=_xlfn.NUMBERVALUE(Table17[[#This Row],[ISI S]]),"",1))</f>
        <v/>
      </c>
      <c r="U171" t="str">
        <f>IF(Table17[[#This Row],[SATUAN S]]="","",IF(Table17[[#This Row],[SATUAN DB]]=Table17[[#This Row],[SATUAN S]],"",1))</f>
        <v/>
      </c>
      <c r="V171" t="str">
        <f>IF(Table17[[#This Row],[CEK STN S]]="","",MATCH(CONCATENATE(Table17[[#This Row],[SATUAN CONV]],Table17[[#This Row],[SATUAN S]]),Table2[4],0))</f>
        <v/>
      </c>
      <c r="X171" t="str" cm="1">
        <f t="array" ref="X171">IF(Table17[[#This Row],[CONV2_//]]="","",INDEX(Table2[3],Table17[[#This Row],[CONV2_//]]))</f>
        <v/>
      </c>
      <c r="Y171" s="2" t="str">
        <f>IF(Table17[[#This Row],[CEK ISI S]]="",Table17[[#This Row],[ISI DB]],Table17[[#This Row],[ISI S]])</f>
        <v>10</v>
      </c>
      <c r="Z171" t="str">
        <f>IF(Table17[[#This Row],[CEK STN S]]="",Table17[[#This Row],[SATUAN DB]],Table17[[#This Row],[SATUAN S]])</f>
        <v>PCS</v>
      </c>
      <c r="AA171">
        <f>IF(Table17[[#This Row],[//CONV]]="",Table17[[#This Row],[ISI NOTA]]/Table17[[#This Row],[ISI_C]],Table17[[#This Row],[ISI DB CONV]]/Table17[[#This Row],[ISI_C]])</f>
        <v>1</v>
      </c>
      <c r="AB171">
        <f>INDEX(NOTA[HARGA SATUAN],Sheet1!A:A)</f>
        <v>36000</v>
      </c>
      <c r="AC171">
        <f>IF(Table17[[#This Row],[//CONV]]="",Table17[[#This Row],[HARGA NOTA]],Table17[[#This Row],[HARGA NOTA]]/Table17[[#This Row],[CONV VAR]])</f>
        <v>36000</v>
      </c>
      <c r="AD171">
        <f>IF(Table17[[#This Row],[CEK STN S]]="",Table17[[#This Row],[HARGA CONV]],Table17[[#This Row],[HARGA CONV]]/Table17[[#This Row],[CONV2 VAR]])</f>
        <v>36000</v>
      </c>
      <c r="AE171" s="3" t="str">
        <f>IF(INDEX(NOTA[Column6],Sheet1!A:A)=0,"",INDEX(NOTA[Column6],Sheet1!A:A))</f>
        <v/>
      </c>
      <c r="AF171" s="3" t="str">
        <f>IF(INDEX(NOTA[Column7],Sheet1!A:A)=0,"",INDEX(NOTA[Column7],Sheet1!A:A))</f>
        <v/>
      </c>
      <c r="AG171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1" s="4">
        <f>INDEX(NOTA[HARGA/ CTN_H],Sheet1!A:A)</f>
        <v>360000</v>
      </c>
      <c r="AI171" s="4">
        <f>IF(Table17[[#This Row],[DISC 3]]="",Table17[[#This Row],[HRG / CTN]],Table17[[#This Row],[HRG / CTN]]-(Table17[[#This Row],[HRG / CTN]]*Table17[[#This Row],[DISC 3]]))</f>
        <v>360000</v>
      </c>
      <c r="AJ171" s="5" t="e">
        <f>IF(#REF!&lt;1,Table17[[#This Row],[Column9]],Table17[[#This Row],[Column9]]*#REF!)</f>
        <v>#REF!</v>
      </c>
      <c r="AK171" s="4" t="e">
        <f ca="1">IF(NOT(AP172=Table17[[#This Row],[Column6]]),SUMIF(Table17[Column6],Table17[[#This Row],[Column6]],Table17[Column7]),"")</f>
        <v>#REF!</v>
      </c>
      <c r="AL171" s="6">
        <f ca="1">INDEX(NOTA[TGL_H],Sheet1!A:A)</f>
        <v>45496</v>
      </c>
      <c r="AM171" s="6">
        <f ca="1">INDEX(NOTA[TGL.NOTA_H],Sheet1!A:A)</f>
        <v>45493</v>
      </c>
      <c r="AO171" t="str">
        <f>IF(INDEX(NOTA[Column10],A:A)="","",INDEX(NOTA[Column10],A:A))</f>
        <v/>
      </c>
      <c r="AP171">
        <f ca="1">INDEX(NOTA[NO.NOTA_H],Sheet1!A:A)</f>
        <v>0</v>
      </c>
      <c r="AQ171">
        <f>INDEX(NOTA[Column10],Sheet1!A:A)</f>
        <v>0</v>
      </c>
      <c r="AR171" s="8" t="str">
        <f ca="1">INDEX(NOTA[SUPPLIER_H],Sheet1!A:A)</f>
        <v>SAPUTRO OFFICE</v>
      </c>
      <c r="AS171" t="str">
        <f>Table17[[#This Row],[NAMA_C]]</f>
        <v>MEJA BELAJAR FANCY VAN ART</v>
      </c>
      <c r="AT171" t="str">
        <f ca="1">Table17[[#This Row],[SUPPLIER]]</f>
        <v>SAPUTRO OFFICE</v>
      </c>
      <c r="AU171" t="str">
        <f>SUBSTITUTE(Table17[[#This Row],[CTN]],",",".")</f>
        <v>1</v>
      </c>
      <c r="AV171" s="13" t="str">
        <f>Table17[[#This Row],[ISI_C]]</f>
        <v>10</v>
      </c>
      <c r="AW171" t="str">
        <f>Table17[[#This Row],[SATUAN_C]]</f>
        <v>PCS</v>
      </c>
      <c r="AX171">
        <f>Table17[[#This Row],[HARGA CONV2]]</f>
        <v>36000</v>
      </c>
      <c r="AY171" s="9" t="str">
        <f>SUBSTITUTE(Table17[[#This Row],[DISC 3]],",",".")</f>
        <v/>
      </c>
      <c r="AZ171" s="6">
        <f ca="1">Table17[[#This Row],[TGL DATANG]]</f>
        <v>45496</v>
      </c>
      <c r="BA171" s="6">
        <f ca="1">Table17[[#This Row],[Column10]]</f>
        <v>45493</v>
      </c>
      <c r="BB171" s="7"/>
      <c r="BC171" t="str">
        <f>Table17[[#This Row],[KETERANGAN CONDRO]]</f>
        <v/>
      </c>
      <c r="BD171">
        <f ca="1">Table17[[#This Row],[Column6]]</f>
        <v>0</v>
      </c>
    </row>
    <row r="172" spans="1:56" s="25" customFormat="1">
      <c r="A172" s="24">
        <v>225</v>
      </c>
      <c r="C172" s="25">
        <f>INDEX(NOTA[//DB],Sheet1!A:A)</f>
        <v>2147</v>
      </c>
      <c r="D172" s="25">
        <f>_xlfn.IFNA(MATCH(Table17[[#This Row],[//db]],[3]!Table2[\\],0),"")</f>
        <v>2027</v>
      </c>
      <c r="E172" s="25" t="str">
        <f>INDEX([3]!db[NB NOTA],Table17[[#This Row],[//db]])</f>
        <v>MEJA IPAD IMPORT JUMBO KARAKTER</v>
      </c>
      <c r="F172" s="25" t="str">
        <f>INDEX([3]!db[NB BM],Table17[[#This Row],[//db]])</f>
        <v>MEJA BELAJAR FANCY VAN ART</v>
      </c>
      <c r="G172" s="25" t="str">
        <f>IF(Table17[[#This Row],[dbconcat]]="","",INDEX([3]!Table2[NAMA],Table17[[#This Row],[dbconcat]]))</f>
        <v>MEJA BELAJAR FANCY VAN ART</v>
      </c>
      <c r="H172" s="25" t="str">
        <f>INDEX([3]!Table2[KODE BARANG],Table17[[#This Row],[dbconcat]])</f>
        <v>MEJ-VA7</v>
      </c>
      <c r="I172" s="25" t="str">
        <f>IF(Table17[[#This Row],[NAMA_3]]="",UPPER(Table17[[#This Row],[NAMA_2]]),Table17[[#This Row],[NAMA_3]])</f>
        <v>MEJA BELAJAR FANCY VAN ART</v>
      </c>
      <c r="J172" s="25">
        <f>INDEX(NOTA[QTY],Sheet1!A:A)</f>
        <v>500</v>
      </c>
      <c r="K172" s="25" t="str">
        <f>INDEX(NOTA[STN],Sheet1!A:A)</f>
        <v>PCS</v>
      </c>
      <c r="L172" s="25" t="str">
        <f>INDEX([3]!db[QTY B],Table17[[#This Row],[//db]])</f>
        <v>10</v>
      </c>
      <c r="M172" s="25" t="str">
        <f>INDEX([3]!db[STN B],Table17[[#This Row],[//db]])</f>
        <v>PCS</v>
      </c>
      <c r="N172" s="25" t="str">
        <f>IF(Table17[[#This Row],[SATUAN NOTA]]=Table17[[#This Row],[SATUAN DB]],"", MATCH(CONCATENATE(Table17[[#This Row],[SATUAN NOTA]],Table17[[#This Row],[SATUAN DB]]),Table2[4],0))</f>
        <v/>
      </c>
      <c r="O172" s="25" t="str" cm="1">
        <f t="array" ref="O172">IF(Table17[[#This Row],[//CONV]]="","",INDEX(Table2[3],Table17[[#This Row],[//CONV]]))</f>
        <v/>
      </c>
      <c r="P172" s="25" t="str">
        <f>IF(Table17[[#This Row],[//CONV]]="",Table17[[#This Row],[ISI DB]],Table17[[#This Row],[ISI NOTA]]*Table17[[#This Row],[CONV VAR]])</f>
        <v>10</v>
      </c>
      <c r="Q172" s="25" t="str" cm="1">
        <f t="array" ref="Q172">IF(Table17[[#This Row],[//CONV]]="",Table17[[#This Row],[SATUAN DB]],INDEX(Table2[2],Table17[[#This Row],[//CONV]]))</f>
        <v>PCS</v>
      </c>
      <c r="R172" s="25" cm="1">
        <f t="array" ref="R172">IF(Table17[[#This Row],[dbconcat]]="","",INDEX([3]!Table2[ISI],Table17[[#This Row],[dbconcat]]))</f>
        <v>10</v>
      </c>
      <c r="S172" s="25" t="str" cm="1">
        <f t="array" ref="S172">IF(Table17[[#This Row],[dbconcat]]="","",INDEX([3]!Table2[[SATUAN ]],Table17[[#This Row],[dbconcat]]))</f>
        <v>PCS</v>
      </c>
      <c r="T172" s="25" t="str">
        <f>IF(Table17[[#This Row],[SATUAN S]]="","",IF(_xlfn.NUMBERVALUE(Table17[[#This Row],[ISI DB]])=_xlfn.NUMBERVALUE(Table17[[#This Row],[ISI S]]),"",1))</f>
        <v/>
      </c>
      <c r="U172" s="25" t="str">
        <f>IF(Table17[[#This Row],[SATUAN S]]="","",IF(Table17[[#This Row],[SATUAN DB]]=Table17[[#This Row],[SATUAN S]],"",1))</f>
        <v/>
      </c>
      <c r="V172" s="25" t="str">
        <f>IF(Table17[[#This Row],[CEK STN S]]="","",MATCH(CONCATENATE(Table17[[#This Row],[SATUAN CONV]],Table17[[#This Row],[SATUAN S]]),Table2[4],0))</f>
        <v/>
      </c>
      <c r="X172" s="25" t="str" cm="1">
        <f t="array" ref="X172">IF(Table17[[#This Row],[CONV2_//]]="","",INDEX(Table2[3],Table17[[#This Row],[CONV2_//]]))</f>
        <v/>
      </c>
      <c r="Y172" s="24" t="str">
        <f>IF(Table17[[#This Row],[CEK ISI S]]="",Table17[[#This Row],[ISI DB]],Table17[[#This Row],[ISI S]])</f>
        <v>10</v>
      </c>
      <c r="Z172" s="25" t="str">
        <f>IF(Table17[[#This Row],[CEK STN S]]="",Table17[[#This Row],[SATUAN DB]],Table17[[#This Row],[SATUAN S]])</f>
        <v>PCS</v>
      </c>
      <c r="AA172" s="25">
        <f>IF(Table17[[#This Row],[//CONV]]="",Table17[[#This Row],[ISI NOTA]]/Table17[[#This Row],[ISI_C]],Table17[[#This Row],[ISI DB CONV]]/Table17[[#This Row],[ISI_C]])</f>
        <v>50</v>
      </c>
      <c r="AB172" s="25">
        <f>INDEX(NOTA[HARGA SATUAN],Sheet1!A:A)</f>
        <v>36000</v>
      </c>
      <c r="AC172" s="25">
        <f>IF(Table17[[#This Row],[//CONV]]="",Table17[[#This Row],[HARGA NOTA]],Table17[[#This Row],[HARGA NOTA]]/Table17[[#This Row],[CONV VAR]])</f>
        <v>36000</v>
      </c>
      <c r="AD172" s="25">
        <f>IF(Table17[[#This Row],[CEK STN S]]="",Table17[[#This Row],[HARGA CONV]],Table17[[#This Row],[HARGA CONV]]/Table17[[#This Row],[CONV2 VAR]])</f>
        <v>36000</v>
      </c>
      <c r="AE172" s="26" t="str">
        <f>IF(INDEX(NOTA[Column6],Sheet1!A:A)=0,"",INDEX(NOTA[Column6],Sheet1!A:A))</f>
        <v/>
      </c>
      <c r="AF172" s="26" t="str">
        <f>IF(INDEX(NOTA[Column7],Sheet1!A:A)=0,"",INDEX(NOTA[Column7],Sheet1!A:A))</f>
        <v/>
      </c>
      <c r="AG172" s="2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2" s="27">
        <f>INDEX(NOTA[HARGA/ CTN_H],Sheet1!A:A)</f>
        <v>360000</v>
      </c>
      <c r="AI172" s="27">
        <f>IF(Table17[[#This Row],[DISC 3]]="",Table17[[#This Row],[HRG / CTN]],Table17[[#This Row],[HRG / CTN]]-(Table17[[#This Row],[HRG / CTN]]*Table17[[#This Row],[DISC 3]]))</f>
        <v>360000</v>
      </c>
      <c r="AJ172" s="28" t="e">
        <f>IF(#REF!&lt;1,Table17[[#This Row],[Column9]],Table17[[#This Row],[Column9]]*#REF!)</f>
        <v>#REF!</v>
      </c>
      <c r="AK172" s="27" t="e">
        <f ca="1">IF(NOT(AP173=Table17[[#This Row],[Column6]]),SUMIF(Table17[Column6],Table17[[#This Row],[Column6]],Table17[Column7]),"")</f>
        <v>#REF!</v>
      </c>
      <c r="AL172" s="29">
        <f ca="1">INDEX(NOTA[TGL_H],Sheet1!A:A)</f>
        <v>45496</v>
      </c>
      <c r="AM172" s="29">
        <f ca="1">INDEX(NOTA[TGL.NOTA_H],Sheet1!A:A)</f>
        <v>45490</v>
      </c>
      <c r="AN172" s="30"/>
      <c r="AO172" s="25" t="str">
        <f>IF(INDEX(NOTA[Column10],A:A)="","",INDEX(NOTA[Column10],A:A))</f>
        <v/>
      </c>
      <c r="AP172" s="25" t="str">
        <f ca="1">INDEX(NOTA[NO.NOTA_H],Sheet1!A:A)</f>
        <v>H-1768,INV,SOS</v>
      </c>
      <c r="AQ172" s="25">
        <f>INDEX(NOTA[Column10],Sheet1!A:A)</f>
        <v>0</v>
      </c>
      <c r="AR172" s="31" t="str">
        <f ca="1">INDEX(NOTA[SUPPLIER_H],Sheet1!A:A)</f>
        <v>SAPUTRO OFFICE</v>
      </c>
      <c r="AS172" s="25" t="str">
        <f>Table17[[#This Row],[NAMA_C]]</f>
        <v>MEJA BELAJAR FANCY VAN ART</v>
      </c>
      <c r="AT172" s="25" t="str">
        <f ca="1">Table17[[#This Row],[SUPPLIER]]</f>
        <v>SAPUTRO OFFICE</v>
      </c>
      <c r="AU172" s="25" t="str">
        <f>SUBSTITUTE(Table17[[#This Row],[CTN]],",",".")</f>
        <v>50</v>
      </c>
      <c r="AV172" s="67" t="str">
        <f>Table17[[#This Row],[ISI_C]]</f>
        <v>10</v>
      </c>
      <c r="AW172" s="25" t="str">
        <f>Table17[[#This Row],[SATUAN_C]]</f>
        <v>PCS</v>
      </c>
      <c r="AX172" s="25">
        <f>Table17[[#This Row],[HARGA CONV2]]</f>
        <v>36000</v>
      </c>
      <c r="AY172" s="32" t="str">
        <f>SUBSTITUTE(Table17[[#This Row],[DISC 3]],",",".")</f>
        <v/>
      </c>
      <c r="AZ172" s="29">
        <f ca="1">Table17[[#This Row],[TGL DATANG]]</f>
        <v>45496</v>
      </c>
      <c r="BA172" s="29">
        <f ca="1">Table17[[#This Row],[Column10]]</f>
        <v>45490</v>
      </c>
      <c r="BB172" s="30"/>
      <c r="BC172" s="25" t="str">
        <f>Table17[[#This Row],[KETERANGAN CONDRO]]</f>
        <v/>
      </c>
      <c r="BD172" s="25" t="str">
        <f ca="1">Table17[[#This Row],[Column6]]</f>
        <v>H-1768,INV,SOS</v>
      </c>
    </row>
    <row r="173" spans="1:56">
      <c r="A173" s="55">
        <v>227</v>
      </c>
      <c r="C173">
        <f>INDEX(NOTA[//DB],Sheet1!A:A)</f>
        <v>1015</v>
      </c>
      <c r="D173">
        <f>_xlfn.IFNA(MATCH(Table17[[#This Row],[//db]],[3]!Table2[\\],0),"")</f>
        <v>1042</v>
      </c>
      <c r="E173" t="str">
        <f>INDEX([3]!db[NB NOTA],Table17[[#This Row],[//db]])</f>
        <v>PENGGARIS BESI 15 CM YOEKER</v>
      </c>
      <c r="F173" t="str">
        <f>INDEX([3]!db[NB BM],Table17[[#This Row],[//db]])</f>
        <v>Garisan Besi Yoeker 15CM</v>
      </c>
      <c r="G173" t="str">
        <f>IF(Table17[[#This Row],[dbconcat]]="","",INDEX([3]!Table2[NAMA],Table17[[#This Row],[dbconcat]]))</f>
        <v>GARISAN BESI YOEKER 15CM</v>
      </c>
      <c r="H173" t="str">
        <f>INDEX([3]!Table2[KODE BARANG],Table17[[#This Row],[dbconcat]])</f>
        <v>GAR-YK20</v>
      </c>
      <c r="I173" t="str">
        <f>IF(Table17[[#This Row],[NAMA_3]]="",UPPER(Table17[[#This Row],[NAMA_2]]),Table17[[#This Row],[NAMA_3]])</f>
        <v>GARISAN BESI YOEKER 15CM</v>
      </c>
      <c r="J173">
        <f>INDEX(NOTA[QTY],Sheet1!A:A)</f>
        <v>200</v>
      </c>
      <c r="K173" t="str">
        <f>INDEX(NOTA[STN],Sheet1!A:A)</f>
        <v>LSN</v>
      </c>
      <c r="L173" t="str">
        <f>INDEX([3]!db[QTY B],Table17[[#This Row],[//db]])</f>
        <v>100</v>
      </c>
      <c r="M173" t="str">
        <f>INDEX([3]!db[STN B],Table17[[#This Row],[//db]])</f>
        <v>LSN</v>
      </c>
      <c r="N173" t="str">
        <f>IF(Table17[[#This Row],[SATUAN NOTA]]=Table17[[#This Row],[SATUAN DB]],"", MATCH(CONCATENATE(Table17[[#This Row],[SATUAN NOTA]],Table17[[#This Row],[SATUAN DB]]),Table2[4],0))</f>
        <v/>
      </c>
      <c r="O173" t="str" cm="1">
        <f t="array" ref="O173">IF(Table17[[#This Row],[//CONV]]="","",INDEX(Table2[3],Table17[[#This Row],[//CONV]]))</f>
        <v/>
      </c>
      <c r="P173" t="str">
        <f>IF(Table17[[#This Row],[//CONV]]="",Table17[[#This Row],[ISI DB]],Table17[[#This Row],[ISI NOTA]]*Table17[[#This Row],[CONV VAR]])</f>
        <v>100</v>
      </c>
      <c r="Q173" t="str" cm="1">
        <f t="array" ref="Q173">IF(Table17[[#This Row],[//CONV]]="",Table17[[#This Row],[SATUAN DB]],INDEX(Table2[2],Table17[[#This Row],[//CONV]]))</f>
        <v>LSN</v>
      </c>
      <c r="R173" cm="1">
        <f t="array" ref="R173">IF(Table17[[#This Row],[dbconcat]]="","",INDEX([3]!Table2[ISI],Table17[[#This Row],[dbconcat]]))</f>
        <v>100</v>
      </c>
      <c r="S173" t="str" cm="1">
        <f t="array" ref="S173">IF(Table17[[#This Row],[dbconcat]]="","",INDEX([3]!Table2[[SATUAN ]],Table17[[#This Row],[dbconcat]]))</f>
        <v>LSN</v>
      </c>
      <c r="T173" t="str">
        <f>IF(Table17[[#This Row],[SATUAN S]]="","",IF(_xlfn.NUMBERVALUE(Table17[[#This Row],[ISI DB]])=_xlfn.NUMBERVALUE(Table17[[#This Row],[ISI S]]),"",1))</f>
        <v/>
      </c>
      <c r="U173" t="str">
        <f>IF(Table17[[#This Row],[SATUAN S]]="","",IF(Table17[[#This Row],[SATUAN DB]]=Table17[[#This Row],[SATUAN S]],"",1))</f>
        <v/>
      </c>
      <c r="V173" t="str">
        <f>IF(Table17[[#This Row],[CEK STN S]]="","",MATCH(CONCATENATE(Table17[[#This Row],[SATUAN CONV]],Table17[[#This Row],[SATUAN S]]),Table2[4],0))</f>
        <v/>
      </c>
      <c r="X173" t="str" cm="1">
        <f t="array" ref="X173">IF(Table17[[#This Row],[CONV2_//]]="","",INDEX(Table2[3],Table17[[#This Row],[CONV2_//]]))</f>
        <v/>
      </c>
      <c r="Y173" s="2" t="str">
        <f>IF(Table17[[#This Row],[CEK ISI S]]="",Table17[[#This Row],[ISI DB]],Table17[[#This Row],[ISI S]])</f>
        <v>100</v>
      </c>
      <c r="Z173" t="str">
        <f>IF(Table17[[#This Row],[CEK STN S]]="",Table17[[#This Row],[SATUAN DB]],Table17[[#This Row],[SATUAN S]])</f>
        <v>LSN</v>
      </c>
      <c r="AA173">
        <f>IF(Table17[[#This Row],[//CONV]]="",Table17[[#This Row],[ISI NOTA]]/Table17[[#This Row],[ISI_C]],Table17[[#This Row],[ISI DB CONV]]/Table17[[#This Row],[ISI_C]])</f>
        <v>2</v>
      </c>
      <c r="AB173">
        <f>INDEX(NOTA[HARGA SATUAN],Sheet1!A:A)</f>
        <v>9750</v>
      </c>
      <c r="AC173">
        <f>IF(Table17[[#This Row],[//CONV]]="",Table17[[#This Row],[HARGA NOTA]],Table17[[#This Row],[HARGA NOTA]]/Table17[[#This Row],[CONV VAR]])</f>
        <v>9750</v>
      </c>
      <c r="AD173">
        <f>IF(Table17[[#This Row],[CEK STN S]]="",Table17[[#This Row],[HARGA CONV]],Table17[[#This Row],[HARGA CONV]]/Table17[[#This Row],[CONV2 VAR]])</f>
        <v>9750</v>
      </c>
      <c r="AE173" s="3" t="str">
        <f>IF(INDEX(NOTA[Column6],Sheet1!A:A)=0,"",INDEX(NOTA[Column6],Sheet1!A:A))</f>
        <v/>
      </c>
      <c r="AF173" s="3" t="str">
        <f>IF(INDEX(NOTA[Column7],Sheet1!A:A)=0,"",INDEX(NOTA[Column7],Sheet1!A:A))</f>
        <v/>
      </c>
      <c r="AG173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3" s="4">
        <f>INDEX(NOTA[HARGA/ CTN_H],Sheet1!A:A)</f>
        <v>975000</v>
      </c>
      <c r="AI173" s="4">
        <f>IF(Table17[[#This Row],[DISC 3]]="",Table17[[#This Row],[HRG / CTN]],Table17[[#This Row],[HRG / CTN]]-(Table17[[#This Row],[HRG / CTN]]*Table17[[#This Row],[DISC 3]]))</f>
        <v>975000</v>
      </c>
      <c r="AJ173" s="5" t="e">
        <f>IF(#REF!&lt;1,Table17[[#This Row],[Column9]],Table17[[#This Row],[Column9]]*#REF!)</f>
        <v>#REF!</v>
      </c>
      <c r="AK173" s="4" t="str">
        <f ca="1">IF(NOT(AP174=Table17[[#This Row],[Column6]]),SUMIF(Table17[Column6],Table17[[#This Row],[Column6]],Table17[Column7]),"")</f>
        <v/>
      </c>
      <c r="AL173" s="6">
        <f ca="1">INDEX(NOTA[TGL_H],Sheet1!A:A)</f>
        <v>45497</v>
      </c>
      <c r="AM173" s="6">
        <f ca="1">INDEX(NOTA[TGL.NOTA_H],Sheet1!A:A)</f>
        <v>45495</v>
      </c>
      <c r="AO173" t="str">
        <f>IF(INDEX(NOTA[Column10],A:A)="","",INDEX(NOTA[Column10],A:A))</f>
        <v/>
      </c>
      <c r="AP173" t="str">
        <f ca="1">INDEX(NOTA[NO.NOTA_H],Sheet1!A:A)</f>
        <v>SO24/2225</v>
      </c>
      <c r="AQ173">
        <f>INDEX(NOTA[Column10],Sheet1!A:A)</f>
        <v>0</v>
      </c>
      <c r="AR173" s="8" t="str">
        <f ca="1">INDEX(NOTA[SUPPLIER_H],Sheet1!A:A)</f>
        <v>ANDY (YOEKER)</v>
      </c>
      <c r="AS173" t="str">
        <f>Table17[[#This Row],[NAMA_C]]</f>
        <v>GARISAN BESI YOEKER 15CM</v>
      </c>
      <c r="AT173" t="str">
        <f ca="1">Table17[[#This Row],[SUPPLIER]]</f>
        <v>ANDY (YOEKER)</v>
      </c>
      <c r="AU173" t="str">
        <f>SUBSTITUTE(Table17[[#This Row],[CTN]],",",".")</f>
        <v>2</v>
      </c>
      <c r="AV173" s="13" t="str">
        <f>Table17[[#This Row],[ISI_C]]</f>
        <v>100</v>
      </c>
      <c r="AW173" t="str">
        <f>Table17[[#This Row],[SATUAN_C]]</f>
        <v>LSN</v>
      </c>
      <c r="AX173">
        <f>Table17[[#This Row],[HARGA CONV2]]</f>
        <v>9750</v>
      </c>
      <c r="AY173" s="9" t="str">
        <f>SUBSTITUTE(Table17[[#This Row],[DISC 3]],",",".")</f>
        <v/>
      </c>
      <c r="AZ173" s="6">
        <f ca="1">Table17[[#This Row],[TGL DATANG]]</f>
        <v>45497</v>
      </c>
      <c r="BA173" s="6">
        <f ca="1">Table17[[#This Row],[Column10]]</f>
        <v>45495</v>
      </c>
      <c r="BB173" s="7"/>
      <c r="BC173" t="str">
        <f>Table17[[#This Row],[KETERANGAN CONDRO]]</f>
        <v/>
      </c>
      <c r="BD173" t="str">
        <f ca="1">Table17[[#This Row],[Column6]]</f>
        <v>SO24/2225</v>
      </c>
    </row>
    <row r="174" spans="1:56">
      <c r="A174" s="55">
        <v>228</v>
      </c>
      <c r="C174">
        <f>INDEX(NOTA[//DB],Sheet1!A:A)</f>
        <v>1016</v>
      </c>
      <c r="D174">
        <f>_xlfn.IFNA(MATCH(Table17[[#This Row],[//db]],[3]!Table2[\\],0),"")</f>
        <v>1043</v>
      </c>
      <c r="E174" t="str">
        <f>INDEX([3]!db[NB NOTA],Table17[[#This Row],[//db]])</f>
        <v>PENGGARIS BESI 20 CM YOEKER</v>
      </c>
      <c r="F174" t="str">
        <f>INDEX([3]!db[NB BM],Table17[[#This Row],[//db]])</f>
        <v>Garisan Besi Yoeker 20CM</v>
      </c>
      <c r="G174" t="str">
        <f>IF(Table17[[#This Row],[dbconcat]]="","",INDEX([3]!Table2[NAMA],Table17[[#This Row],[dbconcat]]))</f>
        <v>GARISAN BESI YOEKER 20CM</v>
      </c>
      <c r="H174" t="str">
        <f>INDEX([3]!Table2[KODE BARANG],Table17[[#This Row],[dbconcat]])</f>
        <v>GAR-YK21</v>
      </c>
      <c r="I174" t="str">
        <f>IF(Table17[[#This Row],[NAMA_3]]="",UPPER(Table17[[#This Row],[NAMA_2]]),Table17[[#This Row],[NAMA_3]])</f>
        <v>GARISAN BESI YOEKER 20CM</v>
      </c>
      <c r="J174">
        <f>INDEX(NOTA[QTY],Sheet1!A:A)</f>
        <v>300</v>
      </c>
      <c r="K174" t="str">
        <f>INDEX(NOTA[STN],Sheet1!A:A)</f>
        <v>LSN</v>
      </c>
      <c r="L174" t="str">
        <f>INDEX([3]!db[QTY B],Table17[[#This Row],[//db]])</f>
        <v>100</v>
      </c>
      <c r="M174" t="str">
        <f>INDEX([3]!db[STN B],Table17[[#This Row],[//db]])</f>
        <v>LSN</v>
      </c>
      <c r="N174" t="str">
        <f>IF(Table17[[#This Row],[SATUAN NOTA]]=Table17[[#This Row],[SATUAN DB]],"", MATCH(CONCATENATE(Table17[[#This Row],[SATUAN NOTA]],Table17[[#This Row],[SATUAN DB]]),Table2[4],0))</f>
        <v/>
      </c>
      <c r="O174" t="str" cm="1">
        <f t="array" ref="O174">IF(Table17[[#This Row],[//CONV]]="","",INDEX(Table2[3],Table17[[#This Row],[//CONV]]))</f>
        <v/>
      </c>
      <c r="P174" t="str">
        <f>IF(Table17[[#This Row],[//CONV]]="",Table17[[#This Row],[ISI DB]],Table17[[#This Row],[ISI NOTA]]*Table17[[#This Row],[CONV VAR]])</f>
        <v>100</v>
      </c>
      <c r="Q174" t="str" cm="1">
        <f t="array" ref="Q174">IF(Table17[[#This Row],[//CONV]]="",Table17[[#This Row],[SATUAN DB]],INDEX(Table2[2],Table17[[#This Row],[//CONV]]))</f>
        <v>LSN</v>
      </c>
      <c r="R174" cm="1">
        <f t="array" ref="R174">IF(Table17[[#This Row],[dbconcat]]="","",INDEX([3]!Table2[ISI],Table17[[#This Row],[dbconcat]]))</f>
        <v>100</v>
      </c>
      <c r="S174" t="str" cm="1">
        <f t="array" ref="S174">IF(Table17[[#This Row],[dbconcat]]="","",INDEX([3]!Table2[[SATUAN ]],Table17[[#This Row],[dbconcat]]))</f>
        <v>LSN</v>
      </c>
      <c r="T174" t="str">
        <f>IF(Table17[[#This Row],[SATUAN S]]="","",IF(_xlfn.NUMBERVALUE(Table17[[#This Row],[ISI DB]])=_xlfn.NUMBERVALUE(Table17[[#This Row],[ISI S]]),"",1))</f>
        <v/>
      </c>
      <c r="U174" t="str">
        <f>IF(Table17[[#This Row],[SATUAN S]]="","",IF(Table17[[#This Row],[SATUAN DB]]=Table17[[#This Row],[SATUAN S]],"",1))</f>
        <v/>
      </c>
      <c r="V174" t="str">
        <f>IF(Table17[[#This Row],[CEK STN S]]="","",MATCH(CONCATENATE(Table17[[#This Row],[SATUAN CONV]],Table17[[#This Row],[SATUAN S]]),Table2[4],0))</f>
        <v/>
      </c>
      <c r="X174" t="str" cm="1">
        <f t="array" ref="X174">IF(Table17[[#This Row],[CONV2_//]]="","",INDEX(Table2[3],Table17[[#This Row],[CONV2_//]]))</f>
        <v/>
      </c>
      <c r="Y174" s="2" t="str">
        <f>IF(Table17[[#This Row],[CEK ISI S]]="",Table17[[#This Row],[ISI DB]],Table17[[#This Row],[ISI S]])</f>
        <v>100</v>
      </c>
      <c r="Z174" t="str">
        <f>IF(Table17[[#This Row],[CEK STN S]]="",Table17[[#This Row],[SATUAN DB]],Table17[[#This Row],[SATUAN S]])</f>
        <v>LSN</v>
      </c>
      <c r="AA174">
        <f>IF(Table17[[#This Row],[//CONV]]="",Table17[[#This Row],[ISI NOTA]]/Table17[[#This Row],[ISI_C]],Table17[[#This Row],[ISI DB CONV]]/Table17[[#This Row],[ISI_C]])</f>
        <v>3</v>
      </c>
      <c r="AB174">
        <f>INDEX(NOTA[HARGA SATUAN],Sheet1!A:A)</f>
        <v>12500</v>
      </c>
      <c r="AC174">
        <f>IF(Table17[[#This Row],[//CONV]]="",Table17[[#This Row],[HARGA NOTA]],Table17[[#This Row],[HARGA NOTA]]/Table17[[#This Row],[CONV VAR]])</f>
        <v>12500</v>
      </c>
      <c r="AD174">
        <f>IF(Table17[[#This Row],[CEK STN S]]="",Table17[[#This Row],[HARGA CONV]],Table17[[#This Row],[HARGA CONV]]/Table17[[#This Row],[CONV2 VAR]])</f>
        <v>12500</v>
      </c>
      <c r="AE174" s="3" t="str">
        <f>IF(INDEX(NOTA[Column6],Sheet1!A:A)=0,"",INDEX(NOTA[Column6],Sheet1!A:A))</f>
        <v/>
      </c>
      <c r="AF174" s="3" t="str">
        <f>IF(INDEX(NOTA[Column7],Sheet1!A:A)=0,"",INDEX(NOTA[Column7],Sheet1!A:A))</f>
        <v/>
      </c>
      <c r="AG174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4" s="4">
        <f>INDEX(NOTA[HARGA/ CTN_H],Sheet1!A:A)</f>
        <v>1250000</v>
      </c>
      <c r="AI174" s="4">
        <f>IF(Table17[[#This Row],[DISC 3]]="",Table17[[#This Row],[HRG / CTN]],Table17[[#This Row],[HRG / CTN]]-(Table17[[#This Row],[HRG / CTN]]*Table17[[#This Row],[DISC 3]]))</f>
        <v>1250000</v>
      </c>
      <c r="AJ174" s="5" t="e">
        <f>IF(#REF!&lt;1,Table17[[#This Row],[Column9]],Table17[[#This Row],[Column9]]*#REF!)</f>
        <v>#REF!</v>
      </c>
      <c r="AK174" s="4" t="str">
        <f ca="1">IF(NOT(AP175=Table17[[#This Row],[Column6]]),SUMIF(Table17[Column6],Table17[[#This Row],[Column6]],Table17[Column7]),"")</f>
        <v/>
      </c>
      <c r="AL174" s="6">
        <f ca="1">INDEX(NOTA[TGL_H],Sheet1!A:A)</f>
        <v>45497</v>
      </c>
      <c r="AM174" s="6">
        <f ca="1">INDEX(NOTA[TGL.NOTA_H],Sheet1!A:A)</f>
        <v>45495</v>
      </c>
      <c r="AO174" t="str">
        <f>IF(INDEX(NOTA[Column10],A:A)="","",INDEX(NOTA[Column10],A:A))</f>
        <v/>
      </c>
      <c r="AP174" t="str">
        <f ca="1">INDEX(NOTA[NO.NOTA_H],Sheet1!A:A)</f>
        <v>SO24/2225</v>
      </c>
      <c r="AQ174">
        <f>INDEX(NOTA[Column10],Sheet1!A:A)</f>
        <v>0</v>
      </c>
      <c r="AR174" s="8" t="str">
        <f ca="1">INDEX(NOTA[SUPPLIER_H],Sheet1!A:A)</f>
        <v>ANDY (YOEKER)</v>
      </c>
      <c r="AS174" t="str">
        <f>Table17[[#This Row],[NAMA_C]]</f>
        <v>GARISAN BESI YOEKER 20CM</v>
      </c>
      <c r="AT174" t="str">
        <f ca="1">Table17[[#This Row],[SUPPLIER]]</f>
        <v>ANDY (YOEKER)</v>
      </c>
      <c r="AU174" t="str">
        <f>SUBSTITUTE(Table17[[#This Row],[CTN]],",",".")</f>
        <v>3</v>
      </c>
      <c r="AV174" s="13" t="str">
        <f>Table17[[#This Row],[ISI_C]]</f>
        <v>100</v>
      </c>
      <c r="AW174" t="str">
        <f>Table17[[#This Row],[SATUAN_C]]</f>
        <v>LSN</v>
      </c>
      <c r="AX174">
        <f>Table17[[#This Row],[HARGA CONV2]]</f>
        <v>12500</v>
      </c>
      <c r="AY174" s="9" t="str">
        <f>SUBSTITUTE(Table17[[#This Row],[DISC 3]],",",".")</f>
        <v/>
      </c>
      <c r="AZ174" s="6">
        <f ca="1">Table17[[#This Row],[TGL DATANG]]</f>
        <v>45497</v>
      </c>
      <c r="BA174" s="6">
        <f ca="1">Table17[[#This Row],[Column10]]</f>
        <v>45495</v>
      </c>
      <c r="BB174" s="7"/>
      <c r="BC174" t="str">
        <f>Table17[[#This Row],[KETERANGAN CONDRO]]</f>
        <v/>
      </c>
      <c r="BD174" t="str">
        <f ca="1">Table17[[#This Row],[Column6]]</f>
        <v>SO24/2225</v>
      </c>
    </row>
    <row r="175" spans="1:56">
      <c r="A175" s="55">
        <v>229</v>
      </c>
      <c r="C175">
        <f>INDEX(NOTA[//DB],Sheet1!A:A)</f>
        <v>1017</v>
      </c>
      <c r="D175">
        <f>_xlfn.IFNA(MATCH(Table17[[#This Row],[//db]],[3]!Table2[\\],0),"")</f>
        <v>1218</v>
      </c>
      <c r="E175" t="str">
        <f>INDEX([3]!db[NB NOTA],Table17[[#This Row],[//db]])</f>
        <v>PENGGARIS BESI 40CM YOEKER</v>
      </c>
      <c r="F175" t="str">
        <f>INDEX([3]!db[NB BM],Table17[[#This Row],[//db]])</f>
        <v>Garisan Besi Yoeker 40cm</v>
      </c>
      <c r="G175" t="str">
        <f>IF(Table17[[#This Row],[dbconcat]]="","",INDEX([3]!Table2[NAMA],Table17[[#This Row],[dbconcat]]))</f>
        <v>GARISAN BESI YOEKER 40 CM</v>
      </c>
      <c r="H175" t="str">
        <f>INDEX([3]!Table2[KODE BARANG],Table17[[#This Row],[dbconcat]])</f>
        <v>GAR-YK254</v>
      </c>
      <c r="I175" t="str">
        <f>IF(Table17[[#This Row],[NAMA_3]]="",UPPER(Table17[[#This Row],[NAMA_2]]),Table17[[#This Row],[NAMA_3]])</f>
        <v>GARISAN BESI YOEKER 40 CM</v>
      </c>
      <c r="J175">
        <f>INDEX(NOTA[QTY],Sheet1!A:A)</f>
        <v>25</v>
      </c>
      <c r="K175" t="str">
        <f>INDEX(NOTA[STN],Sheet1!A:A)</f>
        <v>LSN</v>
      </c>
      <c r="L175" t="str">
        <f>INDEX([3]!db[QTY B],Table17[[#This Row],[//db]])</f>
        <v>25</v>
      </c>
      <c r="M175" t="str">
        <f>INDEX([3]!db[STN B],Table17[[#This Row],[//db]])</f>
        <v>LSN</v>
      </c>
      <c r="N175" t="str">
        <f>IF(Table17[[#This Row],[SATUAN NOTA]]=Table17[[#This Row],[SATUAN DB]],"", MATCH(CONCATENATE(Table17[[#This Row],[SATUAN NOTA]],Table17[[#This Row],[SATUAN DB]]),Table2[4],0))</f>
        <v/>
      </c>
      <c r="O175" t="str" cm="1">
        <f t="array" ref="O175">IF(Table17[[#This Row],[//CONV]]="","",INDEX(Table2[3],Table17[[#This Row],[//CONV]]))</f>
        <v/>
      </c>
      <c r="P175" t="str">
        <f>IF(Table17[[#This Row],[//CONV]]="",Table17[[#This Row],[ISI DB]],Table17[[#This Row],[ISI NOTA]]*Table17[[#This Row],[CONV VAR]])</f>
        <v>25</v>
      </c>
      <c r="Q175" t="str" cm="1">
        <f t="array" ref="Q175">IF(Table17[[#This Row],[//CONV]]="",Table17[[#This Row],[SATUAN DB]],INDEX(Table2[2],Table17[[#This Row],[//CONV]]))</f>
        <v>LSN</v>
      </c>
      <c r="R175" cm="1">
        <f t="array" ref="R175">IF(Table17[[#This Row],[dbconcat]]="","",INDEX([3]!Table2[ISI],Table17[[#This Row],[dbconcat]]))</f>
        <v>25</v>
      </c>
      <c r="S175" t="str" cm="1">
        <f t="array" ref="S175">IF(Table17[[#This Row],[dbconcat]]="","",INDEX([3]!Table2[[SATUAN ]],Table17[[#This Row],[dbconcat]]))</f>
        <v>LSN</v>
      </c>
      <c r="T175" t="str">
        <f>IF(Table17[[#This Row],[SATUAN S]]="","",IF(_xlfn.NUMBERVALUE(Table17[[#This Row],[ISI DB]])=_xlfn.NUMBERVALUE(Table17[[#This Row],[ISI S]]),"",1))</f>
        <v/>
      </c>
      <c r="U175" t="str">
        <f>IF(Table17[[#This Row],[SATUAN S]]="","",IF(Table17[[#This Row],[SATUAN DB]]=Table17[[#This Row],[SATUAN S]],"",1))</f>
        <v/>
      </c>
      <c r="V175" t="str">
        <f>IF(Table17[[#This Row],[CEK STN S]]="","",MATCH(CONCATENATE(Table17[[#This Row],[SATUAN CONV]],Table17[[#This Row],[SATUAN S]]),Table2[4],0))</f>
        <v/>
      </c>
      <c r="X175" t="str" cm="1">
        <f t="array" ref="X175">IF(Table17[[#This Row],[CONV2_//]]="","",INDEX(Table2[3],Table17[[#This Row],[CONV2_//]]))</f>
        <v/>
      </c>
      <c r="Y175" s="2" t="str">
        <f>IF(Table17[[#This Row],[CEK ISI S]]="",Table17[[#This Row],[ISI DB]],Table17[[#This Row],[ISI S]])</f>
        <v>25</v>
      </c>
      <c r="Z175" t="str">
        <f>IF(Table17[[#This Row],[CEK STN S]]="",Table17[[#This Row],[SATUAN DB]],Table17[[#This Row],[SATUAN S]])</f>
        <v>LSN</v>
      </c>
      <c r="AA175">
        <f>IF(Table17[[#This Row],[//CONV]]="",Table17[[#This Row],[ISI NOTA]]/Table17[[#This Row],[ISI_C]],Table17[[#This Row],[ISI DB CONV]]/Table17[[#This Row],[ISI_C]])</f>
        <v>1</v>
      </c>
      <c r="AB175">
        <f>INDEX(NOTA[HARGA SATUAN],Sheet1!A:A)</f>
        <v>32500</v>
      </c>
      <c r="AC175">
        <f>IF(Table17[[#This Row],[//CONV]]="",Table17[[#This Row],[HARGA NOTA]],Table17[[#This Row],[HARGA NOTA]]/Table17[[#This Row],[CONV VAR]])</f>
        <v>32500</v>
      </c>
      <c r="AD175">
        <f>IF(Table17[[#This Row],[CEK STN S]]="",Table17[[#This Row],[HARGA CONV]],Table17[[#This Row],[HARGA CONV]]/Table17[[#This Row],[CONV2 VAR]])</f>
        <v>32500</v>
      </c>
      <c r="AE175" s="3" t="str">
        <f>IF(INDEX(NOTA[Column6],Sheet1!A:A)=0,"",INDEX(NOTA[Column6],Sheet1!A:A))</f>
        <v/>
      </c>
      <c r="AF175" s="3" t="str">
        <f>IF(INDEX(NOTA[Column7],Sheet1!A:A)=0,"",INDEX(NOTA[Column7],Sheet1!A:A))</f>
        <v/>
      </c>
      <c r="AG175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5" s="4">
        <f>INDEX(NOTA[HARGA/ CTN_H],Sheet1!A:A)</f>
        <v>812500</v>
      </c>
      <c r="AI175" s="4">
        <f>IF(Table17[[#This Row],[DISC 3]]="",Table17[[#This Row],[HRG / CTN]],Table17[[#This Row],[HRG / CTN]]-(Table17[[#This Row],[HRG / CTN]]*Table17[[#This Row],[DISC 3]]))</f>
        <v>812500</v>
      </c>
      <c r="AJ175" s="5" t="e">
        <f>IF(#REF!&lt;1,Table17[[#This Row],[Column9]],Table17[[#This Row],[Column9]]*#REF!)</f>
        <v>#REF!</v>
      </c>
      <c r="AK175" s="4" t="str">
        <f ca="1">IF(NOT(AP176=Table17[[#This Row],[Column6]]),SUMIF(Table17[Column6],Table17[[#This Row],[Column6]],Table17[Column7]),"")</f>
        <v/>
      </c>
      <c r="AL175" s="6">
        <f ca="1">INDEX(NOTA[TGL_H],Sheet1!A:A)</f>
        <v>45497</v>
      </c>
      <c r="AM175" s="6">
        <f ca="1">INDEX(NOTA[TGL.NOTA_H],Sheet1!A:A)</f>
        <v>45495</v>
      </c>
      <c r="AO175" t="str">
        <f>IF(INDEX(NOTA[Column10],A:A)="","",INDEX(NOTA[Column10],A:A))</f>
        <v/>
      </c>
      <c r="AP175" t="str">
        <f ca="1">INDEX(NOTA[NO.NOTA_H],Sheet1!A:A)</f>
        <v>SO24/2225</v>
      </c>
      <c r="AQ175">
        <f>INDEX(NOTA[Column10],Sheet1!A:A)</f>
        <v>0</v>
      </c>
      <c r="AR175" s="8" t="str">
        <f ca="1">INDEX(NOTA[SUPPLIER_H],Sheet1!A:A)</f>
        <v>ANDY (YOEKER)</v>
      </c>
      <c r="AS175" t="str">
        <f>Table17[[#This Row],[NAMA_C]]</f>
        <v>GARISAN BESI YOEKER 40 CM</v>
      </c>
      <c r="AT175" t="str">
        <f ca="1">Table17[[#This Row],[SUPPLIER]]</f>
        <v>ANDY (YOEKER)</v>
      </c>
      <c r="AU175" t="str">
        <f>SUBSTITUTE(Table17[[#This Row],[CTN]],",",".")</f>
        <v>1</v>
      </c>
      <c r="AV175" s="13" t="str">
        <f>Table17[[#This Row],[ISI_C]]</f>
        <v>25</v>
      </c>
      <c r="AW175" t="str">
        <f>Table17[[#This Row],[SATUAN_C]]</f>
        <v>LSN</v>
      </c>
      <c r="AX175">
        <f>Table17[[#This Row],[HARGA CONV2]]</f>
        <v>32500</v>
      </c>
      <c r="AY175" s="9" t="str">
        <f>SUBSTITUTE(Table17[[#This Row],[DISC 3]],",",".")</f>
        <v/>
      </c>
      <c r="AZ175" s="6">
        <f ca="1">Table17[[#This Row],[TGL DATANG]]</f>
        <v>45497</v>
      </c>
      <c r="BA175" s="6">
        <f ca="1">Table17[[#This Row],[Column10]]</f>
        <v>45495</v>
      </c>
      <c r="BB175" s="7"/>
      <c r="BC175" t="str">
        <f>Table17[[#This Row],[KETERANGAN CONDRO]]</f>
        <v/>
      </c>
      <c r="BD175" t="str">
        <f ca="1">Table17[[#This Row],[Column6]]</f>
        <v>SO24/2225</v>
      </c>
    </row>
    <row r="176" spans="1:56">
      <c r="A176" s="55">
        <v>230</v>
      </c>
      <c r="C176">
        <f>INDEX(NOTA[//DB],Sheet1!A:A)</f>
        <v>1018</v>
      </c>
      <c r="D176">
        <f>_xlfn.IFNA(MATCH(Table17[[#This Row],[//db]],[3]!Table2[\\],0),"")</f>
        <v>1219</v>
      </c>
      <c r="E176" t="str">
        <f>INDEX([3]!db[NB NOTA],Table17[[#This Row],[//db]])</f>
        <v>PENGGARIS BESI 50CM YOEKER</v>
      </c>
      <c r="F176" t="str">
        <f>INDEX([3]!db[NB BM],Table17[[#This Row],[//db]])</f>
        <v>Garisan Besi Yoeker 50cm</v>
      </c>
      <c r="G176" t="str">
        <f>IF(Table17[[#This Row],[dbconcat]]="","",INDEX([3]!Table2[NAMA],Table17[[#This Row],[dbconcat]]))</f>
        <v>GARISAN BESI YOEKER 50 CM</v>
      </c>
      <c r="H176" t="str">
        <f>INDEX([3]!Table2[KODE BARANG],Table17[[#This Row],[dbconcat]])</f>
        <v>GAR-YK255</v>
      </c>
      <c r="I176" t="str">
        <f>IF(Table17[[#This Row],[NAMA_3]]="",UPPER(Table17[[#This Row],[NAMA_2]]),Table17[[#This Row],[NAMA_3]])</f>
        <v>GARISAN BESI YOEKER 50 CM</v>
      </c>
      <c r="J176">
        <f>INDEX(NOTA[QTY],Sheet1!A:A)</f>
        <v>25</v>
      </c>
      <c r="K176" t="str">
        <f>INDEX(NOTA[STN],Sheet1!A:A)</f>
        <v>LSN</v>
      </c>
      <c r="L176" t="str">
        <f>INDEX([3]!db[QTY B],Table17[[#This Row],[//db]])</f>
        <v>25</v>
      </c>
      <c r="M176" t="str">
        <f>INDEX([3]!db[STN B],Table17[[#This Row],[//db]])</f>
        <v>LSN</v>
      </c>
      <c r="N176" t="str">
        <f>IF(Table17[[#This Row],[SATUAN NOTA]]=Table17[[#This Row],[SATUAN DB]],"", MATCH(CONCATENATE(Table17[[#This Row],[SATUAN NOTA]],Table17[[#This Row],[SATUAN DB]]),Table2[4],0))</f>
        <v/>
      </c>
      <c r="O176" t="str" cm="1">
        <f t="array" ref="O176">IF(Table17[[#This Row],[//CONV]]="","",INDEX(Table2[3],Table17[[#This Row],[//CONV]]))</f>
        <v/>
      </c>
      <c r="P176" t="str">
        <f>IF(Table17[[#This Row],[//CONV]]="",Table17[[#This Row],[ISI DB]],Table17[[#This Row],[ISI NOTA]]*Table17[[#This Row],[CONV VAR]])</f>
        <v>25</v>
      </c>
      <c r="Q176" t="str" cm="1">
        <f t="array" ref="Q176">IF(Table17[[#This Row],[//CONV]]="",Table17[[#This Row],[SATUAN DB]],INDEX(Table2[2],Table17[[#This Row],[//CONV]]))</f>
        <v>LSN</v>
      </c>
      <c r="R176" cm="1">
        <f t="array" ref="R176">IF(Table17[[#This Row],[dbconcat]]="","",INDEX([3]!Table2[ISI],Table17[[#This Row],[dbconcat]]))</f>
        <v>25</v>
      </c>
      <c r="S176" t="str" cm="1">
        <f t="array" ref="S176">IF(Table17[[#This Row],[dbconcat]]="","",INDEX([3]!Table2[[SATUAN ]],Table17[[#This Row],[dbconcat]]))</f>
        <v>LSN</v>
      </c>
      <c r="T176" t="str">
        <f>IF(Table17[[#This Row],[SATUAN S]]="","",IF(_xlfn.NUMBERVALUE(Table17[[#This Row],[ISI DB]])=_xlfn.NUMBERVALUE(Table17[[#This Row],[ISI S]]),"",1))</f>
        <v/>
      </c>
      <c r="U176" t="str">
        <f>IF(Table17[[#This Row],[SATUAN S]]="","",IF(Table17[[#This Row],[SATUAN DB]]=Table17[[#This Row],[SATUAN S]],"",1))</f>
        <v/>
      </c>
      <c r="V176" t="str">
        <f>IF(Table17[[#This Row],[CEK STN S]]="","",MATCH(CONCATENATE(Table17[[#This Row],[SATUAN CONV]],Table17[[#This Row],[SATUAN S]]),Table2[4],0))</f>
        <v/>
      </c>
      <c r="X176" t="str" cm="1">
        <f t="array" ref="X176">IF(Table17[[#This Row],[CONV2_//]]="","",INDEX(Table2[3],Table17[[#This Row],[CONV2_//]]))</f>
        <v/>
      </c>
      <c r="Y176" s="2" t="str">
        <f>IF(Table17[[#This Row],[CEK ISI S]]="",Table17[[#This Row],[ISI DB]],Table17[[#This Row],[ISI S]])</f>
        <v>25</v>
      </c>
      <c r="Z176" t="str">
        <f>IF(Table17[[#This Row],[CEK STN S]]="",Table17[[#This Row],[SATUAN DB]],Table17[[#This Row],[SATUAN S]])</f>
        <v>LSN</v>
      </c>
      <c r="AA176">
        <f>IF(Table17[[#This Row],[//CONV]]="",Table17[[#This Row],[ISI NOTA]]/Table17[[#This Row],[ISI_C]],Table17[[#This Row],[ISI DB CONV]]/Table17[[#This Row],[ISI_C]])</f>
        <v>1</v>
      </c>
      <c r="AB176">
        <f>INDEX(NOTA[HARGA SATUAN],Sheet1!A:A)</f>
        <v>37500</v>
      </c>
      <c r="AC176">
        <f>IF(Table17[[#This Row],[//CONV]]="",Table17[[#This Row],[HARGA NOTA]],Table17[[#This Row],[HARGA NOTA]]/Table17[[#This Row],[CONV VAR]])</f>
        <v>37500</v>
      </c>
      <c r="AD176">
        <f>IF(Table17[[#This Row],[CEK STN S]]="",Table17[[#This Row],[HARGA CONV]],Table17[[#This Row],[HARGA CONV]]/Table17[[#This Row],[CONV2 VAR]])</f>
        <v>37500</v>
      </c>
      <c r="AE176" s="3" t="str">
        <f>IF(INDEX(NOTA[Column6],Sheet1!A:A)=0,"",INDEX(NOTA[Column6],Sheet1!A:A))</f>
        <v/>
      </c>
      <c r="AF176" s="3" t="str">
        <f>IF(INDEX(NOTA[Column7],Sheet1!A:A)=0,"",INDEX(NOTA[Column7],Sheet1!A:A))</f>
        <v/>
      </c>
      <c r="AG176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6" s="4">
        <f>INDEX(NOTA[HARGA/ CTN_H],Sheet1!A:A)</f>
        <v>937500</v>
      </c>
      <c r="AI176" s="4">
        <f>IF(Table17[[#This Row],[DISC 3]]="",Table17[[#This Row],[HRG / CTN]],Table17[[#This Row],[HRG / CTN]]-(Table17[[#This Row],[HRG / CTN]]*Table17[[#This Row],[DISC 3]]))</f>
        <v>937500</v>
      </c>
      <c r="AJ176" s="5" t="e">
        <f>IF(#REF!&lt;1,Table17[[#This Row],[Column9]],Table17[[#This Row],[Column9]]*#REF!)</f>
        <v>#REF!</v>
      </c>
      <c r="AK176" s="4" t="str">
        <f ca="1">IF(NOT(AP177=Table17[[#This Row],[Column6]]),SUMIF(Table17[Column6],Table17[[#This Row],[Column6]],Table17[Column7]),"")</f>
        <v/>
      </c>
      <c r="AL176" s="6">
        <f ca="1">INDEX(NOTA[TGL_H],Sheet1!A:A)</f>
        <v>45497</v>
      </c>
      <c r="AM176" s="6">
        <f ca="1">INDEX(NOTA[TGL.NOTA_H],Sheet1!A:A)</f>
        <v>45495</v>
      </c>
      <c r="AO176" t="str">
        <f>IF(INDEX(NOTA[Column10],A:A)="","",INDEX(NOTA[Column10],A:A))</f>
        <v/>
      </c>
      <c r="AP176" t="str">
        <f ca="1">INDEX(NOTA[NO.NOTA_H],Sheet1!A:A)</f>
        <v>SO24/2225</v>
      </c>
      <c r="AQ176">
        <f>INDEX(NOTA[Column10],Sheet1!A:A)</f>
        <v>0</v>
      </c>
      <c r="AR176" s="8" t="str">
        <f ca="1">INDEX(NOTA[SUPPLIER_H],Sheet1!A:A)</f>
        <v>ANDY (YOEKER)</v>
      </c>
      <c r="AS176" t="str">
        <f>Table17[[#This Row],[NAMA_C]]</f>
        <v>GARISAN BESI YOEKER 50 CM</v>
      </c>
      <c r="AT176" t="str">
        <f ca="1">Table17[[#This Row],[SUPPLIER]]</f>
        <v>ANDY (YOEKER)</v>
      </c>
      <c r="AU176" t="str">
        <f>SUBSTITUTE(Table17[[#This Row],[CTN]],",",".")</f>
        <v>1</v>
      </c>
      <c r="AV176" s="13" t="str">
        <f>Table17[[#This Row],[ISI_C]]</f>
        <v>25</v>
      </c>
      <c r="AW176" t="str">
        <f>Table17[[#This Row],[SATUAN_C]]</f>
        <v>LSN</v>
      </c>
      <c r="AX176">
        <f>Table17[[#This Row],[HARGA CONV2]]</f>
        <v>37500</v>
      </c>
      <c r="AY176" s="9" t="str">
        <f>SUBSTITUTE(Table17[[#This Row],[DISC 3]],",",".")</f>
        <v/>
      </c>
      <c r="AZ176" s="6">
        <f ca="1">Table17[[#This Row],[TGL DATANG]]</f>
        <v>45497</v>
      </c>
      <c r="BA176" s="6">
        <f ca="1">Table17[[#This Row],[Column10]]</f>
        <v>45495</v>
      </c>
      <c r="BB176" s="7"/>
      <c r="BC176" t="str">
        <f>Table17[[#This Row],[KETERANGAN CONDRO]]</f>
        <v/>
      </c>
      <c r="BD176" t="str">
        <f ca="1">Table17[[#This Row],[Column6]]</f>
        <v>SO24/2225</v>
      </c>
    </row>
    <row r="177" spans="1:56">
      <c r="A177" s="55">
        <v>231</v>
      </c>
      <c r="C177">
        <f>INDEX(NOTA[//DB],Sheet1!A:A)</f>
        <v>1019</v>
      </c>
      <c r="D177">
        <f>_xlfn.IFNA(MATCH(Table17[[#This Row],[//db]],[3]!Table2[\\],0),"")</f>
        <v>1220</v>
      </c>
      <c r="E177" t="str">
        <f>INDEX([3]!db[NB NOTA],Table17[[#This Row],[//db]])</f>
        <v>PENGGARIS BESI 60CM YOEKER</v>
      </c>
      <c r="F177" t="str">
        <f>INDEX([3]!db[NB BM],Table17[[#This Row],[//db]])</f>
        <v>Garisan Besi Yoeker 60cm</v>
      </c>
      <c r="G177" t="str">
        <f>IF(Table17[[#This Row],[dbconcat]]="","",INDEX([3]!Table2[NAMA],Table17[[#This Row],[dbconcat]]))</f>
        <v>GARISAN BESI YOEKER 60 CM</v>
      </c>
      <c r="H177" t="str">
        <f>INDEX([3]!Table2[KODE BARANG],Table17[[#This Row],[dbconcat]])</f>
        <v>GAR-YK256</v>
      </c>
      <c r="I177" t="str">
        <f>IF(Table17[[#This Row],[NAMA_3]]="",UPPER(Table17[[#This Row],[NAMA_2]]),Table17[[#This Row],[NAMA_3]])</f>
        <v>GARISAN BESI YOEKER 60 CM</v>
      </c>
      <c r="J177">
        <f>INDEX(NOTA[QTY],Sheet1!A:A)</f>
        <v>50</v>
      </c>
      <c r="K177" t="str">
        <f>INDEX(NOTA[STN],Sheet1!A:A)</f>
        <v>LSN</v>
      </c>
      <c r="L177" t="str">
        <f>INDEX([3]!db[QTY B],Table17[[#This Row],[//db]])</f>
        <v>25</v>
      </c>
      <c r="M177" t="str">
        <f>INDEX([3]!db[STN B],Table17[[#This Row],[//db]])</f>
        <v>LSN</v>
      </c>
      <c r="N177" t="str">
        <f>IF(Table17[[#This Row],[SATUAN NOTA]]=Table17[[#This Row],[SATUAN DB]],"", MATCH(CONCATENATE(Table17[[#This Row],[SATUAN NOTA]],Table17[[#This Row],[SATUAN DB]]),Table2[4],0))</f>
        <v/>
      </c>
      <c r="O177" t="str" cm="1">
        <f t="array" ref="O177">IF(Table17[[#This Row],[//CONV]]="","",INDEX(Table2[3],Table17[[#This Row],[//CONV]]))</f>
        <v/>
      </c>
      <c r="P177" t="str">
        <f>IF(Table17[[#This Row],[//CONV]]="",Table17[[#This Row],[ISI DB]],Table17[[#This Row],[ISI NOTA]]*Table17[[#This Row],[CONV VAR]])</f>
        <v>25</v>
      </c>
      <c r="Q177" t="str" cm="1">
        <f t="array" ref="Q177">IF(Table17[[#This Row],[//CONV]]="",Table17[[#This Row],[SATUAN DB]],INDEX(Table2[2],Table17[[#This Row],[//CONV]]))</f>
        <v>LSN</v>
      </c>
      <c r="R177" cm="1">
        <f t="array" ref="R177">IF(Table17[[#This Row],[dbconcat]]="","",INDEX([3]!Table2[ISI],Table17[[#This Row],[dbconcat]]))</f>
        <v>25</v>
      </c>
      <c r="S177" t="str" cm="1">
        <f t="array" ref="S177">IF(Table17[[#This Row],[dbconcat]]="","",INDEX([3]!Table2[[SATUAN ]],Table17[[#This Row],[dbconcat]]))</f>
        <v>LSN</v>
      </c>
      <c r="T177" t="str">
        <f>IF(Table17[[#This Row],[SATUAN S]]="","",IF(_xlfn.NUMBERVALUE(Table17[[#This Row],[ISI DB]])=_xlfn.NUMBERVALUE(Table17[[#This Row],[ISI S]]),"",1))</f>
        <v/>
      </c>
      <c r="U177" t="str">
        <f>IF(Table17[[#This Row],[SATUAN S]]="","",IF(Table17[[#This Row],[SATUAN DB]]=Table17[[#This Row],[SATUAN S]],"",1))</f>
        <v/>
      </c>
      <c r="V177" t="str">
        <f>IF(Table17[[#This Row],[CEK STN S]]="","",MATCH(CONCATENATE(Table17[[#This Row],[SATUAN CONV]],Table17[[#This Row],[SATUAN S]]),Table2[4],0))</f>
        <v/>
      </c>
      <c r="X177" t="str" cm="1">
        <f t="array" ref="X177">IF(Table17[[#This Row],[CONV2_//]]="","",INDEX(Table2[3],Table17[[#This Row],[CONV2_//]]))</f>
        <v/>
      </c>
      <c r="Y177" s="2" t="str">
        <f>IF(Table17[[#This Row],[CEK ISI S]]="",Table17[[#This Row],[ISI DB]],Table17[[#This Row],[ISI S]])</f>
        <v>25</v>
      </c>
      <c r="Z177" t="str">
        <f>IF(Table17[[#This Row],[CEK STN S]]="",Table17[[#This Row],[SATUAN DB]],Table17[[#This Row],[SATUAN S]])</f>
        <v>LSN</v>
      </c>
      <c r="AA177">
        <f>IF(Table17[[#This Row],[//CONV]]="",Table17[[#This Row],[ISI NOTA]]/Table17[[#This Row],[ISI_C]],Table17[[#This Row],[ISI DB CONV]]/Table17[[#This Row],[ISI_C]])</f>
        <v>2</v>
      </c>
      <c r="AB177">
        <f>INDEX(NOTA[HARGA SATUAN],Sheet1!A:A)</f>
        <v>42500</v>
      </c>
      <c r="AC177">
        <f>IF(Table17[[#This Row],[//CONV]]="",Table17[[#This Row],[HARGA NOTA]],Table17[[#This Row],[HARGA NOTA]]/Table17[[#This Row],[CONV VAR]])</f>
        <v>42500</v>
      </c>
      <c r="AD177">
        <f>IF(Table17[[#This Row],[CEK STN S]]="",Table17[[#This Row],[HARGA CONV]],Table17[[#This Row],[HARGA CONV]]/Table17[[#This Row],[CONV2 VAR]])</f>
        <v>42500</v>
      </c>
      <c r="AE177" s="3" t="str">
        <f>IF(INDEX(NOTA[Column6],Sheet1!A:A)=0,"",INDEX(NOTA[Column6],Sheet1!A:A))</f>
        <v/>
      </c>
      <c r="AF177" s="3" t="str">
        <f>IF(INDEX(NOTA[Column7],Sheet1!A:A)=0,"",INDEX(NOTA[Column7],Sheet1!A:A))</f>
        <v/>
      </c>
      <c r="AG177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7" s="4">
        <f>INDEX(NOTA[HARGA/ CTN_H],Sheet1!A:A)</f>
        <v>1062500</v>
      </c>
      <c r="AI177" s="4">
        <f>IF(Table17[[#This Row],[DISC 3]]="",Table17[[#This Row],[HRG / CTN]],Table17[[#This Row],[HRG / CTN]]-(Table17[[#This Row],[HRG / CTN]]*Table17[[#This Row],[DISC 3]]))</f>
        <v>1062500</v>
      </c>
      <c r="AJ177" s="5" t="e">
        <f>IF(#REF!&lt;1,Table17[[#This Row],[Column9]],Table17[[#This Row],[Column9]]*#REF!)</f>
        <v>#REF!</v>
      </c>
      <c r="AK177" s="4" t="e">
        <f ca="1">IF(NOT(AP178=Table17[[#This Row],[Column6]]),SUMIF(Table17[Column6],Table17[[#This Row],[Column6]],Table17[Column7]),"")</f>
        <v>#REF!</v>
      </c>
      <c r="AL177" s="6">
        <f ca="1">INDEX(NOTA[TGL_H],Sheet1!A:A)</f>
        <v>45497</v>
      </c>
      <c r="AM177" s="6">
        <f ca="1">INDEX(NOTA[TGL.NOTA_H],Sheet1!A:A)</f>
        <v>45495</v>
      </c>
      <c r="AO177" t="str">
        <f>IF(INDEX(NOTA[Column10],A:A)="","",INDEX(NOTA[Column10],A:A))</f>
        <v/>
      </c>
      <c r="AP177" t="str">
        <f ca="1">INDEX(NOTA[NO.NOTA_H],Sheet1!A:A)</f>
        <v>SO24/2225</v>
      </c>
      <c r="AQ177">
        <f>INDEX(NOTA[Column10],Sheet1!A:A)</f>
        <v>0</v>
      </c>
      <c r="AR177" s="8" t="str">
        <f ca="1">INDEX(NOTA[SUPPLIER_H],Sheet1!A:A)</f>
        <v>ANDY (YOEKER)</v>
      </c>
      <c r="AS177" t="str">
        <f>Table17[[#This Row],[NAMA_C]]</f>
        <v>GARISAN BESI YOEKER 60 CM</v>
      </c>
      <c r="AT177" t="str">
        <f ca="1">Table17[[#This Row],[SUPPLIER]]</f>
        <v>ANDY (YOEKER)</v>
      </c>
      <c r="AU177" t="str">
        <f>SUBSTITUTE(Table17[[#This Row],[CTN]],",",".")</f>
        <v>2</v>
      </c>
      <c r="AV177" s="13" t="str">
        <f>Table17[[#This Row],[ISI_C]]</f>
        <v>25</v>
      </c>
      <c r="AW177" t="str">
        <f>Table17[[#This Row],[SATUAN_C]]</f>
        <v>LSN</v>
      </c>
      <c r="AX177">
        <f>Table17[[#This Row],[HARGA CONV2]]</f>
        <v>42500</v>
      </c>
      <c r="AY177" s="9" t="str">
        <f>SUBSTITUTE(Table17[[#This Row],[DISC 3]],",",".")</f>
        <v/>
      </c>
      <c r="AZ177" s="6">
        <f ca="1">Table17[[#This Row],[TGL DATANG]]</f>
        <v>45497</v>
      </c>
      <c r="BA177" s="6">
        <f ca="1">Table17[[#This Row],[Column10]]</f>
        <v>45495</v>
      </c>
      <c r="BB177" s="7"/>
      <c r="BC177" t="str">
        <f>Table17[[#This Row],[KETERANGAN CONDRO]]</f>
        <v/>
      </c>
      <c r="BD177" t="str">
        <f ca="1">Table17[[#This Row],[Column6]]</f>
        <v>SO24/2225</v>
      </c>
    </row>
    <row r="178" spans="1:56">
      <c r="A178" s="55">
        <v>233</v>
      </c>
      <c r="C178">
        <f>INDEX(NOTA[//DB],Sheet1!A:A)</f>
        <v>2864</v>
      </c>
      <c r="D178" t="str">
        <f>_xlfn.IFNA(MATCH(Table17[[#This Row],[//db]],[3]!Table2[\\],0),"")</f>
        <v/>
      </c>
      <c r="E178" t="str">
        <f>INDEX([3]!db[NB NOTA],Table17[[#This Row],[//db]])</f>
        <v>SEMPOA 17 BARIS JAYA</v>
      </c>
      <c r="F178" t="str">
        <f>INDEX([3]!db[NB BM],Table17[[#This Row],[//db]])</f>
        <v>SEMPOA JAYA 17 BARIS</v>
      </c>
      <c r="G178" t="str">
        <f>IF(Table17[[#This Row],[dbconcat]]="","",INDEX([3]!Table2[NAMA],Table17[[#This Row],[dbconcat]]))</f>
        <v/>
      </c>
      <c r="H178" t="e">
        <f>INDEX([3]!Table2[KODE BARANG],Table17[[#This Row],[dbconcat]])</f>
        <v>#VALUE!</v>
      </c>
      <c r="I178" t="str">
        <f>IF(Table17[[#This Row],[NAMA_3]]="",UPPER(Table17[[#This Row],[NAMA_2]]),Table17[[#This Row],[NAMA_3]])</f>
        <v>SEMPOA JAYA 17 BARIS</v>
      </c>
      <c r="J178">
        <f>INDEX(NOTA[QTY],Sheet1!A:A)</f>
        <v>900</v>
      </c>
      <c r="K178" t="str">
        <f>INDEX(NOTA[STN],Sheet1!A:A)</f>
        <v>PCS</v>
      </c>
      <c r="L178" t="str">
        <f>INDEX([3]!db[QTY B],Table17[[#This Row],[//db]])</f>
        <v>300</v>
      </c>
      <c r="M178" t="str">
        <f>INDEX([3]!db[STN B],Table17[[#This Row],[//db]])</f>
        <v>PCS</v>
      </c>
      <c r="N178" t="str">
        <f>IF(Table17[[#This Row],[SATUAN NOTA]]=Table17[[#This Row],[SATUAN DB]],"", MATCH(CONCATENATE(Table17[[#This Row],[SATUAN NOTA]],Table17[[#This Row],[SATUAN DB]]),Table2[4],0))</f>
        <v/>
      </c>
      <c r="O178" t="str" cm="1">
        <f t="array" ref="O178">IF(Table17[[#This Row],[//CONV]]="","",INDEX(Table2[3],Table17[[#This Row],[//CONV]]))</f>
        <v/>
      </c>
      <c r="P178" t="str">
        <f>IF(Table17[[#This Row],[//CONV]]="",Table17[[#This Row],[ISI DB]],Table17[[#This Row],[ISI NOTA]]*Table17[[#This Row],[CONV VAR]])</f>
        <v>300</v>
      </c>
      <c r="Q178" t="str" cm="1">
        <f t="array" ref="Q178">IF(Table17[[#This Row],[//CONV]]="",Table17[[#This Row],[SATUAN DB]],INDEX(Table2[2],Table17[[#This Row],[//CONV]]))</f>
        <v>PCS</v>
      </c>
      <c r="R178" t="str" cm="1">
        <f t="array" ref="R178">IF(Table17[[#This Row],[dbconcat]]="","",INDEX([3]!Table2[ISI],Table17[[#This Row],[dbconcat]]))</f>
        <v/>
      </c>
      <c r="S178" t="str" cm="1">
        <f t="array" ref="S178">IF(Table17[[#This Row],[dbconcat]]="","",INDEX([3]!Table2[[SATUAN ]],Table17[[#This Row],[dbconcat]]))</f>
        <v/>
      </c>
      <c r="T178" t="str">
        <f>IF(Table17[[#This Row],[SATUAN S]]="","",IF(_xlfn.NUMBERVALUE(Table17[[#This Row],[ISI DB]])=_xlfn.NUMBERVALUE(Table17[[#This Row],[ISI S]]),"",1))</f>
        <v/>
      </c>
      <c r="U178" t="str">
        <f>IF(Table17[[#This Row],[SATUAN S]]="","",IF(Table17[[#This Row],[SATUAN DB]]=Table17[[#This Row],[SATUAN S]],"",1))</f>
        <v/>
      </c>
      <c r="V178" t="str">
        <f>IF(Table17[[#This Row],[CEK STN S]]="","",MATCH(CONCATENATE(Table17[[#This Row],[SATUAN CONV]],Table17[[#This Row],[SATUAN S]]),Table2[4],0))</f>
        <v/>
      </c>
      <c r="X178" t="str" cm="1">
        <f t="array" ref="X178">IF(Table17[[#This Row],[CONV2_//]]="","",INDEX(Table2[3],Table17[[#This Row],[CONV2_//]]))</f>
        <v/>
      </c>
      <c r="Y178" s="2" t="str">
        <f>IF(Table17[[#This Row],[CEK ISI S]]="",Table17[[#This Row],[ISI DB]],Table17[[#This Row],[ISI S]])</f>
        <v>300</v>
      </c>
      <c r="Z178" t="str">
        <f>IF(Table17[[#This Row],[CEK STN S]]="",Table17[[#This Row],[SATUAN DB]],Table17[[#This Row],[SATUAN S]])</f>
        <v>PCS</v>
      </c>
      <c r="AA178">
        <f>IF(Table17[[#This Row],[//CONV]]="",Table17[[#This Row],[ISI NOTA]]/Table17[[#This Row],[ISI_C]],Table17[[#This Row],[ISI DB CONV]]/Table17[[#This Row],[ISI_C]])</f>
        <v>3</v>
      </c>
      <c r="AB178">
        <f>INDEX(NOTA[HARGA SATUAN],Sheet1!A:A)</f>
        <v>7500</v>
      </c>
      <c r="AC178">
        <f>IF(Table17[[#This Row],[//CONV]]="",Table17[[#This Row],[HARGA NOTA]],Table17[[#This Row],[HARGA NOTA]]/Table17[[#This Row],[CONV VAR]])</f>
        <v>7500</v>
      </c>
      <c r="AD178">
        <f>IF(Table17[[#This Row],[CEK STN S]]="",Table17[[#This Row],[HARGA CONV]],Table17[[#This Row],[HARGA CONV]]/Table17[[#This Row],[CONV2 VAR]])</f>
        <v>7500</v>
      </c>
      <c r="AE178" s="3" t="str">
        <f>IF(INDEX(NOTA[Column6],Sheet1!A:A)=0,"",INDEX(NOTA[Column6],Sheet1!A:A))</f>
        <v/>
      </c>
      <c r="AF178" s="3" t="str">
        <f>IF(INDEX(NOTA[Column7],Sheet1!A:A)=0,"",INDEX(NOTA[Column7],Sheet1!A:A))</f>
        <v/>
      </c>
      <c r="AG178" s="3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8" s="4">
        <f>INDEX(NOTA[HARGA/ CTN_H],Sheet1!A:A)</f>
        <v>2250000</v>
      </c>
      <c r="AI178" s="4">
        <f>IF(Table17[[#This Row],[DISC 3]]="",Table17[[#This Row],[HRG / CTN]],Table17[[#This Row],[HRG / CTN]]-(Table17[[#This Row],[HRG / CTN]]*Table17[[#This Row],[DISC 3]]))</f>
        <v>2250000</v>
      </c>
      <c r="AJ178" s="5" t="e">
        <f>IF(#REF!&lt;1,Table17[[#This Row],[Column9]],Table17[[#This Row],[Column9]]*#REF!)</f>
        <v>#REF!</v>
      </c>
      <c r="AK178" s="4" t="str">
        <f ca="1">IF(NOT(AP179=Table17[[#This Row],[Column6]]),SUMIF(Table17[Column6],Table17[[#This Row],[Column6]],Table17[Column7]),"")</f>
        <v/>
      </c>
      <c r="AL178" s="6">
        <f ca="1">INDEX(NOTA[TGL_H],Sheet1!A:A)</f>
        <v>45497</v>
      </c>
      <c r="AM178" s="6">
        <f ca="1">INDEX(NOTA[TGL.NOTA_H],Sheet1!A:A)</f>
        <v>45490</v>
      </c>
      <c r="AO178" t="str">
        <f>IF(INDEX(NOTA[Column10],A:A)="","",INDEX(NOTA[Column10],A:A))</f>
        <v/>
      </c>
      <c r="AP178" t="str">
        <f ca="1">INDEX(NOTA[NO.NOTA_H],Sheet1!A:A)</f>
        <v>030/B/VIII/24</v>
      </c>
      <c r="AQ178">
        <f>INDEX(NOTA[Column10],Sheet1!A:A)</f>
        <v>0</v>
      </c>
      <c r="AR178" s="8" t="str">
        <f ca="1">INDEX(NOTA[SUPPLIER_H],Sheet1!A:A)</f>
        <v>SMM</v>
      </c>
      <c r="AS178" t="str">
        <f>Table17[[#This Row],[NAMA_C]]</f>
        <v>SEMPOA JAYA 17 BARIS</v>
      </c>
      <c r="AT178" t="str">
        <f ca="1">Table17[[#This Row],[SUPPLIER]]</f>
        <v>SMM</v>
      </c>
      <c r="AU178" t="str">
        <f>SUBSTITUTE(Table17[[#This Row],[CTN]],",",".")</f>
        <v>3</v>
      </c>
      <c r="AV178" s="13" t="str">
        <f>Table17[[#This Row],[ISI_C]]</f>
        <v>300</v>
      </c>
      <c r="AW178" t="str">
        <f>Table17[[#This Row],[SATUAN_C]]</f>
        <v>PCS</v>
      </c>
      <c r="AX178">
        <f>Table17[[#This Row],[HARGA CONV2]]</f>
        <v>7500</v>
      </c>
      <c r="AY178" s="9" t="str">
        <f>SUBSTITUTE(Table17[[#This Row],[DISC 3]],",",".")</f>
        <v/>
      </c>
      <c r="AZ178" s="6">
        <f ca="1">Table17[[#This Row],[TGL DATANG]]</f>
        <v>45497</v>
      </c>
      <c r="BA178" s="6">
        <f ca="1">Table17[[#This Row],[Column10]]</f>
        <v>45490</v>
      </c>
      <c r="BB178" s="7"/>
      <c r="BC178" t="str">
        <f>Table17[[#This Row],[KETERANGAN CONDRO]]</f>
        <v/>
      </c>
      <c r="BD178" t="str">
        <f ca="1">Table17[[#This Row],[Column6]]</f>
        <v>030/B/VIII/24</v>
      </c>
    </row>
    <row r="179" spans="1:56" s="25" customFormat="1">
      <c r="A179" s="24">
        <v>234</v>
      </c>
      <c r="C179" s="25">
        <f>INDEX(NOTA[//DB],Sheet1!A:A)</f>
        <v>2865</v>
      </c>
      <c r="D179" s="25">
        <f>_xlfn.IFNA(MATCH(Table17[[#This Row],[//db]],[3]!Table2[\\],0),"")</f>
        <v>2662</v>
      </c>
      <c r="E179" s="25" t="str">
        <f>INDEX([3]!db[NB NOTA],Table17[[#This Row],[//db]])</f>
        <v>SEMPOA 13 BARIS JAYA</v>
      </c>
      <c r="F179" s="25" t="str">
        <f>INDEX([3]!db[NB BM],Table17[[#This Row],[//db]])</f>
        <v>SEMPOA JAYA 13 BARIS</v>
      </c>
      <c r="G179" s="25" t="str">
        <f>IF(Table17[[#This Row],[dbconcat]]="","",INDEX([3]!Table2[NAMA],Table17[[#This Row],[dbconcat]]))</f>
        <v>SEMPOA JAYA 13 BARIS</v>
      </c>
      <c r="H179" s="25" t="str">
        <f>INDEX([3]!Table2[KODE BARANG],Table17[[#This Row],[dbconcat]])</f>
        <v>SEM-NB4</v>
      </c>
      <c r="I179" s="25" t="str">
        <f>IF(Table17[[#This Row],[NAMA_3]]="",UPPER(Table17[[#This Row],[NAMA_2]]),Table17[[#This Row],[NAMA_3]])</f>
        <v>SEMPOA JAYA 13 BARIS</v>
      </c>
      <c r="J179" s="25">
        <f>INDEX(NOTA[QTY],Sheet1!A:A)</f>
        <v>600</v>
      </c>
      <c r="K179" s="25" t="str">
        <f>INDEX(NOTA[STN],Sheet1!A:A)</f>
        <v>PCS</v>
      </c>
      <c r="L179" s="25" t="str">
        <f>INDEX([3]!db[QTY B],Table17[[#This Row],[//db]])</f>
        <v>300</v>
      </c>
      <c r="M179" s="25" t="str">
        <f>INDEX([3]!db[STN B],Table17[[#This Row],[//db]])</f>
        <v>PCS</v>
      </c>
      <c r="N179" s="25" t="str">
        <f>IF(Table17[[#This Row],[SATUAN NOTA]]=Table17[[#This Row],[SATUAN DB]],"", MATCH(CONCATENATE(Table17[[#This Row],[SATUAN NOTA]],Table17[[#This Row],[SATUAN DB]]),Table2[4],0))</f>
        <v/>
      </c>
      <c r="O179" s="25" t="str" cm="1">
        <f t="array" ref="O179">IF(Table17[[#This Row],[//CONV]]="","",INDEX(Table2[3],Table17[[#This Row],[//CONV]]))</f>
        <v/>
      </c>
      <c r="P179" s="25" t="str">
        <f>IF(Table17[[#This Row],[//CONV]]="",Table17[[#This Row],[ISI DB]],Table17[[#This Row],[ISI NOTA]]*Table17[[#This Row],[CONV VAR]])</f>
        <v>300</v>
      </c>
      <c r="Q179" s="25" t="str" cm="1">
        <f t="array" ref="Q179">IF(Table17[[#This Row],[//CONV]]="",Table17[[#This Row],[SATUAN DB]],INDEX(Table2[2],Table17[[#This Row],[//CONV]]))</f>
        <v>PCS</v>
      </c>
      <c r="R179" s="25" cm="1">
        <f t="array" ref="R179">IF(Table17[[#This Row],[dbconcat]]="","",INDEX([3]!Table2[ISI],Table17[[#This Row],[dbconcat]]))</f>
        <v>207</v>
      </c>
      <c r="S179" s="25" t="str" cm="1">
        <f t="array" ref="S179">IF(Table17[[#This Row],[dbconcat]]="","",INDEX([3]!Table2[[SATUAN ]],Table17[[#This Row],[dbconcat]]))</f>
        <v>PCS</v>
      </c>
      <c r="T179" s="25">
        <f>IF(Table17[[#This Row],[SATUAN S]]="","",IF(_xlfn.NUMBERVALUE(Table17[[#This Row],[ISI DB]])=_xlfn.NUMBERVALUE(Table17[[#This Row],[ISI S]]),"",1))</f>
        <v>1</v>
      </c>
      <c r="U179" s="25" t="str">
        <f>IF(Table17[[#This Row],[SATUAN S]]="","",IF(Table17[[#This Row],[SATUAN DB]]=Table17[[#This Row],[SATUAN S]],"",1))</f>
        <v/>
      </c>
      <c r="V179" s="25" t="str">
        <f>IF(Table17[[#This Row],[CEK STN S]]="","",MATCH(CONCATENATE(Table17[[#This Row],[SATUAN CONV]],Table17[[#This Row],[SATUAN S]]),Table2[4],0))</f>
        <v/>
      </c>
      <c r="X179" s="25" t="str" cm="1">
        <f t="array" ref="X179">IF(Table17[[#This Row],[CONV2_//]]="","",INDEX(Table2[3],Table17[[#This Row],[CONV2_//]]))</f>
        <v/>
      </c>
      <c r="Y179" s="24">
        <f>IF(Table17[[#This Row],[CEK ISI S]]="",Table17[[#This Row],[ISI DB]],Table17[[#This Row],[ISI S]])</f>
        <v>207</v>
      </c>
      <c r="Z179" s="25" t="str">
        <f>IF(Table17[[#This Row],[CEK STN S]]="",Table17[[#This Row],[SATUAN DB]],Table17[[#This Row],[SATUAN S]])</f>
        <v>PCS</v>
      </c>
      <c r="AA179" s="25">
        <f>IF(Table17[[#This Row],[//CONV]]="",Table17[[#This Row],[ISI NOTA]]/Table17[[#This Row],[ISI_C]],Table17[[#This Row],[ISI DB CONV]]/Table17[[#This Row],[ISI_C]])</f>
        <v>2.8985507246376812</v>
      </c>
      <c r="AB179" s="25">
        <f>INDEX(NOTA[HARGA SATUAN],Sheet1!A:A)</f>
        <v>7400</v>
      </c>
      <c r="AC179" s="25">
        <f>IF(Table17[[#This Row],[//CONV]]="",Table17[[#This Row],[HARGA NOTA]],Table17[[#This Row],[HARGA NOTA]]/Table17[[#This Row],[CONV VAR]])</f>
        <v>7400</v>
      </c>
      <c r="AD179" s="25">
        <f>IF(Table17[[#This Row],[CEK STN S]]="",Table17[[#This Row],[HARGA CONV]],Table17[[#This Row],[HARGA CONV]]/Table17[[#This Row],[CONV2 VAR]])</f>
        <v>7400</v>
      </c>
      <c r="AE179" s="26" t="str">
        <f>IF(INDEX(NOTA[Column6],Sheet1!A:A)=0,"",INDEX(NOTA[Column6],Sheet1!A:A))</f>
        <v/>
      </c>
      <c r="AF179" s="26" t="str">
        <f>IF(INDEX(NOTA[Column7],Sheet1!A:A)=0,"",INDEX(NOTA[Column7],Sheet1!A:A))</f>
        <v/>
      </c>
      <c r="AG179" s="26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79" s="27">
        <f>INDEX(NOTA[HARGA/ CTN_H],Sheet1!A:A)</f>
        <v>2220000</v>
      </c>
      <c r="AI179" s="27">
        <f>IF(Table17[[#This Row],[DISC 3]]="",Table17[[#This Row],[HRG / CTN]],Table17[[#This Row],[HRG / CTN]]-(Table17[[#This Row],[HRG / CTN]]*Table17[[#This Row],[DISC 3]]))</f>
        <v>2220000</v>
      </c>
      <c r="AJ179" s="28" t="e">
        <f>IF(#REF!&lt;1,Table17[[#This Row],[Column9]],Table17[[#This Row],[Column9]]*#REF!)</f>
        <v>#REF!</v>
      </c>
      <c r="AK179" s="27" t="e">
        <f ca="1">IF(NOT(AP180=Table17[[#This Row],[Column6]]),SUMIF(Table17[Column6],Table17[[#This Row],[Column6]],Table17[Column7]),"")</f>
        <v>#REF!</v>
      </c>
      <c r="AL179" s="29">
        <f ca="1">INDEX(NOTA[TGL_H],Sheet1!A:A)</f>
        <v>45497</v>
      </c>
      <c r="AM179" s="29">
        <f ca="1">INDEX(NOTA[TGL.NOTA_H],Sheet1!A:A)</f>
        <v>45490</v>
      </c>
      <c r="AN179" s="30"/>
      <c r="AO179" s="25" t="str">
        <f>IF(INDEX(NOTA[Column10],A:A)="","",INDEX(NOTA[Column10],A:A))</f>
        <v/>
      </c>
      <c r="AP179" s="25" t="str">
        <f ca="1">INDEX(NOTA[NO.NOTA_H],Sheet1!A:A)</f>
        <v>030/B/VIII/24</v>
      </c>
      <c r="AQ179" s="25">
        <f>INDEX(NOTA[Column10],Sheet1!A:A)</f>
        <v>0</v>
      </c>
      <c r="AR179" s="31" t="str">
        <f ca="1">INDEX(NOTA[SUPPLIER_H],Sheet1!A:A)</f>
        <v>SMM</v>
      </c>
      <c r="AS179" s="25" t="str">
        <f>Table17[[#This Row],[NAMA_C]]</f>
        <v>SEMPOA JAYA 13 BARIS</v>
      </c>
      <c r="AT179" s="25" t="str">
        <f ca="1">Table17[[#This Row],[SUPPLIER]]</f>
        <v>SMM</v>
      </c>
      <c r="AU179" s="25" t="str">
        <f>SUBSTITUTE(Table17[[#This Row],[CTN]],",",".")</f>
        <v>2.89855072463768</v>
      </c>
      <c r="AV179" s="67">
        <f>Table17[[#This Row],[ISI_C]]</f>
        <v>207</v>
      </c>
      <c r="AW179" s="25" t="str">
        <f>Table17[[#This Row],[SATUAN_C]]</f>
        <v>PCS</v>
      </c>
      <c r="AX179" s="25">
        <f>Table17[[#This Row],[HARGA CONV2]]</f>
        <v>7400</v>
      </c>
      <c r="AY179" s="32" t="str">
        <f>SUBSTITUTE(Table17[[#This Row],[DISC 3]],",",".")</f>
        <v/>
      </c>
      <c r="AZ179" s="29">
        <f ca="1">Table17[[#This Row],[TGL DATANG]]</f>
        <v>45497</v>
      </c>
      <c r="BA179" s="29">
        <f ca="1">Table17[[#This Row],[Column10]]</f>
        <v>45490</v>
      </c>
      <c r="BB179" s="30"/>
      <c r="BC179" s="25" t="str">
        <f>Table17[[#This Row],[KETERANGAN CONDRO]]</f>
        <v/>
      </c>
      <c r="BD179" s="25" t="str">
        <f ca="1">Table17[[#This Row],[Column6]]</f>
        <v>030/B/VIII/24</v>
      </c>
    </row>
    <row r="180" spans="1:56">
      <c r="A180" s="55">
        <v>236</v>
      </c>
      <c r="C180" s="57">
        <f>INDEX(NOTA[//DB],Sheet1!A:A)</f>
        <v>2713</v>
      </c>
      <c r="D180" s="57">
        <f>_xlfn.IFNA(MATCH(Table17[[#This Row],[//db]],[3]!Table2[\\],0),"")</f>
        <v>212</v>
      </c>
      <c r="E180" s="57" t="str">
        <f>INDEX([3]!db[NB NOTA],Table17[[#This Row],[//db]])</f>
        <v>PERUNCING PAYU PU-823/ MINI/ AYAM</v>
      </c>
      <c r="F180" s="57" t="str">
        <f>INDEX([3]!db[NB BM],Table17[[#This Row],[//db]])</f>
        <v>ASAHAN PAYU 823 AYAM</v>
      </c>
      <c r="G180" s="57" t="str">
        <f>IF(Table17[[#This Row],[dbconcat]]="","",INDEX([3]!Table2[NAMA],Table17[[#This Row],[dbconcat]]))</f>
        <v>ASAHAN PAYU 823 AYAM</v>
      </c>
      <c r="H180" s="57" t="str">
        <f>INDEX([3]!Table2[KODE BARANG],Table17[[#This Row],[dbconcat]])</f>
        <v>ASA-PY136</v>
      </c>
      <c r="I180" s="57" t="str">
        <f>IF(Table17[[#This Row],[NAMA_3]]="",UPPER(Table17[[#This Row],[NAMA_2]]),Table17[[#This Row],[NAMA_3]])</f>
        <v>ASAHAN PAYU 823 AYAM</v>
      </c>
      <c r="J180" s="57">
        <f>INDEX(NOTA[QTY],Sheet1!A:A)</f>
        <v>840</v>
      </c>
      <c r="K180" s="57" t="str">
        <f>INDEX(NOTA[STN],Sheet1!A:A)</f>
        <v>PCS</v>
      </c>
      <c r="L180" s="57" t="str">
        <f>INDEX([3]!db[QTY B],Table17[[#This Row],[//db]])</f>
        <v>120</v>
      </c>
      <c r="M180" s="57" t="str">
        <f>INDEX([3]!db[STN B],Table17[[#This Row],[//db]])</f>
        <v>BOX</v>
      </c>
      <c r="N180" s="57" t="e">
        <f>IF(Table17[[#This Row],[SATUAN NOTA]]=Table17[[#This Row],[SATUAN DB]],"", MATCH(CONCATENATE(Table17[[#This Row],[SATUAN NOTA]],Table17[[#This Row],[SATUAN DB]]),Table2[4],0))</f>
        <v>#N/A</v>
      </c>
      <c r="O180" s="57" t="e" cm="1">
        <f t="array" ref="O180">IF(Table17[[#This Row],[//CONV]]="","",INDEX(Table2[3],Table17[[#This Row],[//CONV]]))</f>
        <v>#N/A</v>
      </c>
      <c r="P180" s="57" t="e">
        <f>IF(Table17[[#This Row],[//CONV]]="",Table17[[#This Row],[ISI DB]],Table17[[#This Row],[ISI NOTA]]*Table17[[#This Row],[CONV VAR]])</f>
        <v>#N/A</v>
      </c>
      <c r="Q180" s="57" t="e" cm="1">
        <f t="array" ref="Q180">IF(Table17[[#This Row],[//CONV]]="",Table17[[#This Row],[SATUAN DB]],INDEX(Table2[2],Table17[[#This Row],[//CONV]]))</f>
        <v>#N/A</v>
      </c>
      <c r="R180" s="57" cm="1">
        <f t="array" ref="R180">IF(Table17[[#This Row],[dbconcat]]="","",INDEX([3]!Table2[ISI],Table17[[#This Row],[dbconcat]]))</f>
        <v>120</v>
      </c>
      <c r="S180" s="57" t="str" cm="1">
        <f t="array" ref="S180">IF(Table17[[#This Row],[dbconcat]]="","",INDEX([3]!Table2[[SATUAN ]],Table17[[#This Row],[dbconcat]]))</f>
        <v>BOX</v>
      </c>
      <c r="T180" s="57" t="str">
        <f>IF(Table17[[#This Row],[SATUAN S]]="","",IF(_xlfn.NUMBERVALUE(Table17[[#This Row],[ISI DB]])=_xlfn.NUMBERVALUE(Table17[[#This Row],[ISI S]]),"",1))</f>
        <v/>
      </c>
      <c r="U180" s="57" t="str">
        <f>IF(Table17[[#This Row],[SATUAN S]]="","",IF(Table17[[#This Row],[SATUAN DB]]=Table17[[#This Row],[SATUAN S]],"",1))</f>
        <v/>
      </c>
      <c r="V180" s="57" t="str">
        <f>IF(Table17[[#This Row],[CEK STN S]]="","",MATCH(CONCATENATE(Table17[[#This Row],[SATUAN CONV]],Table17[[#This Row],[SATUAN S]]),Table2[4],0))</f>
        <v/>
      </c>
      <c r="W180" s="57"/>
      <c r="X180" s="57" t="str" cm="1">
        <f t="array" ref="X180">IF(Table17[[#This Row],[CONV2_//]]="","",INDEX(Table2[3],Table17[[#This Row],[CONV2_//]]))</f>
        <v/>
      </c>
      <c r="Y180" s="58" t="str">
        <f>IF(Table17[[#This Row],[CEK ISI S]]="",Table17[[#This Row],[ISI DB]],Table17[[#This Row],[ISI S]])</f>
        <v>120</v>
      </c>
      <c r="Z180" s="57" t="str">
        <f>IF(Table17[[#This Row],[CEK STN S]]="",Table17[[#This Row],[SATUAN DB]],Table17[[#This Row],[SATUAN S]])</f>
        <v>BOX</v>
      </c>
      <c r="AA180" s="57" t="e">
        <f>IF(Table17[[#This Row],[//CONV]]="",Table17[[#This Row],[ISI NOTA]]/Table17[[#This Row],[ISI_C]],Table17[[#This Row],[ISI DB CONV]]/Table17[[#This Row],[ISI_C]])</f>
        <v>#N/A</v>
      </c>
      <c r="AB180" s="57">
        <f>INDEX(NOTA[HARGA SATUAN],Sheet1!A:A)</f>
        <v>0</v>
      </c>
      <c r="AC180" s="57" t="e">
        <f>IF(Table17[[#This Row],[//CONV]]="",Table17[[#This Row],[HARGA NOTA]],Table17[[#This Row],[HARGA NOTA]]/Table17[[#This Row],[CONV VAR]])</f>
        <v>#N/A</v>
      </c>
      <c r="AD180" s="57" t="e">
        <f>IF(Table17[[#This Row],[CEK STN S]]="",Table17[[#This Row],[HARGA CONV]],Table17[[#This Row],[HARGA CONV]]/Table17[[#This Row],[CONV2 VAR]])</f>
        <v>#N/A</v>
      </c>
      <c r="AE180" s="59" t="str">
        <f>IF(INDEX(NOTA[Column6],Sheet1!A:A)=0,"",INDEX(NOTA[Column6],Sheet1!A:A))</f>
        <v/>
      </c>
      <c r="AF180" s="59" t="str">
        <f>IF(INDEX(NOTA[Column7],Sheet1!A:A)=0,"",INDEX(NOTA[Column7],Sheet1!A:A))</f>
        <v/>
      </c>
      <c r="AG180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0" s="60">
        <f>INDEX(NOTA[HARGA/ CTN_H],Sheet1!A:A)</f>
        <v>0</v>
      </c>
      <c r="AI180" s="60">
        <f>IF(Table17[[#This Row],[DISC 3]]="",Table17[[#This Row],[HRG / CTN]],Table17[[#This Row],[HRG / CTN]]-(Table17[[#This Row],[HRG / CTN]]*Table17[[#This Row],[DISC 3]]))</f>
        <v>0</v>
      </c>
      <c r="AJ180" s="61" t="e">
        <f>IF(#REF!&lt;1,Table17[[#This Row],[Column9]],Table17[[#This Row],[Column9]]*#REF!)</f>
        <v>#REF!</v>
      </c>
      <c r="AK180" s="60" t="str">
        <f ca="1">IF(NOT(AP181=Table17[[#This Row],[Column6]]),SUMIF(Table17[Column6],Table17[[#This Row],[Column6]],Table17[Column7]),"")</f>
        <v/>
      </c>
      <c r="AL180" s="62">
        <f ca="1">INDEX(NOTA[TGL_H],Sheet1!A:A)</f>
        <v>45498</v>
      </c>
      <c r="AM180" s="62">
        <f ca="1">INDEX(NOTA[TGL.NOTA_H],Sheet1!A:A)</f>
        <v>45496</v>
      </c>
      <c r="AN180" s="63"/>
      <c r="AO180" s="57" t="str">
        <f>IF(INDEX(NOTA[Column10],A:A)="","",INDEX(NOTA[Column10],A:A))</f>
        <v>BARANG TITIP</v>
      </c>
      <c r="AP180" s="57" t="str">
        <f ca="1">INDEX(NOTA[NO.NOTA_H],Sheet1!A:A)</f>
        <v>TH034/7/2024</v>
      </c>
      <c r="AQ180" s="57" t="str">
        <f>INDEX(NOTA[Column10],Sheet1!A:A)</f>
        <v>BARANG TITIP</v>
      </c>
      <c r="AR180" s="64" t="str">
        <f ca="1">INDEX(NOTA[SUPPLIER_H],Sheet1!A:A)</f>
        <v>SBS</v>
      </c>
      <c r="AS180" s="57" t="str">
        <f>Table17[[#This Row],[NAMA_C]]</f>
        <v>ASAHAN PAYU 823 AYAM</v>
      </c>
      <c r="AT180" s="57" t="str">
        <f ca="1">Table17[[#This Row],[SUPPLIER]]</f>
        <v>SBS</v>
      </c>
      <c r="AU180" s="57" t="e">
        <f>SUBSTITUTE(Table17[[#This Row],[CTN]],",",".")</f>
        <v>#N/A</v>
      </c>
      <c r="AV180" s="68" t="str">
        <f>Table17[[#This Row],[ISI_C]]</f>
        <v>120</v>
      </c>
      <c r="AW180" s="57" t="str">
        <f>Table17[[#This Row],[SATUAN_C]]</f>
        <v>BOX</v>
      </c>
      <c r="AX180" s="57" t="e">
        <f>Table17[[#This Row],[HARGA CONV2]]</f>
        <v>#N/A</v>
      </c>
      <c r="AY180" s="65" t="str">
        <f>SUBSTITUTE(Table17[[#This Row],[DISC 3]],",",".")</f>
        <v/>
      </c>
      <c r="AZ180" s="62">
        <f ca="1">Table17[[#This Row],[TGL DATANG]]</f>
        <v>45498</v>
      </c>
      <c r="BA180" s="62">
        <f ca="1">Table17[[#This Row],[Column10]]</f>
        <v>45496</v>
      </c>
      <c r="BB180" s="63"/>
      <c r="BC180" s="57" t="str">
        <f>Table17[[#This Row],[KETERANGAN CONDRO]]</f>
        <v>BARANG TITIP</v>
      </c>
      <c r="BD180" s="57" t="str">
        <f ca="1">Table17[[#This Row],[Column6]]</f>
        <v>TH034/7/2024</v>
      </c>
    </row>
    <row r="181" spans="1:56">
      <c r="A181" s="55">
        <v>237</v>
      </c>
      <c r="C181" s="57">
        <f>INDEX(NOTA[//DB],Sheet1!A:A)</f>
        <v>2718</v>
      </c>
      <c r="D181" s="57">
        <f>_xlfn.IFNA(MATCH(Table17[[#This Row],[//db]],[3]!Table2[\\],0),"")</f>
        <v>3464</v>
      </c>
      <c r="E181" s="57" t="str">
        <f>INDEX([3]!db[NB NOTA],Table17[[#This Row],[//db]])</f>
        <v>PERUNCING PAYU PU-830/ MINI/ KUPU</v>
      </c>
      <c r="F181" s="57" t="str">
        <f>INDEX([3]!db[NB BM],Table17[[#This Row],[//db]])</f>
        <v>ASAHAN PAYU 828</v>
      </c>
      <c r="G181" s="57" t="str">
        <f>IF(Table17[[#This Row],[dbconcat]]="","",INDEX([3]!Table2[NAMA],Table17[[#This Row],[dbconcat]]))</f>
        <v>ASAHAN PAYU 828</v>
      </c>
      <c r="H181" s="57">
        <f>INDEX([3]!Table2[KODE BARANG],Table17[[#This Row],[dbconcat]])</f>
        <v>0</v>
      </c>
      <c r="I181" s="57" t="str">
        <f>IF(Table17[[#This Row],[NAMA_3]]="",UPPER(Table17[[#This Row],[NAMA_2]]),Table17[[#This Row],[NAMA_3]])</f>
        <v>ASAHAN PAYU 828</v>
      </c>
      <c r="J181" s="57">
        <f>INDEX(NOTA[QTY],Sheet1!A:A)</f>
        <v>600</v>
      </c>
      <c r="K181" s="57" t="str">
        <f>INDEX(NOTA[STN],Sheet1!A:A)</f>
        <v>PCS</v>
      </c>
      <c r="L181" s="57" t="str">
        <f>INDEX([3]!db[QTY B],Table17[[#This Row],[//db]])</f>
        <v>120</v>
      </c>
      <c r="M181" s="57" t="str">
        <f>INDEX([3]!db[STN B],Table17[[#This Row],[//db]])</f>
        <v>BOX</v>
      </c>
      <c r="N181" s="57" t="e">
        <f>IF(Table17[[#This Row],[SATUAN NOTA]]=Table17[[#This Row],[SATUAN DB]],"", MATCH(CONCATENATE(Table17[[#This Row],[SATUAN NOTA]],Table17[[#This Row],[SATUAN DB]]),Table2[4],0))</f>
        <v>#N/A</v>
      </c>
      <c r="O181" s="57" t="e" cm="1">
        <f t="array" ref="O181">IF(Table17[[#This Row],[//CONV]]="","",INDEX(Table2[3],Table17[[#This Row],[//CONV]]))</f>
        <v>#N/A</v>
      </c>
      <c r="P181" s="57" t="e">
        <f>IF(Table17[[#This Row],[//CONV]]="",Table17[[#This Row],[ISI DB]],Table17[[#This Row],[ISI NOTA]]*Table17[[#This Row],[CONV VAR]])</f>
        <v>#N/A</v>
      </c>
      <c r="Q181" s="57" t="e" cm="1">
        <f t="array" ref="Q181">IF(Table17[[#This Row],[//CONV]]="",Table17[[#This Row],[SATUAN DB]],INDEX(Table2[2],Table17[[#This Row],[//CONV]]))</f>
        <v>#N/A</v>
      </c>
      <c r="R181" s="57" cm="1">
        <f t="array" ref="R181">IF(Table17[[#This Row],[dbconcat]]="","",INDEX([3]!Table2[ISI],Table17[[#This Row],[dbconcat]]))</f>
        <v>120</v>
      </c>
      <c r="S181" s="57" t="str" cm="1">
        <f t="array" ref="S181">IF(Table17[[#This Row],[dbconcat]]="","",INDEX([3]!Table2[[SATUAN ]],Table17[[#This Row],[dbconcat]]))</f>
        <v>BOX</v>
      </c>
      <c r="T181" s="57" t="str">
        <f>IF(Table17[[#This Row],[SATUAN S]]="","",IF(_xlfn.NUMBERVALUE(Table17[[#This Row],[ISI DB]])=_xlfn.NUMBERVALUE(Table17[[#This Row],[ISI S]]),"",1))</f>
        <v/>
      </c>
      <c r="U181" s="57" t="str">
        <f>IF(Table17[[#This Row],[SATUAN S]]="","",IF(Table17[[#This Row],[SATUAN DB]]=Table17[[#This Row],[SATUAN S]],"",1))</f>
        <v/>
      </c>
      <c r="V181" s="57" t="str">
        <f>IF(Table17[[#This Row],[CEK STN S]]="","",MATCH(CONCATENATE(Table17[[#This Row],[SATUAN CONV]],Table17[[#This Row],[SATUAN S]]),Table2[4],0))</f>
        <v/>
      </c>
      <c r="W181" s="57"/>
      <c r="X181" s="57" t="str" cm="1">
        <f t="array" ref="X181">IF(Table17[[#This Row],[CONV2_//]]="","",INDEX(Table2[3],Table17[[#This Row],[CONV2_//]]))</f>
        <v/>
      </c>
      <c r="Y181" s="58" t="str">
        <f>IF(Table17[[#This Row],[CEK ISI S]]="",Table17[[#This Row],[ISI DB]],Table17[[#This Row],[ISI S]])</f>
        <v>120</v>
      </c>
      <c r="Z181" s="57" t="str">
        <f>IF(Table17[[#This Row],[CEK STN S]]="",Table17[[#This Row],[SATUAN DB]],Table17[[#This Row],[SATUAN S]])</f>
        <v>BOX</v>
      </c>
      <c r="AA181" s="57" t="e">
        <f>IF(Table17[[#This Row],[//CONV]]="",Table17[[#This Row],[ISI NOTA]]/Table17[[#This Row],[ISI_C]],Table17[[#This Row],[ISI DB CONV]]/Table17[[#This Row],[ISI_C]])</f>
        <v>#N/A</v>
      </c>
      <c r="AB181" s="57">
        <f>INDEX(NOTA[HARGA SATUAN],Sheet1!A:A)</f>
        <v>0</v>
      </c>
      <c r="AC181" s="57" t="e">
        <f>IF(Table17[[#This Row],[//CONV]]="",Table17[[#This Row],[HARGA NOTA]],Table17[[#This Row],[HARGA NOTA]]/Table17[[#This Row],[CONV VAR]])</f>
        <v>#N/A</v>
      </c>
      <c r="AD181" s="57" t="e">
        <f>IF(Table17[[#This Row],[CEK STN S]]="",Table17[[#This Row],[HARGA CONV]],Table17[[#This Row],[HARGA CONV]]/Table17[[#This Row],[CONV2 VAR]])</f>
        <v>#N/A</v>
      </c>
      <c r="AE181" s="59" t="str">
        <f>IF(INDEX(NOTA[Column6],Sheet1!A:A)=0,"",INDEX(NOTA[Column6],Sheet1!A:A))</f>
        <v/>
      </c>
      <c r="AF181" s="59" t="str">
        <f>IF(INDEX(NOTA[Column7],Sheet1!A:A)=0,"",INDEX(NOTA[Column7],Sheet1!A:A))</f>
        <v/>
      </c>
      <c r="AG181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1" s="60">
        <f>INDEX(NOTA[HARGA/ CTN_H],Sheet1!A:A)</f>
        <v>0</v>
      </c>
      <c r="AI181" s="60">
        <f>IF(Table17[[#This Row],[DISC 3]]="",Table17[[#This Row],[HRG / CTN]],Table17[[#This Row],[HRG / CTN]]-(Table17[[#This Row],[HRG / CTN]]*Table17[[#This Row],[DISC 3]]))</f>
        <v>0</v>
      </c>
      <c r="AJ181" s="61" t="e">
        <f>IF(#REF!&lt;1,Table17[[#This Row],[Column9]],Table17[[#This Row],[Column9]]*#REF!)</f>
        <v>#REF!</v>
      </c>
      <c r="AK181" s="60" t="str">
        <f ca="1">IF(NOT(AP182=Table17[[#This Row],[Column6]]),SUMIF(Table17[Column6],Table17[[#This Row],[Column6]],Table17[Column7]),"")</f>
        <v/>
      </c>
      <c r="AL181" s="62">
        <f ca="1">INDEX(NOTA[TGL_H],Sheet1!A:A)</f>
        <v>45498</v>
      </c>
      <c r="AM181" s="62">
        <f ca="1">INDEX(NOTA[TGL.NOTA_H],Sheet1!A:A)</f>
        <v>45496</v>
      </c>
      <c r="AN181" s="63"/>
      <c r="AO181" s="57" t="str">
        <f>IF(INDEX(NOTA[Column10],A:A)="","",INDEX(NOTA[Column10],A:A))</f>
        <v>BARANG TITIP</v>
      </c>
      <c r="AP181" s="57" t="str">
        <f ca="1">INDEX(NOTA[NO.NOTA_H],Sheet1!A:A)</f>
        <v>TH034/7/2024</v>
      </c>
      <c r="AQ181" s="57" t="str">
        <f>INDEX(NOTA[Column10],Sheet1!A:A)</f>
        <v>BARANG TITIP</v>
      </c>
      <c r="AR181" s="64" t="str">
        <f ca="1">INDEX(NOTA[SUPPLIER_H],Sheet1!A:A)</f>
        <v>SBS</v>
      </c>
      <c r="AS181" s="57" t="str">
        <f>Table17[[#This Row],[NAMA_C]]</f>
        <v>ASAHAN PAYU 828</v>
      </c>
      <c r="AT181" s="57" t="str">
        <f ca="1">Table17[[#This Row],[SUPPLIER]]</f>
        <v>SBS</v>
      </c>
      <c r="AU181" s="57" t="e">
        <f>SUBSTITUTE(Table17[[#This Row],[CTN]],",",".")</f>
        <v>#N/A</v>
      </c>
      <c r="AV181" s="68" t="str">
        <f>Table17[[#This Row],[ISI_C]]</f>
        <v>120</v>
      </c>
      <c r="AW181" s="57" t="str">
        <f>Table17[[#This Row],[SATUAN_C]]</f>
        <v>BOX</v>
      </c>
      <c r="AX181" s="57" t="e">
        <f>Table17[[#This Row],[HARGA CONV2]]</f>
        <v>#N/A</v>
      </c>
      <c r="AY181" s="65" t="str">
        <f>SUBSTITUTE(Table17[[#This Row],[DISC 3]],",",".")</f>
        <v/>
      </c>
      <c r="AZ181" s="62">
        <f ca="1">Table17[[#This Row],[TGL DATANG]]</f>
        <v>45498</v>
      </c>
      <c r="BA181" s="62">
        <f ca="1">Table17[[#This Row],[Column10]]</f>
        <v>45496</v>
      </c>
      <c r="BB181" s="63"/>
      <c r="BC181" s="57" t="str">
        <f>Table17[[#This Row],[KETERANGAN CONDRO]]</f>
        <v>BARANG TITIP</v>
      </c>
      <c r="BD181" s="57" t="str">
        <f ca="1">Table17[[#This Row],[Column6]]</f>
        <v>TH034/7/2024</v>
      </c>
    </row>
    <row r="182" spans="1:56">
      <c r="A182" s="55">
        <v>238</v>
      </c>
      <c r="C182" s="57">
        <f>INDEX(NOTA[//DB],Sheet1!A:A)</f>
        <v>2719</v>
      </c>
      <c r="D182" s="57">
        <f>_xlfn.IFNA(MATCH(Table17[[#This Row],[//db]],[3]!Table2[\\],0),"")</f>
        <v>3465</v>
      </c>
      <c r="E182" s="57" t="str">
        <f>INDEX([3]!db[NB NOTA],Table17[[#This Row],[//db]])</f>
        <v>PERUNCING PAYU PU-831/ MINI/ IKAN</v>
      </c>
      <c r="F182" s="57" t="str">
        <f>INDEX([3]!db[NB BM],Table17[[#This Row],[//db]])</f>
        <v>ASAHAN PAYU 829</v>
      </c>
      <c r="G182" s="57" t="str">
        <f>IF(Table17[[#This Row],[dbconcat]]="","",INDEX([3]!Table2[NAMA],Table17[[#This Row],[dbconcat]]))</f>
        <v>ASAHAN PAYU 829</v>
      </c>
      <c r="H182" s="57">
        <f>INDEX([3]!Table2[KODE BARANG],Table17[[#This Row],[dbconcat]])</f>
        <v>0</v>
      </c>
      <c r="I182" s="57" t="str">
        <f>IF(Table17[[#This Row],[NAMA_3]]="",UPPER(Table17[[#This Row],[NAMA_2]]),Table17[[#This Row],[NAMA_3]])</f>
        <v>ASAHAN PAYU 829</v>
      </c>
      <c r="J182" s="57">
        <f>INDEX(NOTA[QTY],Sheet1!A:A)</f>
        <v>600</v>
      </c>
      <c r="K182" s="57" t="str">
        <f>INDEX(NOTA[STN],Sheet1!A:A)</f>
        <v>PCS</v>
      </c>
      <c r="L182" s="57" t="str">
        <f>INDEX([3]!db[QTY B],Table17[[#This Row],[//db]])</f>
        <v>120</v>
      </c>
      <c r="M182" s="57" t="str">
        <f>INDEX([3]!db[STN B],Table17[[#This Row],[//db]])</f>
        <v>BOX</v>
      </c>
      <c r="N182" s="57" t="e">
        <f>IF(Table17[[#This Row],[SATUAN NOTA]]=Table17[[#This Row],[SATUAN DB]],"", MATCH(CONCATENATE(Table17[[#This Row],[SATUAN NOTA]],Table17[[#This Row],[SATUAN DB]]),Table2[4],0))</f>
        <v>#N/A</v>
      </c>
      <c r="O182" s="57" t="e" cm="1">
        <f t="array" ref="O182">IF(Table17[[#This Row],[//CONV]]="","",INDEX(Table2[3],Table17[[#This Row],[//CONV]]))</f>
        <v>#N/A</v>
      </c>
      <c r="P182" s="57" t="e">
        <f>IF(Table17[[#This Row],[//CONV]]="",Table17[[#This Row],[ISI DB]],Table17[[#This Row],[ISI NOTA]]*Table17[[#This Row],[CONV VAR]])</f>
        <v>#N/A</v>
      </c>
      <c r="Q182" s="57" t="e" cm="1">
        <f t="array" ref="Q182">IF(Table17[[#This Row],[//CONV]]="",Table17[[#This Row],[SATUAN DB]],INDEX(Table2[2],Table17[[#This Row],[//CONV]]))</f>
        <v>#N/A</v>
      </c>
      <c r="R182" s="57" cm="1">
        <f t="array" ref="R182">IF(Table17[[#This Row],[dbconcat]]="","",INDEX([3]!Table2[ISI],Table17[[#This Row],[dbconcat]]))</f>
        <v>120</v>
      </c>
      <c r="S182" s="57" t="str" cm="1">
        <f t="array" ref="S182">IF(Table17[[#This Row],[dbconcat]]="","",INDEX([3]!Table2[[SATUAN ]],Table17[[#This Row],[dbconcat]]))</f>
        <v>BOX</v>
      </c>
      <c r="T182" s="57" t="str">
        <f>IF(Table17[[#This Row],[SATUAN S]]="","",IF(_xlfn.NUMBERVALUE(Table17[[#This Row],[ISI DB]])=_xlfn.NUMBERVALUE(Table17[[#This Row],[ISI S]]),"",1))</f>
        <v/>
      </c>
      <c r="U182" s="57" t="str">
        <f>IF(Table17[[#This Row],[SATUAN S]]="","",IF(Table17[[#This Row],[SATUAN DB]]=Table17[[#This Row],[SATUAN S]],"",1))</f>
        <v/>
      </c>
      <c r="V182" s="57" t="str">
        <f>IF(Table17[[#This Row],[CEK STN S]]="","",MATCH(CONCATENATE(Table17[[#This Row],[SATUAN CONV]],Table17[[#This Row],[SATUAN S]]),Table2[4],0))</f>
        <v/>
      </c>
      <c r="W182" s="57"/>
      <c r="X182" s="57" t="str" cm="1">
        <f t="array" ref="X182">IF(Table17[[#This Row],[CONV2_//]]="","",INDEX(Table2[3],Table17[[#This Row],[CONV2_//]]))</f>
        <v/>
      </c>
      <c r="Y182" s="58" t="str">
        <f>IF(Table17[[#This Row],[CEK ISI S]]="",Table17[[#This Row],[ISI DB]],Table17[[#This Row],[ISI S]])</f>
        <v>120</v>
      </c>
      <c r="Z182" s="57" t="str">
        <f>IF(Table17[[#This Row],[CEK STN S]]="",Table17[[#This Row],[SATUAN DB]],Table17[[#This Row],[SATUAN S]])</f>
        <v>BOX</v>
      </c>
      <c r="AA182" s="57" t="e">
        <f>IF(Table17[[#This Row],[//CONV]]="",Table17[[#This Row],[ISI NOTA]]/Table17[[#This Row],[ISI_C]],Table17[[#This Row],[ISI DB CONV]]/Table17[[#This Row],[ISI_C]])</f>
        <v>#N/A</v>
      </c>
      <c r="AB182" s="57">
        <f>INDEX(NOTA[HARGA SATUAN],Sheet1!A:A)</f>
        <v>0</v>
      </c>
      <c r="AC182" s="57" t="e">
        <f>IF(Table17[[#This Row],[//CONV]]="",Table17[[#This Row],[HARGA NOTA]],Table17[[#This Row],[HARGA NOTA]]/Table17[[#This Row],[CONV VAR]])</f>
        <v>#N/A</v>
      </c>
      <c r="AD182" s="57" t="e">
        <f>IF(Table17[[#This Row],[CEK STN S]]="",Table17[[#This Row],[HARGA CONV]],Table17[[#This Row],[HARGA CONV]]/Table17[[#This Row],[CONV2 VAR]])</f>
        <v>#N/A</v>
      </c>
      <c r="AE182" s="59" t="str">
        <f>IF(INDEX(NOTA[Column6],Sheet1!A:A)=0,"",INDEX(NOTA[Column6],Sheet1!A:A))</f>
        <v/>
      </c>
      <c r="AF182" s="59" t="str">
        <f>IF(INDEX(NOTA[Column7],Sheet1!A:A)=0,"",INDEX(NOTA[Column7],Sheet1!A:A))</f>
        <v/>
      </c>
      <c r="AG182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2" s="60">
        <f>INDEX(NOTA[HARGA/ CTN_H],Sheet1!A:A)</f>
        <v>0</v>
      </c>
      <c r="AI182" s="60">
        <f>IF(Table17[[#This Row],[DISC 3]]="",Table17[[#This Row],[HRG / CTN]],Table17[[#This Row],[HRG / CTN]]-(Table17[[#This Row],[HRG / CTN]]*Table17[[#This Row],[DISC 3]]))</f>
        <v>0</v>
      </c>
      <c r="AJ182" s="61" t="e">
        <f>IF(#REF!&lt;1,Table17[[#This Row],[Column9]],Table17[[#This Row],[Column9]]*#REF!)</f>
        <v>#REF!</v>
      </c>
      <c r="AK182" s="60" t="str">
        <f ca="1">IF(NOT(AP183=Table17[[#This Row],[Column6]]),SUMIF(Table17[Column6],Table17[[#This Row],[Column6]],Table17[Column7]),"")</f>
        <v/>
      </c>
      <c r="AL182" s="62">
        <f ca="1">INDEX(NOTA[TGL_H],Sheet1!A:A)</f>
        <v>45498</v>
      </c>
      <c r="AM182" s="62">
        <f ca="1">INDEX(NOTA[TGL.NOTA_H],Sheet1!A:A)</f>
        <v>45496</v>
      </c>
      <c r="AN182" s="63"/>
      <c r="AO182" s="57" t="str">
        <f>IF(INDEX(NOTA[Column10],A:A)="","",INDEX(NOTA[Column10],A:A))</f>
        <v>BARANG TITIP</v>
      </c>
      <c r="AP182" s="57" t="str">
        <f ca="1">INDEX(NOTA[NO.NOTA_H],Sheet1!A:A)</f>
        <v>TH034/7/2024</v>
      </c>
      <c r="AQ182" s="57" t="str">
        <f>INDEX(NOTA[Column10],Sheet1!A:A)</f>
        <v>BARANG TITIP</v>
      </c>
      <c r="AR182" s="64" t="str">
        <f ca="1">INDEX(NOTA[SUPPLIER_H],Sheet1!A:A)</f>
        <v>SBS</v>
      </c>
      <c r="AS182" s="57" t="str">
        <f>Table17[[#This Row],[NAMA_C]]</f>
        <v>ASAHAN PAYU 829</v>
      </c>
      <c r="AT182" s="57" t="str">
        <f ca="1">Table17[[#This Row],[SUPPLIER]]</f>
        <v>SBS</v>
      </c>
      <c r="AU182" s="57" t="e">
        <f>SUBSTITUTE(Table17[[#This Row],[CTN]],",",".")</f>
        <v>#N/A</v>
      </c>
      <c r="AV182" s="68" t="str">
        <f>Table17[[#This Row],[ISI_C]]</f>
        <v>120</v>
      </c>
      <c r="AW182" s="57" t="str">
        <f>Table17[[#This Row],[SATUAN_C]]</f>
        <v>BOX</v>
      </c>
      <c r="AX182" s="57" t="e">
        <f>Table17[[#This Row],[HARGA CONV2]]</f>
        <v>#N/A</v>
      </c>
      <c r="AY182" s="65" t="str">
        <f>SUBSTITUTE(Table17[[#This Row],[DISC 3]],",",".")</f>
        <v/>
      </c>
      <c r="AZ182" s="62">
        <f ca="1">Table17[[#This Row],[TGL DATANG]]</f>
        <v>45498</v>
      </c>
      <c r="BA182" s="62">
        <f ca="1">Table17[[#This Row],[Column10]]</f>
        <v>45496</v>
      </c>
      <c r="BB182" s="63"/>
      <c r="BC182" s="57" t="str">
        <f>Table17[[#This Row],[KETERANGAN CONDRO]]</f>
        <v>BARANG TITIP</v>
      </c>
      <c r="BD182" s="57" t="str">
        <f ca="1">Table17[[#This Row],[Column6]]</f>
        <v>TH034/7/2024</v>
      </c>
    </row>
    <row r="183" spans="1:56">
      <c r="A183" s="55">
        <v>239</v>
      </c>
      <c r="C183" s="57">
        <f>INDEX(NOTA[//DB],Sheet1!A:A)</f>
        <v>2722</v>
      </c>
      <c r="D183" s="57">
        <f>_xlfn.IFNA(MATCH(Table17[[#This Row],[//db]],[3]!Table2[\\],0),"")</f>
        <v>206</v>
      </c>
      <c r="E183" s="57" t="str">
        <f>INDEX([3]!db[NB NOTA],Table17[[#This Row],[//db]])</f>
        <v>PERUNCING PAYU PU-845/ MINI/ KEPITING</v>
      </c>
      <c r="F183" s="57" t="str">
        <f>INDEX([3]!db[NB BM],Table17[[#This Row],[//db]])</f>
        <v>ASAHAN PAYU 845 KEPITING</v>
      </c>
      <c r="G183" s="57" t="str">
        <f>IF(Table17[[#This Row],[dbconcat]]="","",INDEX([3]!Table2[NAMA],Table17[[#This Row],[dbconcat]]))</f>
        <v>ASAHAN PAYU 845 KEPITING</v>
      </c>
      <c r="H183" s="57" t="str">
        <f>INDEX([3]!Table2[KODE BARANG],Table17[[#This Row],[dbconcat]])</f>
        <v>ASA-PY130</v>
      </c>
      <c r="I183" s="57" t="str">
        <f>IF(Table17[[#This Row],[NAMA_3]]="",UPPER(Table17[[#This Row],[NAMA_2]]),Table17[[#This Row],[NAMA_3]])</f>
        <v>ASAHAN PAYU 845 KEPITING</v>
      </c>
      <c r="J183" s="57">
        <f>INDEX(NOTA[QTY],Sheet1!A:A)</f>
        <v>840</v>
      </c>
      <c r="K183" s="57" t="str">
        <f>INDEX(NOTA[STN],Sheet1!A:A)</f>
        <v>PCS</v>
      </c>
      <c r="L183" s="57" t="str">
        <f>INDEX([3]!db[QTY B],Table17[[#This Row],[//db]])</f>
        <v>120</v>
      </c>
      <c r="M183" s="57" t="str">
        <f>INDEX([3]!db[STN B],Table17[[#This Row],[//db]])</f>
        <v>BOX</v>
      </c>
      <c r="N183" s="57" t="e">
        <f>IF(Table17[[#This Row],[SATUAN NOTA]]=Table17[[#This Row],[SATUAN DB]],"", MATCH(CONCATENATE(Table17[[#This Row],[SATUAN NOTA]],Table17[[#This Row],[SATUAN DB]]),Table2[4],0))</f>
        <v>#N/A</v>
      </c>
      <c r="O183" s="57" t="e" cm="1">
        <f t="array" ref="O183">IF(Table17[[#This Row],[//CONV]]="","",INDEX(Table2[3],Table17[[#This Row],[//CONV]]))</f>
        <v>#N/A</v>
      </c>
      <c r="P183" s="57" t="e">
        <f>IF(Table17[[#This Row],[//CONV]]="",Table17[[#This Row],[ISI DB]],Table17[[#This Row],[ISI NOTA]]*Table17[[#This Row],[CONV VAR]])</f>
        <v>#N/A</v>
      </c>
      <c r="Q183" s="57" t="e" cm="1">
        <f t="array" ref="Q183">IF(Table17[[#This Row],[//CONV]]="",Table17[[#This Row],[SATUAN DB]],INDEX(Table2[2],Table17[[#This Row],[//CONV]]))</f>
        <v>#N/A</v>
      </c>
      <c r="R183" s="57" cm="1">
        <f t="array" ref="R183">IF(Table17[[#This Row],[dbconcat]]="","",INDEX([3]!Table2[ISI],Table17[[#This Row],[dbconcat]]))</f>
        <v>120</v>
      </c>
      <c r="S183" s="57" t="str" cm="1">
        <f t="array" ref="S183">IF(Table17[[#This Row],[dbconcat]]="","",INDEX([3]!Table2[[SATUAN ]],Table17[[#This Row],[dbconcat]]))</f>
        <v>BOX</v>
      </c>
      <c r="T183" s="57" t="str">
        <f>IF(Table17[[#This Row],[SATUAN S]]="","",IF(_xlfn.NUMBERVALUE(Table17[[#This Row],[ISI DB]])=_xlfn.NUMBERVALUE(Table17[[#This Row],[ISI S]]),"",1))</f>
        <v/>
      </c>
      <c r="U183" s="57" t="str">
        <f>IF(Table17[[#This Row],[SATUAN S]]="","",IF(Table17[[#This Row],[SATUAN DB]]=Table17[[#This Row],[SATUAN S]],"",1))</f>
        <v/>
      </c>
      <c r="V183" s="57" t="str">
        <f>IF(Table17[[#This Row],[CEK STN S]]="","",MATCH(CONCATENATE(Table17[[#This Row],[SATUAN CONV]],Table17[[#This Row],[SATUAN S]]),Table2[4],0))</f>
        <v/>
      </c>
      <c r="W183" s="57"/>
      <c r="X183" s="57" t="str" cm="1">
        <f t="array" ref="X183">IF(Table17[[#This Row],[CONV2_//]]="","",INDEX(Table2[3],Table17[[#This Row],[CONV2_//]]))</f>
        <v/>
      </c>
      <c r="Y183" s="58" t="str">
        <f>IF(Table17[[#This Row],[CEK ISI S]]="",Table17[[#This Row],[ISI DB]],Table17[[#This Row],[ISI S]])</f>
        <v>120</v>
      </c>
      <c r="Z183" s="57" t="str">
        <f>IF(Table17[[#This Row],[CEK STN S]]="",Table17[[#This Row],[SATUAN DB]],Table17[[#This Row],[SATUAN S]])</f>
        <v>BOX</v>
      </c>
      <c r="AA183" s="57" t="e">
        <f>IF(Table17[[#This Row],[//CONV]]="",Table17[[#This Row],[ISI NOTA]]/Table17[[#This Row],[ISI_C]],Table17[[#This Row],[ISI DB CONV]]/Table17[[#This Row],[ISI_C]])</f>
        <v>#N/A</v>
      </c>
      <c r="AB183" s="57">
        <f>INDEX(NOTA[HARGA SATUAN],Sheet1!A:A)</f>
        <v>0</v>
      </c>
      <c r="AC183" s="57" t="e">
        <f>IF(Table17[[#This Row],[//CONV]]="",Table17[[#This Row],[HARGA NOTA]],Table17[[#This Row],[HARGA NOTA]]/Table17[[#This Row],[CONV VAR]])</f>
        <v>#N/A</v>
      </c>
      <c r="AD183" s="57" t="e">
        <f>IF(Table17[[#This Row],[CEK STN S]]="",Table17[[#This Row],[HARGA CONV]],Table17[[#This Row],[HARGA CONV]]/Table17[[#This Row],[CONV2 VAR]])</f>
        <v>#N/A</v>
      </c>
      <c r="AE183" s="59" t="str">
        <f>IF(INDEX(NOTA[Column6],Sheet1!A:A)=0,"",INDEX(NOTA[Column6],Sheet1!A:A))</f>
        <v/>
      </c>
      <c r="AF183" s="59" t="str">
        <f>IF(INDEX(NOTA[Column7],Sheet1!A:A)=0,"",INDEX(NOTA[Column7],Sheet1!A:A))</f>
        <v/>
      </c>
      <c r="AG183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3" s="60">
        <f>INDEX(NOTA[HARGA/ CTN_H],Sheet1!A:A)</f>
        <v>0</v>
      </c>
      <c r="AI183" s="60">
        <f>IF(Table17[[#This Row],[DISC 3]]="",Table17[[#This Row],[HRG / CTN]],Table17[[#This Row],[HRG / CTN]]-(Table17[[#This Row],[HRG / CTN]]*Table17[[#This Row],[DISC 3]]))</f>
        <v>0</v>
      </c>
      <c r="AJ183" s="61" t="e">
        <f>IF(#REF!&lt;1,Table17[[#This Row],[Column9]],Table17[[#This Row],[Column9]]*#REF!)</f>
        <v>#REF!</v>
      </c>
      <c r="AK183" s="60" t="str">
        <f ca="1">IF(NOT(AP184=Table17[[#This Row],[Column6]]),SUMIF(Table17[Column6],Table17[[#This Row],[Column6]],Table17[Column7]),"")</f>
        <v/>
      </c>
      <c r="AL183" s="62">
        <f ca="1">INDEX(NOTA[TGL_H],Sheet1!A:A)</f>
        <v>45498</v>
      </c>
      <c r="AM183" s="62">
        <f ca="1">INDEX(NOTA[TGL.NOTA_H],Sheet1!A:A)</f>
        <v>45496</v>
      </c>
      <c r="AN183" s="63"/>
      <c r="AO183" s="57" t="str">
        <f>IF(INDEX(NOTA[Column10],A:A)="","",INDEX(NOTA[Column10],A:A))</f>
        <v>BARANG TITIP</v>
      </c>
      <c r="AP183" s="57" t="str">
        <f ca="1">INDEX(NOTA[NO.NOTA_H],Sheet1!A:A)</f>
        <v>TH034/7/2024</v>
      </c>
      <c r="AQ183" s="57" t="str">
        <f>INDEX(NOTA[Column10],Sheet1!A:A)</f>
        <v>BARANG TITIP</v>
      </c>
      <c r="AR183" s="64" t="str">
        <f ca="1">INDEX(NOTA[SUPPLIER_H],Sheet1!A:A)</f>
        <v>SBS</v>
      </c>
      <c r="AS183" s="57" t="str">
        <f>Table17[[#This Row],[NAMA_C]]</f>
        <v>ASAHAN PAYU 845 KEPITING</v>
      </c>
      <c r="AT183" s="57" t="str">
        <f ca="1">Table17[[#This Row],[SUPPLIER]]</f>
        <v>SBS</v>
      </c>
      <c r="AU183" s="57" t="e">
        <f>SUBSTITUTE(Table17[[#This Row],[CTN]],",",".")</f>
        <v>#N/A</v>
      </c>
      <c r="AV183" s="68" t="str">
        <f>Table17[[#This Row],[ISI_C]]</f>
        <v>120</v>
      </c>
      <c r="AW183" s="57" t="str">
        <f>Table17[[#This Row],[SATUAN_C]]</f>
        <v>BOX</v>
      </c>
      <c r="AX183" s="57" t="e">
        <f>Table17[[#This Row],[HARGA CONV2]]</f>
        <v>#N/A</v>
      </c>
      <c r="AY183" s="65" t="str">
        <f>SUBSTITUTE(Table17[[#This Row],[DISC 3]],",",".")</f>
        <v/>
      </c>
      <c r="AZ183" s="62">
        <f ca="1">Table17[[#This Row],[TGL DATANG]]</f>
        <v>45498</v>
      </c>
      <c r="BA183" s="62">
        <f ca="1">Table17[[#This Row],[Column10]]</f>
        <v>45496</v>
      </c>
      <c r="BB183" s="63"/>
      <c r="BC183" s="57" t="str">
        <f>Table17[[#This Row],[KETERANGAN CONDRO]]</f>
        <v>BARANG TITIP</v>
      </c>
      <c r="BD183" s="57" t="str">
        <f ca="1">Table17[[#This Row],[Column6]]</f>
        <v>TH034/7/2024</v>
      </c>
    </row>
    <row r="184" spans="1:56">
      <c r="A184" s="55">
        <v>240</v>
      </c>
      <c r="C184" s="57">
        <f>INDEX(NOTA[//DB],Sheet1!A:A)</f>
        <v>2723</v>
      </c>
      <c r="D184" s="57">
        <f>_xlfn.IFNA(MATCH(Table17[[#This Row],[//db]],[3]!Table2[\\],0),"")</f>
        <v>207</v>
      </c>
      <c r="E184" s="57" t="str">
        <f>INDEX([3]!db[NB NOTA],Table17[[#This Row],[//db]])</f>
        <v>PERUNCING PAYU PU-846/ MINI/ KUDA GOYANG</v>
      </c>
      <c r="F184" s="57" t="str">
        <f>INDEX([3]!db[NB BM],Table17[[#This Row],[//db]])</f>
        <v>ASAHAN PAYU 846 KUDA GOYANG</v>
      </c>
      <c r="G184" s="57" t="str">
        <f>IF(Table17[[#This Row],[dbconcat]]="","",INDEX([3]!Table2[NAMA],Table17[[#This Row],[dbconcat]]))</f>
        <v>ASAHAN PAYU 846 KUDA GOYANG</v>
      </c>
      <c r="H184" s="57" t="str">
        <f>INDEX([3]!Table2[KODE BARANG],Table17[[#This Row],[dbconcat]])</f>
        <v>ASA-PY131</v>
      </c>
      <c r="I184" s="57" t="str">
        <f>IF(Table17[[#This Row],[NAMA_3]]="",UPPER(Table17[[#This Row],[NAMA_2]]),Table17[[#This Row],[NAMA_3]])</f>
        <v>ASAHAN PAYU 846 KUDA GOYANG</v>
      </c>
      <c r="J184" s="57">
        <f>INDEX(NOTA[QTY],Sheet1!A:A)</f>
        <v>720</v>
      </c>
      <c r="K184" s="57" t="str">
        <f>INDEX(NOTA[STN],Sheet1!A:A)</f>
        <v>PCS</v>
      </c>
      <c r="L184" s="57" t="str">
        <f>INDEX([3]!db[QTY B],Table17[[#This Row],[//db]])</f>
        <v>120</v>
      </c>
      <c r="M184" s="57" t="str">
        <f>INDEX([3]!db[STN B],Table17[[#This Row],[//db]])</f>
        <v>BOX</v>
      </c>
      <c r="N184" s="57" t="e">
        <f>IF(Table17[[#This Row],[SATUAN NOTA]]=Table17[[#This Row],[SATUAN DB]],"", MATCH(CONCATENATE(Table17[[#This Row],[SATUAN NOTA]],Table17[[#This Row],[SATUAN DB]]),Table2[4],0))</f>
        <v>#N/A</v>
      </c>
      <c r="O184" s="57" t="e" cm="1">
        <f t="array" ref="O184">IF(Table17[[#This Row],[//CONV]]="","",INDEX(Table2[3],Table17[[#This Row],[//CONV]]))</f>
        <v>#N/A</v>
      </c>
      <c r="P184" s="57" t="e">
        <f>IF(Table17[[#This Row],[//CONV]]="",Table17[[#This Row],[ISI DB]],Table17[[#This Row],[ISI NOTA]]*Table17[[#This Row],[CONV VAR]])</f>
        <v>#N/A</v>
      </c>
      <c r="Q184" s="57" t="e" cm="1">
        <f t="array" ref="Q184">IF(Table17[[#This Row],[//CONV]]="",Table17[[#This Row],[SATUAN DB]],INDEX(Table2[2],Table17[[#This Row],[//CONV]]))</f>
        <v>#N/A</v>
      </c>
      <c r="R184" s="57" cm="1">
        <f t="array" ref="R184">IF(Table17[[#This Row],[dbconcat]]="","",INDEX([3]!Table2[ISI],Table17[[#This Row],[dbconcat]]))</f>
        <v>120</v>
      </c>
      <c r="S184" s="57" t="str" cm="1">
        <f t="array" ref="S184">IF(Table17[[#This Row],[dbconcat]]="","",INDEX([3]!Table2[[SATUAN ]],Table17[[#This Row],[dbconcat]]))</f>
        <v>BOX</v>
      </c>
      <c r="T184" s="57" t="str">
        <f>IF(Table17[[#This Row],[SATUAN S]]="","",IF(_xlfn.NUMBERVALUE(Table17[[#This Row],[ISI DB]])=_xlfn.NUMBERVALUE(Table17[[#This Row],[ISI S]]),"",1))</f>
        <v/>
      </c>
      <c r="U184" s="57" t="str">
        <f>IF(Table17[[#This Row],[SATUAN S]]="","",IF(Table17[[#This Row],[SATUAN DB]]=Table17[[#This Row],[SATUAN S]],"",1))</f>
        <v/>
      </c>
      <c r="V184" s="57" t="str">
        <f>IF(Table17[[#This Row],[CEK STN S]]="","",MATCH(CONCATENATE(Table17[[#This Row],[SATUAN CONV]],Table17[[#This Row],[SATUAN S]]),Table2[4],0))</f>
        <v/>
      </c>
      <c r="W184" s="57"/>
      <c r="X184" s="57" t="str" cm="1">
        <f t="array" ref="X184">IF(Table17[[#This Row],[CONV2_//]]="","",INDEX(Table2[3],Table17[[#This Row],[CONV2_//]]))</f>
        <v/>
      </c>
      <c r="Y184" s="58" t="str">
        <f>IF(Table17[[#This Row],[CEK ISI S]]="",Table17[[#This Row],[ISI DB]],Table17[[#This Row],[ISI S]])</f>
        <v>120</v>
      </c>
      <c r="Z184" s="57" t="str">
        <f>IF(Table17[[#This Row],[CEK STN S]]="",Table17[[#This Row],[SATUAN DB]],Table17[[#This Row],[SATUAN S]])</f>
        <v>BOX</v>
      </c>
      <c r="AA184" s="57" t="e">
        <f>IF(Table17[[#This Row],[//CONV]]="",Table17[[#This Row],[ISI NOTA]]/Table17[[#This Row],[ISI_C]],Table17[[#This Row],[ISI DB CONV]]/Table17[[#This Row],[ISI_C]])</f>
        <v>#N/A</v>
      </c>
      <c r="AB184" s="57">
        <f>INDEX(NOTA[HARGA SATUAN],Sheet1!A:A)</f>
        <v>0</v>
      </c>
      <c r="AC184" s="57" t="e">
        <f>IF(Table17[[#This Row],[//CONV]]="",Table17[[#This Row],[HARGA NOTA]],Table17[[#This Row],[HARGA NOTA]]/Table17[[#This Row],[CONV VAR]])</f>
        <v>#N/A</v>
      </c>
      <c r="AD184" s="57" t="e">
        <f>IF(Table17[[#This Row],[CEK STN S]]="",Table17[[#This Row],[HARGA CONV]],Table17[[#This Row],[HARGA CONV]]/Table17[[#This Row],[CONV2 VAR]])</f>
        <v>#N/A</v>
      </c>
      <c r="AE184" s="59" t="str">
        <f>IF(INDEX(NOTA[Column6],Sheet1!A:A)=0,"",INDEX(NOTA[Column6],Sheet1!A:A))</f>
        <v/>
      </c>
      <c r="AF184" s="59" t="str">
        <f>IF(INDEX(NOTA[Column7],Sheet1!A:A)=0,"",INDEX(NOTA[Column7],Sheet1!A:A))</f>
        <v/>
      </c>
      <c r="AG184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4" s="60">
        <f>INDEX(NOTA[HARGA/ CTN_H],Sheet1!A:A)</f>
        <v>0</v>
      </c>
      <c r="AI184" s="60">
        <f>IF(Table17[[#This Row],[DISC 3]]="",Table17[[#This Row],[HRG / CTN]],Table17[[#This Row],[HRG / CTN]]-(Table17[[#This Row],[HRG / CTN]]*Table17[[#This Row],[DISC 3]]))</f>
        <v>0</v>
      </c>
      <c r="AJ184" s="61" t="e">
        <f>IF(#REF!&lt;1,Table17[[#This Row],[Column9]],Table17[[#This Row],[Column9]]*#REF!)</f>
        <v>#REF!</v>
      </c>
      <c r="AK184" s="60" t="str">
        <f ca="1">IF(NOT(AP185=Table17[[#This Row],[Column6]]),SUMIF(Table17[Column6],Table17[[#This Row],[Column6]],Table17[Column7]),"")</f>
        <v/>
      </c>
      <c r="AL184" s="62">
        <f ca="1">INDEX(NOTA[TGL_H],Sheet1!A:A)</f>
        <v>45498</v>
      </c>
      <c r="AM184" s="62">
        <f ca="1">INDEX(NOTA[TGL.NOTA_H],Sheet1!A:A)</f>
        <v>45496</v>
      </c>
      <c r="AN184" s="63"/>
      <c r="AO184" s="57" t="str">
        <f>IF(INDEX(NOTA[Column10],A:A)="","",INDEX(NOTA[Column10],A:A))</f>
        <v>BARANG TITIP</v>
      </c>
      <c r="AP184" s="57" t="str">
        <f ca="1">INDEX(NOTA[NO.NOTA_H],Sheet1!A:A)</f>
        <v>TH034/7/2024</v>
      </c>
      <c r="AQ184" s="57" t="str">
        <f>INDEX(NOTA[Column10],Sheet1!A:A)</f>
        <v>BARANG TITIP</v>
      </c>
      <c r="AR184" s="64" t="str">
        <f ca="1">INDEX(NOTA[SUPPLIER_H],Sheet1!A:A)</f>
        <v>SBS</v>
      </c>
      <c r="AS184" s="57" t="str">
        <f>Table17[[#This Row],[NAMA_C]]</f>
        <v>ASAHAN PAYU 846 KUDA GOYANG</v>
      </c>
      <c r="AT184" s="57" t="str">
        <f ca="1">Table17[[#This Row],[SUPPLIER]]</f>
        <v>SBS</v>
      </c>
      <c r="AU184" s="57" t="e">
        <f>SUBSTITUTE(Table17[[#This Row],[CTN]],",",".")</f>
        <v>#N/A</v>
      </c>
      <c r="AV184" s="68" t="str">
        <f>Table17[[#This Row],[ISI_C]]</f>
        <v>120</v>
      </c>
      <c r="AW184" s="57" t="str">
        <f>Table17[[#This Row],[SATUAN_C]]</f>
        <v>BOX</v>
      </c>
      <c r="AX184" s="57" t="e">
        <f>Table17[[#This Row],[HARGA CONV2]]</f>
        <v>#N/A</v>
      </c>
      <c r="AY184" s="65" t="str">
        <f>SUBSTITUTE(Table17[[#This Row],[DISC 3]],",",".")</f>
        <v/>
      </c>
      <c r="AZ184" s="62">
        <f ca="1">Table17[[#This Row],[TGL DATANG]]</f>
        <v>45498</v>
      </c>
      <c r="BA184" s="62">
        <f ca="1">Table17[[#This Row],[Column10]]</f>
        <v>45496</v>
      </c>
      <c r="BB184" s="63"/>
      <c r="BC184" s="57" t="str">
        <f>Table17[[#This Row],[KETERANGAN CONDRO]]</f>
        <v>BARANG TITIP</v>
      </c>
      <c r="BD184" s="57" t="str">
        <f ca="1">Table17[[#This Row],[Column6]]</f>
        <v>TH034/7/2024</v>
      </c>
    </row>
    <row r="185" spans="1:56">
      <c r="A185" s="55">
        <v>241</v>
      </c>
      <c r="C185" s="57">
        <f>INDEX(NOTA[//DB],Sheet1!A:A)</f>
        <v>2724</v>
      </c>
      <c r="D185" s="57">
        <f>_xlfn.IFNA(MATCH(Table17[[#This Row],[//db]],[3]!Table2[\\],0),"")</f>
        <v>208</v>
      </c>
      <c r="E185" s="57" t="str">
        <f>INDEX([3]!db[NB NOTA],Table17[[#This Row],[//db]])</f>
        <v>PERUNCING PAYU PU-847/ MINI/ KURA</v>
      </c>
      <c r="F185" s="57" t="str">
        <f>INDEX([3]!db[NB BM],Table17[[#This Row],[//db]])</f>
        <v>ASAHAN PAYU 847 KURA-KURA</v>
      </c>
      <c r="G185" s="57" t="str">
        <f>IF(Table17[[#This Row],[dbconcat]]="","",INDEX([3]!Table2[NAMA],Table17[[#This Row],[dbconcat]]))</f>
        <v>ASAHAN PAYU 847 KURA-KURA</v>
      </c>
      <c r="H185" s="57" t="str">
        <f>INDEX([3]!Table2[KODE BARANG],Table17[[#This Row],[dbconcat]])</f>
        <v>ASA-PY132</v>
      </c>
      <c r="I185" s="57" t="str">
        <f>IF(Table17[[#This Row],[NAMA_3]]="",UPPER(Table17[[#This Row],[NAMA_2]]),Table17[[#This Row],[NAMA_3]])</f>
        <v>ASAHAN PAYU 847 KURA-KURA</v>
      </c>
      <c r="J185" s="57">
        <f>INDEX(NOTA[QTY],Sheet1!A:A)</f>
        <v>720</v>
      </c>
      <c r="K185" s="57" t="str">
        <f>INDEX(NOTA[STN],Sheet1!A:A)</f>
        <v>PCS</v>
      </c>
      <c r="L185" s="57" t="str">
        <f>INDEX([3]!db[QTY B],Table17[[#This Row],[//db]])</f>
        <v>121</v>
      </c>
      <c r="M185" s="57" t="str">
        <f>INDEX([3]!db[STN B],Table17[[#This Row],[//db]])</f>
        <v>BOX</v>
      </c>
      <c r="N185" s="57" t="e">
        <f>IF(Table17[[#This Row],[SATUAN NOTA]]=Table17[[#This Row],[SATUAN DB]],"", MATCH(CONCATENATE(Table17[[#This Row],[SATUAN NOTA]],Table17[[#This Row],[SATUAN DB]]),Table2[4],0))</f>
        <v>#N/A</v>
      </c>
      <c r="O185" s="57" t="e" cm="1">
        <f t="array" ref="O185">IF(Table17[[#This Row],[//CONV]]="","",INDEX(Table2[3],Table17[[#This Row],[//CONV]]))</f>
        <v>#N/A</v>
      </c>
      <c r="P185" s="57" t="e">
        <f>IF(Table17[[#This Row],[//CONV]]="",Table17[[#This Row],[ISI DB]],Table17[[#This Row],[ISI NOTA]]*Table17[[#This Row],[CONV VAR]])</f>
        <v>#N/A</v>
      </c>
      <c r="Q185" s="57" t="e" cm="1">
        <f t="array" ref="Q185">IF(Table17[[#This Row],[//CONV]]="",Table17[[#This Row],[SATUAN DB]],INDEX(Table2[2],Table17[[#This Row],[//CONV]]))</f>
        <v>#N/A</v>
      </c>
      <c r="R185" s="57" cm="1">
        <f t="array" ref="R185">IF(Table17[[#This Row],[dbconcat]]="","",INDEX([3]!Table2[ISI],Table17[[#This Row],[dbconcat]]))</f>
        <v>120</v>
      </c>
      <c r="S185" s="57" t="str" cm="1">
        <f t="array" ref="S185">IF(Table17[[#This Row],[dbconcat]]="","",INDEX([3]!Table2[[SATUAN ]],Table17[[#This Row],[dbconcat]]))</f>
        <v>BOX</v>
      </c>
      <c r="T185" s="57">
        <f>IF(Table17[[#This Row],[SATUAN S]]="","",IF(_xlfn.NUMBERVALUE(Table17[[#This Row],[ISI DB]])=_xlfn.NUMBERVALUE(Table17[[#This Row],[ISI S]]),"",1))</f>
        <v>1</v>
      </c>
      <c r="U185" s="57" t="str">
        <f>IF(Table17[[#This Row],[SATUAN S]]="","",IF(Table17[[#This Row],[SATUAN DB]]=Table17[[#This Row],[SATUAN S]],"",1))</f>
        <v/>
      </c>
      <c r="V185" s="57" t="str">
        <f>IF(Table17[[#This Row],[CEK STN S]]="","",MATCH(CONCATENATE(Table17[[#This Row],[SATUAN CONV]],Table17[[#This Row],[SATUAN S]]),Table2[4],0))</f>
        <v/>
      </c>
      <c r="W185" s="57"/>
      <c r="X185" s="57" t="str" cm="1">
        <f t="array" ref="X185">IF(Table17[[#This Row],[CONV2_//]]="","",INDEX(Table2[3],Table17[[#This Row],[CONV2_//]]))</f>
        <v/>
      </c>
      <c r="Y185" s="58">
        <f>IF(Table17[[#This Row],[CEK ISI S]]="",Table17[[#This Row],[ISI DB]],Table17[[#This Row],[ISI S]])</f>
        <v>120</v>
      </c>
      <c r="Z185" s="57" t="str">
        <f>IF(Table17[[#This Row],[CEK STN S]]="",Table17[[#This Row],[SATUAN DB]],Table17[[#This Row],[SATUAN S]])</f>
        <v>BOX</v>
      </c>
      <c r="AA185" s="57" t="e">
        <f>IF(Table17[[#This Row],[//CONV]]="",Table17[[#This Row],[ISI NOTA]]/Table17[[#This Row],[ISI_C]],Table17[[#This Row],[ISI DB CONV]]/Table17[[#This Row],[ISI_C]])</f>
        <v>#N/A</v>
      </c>
      <c r="AB185" s="57">
        <f>INDEX(NOTA[HARGA SATUAN],Sheet1!A:A)</f>
        <v>0</v>
      </c>
      <c r="AC185" s="57" t="e">
        <f>IF(Table17[[#This Row],[//CONV]]="",Table17[[#This Row],[HARGA NOTA]],Table17[[#This Row],[HARGA NOTA]]/Table17[[#This Row],[CONV VAR]])</f>
        <v>#N/A</v>
      </c>
      <c r="AD185" s="57" t="e">
        <f>IF(Table17[[#This Row],[CEK STN S]]="",Table17[[#This Row],[HARGA CONV]],Table17[[#This Row],[HARGA CONV]]/Table17[[#This Row],[CONV2 VAR]])</f>
        <v>#N/A</v>
      </c>
      <c r="AE185" s="59" t="str">
        <f>IF(INDEX(NOTA[Column6],Sheet1!A:A)=0,"",INDEX(NOTA[Column6],Sheet1!A:A))</f>
        <v/>
      </c>
      <c r="AF185" s="59" t="str">
        <f>IF(INDEX(NOTA[Column7],Sheet1!A:A)=0,"",INDEX(NOTA[Column7],Sheet1!A:A))</f>
        <v/>
      </c>
      <c r="AG185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5" s="60">
        <f>INDEX(NOTA[HARGA/ CTN_H],Sheet1!A:A)</f>
        <v>0</v>
      </c>
      <c r="AI185" s="60">
        <f>IF(Table17[[#This Row],[DISC 3]]="",Table17[[#This Row],[HRG / CTN]],Table17[[#This Row],[HRG / CTN]]-(Table17[[#This Row],[HRG / CTN]]*Table17[[#This Row],[DISC 3]]))</f>
        <v>0</v>
      </c>
      <c r="AJ185" s="61" t="e">
        <f>IF(#REF!&lt;1,Table17[[#This Row],[Column9]],Table17[[#This Row],[Column9]]*#REF!)</f>
        <v>#REF!</v>
      </c>
      <c r="AK185" s="60" t="str">
        <f ca="1">IF(NOT(AP186=Table17[[#This Row],[Column6]]),SUMIF(Table17[Column6],Table17[[#This Row],[Column6]],Table17[Column7]),"")</f>
        <v/>
      </c>
      <c r="AL185" s="62">
        <f ca="1">INDEX(NOTA[TGL_H],Sheet1!A:A)</f>
        <v>45498</v>
      </c>
      <c r="AM185" s="62">
        <f ca="1">INDEX(NOTA[TGL.NOTA_H],Sheet1!A:A)</f>
        <v>45496</v>
      </c>
      <c r="AN185" s="63"/>
      <c r="AO185" s="57" t="str">
        <f>IF(INDEX(NOTA[Column10],A:A)="","",INDEX(NOTA[Column10],A:A))</f>
        <v>BARANG TITIP</v>
      </c>
      <c r="AP185" s="57" t="str">
        <f ca="1">INDEX(NOTA[NO.NOTA_H],Sheet1!A:A)</f>
        <v>TH034/7/2024</v>
      </c>
      <c r="AQ185" s="57" t="str">
        <f>INDEX(NOTA[Column10],Sheet1!A:A)</f>
        <v>BARANG TITIP</v>
      </c>
      <c r="AR185" s="64" t="str">
        <f ca="1">INDEX(NOTA[SUPPLIER_H],Sheet1!A:A)</f>
        <v>SBS</v>
      </c>
      <c r="AS185" s="57" t="str">
        <f>Table17[[#This Row],[NAMA_C]]</f>
        <v>ASAHAN PAYU 847 KURA-KURA</v>
      </c>
      <c r="AT185" s="57" t="str">
        <f ca="1">Table17[[#This Row],[SUPPLIER]]</f>
        <v>SBS</v>
      </c>
      <c r="AU185" s="57" t="e">
        <f>SUBSTITUTE(Table17[[#This Row],[CTN]],",",".")</f>
        <v>#N/A</v>
      </c>
      <c r="AV185" s="68">
        <f>Table17[[#This Row],[ISI_C]]</f>
        <v>120</v>
      </c>
      <c r="AW185" s="57" t="str">
        <f>Table17[[#This Row],[SATUAN_C]]</f>
        <v>BOX</v>
      </c>
      <c r="AX185" s="57" t="e">
        <f>Table17[[#This Row],[HARGA CONV2]]</f>
        <v>#N/A</v>
      </c>
      <c r="AY185" s="65" t="str">
        <f>SUBSTITUTE(Table17[[#This Row],[DISC 3]],",",".")</f>
        <v/>
      </c>
      <c r="AZ185" s="62">
        <f ca="1">Table17[[#This Row],[TGL DATANG]]</f>
        <v>45498</v>
      </c>
      <c r="BA185" s="62">
        <f ca="1">Table17[[#This Row],[Column10]]</f>
        <v>45496</v>
      </c>
      <c r="BB185" s="63"/>
      <c r="BC185" s="57" t="str">
        <f>Table17[[#This Row],[KETERANGAN CONDRO]]</f>
        <v>BARANG TITIP</v>
      </c>
      <c r="BD185" s="57" t="str">
        <f ca="1">Table17[[#This Row],[Column6]]</f>
        <v>TH034/7/2024</v>
      </c>
    </row>
    <row r="186" spans="1:56">
      <c r="A186" s="55">
        <v>242</v>
      </c>
      <c r="C186" s="57">
        <f>INDEX(NOTA[//DB],Sheet1!A:A)</f>
        <v>2725</v>
      </c>
      <c r="D186" s="57">
        <f>_xlfn.IFNA(MATCH(Table17[[#This Row],[//db]],[3]!Table2[\\],0),"")</f>
        <v>209</v>
      </c>
      <c r="E186" s="57" t="str">
        <f>INDEX([3]!db[NB NOTA],Table17[[#This Row],[//db]])</f>
        <v>PERUNCING PAYU PU-849/ MINI/ S.BERY</v>
      </c>
      <c r="F186" s="57" t="str">
        <f>INDEX([3]!db[NB BM],Table17[[#This Row],[//db]])</f>
        <v>ASAHAN PAYU 849 STROBERI</v>
      </c>
      <c r="G186" s="57" t="str">
        <f>IF(Table17[[#This Row],[dbconcat]]="","",INDEX([3]!Table2[NAMA],Table17[[#This Row],[dbconcat]]))</f>
        <v>ASAHAN PAYU 849 STROBERI</v>
      </c>
      <c r="H186" s="57" t="str">
        <f>INDEX([3]!Table2[KODE BARANG],Table17[[#This Row],[dbconcat]])</f>
        <v>ASA-PY133</v>
      </c>
      <c r="I186" s="57" t="str">
        <f>IF(Table17[[#This Row],[NAMA_3]]="",UPPER(Table17[[#This Row],[NAMA_2]]),Table17[[#This Row],[NAMA_3]])</f>
        <v>ASAHAN PAYU 849 STROBERI</v>
      </c>
      <c r="J186" s="57">
        <f>INDEX(NOTA[QTY],Sheet1!A:A)</f>
        <v>600</v>
      </c>
      <c r="K186" s="57" t="str">
        <f>INDEX(NOTA[STN],Sheet1!A:A)</f>
        <v>PCS</v>
      </c>
      <c r="L186" s="57" t="str">
        <f>INDEX([3]!db[QTY B],Table17[[#This Row],[//db]])</f>
        <v>122</v>
      </c>
      <c r="M186" s="57" t="str">
        <f>INDEX([3]!db[STN B],Table17[[#This Row],[//db]])</f>
        <v>BOX</v>
      </c>
      <c r="N186" s="57" t="e">
        <f>IF(Table17[[#This Row],[SATUAN NOTA]]=Table17[[#This Row],[SATUAN DB]],"", MATCH(CONCATENATE(Table17[[#This Row],[SATUAN NOTA]],Table17[[#This Row],[SATUAN DB]]),Table2[4],0))</f>
        <v>#N/A</v>
      </c>
      <c r="O186" s="57" t="e" cm="1">
        <f t="array" ref="O186">IF(Table17[[#This Row],[//CONV]]="","",INDEX(Table2[3],Table17[[#This Row],[//CONV]]))</f>
        <v>#N/A</v>
      </c>
      <c r="P186" s="57" t="e">
        <f>IF(Table17[[#This Row],[//CONV]]="",Table17[[#This Row],[ISI DB]],Table17[[#This Row],[ISI NOTA]]*Table17[[#This Row],[CONV VAR]])</f>
        <v>#N/A</v>
      </c>
      <c r="Q186" s="57" t="e" cm="1">
        <f t="array" ref="Q186">IF(Table17[[#This Row],[//CONV]]="",Table17[[#This Row],[SATUAN DB]],INDEX(Table2[2],Table17[[#This Row],[//CONV]]))</f>
        <v>#N/A</v>
      </c>
      <c r="R186" s="57" cm="1">
        <f t="array" ref="R186">IF(Table17[[#This Row],[dbconcat]]="","",INDEX([3]!Table2[ISI],Table17[[#This Row],[dbconcat]]))</f>
        <v>120</v>
      </c>
      <c r="S186" s="57" t="str" cm="1">
        <f t="array" ref="S186">IF(Table17[[#This Row],[dbconcat]]="","",INDEX([3]!Table2[[SATUAN ]],Table17[[#This Row],[dbconcat]]))</f>
        <v>BOX</v>
      </c>
      <c r="T186" s="57">
        <f>IF(Table17[[#This Row],[SATUAN S]]="","",IF(_xlfn.NUMBERVALUE(Table17[[#This Row],[ISI DB]])=_xlfn.NUMBERVALUE(Table17[[#This Row],[ISI S]]),"",1))</f>
        <v>1</v>
      </c>
      <c r="U186" s="57" t="str">
        <f>IF(Table17[[#This Row],[SATUAN S]]="","",IF(Table17[[#This Row],[SATUAN DB]]=Table17[[#This Row],[SATUAN S]],"",1))</f>
        <v/>
      </c>
      <c r="V186" s="57" t="str">
        <f>IF(Table17[[#This Row],[CEK STN S]]="","",MATCH(CONCATENATE(Table17[[#This Row],[SATUAN CONV]],Table17[[#This Row],[SATUAN S]]),Table2[4],0))</f>
        <v/>
      </c>
      <c r="W186" s="57"/>
      <c r="X186" s="57" t="str" cm="1">
        <f t="array" ref="X186">IF(Table17[[#This Row],[CONV2_//]]="","",INDEX(Table2[3],Table17[[#This Row],[CONV2_//]]))</f>
        <v/>
      </c>
      <c r="Y186" s="58">
        <f>IF(Table17[[#This Row],[CEK ISI S]]="",Table17[[#This Row],[ISI DB]],Table17[[#This Row],[ISI S]])</f>
        <v>120</v>
      </c>
      <c r="Z186" s="57" t="str">
        <f>IF(Table17[[#This Row],[CEK STN S]]="",Table17[[#This Row],[SATUAN DB]],Table17[[#This Row],[SATUAN S]])</f>
        <v>BOX</v>
      </c>
      <c r="AA186" s="57" t="e">
        <f>IF(Table17[[#This Row],[//CONV]]="",Table17[[#This Row],[ISI NOTA]]/Table17[[#This Row],[ISI_C]],Table17[[#This Row],[ISI DB CONV]]/Table17[[#This Row],[ISI_C]])</f>
        <v>#N/A</v>
      </c>
      <c r="AB186" s="57">
        <f>INDEX(NOTA[HARGA SATUAN],Sheet1!A:A)</f>
        <v>0</v>
      </c>
      <c r="AC186" s="57" t="e">
        <f>IF(Table17[[#This Row],[//CONV]]="",Table17[[#This Row],[HARGA NOTA]],Table17[[#This Row],[HARGA NOTA]]/Table17[[#This Row],[CONV VAR]])</f>
        <v>#N/A</v>
      </c>
      <c r="AD186" s="57" t="e">
        <f>IF(Table17[[#This Row],[CEK STN S]]="",Table17[[#This Row],[HARGA CONV]],Table17[[#This Row],[HARGA CONV]]/Table17[[#This Row],[CONV2 VAR]])</f>
        <v>#N/A</v>
      </c>
      <c r="AE186" s="59" t="str">
        <f>IF(INDEX(NOTA[Column6],Sheet1!A:A)=0,"",INDEX(NOTA[Column6],Sheet1!A:A))</f>
        <v/>
      </c>
      <c r="AF186" s="59" t="str">
        <f>IF(INDEX(NOTA[Column7],Sheet1!A:A)=0,"",INDEX(NOTA[Column7],Sheet1!A:A))</f>
        <v/>
      </c>
      <c r="AG186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6" s="60">
        <f>INDEX(NOTA[HARGA/ CTN_H],Sheet1!A:A)</f>
        <v>0</v>
      </c>
      <c r="AI186" s="60">
        <f>IF(Table17[[#This Row],[DISC 3]]="",Table17[[#This Row],[HRG / CTN]],Table17[[#This Row],[HRG / CTN]]-(Table17[[#This Row],[HRG / CTN]]*Table17[[#This Row],[DISC 3]]))</f>
        <v>0</v>
      </c>
      <c r="AJ186" s="61" t="e">
        <f>IF(#REF!&lt;1,Table17[[#This Row],[Column9]],Table17[[#This Row],[Column9]]*#REF!)</f>
        <v>#REF!</v>
      </c>
      <c r="AK186" s="60" t="str">
        <f ca="1">IF(NOT(AP187=Table17[[#This Row],[Column6]]),SUMIF(Table17[Column6],Table17[[#This Row],[Column6]],Table17[Column7]),"")</f>
        <v/>
      </c>
      <c r="AL186" s="62">
        <f ca="1">INDEX(NOTA[TGL_H],Sheet1!A:A)</f>
        <v>45498</v>
      </c>
      <c r="AM186" s="62">
        <f ca="1">INDEX(NOTA[TGL.NOTA_H],Sheet1!A:A)</f>
        <v>45496</v>
      </c>
      <c r="AN186" s="63"/>
      <c r="AO186" s="57" t="str">
        <f>IF(INDEX(NOTA[Column10],A:A)="","",INDEX(NOTA[Column10],A:A))</f>
        <v>BARANG TITIP</v>
      </c>
      <c r="AP186" s="57" t="str">
        <f ca="1">INDEX(NOTA[NO.NOTA_H],Sheet1!A:A)</f>
        <v>TH034/7/2024</v>
      </c>
      <c r="AQ186" s="57" t="str">
        <f>INDEX(NOTA[Column10],Sheet1!A:A)</f>
        <v>BARANG TITIP</v>
      </c>
      <c r="AR186" s="64" t="str">
        <f ca="1">INDEX(NOTA[SUPPLIER_H],Sheet1!A:A)</f>
        <v>SBS</v>
      </c>
      <c r="AS186" s="57" t="str">
        <f>Table17[[#This Row],[NAMA_C]]</f>
        <v>ASAHAN PAYU 849 STROBERI</v>
      </c>
      <c r="AT186" s="57" t="str">
        <f ca="1">Table17[[#This Row],[SUPPLIER]]</f>
        <v>SBS</v>
      </c>
      <c r="AU186" s="57" t="e">
        <f>SUBSTITUTE(Table17[[#This Row],[CTN]],",",".")</f>
        <v>#N/A</v>
      </c>
      <c r="AV186" s="68">
        <f>Table17[[#This Row],[ISI_C]]</f>
        <v>120</v>
      </c>
      <c r="AW186" s="57" t="str">
        <f>Table17[[#This Row],[SATUAN_C]]</f>
        <v>BOX</v>
      </c>
      <c r="AX186" s="57" t="e">
        <f>Table17[[#This Row],[HARGA CONV2]]</f>
        <v>#N/A</v>
      </c>
      <c r="AY186" s="65" t="str">
        <f>SUBSTITUTE(Table17[[#This Row],[DISC 3]],",",".")</f>
        <v/>
      </c>
      <c r="AZ186" s="62">
        <f ca="1">Table17[[#This Row],[TGL DATANG]]</f>
        <v>45498</v>
      </c>
      <c r="BA186" s="62">
        <f ca="1">Table17[[#This Row],[Column10]]</f>
        <v>45496</v>
      </c>
      <c r="BB186" s="63"/>
      <c r="BC186" s="57" t="str">
        <f>Table17[[#This Row],[KETERANGAN CONDRO]]</f>
        <v>BARANG TITIP</v>
      </c>
      <c r="BD186" s="57" t="str">
        <f ca="1">Table17[[#This Row],[Column6]]</f>
        <v>TH034/7/2024</v>
      </c>
    </row>
    <row r="187" spans="1:56">
      <c r="A187" s="55">
        <v>243</v>
      </c>
      <c r="C187" s="57">
        <f>INDEX(NOTA[//DB],Sheet1!A:A)</f>
        <v>2716</v>
      </c>
      <c r="D187" s="57">
        <f>_xlfn.IFNA(MATCH(Table17[[#This Row],[//db]],[3]!Table2[\\],0),"")</f>
        <v>3463</v>
      </c>
      <c r="E187" s="57" t="str">
        <f>INDEX([3]!db[NB NOTA],Table17[[#This Row],[//db]])</f>
        <v>PERUNCING PAYU PU-827/ MINI/ ANGSA</v>
      </c>
      <c r="F187" s="57" t="str">
        <f>INDEX([3]!db[NB BM],Table17[[#This Row],[//db]])</f>
        <v>ASAHAN PAYU 826</v>
      </c>
      <c r="G187" s="57" t="str">
        <f>IF(Table17[[#This Row],[dbconcat]]="","",INDEX([3]!Table2[NAMA],Table17[[#This Row],[dbconcat]]))</f>
        <v>ASAHAN PAYU 826</v>
      </c>
      <c r="H187" s="57">
        <f>INDEX([3]!Table2[KODE BARANG],Table17[[#This Row],[dbconcat]])</f>
        <v>0</v>
      </c>
      <c r="I187" s="57" t="str">
        <f>IF(Table17[[#This Row],[NAMA_3]]="",UPPER(Table17[[#This Row],[NAMA_2]]),Table17[[#This Row],[NAMA_3]])</f>
        <v>ASAHAN PAYU 826</v>
      </c>
      <c r="J187" s="57">
        <f>INDEX(NOTA[QTY],Sheet1!A:A)</f>
        <v>120</v>
      </c>
      <c r="K187" s="57" t="str">
        <f>INDEX(NOTA[STN],Sheet1!A:A)</f>
        <v>PCS</v>
      </c>
      <c r="L187" s="57" t="str">
        <f>INDEX([3]!db[QTY B],Table17[[#This Row],[//db]])</f>
        <v>120</v>
      </c>
      <c r="M187" s="57" t="str">
        <f>INDEX([3]!db[STN B],Table17[[#This Row],[//db]])</f>
        <v>BOX</v>
      </c>
      <c r="N187" s="57" t="e">
        <f>IF(Table17[[#This Row],[SATUAN NOTA]]=Table17[[#This Row],[SATUAN DB]],"", MATCH(CONCATENATE(Table17[[#This Row],[SATUAN NOTA]],Table17[[#This Row],[SATUAN DB]]),Table2[4],0))</f>
        <v>#N/A</v>
      </c>
      <c r="O187" s="57" t="e" cm="1">
        <f t="array" ref="O187">IF(Table17[[#This Row],[//CONV]]="","",INDEX(Table2[3],Table17[[#This Row],[//CONV]]))</f>
        <v>#N/A</v>
      </c>
      <c r="P187" s="57" t="e">
        <f>IF(Table17[[#This Row],[//CONV]]="",Table17[[#This Row],[ISI DB]],Table17[[#This Row],[ISI NOTA]]*Table17[[#This Row],[CONV VAR]])</f>
        <v>#N/A</v>
      </c>
      <c r="Q187" s="57" t="e" cm="1">
        <f t="array" ref="Q187">IF(Table17[[#This Row],[//CONV]]="",Table17[[#This Row],[SATUAN DB]],INDEX(Table2[2],Table17[[#This Row],[//CONV]]))</f>
        <v>#N/A</v>
      </c>
      <c r="R187" s="57" cm="1">
        <f t="array" ref="R187">IF(Table17[[#This Row],[dbconcat]]="","",INDEX([3]!Table2[ISI],Table17[[#This Row],[dbconcat]]))</f>
        <v>120</v>
      </c>
      <c r="S187" s="57" t="str" cm="1">
        <f t="array" ref="S187">IF(Table17[[#This Row],[dbconcat]]="","",INDEX([3]!Table2[[SATUAN ]],Table17[[#This Row],[dbconcat]]))</f>
        <v>BOX</v>
      </c>
      <c r="T187" s="57" t="str">
        <f>IF(Table17[[#This Row],[SATUAN S]]="","",IF(_xlfn.NUMBERVALUE(Table17[[#This Row],[ISI DB]])=_xlfn.NUMBERVALUE(Table17[[#This Row],[ISI S]]),"",1))</f>
        <v/>
      </c>
      <c r="U187" s="57" t="str">
        <f>IF(Table17[[#This Row],[SATUAN S]]="","",IF(Table17[[#This Row],[SATUAN DB]]=Table17[[#This Row],[SATUAN S]],"",1))</f>
        <v/>
      </c>
      <c r="V187" s="57" t="str">
        <f>IF(Table17[[#This Row],[CEK STN S]]="","",MATCH(CONCATENATE(Table17[[#This Row],[SATUAN CONV]],Table17[[#This Row],[SATUAN S]]),Table2[4],0))</f>
        <v/>
      </c>
      <c r="W187" s="57"/>
      <c r="X187" s="57" t="str" cm="1">
        <f t="array" ref="X187">IF(Table17[[#This Row],[CONV2_//]]="","",INDEX(Table2[3],Table17[[#This Row],[CONV2_//]]))</f>
        <v/>
      </c>
      <c r="Y187" s="58" t="str">
        <f>IF(Table17[[#This Row],[CEK ISI S]]="",Table17[[#This Row],[ISI DB]],Table17[[#This Row],[ISI S]])</f>
        <v>120</v>
      </c>
      <c r="Z187" s="57" t="str">
        <f>IF(Table17[[#This Row],[CEK STN S]]="",Table17[[#This Row],[SATUAN DB]],Table17[[#This Row],[SATUAN S]])</f>
        <v>BOX</v>
      </c>
      <c r="AA187" s="57" t="e">
        <f>IF(Table17[[#This Row],[//CONV]]="",Table17[[#This Row],[ISI NOTA]]/Table17[[#This Row],[ISI_C]],Table17[[#This Row],[ISI DB CONV]]/Table17[[#This Row],[ISI_C]])</f>
        <v>#N/A</v>
      </c>
      <c r="AB187" s="57">
        <f>INDEX(NOTA[HARGA SATUAN],Sheet1!A:A)</f>
        <v>0</v>
      </c>
      <c r="AC187" s="57" t="e">
        <f>IF(Table17[[#This Row],[//CONV]]="",Table17[[#This Row],[HARGA NOTA]],Table17[[#This Row],[HARGA NOTA]]/Table17[[#This Row],[CONV VAR]])</f>
        <v>#N/A</v>
      </c>
      <c r="AD187" s="57" t="e">
        <f>IF(Table17[[#This Row],[CEK STN S]]="",Table17[[#This Row],[HARGA CONV]],Table17[[#This Row],[HARGA CONV]]/Table17[[#This Row],[CONV2 VAR]])</f>
        <v>#N/A</v>
      </c>
      <c r="AE187" s="59" t="str">
        <f>IF(INDEX(NOTA[Column6],Sheet1!A:A)=0,"",INDEX(NOTA[Column6],Sheet1!A:A))</f>
        <v/>
      </c>
      <c r="AF187" s="59" t="str">
        <f>IF(INDEX(NOTA[Column7],Sheet1!A:A)=0,"",INDEX(NOTA[Column7],Sheet1!A:A))</f>
        <v/>
      </c>
      <c r="AG187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7" s="60">
        <f>INDEX(NOTA[HARGA/ CTN_H],Sheet1!A:A)</f>
        <v>0</v>
      </c>
      <c r="AI187" s="60">
        <f>IF(Table17[[#This Row],[DISC 3]]="",Table17[[#This Row],[HRG / CTN]],Table17[[#This Row],[HRG / CTN]]-(Table17[[#This Row],[HRG / CTN]]*Table17[[#This Row],[DISC 3]]))</f>
        <v>0</v>
      </c>
      <c r="AJ187" s="61" t="e">
        <f>IF(#REF!&lt;1,Table17[[#This Row],[Column9]],Table17[[#This Row],[Column9]]*#REF!)</f>
        <v>#REF!</v>
      </c>
      <c r="AK187" s="60" t="str">
        <f ca="1">IF(NOT(AP188=Table17[[#This Row],[Column6]]),SUMIF(Table17[Column6],Table17[[#This Row],[Column6]],Table17[Column7]),"")</f>
        <v/>
      </c>
      <c r="AL187" s="62">
        <f ca="1">INDEX(NOTA[TGL_H],Sheet1!A:A)</f>
        <v>45498</v>
      </c>
      <c r="AM187" s="62">
        <f ca="1">INDEX(NOTA[TGL.NOTA_H],Sheet1!A:A)</f>
        <v>45496</v>
      </c>
      <c r="AN187" s="63"/>
      <c r="AO187" s="57" t="str">
        <f>IF(INDEX(NOTA[Column10],A:A)="","",INDEX(NOTA[Column10],A:A))</f>
        <v>BARANG TITIP</v>
      </c>
      <c r="AP187" s="57" t="str">
        <f ca="1">INDEX(NOTA[NO.NOTA_H],Sheet1!A:A)</f>
        <v>TH034/7/2024</v>
      </c>
      <c r="AQ187" s="57" t="str">
        <f>INDEX(NOTA[Column10],Sheet1!A:A)</f>
        <v>BARANG TITIP</v>
      </c>
      <c r="AR187" s="64" t="str">
        <f ca="1">INDEX(NOTA[SUPPLIER_H],Sheet1!A:A)</f>
        <v>SBS</v>
      </c>
      <c r="AS187" s="57" t="str">
        <f>Table17[[#This Row],[NAMA_C]]</f>
        <v>ASAHAN PAYU 826</v>
      </c>
      <c r="AT187" s="57" t="str">
        <f ca="1">Table17[[#This Row],[SUPPLIER]]</f>
        <v>SBS</v>
      </c>
      <c r="AU187" s="57" t="e">
        <f>SUBSTITUTE(Table17[[#This Row],[CTN]],",",".")</f>
        <v>#N/A</v>
      </c>
      <c r="AV187" s="68" t="str">
        <f>Table17[[#This Row],[ISI_C]]</f>
        <v>120</v>
      </c>
      <c r="AW187" s="57" t="str">
        <f>Table17[[#This Row],[SATUAN_C]]</f>
        <v>BOX</v>
      </c>
      <c r="AX187" s="57" t="e">
        <f>Table17[[#This Row],[HARGA CONV2]]</f>
        <v>#N/A</v>
      </c>
      <c r="AY187" s="65" t="str">
        <f>SUBSTITUTE(Table17[[#This Row],[DISC 3]],",",".")</f>
        <v/>
      </c>
      <c r="AZ187" s="62">
        <f ca="1">Table17[[#This Row],[TGL DATANG]]</f>
        <v>45498</v>
      </c>
      <c r="BA187" s="62">
        <f ca="1">Table17[[#This Row],[Column10]]</f>
        <v>45496</v>
      </c>
      <c r="BB187" s="63"/>
      <c r="BC187" s="57" t="str">
        <f>Table17[[#This Row],[KETERANGAN CONDRO]]</f>
        <v>BARANG TITIP</v>
      </c>
      <c r="BD187" s="57" t="str">
        <f ca="1">Table17[[#This Row],[Column6]]</f>
        <v>TH034/7/2024</v>
      </c>
    </row>
    <row r="188" spans="1:56">
      <c r="A188" s="55">
        <v>244</v>
      </c>
      <c r="C188" s="57">
        <f>INDEX(NOTA[//DB],Sheet1!A:A)</f>
        <v>2727</v>
      </c>
      <c r="D188" s="57">
        <f>_xlfn.IFNA(MATCH(Table17[[#This Row],[//db]],[3]!Table2[\\],0),"")</f>
        <v>211</v>
      </c>
      <c r="E188" s="57" t="str">
        <f>INDEX([3]!db[NB NOTA],Table17[[#This Row],[//db]])</f>
        <v>PERUNCING PAYU PU-856</v>
      </c>
      <c r="F188" s="57" t="str">
        <f>INDEX([3]!db[NB BM],Table17[[#This Row],[//db]])</f>
        <v>ASAHAN PAYU 856 ANJING</v>
      </c>
      <c r="G188" s="57" t="str">
        <f>IF(Table17[[#This Row],[dbconcat]]="","",INDEX([3]!Table2[NAMA],Table17[[#This Row],[dbconcat]]))</f>
        <v>ASAHAN PAYU 856 ANJING</v>
      </c>
      <c r="H188" s="57" t="str">
        <f>INDEX([3]!Table2[KODE BARANG],Table17[[#This Row],[dbconcat]])</f>
        <v>ASA-PY135</v>
      </c>
      <c r="I188" s="57" t="str">
        <f>IF(Table17[[#This Row],[NAMA_3]]="",UPPER(Table17[[#This Row],[NAMA_2]]),Table17[[#This Row],[NAMA_3]])</f>
        <v>ASAHAN PAYU 856 ANJING</v>
      </c>
      <c r="J188" s="57">
        <f>INDEX(NOTA[QTY],Sheet1!A:A)</f>
        <v>720</v>
      </c>
      <c r="K188" s="57" t="str">
        <f>INDEX(NOTA[STN],Sheet1!A:A)</f>
        <v>PCS</v>
      </c>
      <c r="L188" s="57" t="str">
        <f>INDEX([3]!db[QTY B],Table17[[#This Row],[//db]])</f>
        <v>120</v>
      </c>
      <c r="M188" s="57" t="str">
        <f>INDEX([3]!db[STN B],Table17[[#This Row],[//db]])</f>
        <v>BOX</v>
      </c>
      <c r="N188" s="57" t="e">
        <f>IF(Table17[[#This Row],[SATUAN NOTA]]=Table17[[#This Row],[SATUAN DB]],"", MATCH(CONCATENATE(Table17[[#This Row],[SATUAN NOTA]],Table17[[#This Row],[SATUAN DB]]),Table2[4],0))</f>
        <v>#N/A</v>
      </c>
      <c r="O188" s="57" t="e" cm="1">
        <f t="array" ref="O188">IF(Table17[[#This Row],[//CONV]]="","",INDEX(Table2[3],Table17[[#This Row],[//CONV]]))</f>
        <v>#N/A</v>
      </c>
      <c r="P188" s="57" t="e">
        <f>IF(Table17[[#This Row],[//CONV]]="",Table17[[#This Row],[ISI DB]],Table17[[#This Row],[ISI NOTA]]*Table17[[#This Row],[CONV VAR]])</f>
        <v>#N/A</v>
      </c>
      <c r="Q188" s="57" t="e" cm="1">
        <f t="array" ref="Q188">IF(Table17[[#This Row],[//CONV]]="",Table17[[#This Row],[SATUAN DB]],INDEX(Table2[2],Table17[[#This Row],[//CONV]]))</f>
        <v>#N/A</v>
      </c>
      <c r="R188" s="57" cm="1">
        <f t="array" ref="R188">IF(Table17[[#This Row],[dbconcat]]="","",INDEX([3]!Table2[ISI],Table17[[#This Row],[dbconcat]]))</f>
        <v>120</v>
      </c>
      <c r="S188" s="57" t="str" cm="1">
        <f t="array" ref="S188">IF(Table17[[#This Row],[dbconcat]]="","",INDEX([3]!Table2[[SATUAN ]],Table17[[#This Row],[dbconcat]]))</f>
        <v>BOX</v>
      </c>
      <c r="T188" s="57" t="str">
        <f>IF(Table17[[#This Row],[SATUAN S]]="","",IF(_xlfn.NUMBERVALUE(Table17[[#This Row],[ISI DB]])=_xlfn.NUMBERVALUE(Table17[[#This Row],[ISI S]]),"",1))</f>
        <v/>
      </c>
      <c r="U188" s="57" t="str">
        <f>IF(Table17[[#This Row],[SATUAN S]]="","",IF(Table17[[#This Row],[SATUAN DB]]=Table17[[#This Row],[SATUAN S]],"",1))</f>
        <v/>
      </c>
      <c r="V188" s="57" t="str">
        <f>IF(Table17[[#This Row],[CEK STN S]]="","",MATCH(CONCATENATE(Table17[[#This Row],[SATUAN CONV]],Table17[[#This Row],[SATUAN S]]),Table2[4],0))</f>
        <v/>
      </c>
      <c r="W188" s="57"/>
      <c r="X188" s="57" t="str" cm="1">
        <f t="array" ref="X188">IF(Table17[[#This Row],[CONV2_//]]="","",INDEX(Table2[3],Table17[[#This Row],[CONV2_//]]))</f>
        <v/>
      </c>
      <c r="Y188" s="58" t="str">
        <f>IF(Table17[[#This Row],[CEK ISI S]]="",Table17[[#This Row],[ISI DB]],Table17[[#This Row],[ISI S]])</f>
        <v>120</v>
      </c>
      <c r="Z188" s="57" t="str">
        <f>IF(Table17[[#This Row],[CEK STN S]]="",Table17[[#This Row],[SATUAN DB]],Table17[[#This Row],[SATUAN S]])</f>
        <v>BOX</v>
      </c>
      <c r="AA188" s="57" t="e">
        <f>IF(Table17[[#This Row],[//CONV]]="",Table17[[#This Row],[ISI NOTA]]/Table17[[#This Row],[ISI_C]],Table17[[#This Row],[ISI DB CONV]]/Table17[[#This Row],[ISI_C]])</f>
        <v>#N/A</v>
      </c>
      <c r="AB188" s="57">
        <f>INDEX(NOTA[HARGA SATUAN],Sheet1!A:A)</f>
        <v>0</v>
      </c>
      <c r="AC188" s="57" t="e">
        <f>IF(Table17[[#This Row],[//CONV]]="",Table17[[#This Row],[HARGA NOTA]],Table17[[#This Row],[HARGA NOTA]]/Table17[[#This Row],[CONV VAR]])</f>
        <v>#N/A</v>
      </c>
      <c r="AD188" s="57" t="e">
        <f>IF(Table17[[#This Row],[CEK STN S]]="",Table17[[#This Row],[HARGA CONV]],Table17[[#This Row],[HARGA CONV]]/Table17[[#This Row],[CONV2 VAR]])</f>
        <v>#N/A</v>
      </c>
      <c r="AE188" s="59" t="str">
        <f>IF(INDEX(NOTA[Column6],Sheet1!A:A)=0,"",INDEX(NOTA[Column6],Sheet1!A:A))</f>
        <v/>
      </c>
      <c r="AF188" s="59" t="str">
        <f>IF(INDEX(NOTA[Column7],Sheet1!A:A)=0,"",INDEX(NOTA[Column7],Sheet1!A:A))</f>
        <v/>
      </c>
      <c r="AG188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8" s="60">
        <f>INDEX(NOTA[HARGA/ CTN_H],Sheet1!A:A)</f>
        <v>0</v>
      </c>
      <c r="AI188" s="60">
        <f>IF(Table17[[#This Row],[DISC 3]]="",Table17[[#This Row],[HRG / CTN]],Table17[[#This Row],[HRG / CTN]]-(Table17[[#This Row],[HRG / CTN]]*Table17[[#This Row],[DISC 3]]))</f>
        <v>0</v>
      </c>
      <c r="AJ188" s="61" t="e">
        <f>IF(#REF!&lt;1,Table17[[#This Row],[Column9]],Table17[[#This Row],[Column9]]*#REF!)</f>
        <v>#REF!</v>
      </c>
      <c r="AK188" s="60" t="str">
        <f ca="1">IF(NOT(AP189=Table17[[#This Row],[Column6]]),SUMIF(Table17[Column6],Table17[[#This Row],[Column6]],Table17[Column7]),"")</f>
        <v/>
      </c>
      <c r="AL188" s="62">
        <f ca="1">INDEX(NOTA[TGL_H],Sheet1!A:A)</f>
        <v>45498</v>
      </c>
      <c r="AM188" s="62">
        <f ca="1">INDEX(NOTA[TGL.NOTA_H],Sheet1!A:A)</f>
        <v>45496</v>
      </c>
      <c r="AN188" s="63"/>
      <c r="AO188" s="57" t="str">
        <f>IF(INDEX(NOTA[Column10],A:A)="","",INDEX(NOTA[Column10],A:A))</f>
        <v>BARANG TITIP</v>
      </c>
      <c r="AP188" s="57" t="str">
        <f ca="1">INDEX(NOTA[NO.NOTA_H],Sheet1!A:A)</f>
        <v>TH034/7/2024</v>
      </c>
      <c r="AQ188" s="57" t="str">
        <f>INDEX(NOTA[Column10],Sheet1!A:A)</f>
        <v>BARANG TITIP</v>
      </c>
      <c r="AR188" s="64" t="str">
        <f ca="1">INDEX(NOTA[SUPPLIER_H],Sheet1!A:A)</f>
        <v>SBS</v>
      </c>
      <c r="AS188" s="57" t="str">
        <f>Table17[[#This Row],[NAMA_C]]</f>
        <v>ASAHAN PAYU 856 ANJING</v>
      </c>
      <c r="AT188" s="57" t="str">
        <f ca="1">Table17[[#This Row],[SUPPLIER]]</f>
        <v>SBS</v>
      </c>
      <c r="AU188" s="57" t="e">
        <f>SUBSTITUTE(Table17[[#This Row],[CTN]],",",".")</f>
        <v>#N/A</v>
      </c>
      <c r="AV188" s="68" t="str">
        <f>Table17[[#This Row],[ISI_C]]</f>
        <v>120</v>
      </c>
      <c r="AW188" s="57" t="str">
        <f>Table17[[#This Row],[SATUAN_C]]</f>
        <v>BOX</v>
      </c>
      <c r="AX188" s="57" t="e">
        <f>Table17[[#This Row],[HARGA CONV2]]</f>
        <v>#N/A</v>
      </c>
      <c r="AY188" s="65" t="str">
        <f>SUBSTITUTE(Table17[[#This Row],[DISC 3]],",",".")</f>
        <v/>
      </c>
      <c r="AZ188" s="62">
        <f ca="1">Table17[[#This Row],[TGL DATANG]]</f>
        <v>45498</v>
      </c>
      <c r="BA188" s="62">
        <f ca="1">Table17[[#This Row],[Column10]]</f>
        <v>45496</v>
      </c>
      <c r="BB188" s="63"/>
      <c r="BC188" s="57" t="str">
        <f>Table17[[#This Row],[KETERANGAN CONDRO]]</f>
        <v>BARANG TITIP</v>
      </c>
      <c r="BD188" s="57" t="str">
        <f ca="1">Table17[[#This Row],[Column6]]</f>
        <v>TH034/7/2024</v>
      </c>
    </row>
    <row r="189" spans="1:56">
      <c r="A189" s="55">
        <v>245</v>
      </c>
      <c r="C189" s="57">
        <f>INDEX(NOTA[//DB],Sheet1!A:A)</f>
        <v>927</v>
      </c>
      <c r="D189" s="57">
        <f>_xlfn.IFNA(MATCH(Table17[[#This Row],[//db]],[3]!Table2[\\],0),"")</f>
        <v>1677</v>
      </c>
      <c r="E189" s="57" t="str">
        <f>INDEX([3]!db[NB NOTA],Table17[[#This Row],[//db]])</f>
        <v>ELEVATED TRAY MICROTOP 602 HITAM</v>
      </c>
      <c r="F189" s="57" t="str">
        <f>INDEX([3]!db[NB BM],Table17[[#This Row],[//db]])</f>
        <v>ELEVATED TRAY MICROTOP 602 BESI</v>
      </c>
      <c r="G189" s="57" t="str">
        <f>IF(Table17[[#This Row],[dbconcat]]="","",INDEX([3]!Table2[NAMA],Table17[[#This Row],[dbconcat]]))</f>
        <v>ELEVATED TRAY MICROTOP 602 BESI</v>
      </c>
      <c r="H189" s="57" t="str">
        <f>INDEX([3]!Table2[KODE BARANG],Table17[[#This Row],[dbconcat]])</f>
        <v>LTR-MC11</v>
      </c>
      <c r="I189" s="57" t="str">
        <f>IF(Table17[[#This Row],[NAMA_3]]="",UPPER(Table17[[#This Row],[NAMA_2]]),Table17[[#This Row],[NAMA_3]])</f>
        <v>ELEVATED TRAY MICROTOP 602 BESI</v>
      </c>
      <c r="J189" s="57">
        <f>INDEX(NOTA[QTY],Sheet1!A:A)</f>
        <v>36</v>
      </c>
      <c r="K189" s="57" t="str">
        <f>INDEX(NOTA[STN],Sheet1!A:A)</f>
        <v>PCS</v>
      </c>
      <c r="L189" s="57" t="str">
        <f>INDEX([3]!db[QTY B],Table17[[#This Row],[//db]])</f>
        <v>24</v>
      </c>
      <c r="M189" s="57" t="str">
        <f>INDEX([3]!db[STN B],Table17[[#This Row],[//db]])</f>
        <v>PCS</v>
      </c>
      <c r="N189" s="57" t="str">
        <f>IF(Table17[[#This Row],[SATUAN NOTA]]=Table17[[#This Row],[SATUAN DB]],"", MATCH(CONCATENATE(Table17[[#This Row],[SATUAN NOTA]],Table17[[#This Row],[SATUAN DB]]),Table2[4],0))</f>
        <v/>
      </c>
      <c r="O189" s="57" t="str" cm="1">
        <f t="array" ref="O189">IF(Table17[[#This Row],[//CONV]]="","",INDEX(Table2[3],Table17[[#This Row],[//CONV]]))</f>
        <v/>
      </c>
      <c r="P189" s="57" t="str">
        <f>IF(Table17[[#This Row],[//CONV]]="",Table17[[#This Row],[ISI DB]],Table17[[#This Row],[ISI NOTA]]*Table17[[#This Row],[CONV VAR]])</f>
        <v>24</v>
      </c>
      <c r="Q189" s="57" t="str" cm="1">
        <f t="array" ref="Q189">IF(Table17[[#This Row],[//CONV]]="",Table17[[#This Row],[SATUAN DB]],INDEX(Table2[2],Table17[[#This Row],[//CONV]]))</f>
        <v>PCS</v>
      </c>
      <c r="R189" s="57" cm="1">
        <f t="array" ref="R189">IF(Table17[[#This Row],[dbconcat]]="","",INDEX([3]!Table2[ISI],Table17[[#This Row],[dbconcat]]))</f>
        <v>12</v>
      </c>
      <c r="S189" s="57" t="str" cm="1">
        <f t="array" ref="S189">IF(Table17[[#This Row],[dbconcat]]="","",INDEX([3]!Table2[[SATUAN ]],Table17[[#This Row],[dbconcat]]))</f>
        <v>PCS</v>
      </c>
      <c r="T189" s="57">
        <f>IF(Table17[[#This Row],[SATUAN S]]="","",IF(_xlfn.NUMBERVALUE(Table17[[#This Row],[ISI DB]])=_xlfn.NUMBERVALUE(Table17[[#This Row],[ISI S]]),"",1))</f>
        <v>1</v>
      </c>
      <c r="U189" s="57" t="str">
        <f>IF(Table17[[#This Row],[SATUAN S]]="","",IF(Table17[[#This Row],[SATUAN DB]]=Table17[[#This Row],[SATUAN S]],"",1))</f>
        <v/>
      </c>
      <c r="V189" s="57" t="str">
        <f>IF(Table17[[#This Row],[CEK STN S]]="","",MATCH(CONCATENATE(Table17[[#This Row],[SATUAN CONV]],Table17[[#This Row],[SATUAN S]]),Table2[4],0))</f>
        <v/>
      </c>
      <c r="W189" s="57"/>
      <c r="X189" s="57" t="str" cm="1">
        <f t="array" ref="X189">IF(Table17[[#This Row],[CONV2_//]]="","",INDEX(Table2[3],Table17[[#This Row],[CONV2_//]]))</f>
        <v/>
      </c>
      <c r="Y189" s="58">
        <f>IF(Table17[[#This Row],[CEK ISI S]]="",Table17[[#This Row],[ISI DB]],Table17[[#This Row],[ISI S]])</f>
        <v>12</v>
      </c>
      <c r="Z189" s="57" t="str">
        <f>IF(Table17[[#This Row],[CEK STN S]]="",Table17[[#This Row],[SATUAN DB]],Table17[[#This Row],[SATUAN S]])</f>
        <v>PCS</v>
      </c>
      <c r="AA189" s="57">
        <f>IF(Table17[[#This Row],[//CONV]]="",Table17[[#This Row],[ISI NOTA]]/Table17[[#This Row],[ISI_C]],Table17[[#This Row],[ISI DB CONV]]/Table17[[#This Row],[ISI_C]])</f>
        <v>3</v>
      </c>
      <c r="AB189" s="57">
        <f>INDEX(NOTA[HARGA SATUAN],Sheet1!A:A)</f>
        <v>0</v>
      </c>
      <c r="AC189" s="57">
        <f>IF(Table17[[#This Row],[//CONV]]="",Table17[[#This Row],[HARGA NOTA]],Table17[[#This Row],[HARGA NOTA]]/Table17[[#This Row],[CONV VAR]])</f>
        <v>0</v>
      </c>
      <c r="AD189" s="57">
        <f>IF(Table17[[#This Row],[CEK STN S]]="",Table17[[#This Row],[HARGA CONV]],Table17[[#This Row],[HARGA CONV]]/Table17[[#This Row],[CONV2 VAR]])</f>
        <v>0</v>
      </c>
      <c r="AE189" s="59" t="str">
        <f>IF(INDEX(NOTA[Column6],Sheet1!A:A)=0,"",INDEX(NOTA[Column6],Sheet1!A:A))</f>
        <v/>
      </c>
      <c r="AF189" s="59" t="str">
        <f>IF(INDEX(NOTA[Column7],Sheet1!A:A)=0,"",INDEX(NOTA[Column7],Sheet1!A:A))</f>
        <v/>
      </c>
      <c r="AG189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89" s="60">
        <f>INDEX(NOTA[HARGA/ CTN_H],Sheet1!A:A)</f>
        <v>0</v>
      </c>
      <c r="AI189" s="60">
        <f>IF(Table17[[#This Row],[DISC 3]]="",Table17[[#This Row],[HRG / CTN]],Table17[[#This Row],[HRG / CTN]]-(Table17[[#This Row],[HRG / CTN]]*Table17[[#This Row],[DISC 3]]))</f>
        <v>0</v>
      </c>
      <c r="AJ189" s="61" t="e">
        <f>IF(#REF!&lt;1,Table17[[#This Row],[Column9]],Table17[[#This Row],[Column9]]*#REF!)</f>
        <v>#REF!</v>
      </c>
      <c r="AK189" s="60" t="e">
        <f ca="1">IF(NOT(AP190=Table17[[#This Row],[Column6]]),SUMIF(Table17[Column6],Table17[[#This Row],[Column6]],Table17[Column7]),"")</f>
        <v>#REF!</v>
      </c>
      <c r="AL189" s="62">
        <f ca="1">INDEX(NOTA[TGL_H],Sheet1!A:A)</f>
        <v>45498</v>
      </c>
      <c r="AM189" s="62">
        <f ca="1">INDEX(NOTA[TGL.NOTA_H],Sheet1!A:A)</f>
        <v>45496</v>
      </c>
      <c r="AN189" s="63"/>
      <c r="AO189" s="57" t="str">
        <f>IF(INDEX(NOTA[Column10],A:A)="","",INDEX(NOTA[Column10],A:A))</f>
        <v>BARANG TITIP</v>
      </c>
      <c r="AP189" s="57" t="str">
        <f ca="1">INDEX(NOTA[NO.NOTA_H],Sheet1!A:A)</f>
        <v>TH034/7/2024</v>
      </c>
      <c r="AQ189" s="57" t="str">
        <f>INDEX(NOTA[Column10],Sheet1!A:A)</f>
        <v>BARANG TITIP</v>
      </c>
      <c r="AR189" s="64" t="str">
        <f ca="1">INDEX(NOTA[SUPPLIER_H],Sheet1!A:A)</f>
        <v>SBS</v>
      </c>
      <c r="AS189" s="57" t="str">
        <f>Table17[[#This Row],[NAMA_C]]</f>
        <v>ELEVATED TRAY MICROTOP 602 BESI</v>
      </c>
      <c r="AT189" s="57" t="str">
        <f ca="1">Table17[[#This Row],[SUPPLIER]]</f>
        <v>SBS</v>
      </c>
      <c r="AU189" s="57" t="str">
        <f>SUBSTITUTE(Table17[[#This Row],[CTN]],",",".")</f>
        <v>3</v>
      </c>
      <c r="AV189" s="68">
        <f>Table17[[#This Row],[ISI_C]]</f>
        <v>12</v>
      </c>
      <c r="AW189" s="57" t="str">
        <f>Table17[[#This Row],[SATUAN_C]]</f>
        <v>PCS</v>
      </c>
      <c r="AX189" s="57">
        <f>Table17[[#This Row],[HARGA CONV2]]</f>
        <v>0</v>
      </c>
      <c r="AY189" s="65" t="str">
        <f>SUBSTITUTE(Table17[[#This Row],[DISC 3]],",",".")</f>
        <v/>
      </c>
      <c r="AZ189" s="62">
        <f ca="1">Table17[[#This Row],[TGL DATANG]]</f>
        <v>45498</v>
      </c>
      <c r="BA189" s="62">
        <f ca="1">Table17[[#This Row],[Column10]]</f>
        <v>45496</v>
      </c>
      <c r="BB189" s="63"/>
      <c r="BC189" s="57" t="str">
        <f>Table17[[#This Row],[KETERANGAN CONDRO]]</f>
        <v>BARANG TITIP</v>
      </c>
      <c r="BD189" s="57" t="str">
        <f ca="1">Table17[[#This Row],[Column6]]</f>
        <v>TH034/7/2024</v>
      </c>
    </row>
    <row r="190" spans="1:56">
      <c r="A190" s="55">
        <v>247</v>
      </c>
      <c r="C190" s="57">
        <f>INDEX(NOTA[//DB],Sheet1!A:A)</f>
        <v>2927</v>
      </c>
      <c r="D190" s="57">
        <f>_xlfn.IFNA(MATCH(Table17[[#This Row],[//db]],[3]!Table2[\\],0),"")</f>
        <v>2680</v>
      </c>
      <c r="E190" s="57" t="str">
        <f>INDEX([3]!db[NB NOTA],Table17[[#This Row],[//db]])</f>
        <v>STAMP PAD HERO (K)</v>
      </c>
      <c r="F190" s="57" t="str">
        <f>INDEX([3]!db[NB BM],Table17[[#This Row],[//db]])</f>
        <v>STAMP PAD HERO K</v>
      </c>
      <c r="G190" s="57" t="str">
        <f>IF(Table17[[#This Row],[dbconcat]]="","",INDEX([3]!Table2[NAMA],Table17[[#This Row],[dbconcat]]))</f>
        <v>STAMP PAD HERO K</v>
      </c>
      <c r="H190" s="57" t="str">
        <f>INDEX([3]!Table2[KODE BARANG],Table17[[#This Row],[dbconcat]])</f>
        <v>SPA-HR2</v>
      </c>
      <c r="I190" s="57" t="str">
        <f>IF(Table17[[#This Row],[NAMA_3]]="",UPPER(Table17[[#This Row],[NAMA_2]]),Table17[[#This Row],[NAMA_3]])</f>
        <v>STAMP PAD HERO K</v>
      </c>
      <c r="J190" s="57">
        <f>INDEX(NOTA[QTY],Sheet1!A:A)</f>
        <v>120</v>
      </c>
      <c r="K190" s="57" t="str">
        <f>INDEX(NOTA[STN],Sheet1!A:A)</f>
        <v>LSN</v>
      </c>
      <c r="L190" s="57" t="str">
        <f>INDEX([3]!db[QTY B],Table17[[#This Row],[//db]])</f>
        <v>24</v>
      </c>
      <c r="M190" s="57" t="str">
        <f>INDEX([3]!db[STN B],Table17[[#This Row],[//db]])</f>
        <v>LSN</v>
      </c>
      <c r="N190" s="57" t="str">
        <f>IF(Table17[[#This Row],[SATUAN NOTA]]=Table17[[#This Row],[SATUAN DB]],"", MATCH(CONCATENATE(Table17[[#This Row],[SATUAN NOTA]],Table17[[#This Row],[SATUAN DB]]),Table2[4],0))</f>
        <v/>
      </c>
      <c r="O190" s="57" t="str" cm="1">
        <f t="array" ref="O190">IF(Table17[[#This Row],[//CONV]]="","",INDEX(Table2[3],Table17[[#This Row],[//CONV]]))</f>
        <v/>
      </c>
      <c r="P190" s="57" t="str">
        <f>IF(Table17[[#This Row],[//CONV]]="",Table17[[#This Row],[ISI DB]],Table17[[#This Row],[ISI NOTA]]*Table17[[#This Row],[CONV VAR]])</f>
        <v>24</v>
      </c>
      <c r="Q190" s="57" t="str" cm="1">
        <f t="array" ref="Q190">IF(Table17[[#This Row],[//CONV]]="",Table17[[#This Row],[SATUAN DB]],INDEX(Table2[2],Table17[[#This Row],[//CONV]]))</f>
        <v>LSN</v>
      </c>
      <c r="R190" s="57" cm="1">
        <f t="array" ref="R190">IF(Table17[[#This Row],[dbconcat]]="","",INDEX([3]!Table2[ISI],Table17[[#This Row],[dbconcat]]))</f>
        <v>24</v>
      </c>
      <c r="S190" s="57" t="str" cm="1">
        <f t="array" ref="S190">IF(Table17[[#This Row],[dbconcat]]="","",INDEX([3]!Table2[[SATUAN ]],Table17[[#This Row],[dbconcat]]))</f>
        <v>LSN</v>
      </c>
      <c r="T190" s="57" t="str">
        <f>IF(Table17[[#This Row],[SATUAN S]]="","",IF(_xlfn.NUMBERVALUE(Table17[[#This Row],[ISI DB]])=_xlfn.NUMBERVALUE(Table17[[#This Row],[ISI S]]),"",1))</f>
        <v/>
      </c>
      <c r="U190" s="57" t="str">
        <f>IF(Table17[[#This Row],[SATUAN S]]="","",IF(Table17[[#This Row],[SATUAN DB]]=Table17[[#This Row],[SATUAN S]],"",1))</f>
        <v/>
      </c>
      <c r="V190" s="57" t="str">
        <f>IF(Table17[[#This Row],[CEK STN S]]="","",MATCH(CONCATENATE(Table17[[#This Row],[SATUAN CONV]],Table17[[#This Row],[SATUAN S]]),Table2[4],0))</f>
        <v/>
      </c>
      <c r="W190" s="57"/>
      <c r="X190" s="57" t="str" cm="1">
        <f t="array" ref="X190">IF(Table17[[#This Row],[CONV2_//]]="","",INDEX(Table2[3],Table17[[#This Row],[CONV2_//]]))</f>
        <v/>
      </c>
      <c r="Y190" s="58" t="str">
        <f>IF(Table17[[#This Row],[CEK ISI S]]="",Table17[[#This Row],[ISI DB]],Table17[[#This Row],[ISI S]])</f>
        <v>24</v>
      </c>
      <c r="Z190" s="57" t="str">
        <f>IF(Table17[[#This Row],[CEK STN S]]="",Table17[[#This Row],[SATUAN DB]],Table17[[#This Row],[SATUAN S]])</f>
        <v>LSN</v>
      </c>
      <c r="AA190" s="57">
        <f>IF(Table17[[#This Row],[//CONV]]="",Table17[[#This Row],[ISI NOTA]]/Table17[[#This Row],[ISI_C]],Table17[[#This Row],[ISI DB CONV]]/Table17[[#This Row],[ISI_C]])</f>
        <v>5</v>
      </c>
      <c r="AB190" s="57">
        <f>INDEX(NOTA[HARGA SATUAN],Sheet1!A:A)</f>
        <v>52500</v>
      </c>
      <c r="AC190" s="57">
        <f>IF(Table17[[#This Row],[//CONV]]="",Table17[[#This Row],[HARGA NOTA]],Table17[[#This Row],[HARGA NOTA]]/Table17[[#This Row],[CONV VAR]])</f>
        <v>52500</v>
      </c>
      <c r="AD190" s="57">
        <f>IF(Table17[[#This Row],[CEK STN S]]="",Table17[[#This Row],[HARGA CONV]],Table17[[#This Row],[HARGA CONV]]/Table17[[#This Row],[CONV2 VAR]])</f>
        <v>52500</v>
      </c>
      <c r="AE190" s="59" t="str">
        <f>IF(INDEX(NOTA[Column6],Sheet1!A:A)=0,"",INDEX(NOTA[Column6],Sheet1!A:A))</f>
        <v/>
      </c>
      <c r="AF190" s="59" t="str">
        <f>IF(INDEX(NOTA[Column7],Sheet1!A:A)=0,"",INDEX(NOTA[Column7],Sheet1!A:A))</f>
        <v/>
      </c>
      <c r="AG190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0" s="60">
        <f>INDEX(NOTA[HARGA/ CTN_H],Sheet1!A:A)</f>
        <v>1260000</v>
      </c>
      <c r="AI190" s="60">
        <f>IF(Table17[[#This Row],[DISC 3]]="",Table17[[#This Row],[HRG / CTN]],Table17[[#This Row],[HRG / CTN]]-(Table17[[#This Row],[HRG / CTN]]*Table17[[#This Row],[DISC 3]]))</f>
        <v>1260000</v>
      </c>
      <c r="AJ190" s="61" t="e">
        <f>IF(#REF!&lt;1,Table17[[#This Row],[Column9]],Table17[[#This Row],[Column9]]*#REF!)</f>
        <v>#REF!</v>
      </c>
      <c r="AK190" s="60" t="e">
        <f ca="1">IF(NOT(AP191=Table17[[#This Row],[Column6]]),SUMIF(Table17[Column6],Table17[[#This Row],[Column6]],Table17[Column7]),"")</f>
        <v>#REF!</v>
      </c>
      <c r="AL190" s="62">
        <f ca="1">INDEX(NOTA[TGL_H],Sheet1!A:A)</f>
        <v>45498</v>
      </c>
      <c r="AM190" s="62">
        <f ca="1">INDEX(NOTA[TGL.NOTA_H],Sheet1!A:A)</f>
        <v>45493</v>
      </c>
      <c r="AN190" s="63"/>
      <c r="AO190" s="57" t="str">
        <f>IF(INDEX(NOTA[Column10],A:A)="","",INDEX(NOTA[Column10],A:A))</f>
        <v/>
      </c>
      <c r="AP190" s="57" t="str">
        <f ca="1">INDEX(NOTA[NO.NOTA_H],Sheet1!A:A)</f>
        <v>WG05288</v>
      </c>
      <c r="AQ190" s="57">
        <f>INDEX(NOTA[Column10],Sheet1!A:A)</f>
        <v>0</v>
      </c>
      <c r="AR190" s="64" t="str">
        <f ca="1">INDEX(NOTA[SUPPLIER_H],Sheet1!A:A)</f>
        <v>SBS</v>
      </c>
      <c r="AS190" s="57" t="str">
        <f>Table17[[#This Row],[NAMA_C]]</f>
        <v>STAMP PAD HERO K</v>
      </c>
      <c r="AT190" s="57" t="str">
        <f ca="1">Table17[[#This Row],[SUPPLIER]]</f>
        <v>SBS</v>
      </c>
      <c r="AU190" s="57" t="str">
        <f>SUBSTITUTE(Table17[[#This Row],[CTN]],",",".")</f>
        <v>5</v>
      </c>
      <c r="AV190" s="68" t="str">
        <f>Table17[[#This Row],[ISI_C]]</f>
        <v>24</v>
      </c>
      <c r="AW190" s="57" t="str">
        <f>Table17[[#This Row],[SATUAN_C]]</f>
        <v>LSN</v>
      </c>
      <c r="AX190" s="57">
        <f>Table17[[#This Row],[HARGA CONV2]]</f>
        <v>52500</v>
      </c>
      <c r="AY190" s="65" t="str">
        <f>SUBSTITUTE(Table17[[#This Row],[DISC 3]],",",".")</f>
        <v/>
      </c>
      <c r="AZ190" s="62">
        <f ca="1">Table17[[#This Row],[TGL DATANG]]</f>
        <v>45498</v>
      </c>
      <c r="BA190" s="62">
        <f ca="1">Table17[[#This Row],[Column10]]</f>
        <v>45493</v>
      </c>
      <c r="BB190" s="63"/>
      <c r="BC190" s="57" t="str">
        <f>Table17[[#This Row],[KETERANGAN CONDRO]]</f>
        <v/>
      </c>
      <c r="BD190" s="57" t="str">
        <f ca="1">Table17[[#This Row],[Column6]]</f>
        <v>WG05288</v>
      </c>
    </row>
    <row r="191" spans="1:56">
      <c r="A191" s="55">
        <v>249</v>
      </c>
      <c r="C191" s="57">
        <f>INDEX(NOTA[//DB],Sheet1!A:A)</f>
        <v>791</v>
      </c>
      <c r="D191" s="57">
        <f>_xlfn.IFNA(MATCH(Table17[[#This Row],[//db]],[3]!Table2[\\],0),"")</f>
        <v>937</v>
      </c>
      <c r="E191" s="57" t="str">
        <f>INDEX([3]!db[NB NOTA],Table17[[#This Row],[//db]])</f>
        <v>CUTTER BESAR 88 TACO</v>
      </c>
      <c r="F191" s="57" t="str">
        <f>INDEX([3]!db[NB BM],Table17[[#This Row],[//db]])</f>
        <v>CUTTER TACO 88 BESAR</v>
      </c>
      <c r="G191" s="57" t="str">
        <f>IF(Table17[[#This Row],[dbconcat]]="","",INDEX([3]!Table2[NAMA],Table17[[#This Row],[dbconcat]]))</f>
        <v>CUTTER TACO 88 BESAR</v>
      </c>
      <c r="H191" s="57" t="str">
        <f>INDEX([3]!Table2[KODE BARANG],Table17[[#This Row],[dbconcat]])</f>
        <v>CUT-TC8</v>
      </c>
      <c r="I191" s="57" t="str">
        <f>IF(Table17[[#This Row],[NAMA_3]]="",UPPER(Table17[[#This Row],[NAMA_2]]),Table17[[#This Row],[NAMA_3]])</f>
        <v>CUTTER TACO 88 BESAR</v>
      </c>
      <c r="J191" s="57">
        <f>INDEX(NOTA[QTY],Sheet1!A:A)</f>
        <v>720</v>
      </c>
      <c r="K191" s="57" t="str">
        <f>INDEX(NOTA[STN],Sheet1!A:A)</f>
        <v>LSN</v>
      </c>
      <c r="L191" s="57" t="str">
        <f>INDEX([3]!db[QTY B],Table17[[#This Row],[//db]])</f>
        <v>60</v>
      </c>
      <c r="M191" s="57" t="str">
        <f>INDEX([3]!db[STN B],Table17[[#This Row],[//db]])</f>
        <v>LSN</v>
      </c>
      <c r="N191" s="57" t="str">
        <f>IF(Table17[[#This Row],[SATUAN NOTA]]=Table17[[#This Row],[SATUAN DB]],"", MATCH(CONCATENATE(Table17[[#This Row],[SATUAN NOTA]],Table17[[#This Row],[SATUAN DB]]),Table2[4],0))</f>
        <v/>
      </c>
      <c r="O191" s="57" t="str" cm="1">
        <f t="array" ref="O191">IF(Table17[[#This Row],[//CONV]]="","",INDEX(Table2[3],Table17[[#This Row],[//CONV]]))</f>
        <v/>
      </c>
      <c r="P191" s="57" t="str">
        <f>IF(Table17[[#This Row],[//CONV]]="",Table17[[#This Row],[ISI DB]],Table17[[#This Row],[ISI NOTA]]*Table17[[#This Row],[CONV VAR]])</f>
        <v>60</v>
      </c>
      <c r="Q191" s="57" t="str" cm="1">
        <f t="array" ref="Q191">IF(Table17[[#This Row],[//CONV]]="",Table17[[#This Row],[SATUAN DB]],INDEX(Table2[2],Table17[[#This Row],[//CONV]]))</f>
        <v>LSN</v>
      </c>
      <c r="R191" s="57" cm="1">
        <f t="array" ref="R191">IF(Table17[[#This Row],[dbconcat]]="","",INDEX([3]!Table2[ISI],Table17[[#This Row],[dbconcat]]))</f>
        <v>60</v>
      </c>
      <c r="S191" s="57" t="str" cm="1">
        <f t="array" ref="S191">IF(Table17[[#This Row],[dbconcat]]="","",INDEX([3]!Table2[[SATUAN ]],Table17[[#This Row],[dbconcat]]))</f>
        <v>LSN</v>
      </c>
      <c r="T191" s="57" t="str">
        <f>IF(Table17[[#This Row],[SATUAN S]]="","",IF(_xlfn.NUMBERVALUE(Table17[[#This Row],[ISI DB]])=_xlfn.NUMBERVALUE(Table17[[#This Row],[ISI S]]),"",1))</f>
        <v/>
      </c>
      <c r="U191" s="57" t="str">
        <f>IF(Table17[[#This Row],[SATUAN S]]="","",IF(Table17[[#This Row],[SATUAN DB]]=Table17[[#This Row],[SATUAN S]],"",1))</f>
        <v/>
      </c>
      <c r="V191" s="57" t="str">
        <f>IF(Table17[[#This Row],[CEK STN S]]="","",MATCH(CONCATENATE(Table17[[#This Row],[SATUAN CONV]],Table17[[#This Row],[SATUAN S]]),Table2[4],0))</f>
        <v/>
      </c>
      <c r="W191" s="57"/>
      <c r="X191" s="57" t="str" cm="1">
        <f t="array" ref="X191">IF(Table17[[#This Row],[CONV2_//]]="","",INDEX(Table2[3],Table17[[#This Row],[CONV2_//]]))</f>
        <v/>
      </c>
      <c r="Y191" s="58" t="str">
        <f>IF(Table17[[#This Row],[CEK ISI S]]="",Table17[[#This Row],[ISI DB]],Table17[[#This Row],[ISI S]])</f>
        <v>60</v>
      </c>
      <c r="Z191" s="57" t="str">
        <f>IF(Table17[[#This Row],[CEK STN S]]="",Table17[[#This Row],[SATUAN DB]],Table17[[#This Row],[SATUAN S]])</f>
        <v>LSN</v>
      </c>
      <c r="AA191" s="57">
        <f>IF(Table17[[#This Row],[//CONV]]="",Table17[[#This Row],[ISI NOTA]]/Table17[[#This Row],[ISI_C]],Table17[[#This Row],[ISI DB CONV]]/Table17[[#This Row],[ISI_C]])</f>
        <v>12</v>
      </c>
      <c r="AB191" s="57">
        <f>INDEX(NOTA[HARGA SATUAN],Sheet1!A:A)</f>
        <v>31000</v>
      </c>
      <c r="AC191" s="57">
        <f>IF(Table17[[#This Row],[//CONV]]="",Table17[[#This Row],[HARGA NOTA]],Table17[[#This Row],[HARGA NOTA]]/Table17[[#This Row],[CONV VAR]])</f>
        <v>31000</v>
      </c>
      <c r="AD191" s="57">
        <f>IF(Table17[[#This Row],[CEK STN S]]="",Table17[[#This Row],[HARGA CONV]],Table17[[#This Row],[HARGA CONV]]/Table17[[#This Row],[CONV2 VAR]])</f>
        <v>31000</v>
      </c>
      <c r="AE191" s="59">
        <f>IF(INDEX(NOTA[Column6],Sheet1!A:A)=0,"",INDEX(NOTA[Column6],Sheet1!A:A))</f>
        <v>0.19</v>
      </c>
      <c r="AF191" s="59">
        <f>IF(INDEX(NOTA[Column7],Sheet1!A:A)=0,"",INDEX(NOTA[Column7],Sheet1!A:A))</f>
        <v>0.1</v>
      </c>
      <c r="AG191" s="59">
        <f>IF(Table17[[#This Row],[DISC 1]]="","",IF(Table17[[#This Row],[DISC 2]]="",Table17[[#This Row],[DISC 1]],Table17[[#This Row],[DISC 1]]+Table17[[#This Row],[DISC 2]]-(Table17[[#This Row],[DISC 1]]*Table17[[#This Row],[DISC 2]])))</f>
        <v>0.27100000000000002</v>
      </c>
      <c r="AH191" s="60">
        <f>INDEX(NOTA[HARGA/ CTN_H],Sheet1!A:A)</f>
        <v>1860000</v>
      </c>
      <c r="AI191" s="60">
        <f>IF(Table17[[#This Row],[DISC 3]]="",Table17[[#This Row],[HRG / CTN]],Table17[[#This Row],[HRG / CTN]]-(Table17[[#This Row],[HRG / CTN]]*Table17[[#This Row],[DISC 3]]))</f>
        <v>1355940</v>
      </c>
      <c r="AJ191" s="61" t="e">
        <f>IF(#REF!&lt;1,Table17[[#This Row],[Column9]],Table17[[#This Row],[Column9]]*#REF!)</f>
        <v>#REF!</v>
      </c>
      <c r="AK191" s="60" t="str">
        <f ca="1">IF(NOT(AP192=Table17[[#This Row],[Column6]]),SUMIF(Table17[Column6],Table17[[#This Row],[Column6]],Table17[Column7]),"")</f>
        <v/>
      </c>
      <c r="AL191" s="62">
        <f ca="1">INDEX(NOTA[TGL_H],Sheet1!A:A)</f>
        <v>45498</v>
      </c>
      <c r="AM191" s="62">
        <f ca="1">INDEX(NOTA[TGL.NOTA_H],Sheet1!A:A)</f>
        <v>45495</v>
      </c>
      <c r="AN191" s="63"/>
      <c r="AO191" s="57" t="str">
        <f>IF(INDEX(NOTA[Column10],A:A)="","",INDEX(NOTA[Column10],A:A))</f>
        <v/>
      </c>
      <c r="AP191" s="57" t="str">
        <f ca="1">INDEX(NOTA[NO.NOTA_H],Sheet1!A:A)</f>
        <v>CDS2407063</v>
      </c>
      <c r="AQ191" s="57">
        <f>INDEX(NOTA[Column10],Sheet1!A:A)</f>
        <v>0</v>
      </c>
      <c r="AR191" s="64" t="str">
        <f ca="1">INDEX(NOTA[SUPPLIER_H],Sheet1!A:A)</f>
        <v>D-R ORIGINAL</v>
      </c>
      <c r="AS191" s="57" t="str">
        <f>Table17[[#This Row],[NAMA_C]]</f>
        <v>CUTTER TACO 88 BESAR</v>
      </c>
      <c r="AT191" s="57" t="str">
        <f ca="1">Table17[[#This Row],[SUPPLIER]]</f>
        <v>D-R ORIGINAL</v>
      </c>
      <c r="AU191" s="57" t="str">
        <f>SUBSTITUTE(Table17[[#This Row],[CTN]],",",".")</f>
        <v>12</v>
      </c>
      <c r="AV191" s="68" t="str">
        <f>Table17[[#This Row],[ISI_C]]</f>
        <v>60</v>
      </c>
      <c r="AW191" s="57" t="str">
        <f>Table17[[#This Row],[SATUAN_C]]</f>
        <v>LSN</v>
      </c>
      <c r="AX191" s="57">
        <f>Table17[[#This Row],[HARGA CONV2]]</f>
        <v>31000</v>
      </c>
      <c r="AY191" s="65" t="str">
        <f>SUBSTITUTE(Table17[[#This Row],[DISC 3]],",",".")</f>
        <v>0.271</v>
      </c>
      <c r="AZ191" s="62">
        <f ca="1">Table17[[#This Row],[TGL DATANG]]</f>
        <v>45498</v>
      </c>
      <c r="BA191" s="62">
        <f ca="1">Table17[[#This Row],[Column10]]</f>
        <v>45495</v>
      </c>
      <c r="BB191" s="63"/>
      <c r="BC191" s="57" t="str">
        <f>Table17[[#This Row],[KETERANGAN CONDRO]]</f>
        <v/>
      </c>
      <c r="BD191" s="57" t="str">
        <f ca="1">Table17[[#This Row],[Column6]]</f>
        <v>CDS2407063</v>
      </c>
    </row>
    <row r="192" spans="1:56">
      <c r="A192" s="55">
        <v>250</v>
      </c>
      <c r="C192" s="57">
        <f>INDEX(NOTA[//DB],Sheet1!A:A)</f>
        <v>791</v>
      </c>
      <c r="D192" s="57">
        <f>_xlfn.IFNA(MATCH(Table17[[#This Row],[//db]],[3]!Table2[\\],0),"")</f>
        <v>937</v>
      </c>
      <c r="E192" s="57" t="str">
        <f>INDEX([3]!db[NB NOTA],Table17[[#This Row],[//db]])</f>
        <v>CUTTER BESAR 88 TACO</v>
      </c>
      <c r="F192" s="57" t="str">
        <f>INDEX([3]!db[NB BM],Table17[[#This Row],[//db]])</f>
        <v>CUTTER TACO 88 BESAR</v>
      </c>
      <c r="G192" s="57" t="str">
        <f>IF(Table17[[#This Row],[dbconcat]]="","",INDEX([3]!Table2[NAMA],Table17[[#This Row],[dbconcat]]))</f>
        <v>CUTTER TACO 88 BESAR</v>
      </c>
      <c r="H192" s="57" t="str">
        <f>INDEX([3]!Table2[KODE BARANG],Table17[[#This Row],[dbconcat]])</f>
        <v>CUT-TC8</v>
      </c>
      <c r="I192" s="57" t="str">
        <f>IF(Table17[[#This Row],[NAMA_3]]="",UPPER(Table17[[#This Row],[NAMA_2]]),Table17[[#This Row],[NAMA_3]])</f>
        <v>CUTTER TACO 88 BESAR</v>
      </c>
      <c r="J192" s="57">
        <f>INDEX(NOTA[QTY],Sheet1!A:A)</f>
        <v>60</v>
      </c>
      <c r="K192" s="57" t="str">
        <f>INDEX(NOTA[STN],Sheet1!A:A)</f>
        <v>LSN</v>
      </c>
      <c r="L192" s="57" t="str">
        <f>INDEX([3]!db[QTY B],Table17[[#This Row],[//db]])</f>
        <v>60</v>
      </c>
      <c r="M192" s="57" t="str">
        <f>INDEX([3]!db[STN B],Table17[[#This Row],[//db]])</f>
        <v>LSN</v>
      </c>
      <c r="N192" s="57" t="str">
        <f>IF(Table17[[#This Row],[SATUAN NOTA]]=Table17[[#This Row],[SATUAN DB]],"", MATCH(CONCATENATE(Table17[[#This Row],[SATUAN NOTA]],Table17[[#This Row],[SATUAN DB]]),Table2[4],0))</f>
        <v/>
      </c>
      <c r="O192" s="57" t="str" cm="1">
        <f t="array" ref="O192">IF(Table17[[#This Row],[//CONV]]="","",INDEX(Table2[3],Table17[[#This Row],[//CONV]]))</f>
        <v/>
      </c>
      <c r="P192" s="57" t="str">
        <f>IF(Table17[[#This Row],[//CONV]]="",Table17[[#This Row],[ISI DB]],Table17[[#This Row],[ISI NOTA]]*Table17[[#This Row],[CONV VAR]])</f>
        <v>60</v>
      </c>
      <c r="Q192" s="57" t="str" cm="1">
        <f t="array" ref="Q192">IF(Table17[[#This Row],[//CONV]]="",Table17[[#This Row],[SATUAN DB]],INDEX(Table2[2],Table17[[#This Row],[//CONV]]))</f>
        <v>LSN</v>
      </c>
      <c r="R192" s="57" cm="1">
        <f t="array" ref="R192">IF(Table17[[#This Row],[dbconcat]]="","",INDEX([3]!Table2[ISI],Table17[[#This Row],[dbconcat]]))</f>
        <v>60</v>
      </c>
      <c r="S192" s="57" t="str" cm="1">
        <f t="array" ref="S192">IF(Table17[[#This Row],[dbconcat]]="","",INDEX([3]!Table2[[SATUAN ]],Table17[[#This Row],[dbconcat]]))</f>
        <v>LSN</v>
      </c>
      <c r="T192" s="57" t="str">
        <f>IF(Table17[[#This Row],[SATUAN S]]="","",IF(_xlfn.NUMBERVALUE(Table17[[#This Row],[ISI DB]])=_xlfn.NUMBERVALUE(Table17[[#This Row],[ISI S]]),"",1))</f>
        <v/>
      </c>
      <c r="U192" s="57" t="str">
        <f>IF(Table17[[#This Row],[SATUAN S]]="","",IF(Table17[[#This Row],[SATUAN DB]]=Table17[[#This Row],[SATUAN S]],"",1))</f>
        <v/>
      </c>
      <c r="V192" s="57" t="str">
        <f>IF(Table17[[#This Row],[CEK STN S]]="","",MATCH(CONCATENATE(Table17[[#This Row],[SATUAN CONV]],Table17[[#This Row],[SATUAN S]]),Table2[4],0))</f>
        <v/>
      </c>
      <c r="W192" s="57"/>
      <c r="X192" s="57" t="str" cm="1">
        <f t="array" ref="X192">IF(Table17[[#This Row],[CONV2_//]]="","",INDEX(Table2[3],Table17[[#This Row],[CONV2_//]]))</f>
        <v/>
      </c>
      <c r="Y192" s="58" t="str">
        <f>IF(Table17[[#This Row],[CEK ISI S]]="",Table17[[#This Row],[ISI DB]],Table17[[#This Row],[ISI S]])</f>
        <v>60</v>
      </c>
      <c r="Z192" s="57" t="str">
        <f>IF(Table17[[#This Row],[CEK STN S]]="",Table17[[#This Row],[SATUAN DB]],Table17[[#This Row],[SATUAN S]])</f>
        <v>LSN</v>
      </c>
      <c r="AA192" s="57">
        <f>IF(Table17[[#This Row],[//CONV]]="",Table17[[#This Row],[ISI NOTA]]/Table17[[#This Row],[ISI_C]],Table17[[#This Row],[ISI DB CONV]]/Table17[[#This Row],[ISI_C]])</f>
        <v>1</v>
      </c>
      <c r="AB192" s="57">
        <f>INDEX(NOTA[HARGA SATUAN],Sheet1!A:A)</f>
        <v>31000</v>
      </c>
      <c r="AC192" s="57">
        <f>IF(Table17[[#This Row],[//CONV]]="",Table17[[#This Row],[HARGA NOTA]],Table17[[#This Row],[HARGA NOTA]]/Table17[[#This Row],[CONV VAR]])</f>
        <v>31000</v>
      </c>
      <c r="AD192" s="57">
        <f>IF(Table17[[#This Row],[CEK STN S]]="",Table17[[#This Row],[HARGA CONV]],Table17[[#This Row],[HARGA CONV]]/Table17[[#This Row],[CONV2 VAR]])</f>
        <v>31000</v>
      </c>
      <c r="AE192" s="59">
        <f>IF(INDEX(NOTA[Column6],Sheet1!A:A)=0,"",INDEX(NOTA[Column6],Sheet1!A:A))</f>
        <v>1</v>
      </c>
      <c r="AF192" s="59" t="str">
        <f>IF(INDEX(NOTA[Column7],Sheet1!A:A)=0,"",INDEX(NOTA[Column7],Sheet1!A:A))</f>
        <v/>
      </c>
      <c r="AG192" s="59">
        <f>IF(Table17[[#This Row],[DISC 1]]="","",IF(Table17[[#This Row],[DISC 2]]="",Table17[[#This Row],[DISC 1]],Table17[[#This Row],[DISC 1]]+Table17[[#This Row],[DISC 2]]-(Table17[[#This Row],[DISC 1]]*Table17[[#This Row],[DISC 2]])))</f>
        <v>1</v>
      </c>
      <c r="AH192" s="60">
        <f>INDEX(NOTA[HARGA/ CTN_H],Sheet1!A:A)</f>
        <v>1860000</v>
      </c>
      <c r="AI192" s="60">
        <f>IF(Table17[[#This Row],[DISC 3]]="",Table17[[#This Row],[HRG / CTN]],Table17[[#This Row],[HRG / CTN]]-(Table17[[#This Row],[HRG / CTN]]*Table17[[#This Row],[DISC 3]]))</f>
        <v>0</v>
      </c>
      <c r="AJ192" s="61" t="e">
        <f>IF(#REF!&lt;1,Table17[[#This Row],[Column9]],Table17[[#This Row],[Column9]]*#REF!)</f>
        <v>#REF!</v>
      </c>
      <c r="AK192" s="60" t="e">
        <f ca="1">IF(NOT(AP193=Table17[[#This Row],[Column6]]),SUMIF(Table17[Column6],Table17[[#This Row],[Column6]],Table17[Column7]),"")</f>
        <v>#REF!</v>
      </c>
      <c r="AL192" s="62">
        <f ca="1">INDEX(NOTA[TGL_H],Sheet1!A:A)</f>
        <v>45498</v>
      </c>
      <c r="AM192" s="62">
        <f ca="1">INDEX(NOTA[TGL.NOTA_H],Sheet1!A:A)</f>
        <v>45495</v>
      </c>
      <c r="AN192" s="63"/>
      <c r="AO192" s="57" t="str">
        <f>IF(INDEX(NOTA[Column10],A:A)="","",INDEX(NOTA[Column10],A:A))</f>
        <v>BONUS</v>
      </c>
      <c r="AP192" s="57" t="str">
        <f ca="1">INDEX(NOTA[NO.NOTA_H],Sheet1!A:A)</f>
        <v>CDS2407063</v>
      </c>
      <c r="AQ192" s="57" t="str">
        <f>INDEX(NOTA[Column10],Sheet1!A:A)</f>
        <v>BONUS</v>
      </c>
      <c r="AR192" s="64" t="str">
        <f ca="1">INDEX(NOTA[SUPPLIER_H],Sheet1!A:A)</f>
        <v>D-R ORIGINAL</v>
      </c>
      <c r="AS192" s="57" t="str">
        <f>Table17[[#This Row],[NAMA_C]]</f>
        <v>CUTTER TACO 88 BESAR</v>
      </c>
      <c r="AT192" s="57" t="str">
        <f ca="1">Table17[[#This Row],[SUPPLIER]]</f>
        <v>D-R ORIGINAL</v>
      </c>
      <c r="AU192" s="57" t="str">
        <f>SUBSTITUTE(Table17[[#This Row],[CTN]],",",".")</f>
        <v>1</v>
      </c>
      <c r="AV192" s="68" t="str">
        <f>Table17[[#This Row],[ISI_C]]</f>
        <v>60</v>
      </c>
      <c r="AW192" s="57" t="str">
        <f>Table17[[#This Row],[SATUAN_C]]</f>
        <v>LSN</v>
      </c>
      <c r="AX192" s="57">
        <f>Table17[[#This Row],[HARGA CONV2]]</f>
        <v>31000</v>
      </c>
      <c r="AY192" s="65" t="str">
        <f>SUBSTITUTE(Table17[[#This Row],[DISC 3]],",",".")</f>
        <v>1</v>
      </c>
      <c r="AZ192" s="62">
        <f ca="1">Table17[[#This Row],[TGL DATANG]]</f>
        <v>45498</v>
      </c>
      <c r="BA192" s="62">
        <f ca="1">Table17[[#This Row],[Column10]]</f>
        <v>45495</v>
      </c>
      <c r="BB192" s="63"/>
      <c r="BC192" s="57" t="str">
        <f>Table17[[#This Row],[KETERANGAN CONDRO]]</f>
        <v>BONUS</v>
      </c>
      <c r="BD192" s="57" t="str">
        <f ca="1">Table17[[#This Row],[Column6]]</f>
        <v>CDS2407063</v>
      </c>
    </row>
    <row r="193" spans="1:56">
      <c r="A193" s="55">
        <v>252</v>
      </c>
      <c r="C193" s="57">
        <f>INDEX(NOTA[//DB],Sheet1!A:A)</f>
        <v>43</v>
      </c>
      <c r="D193" s="57">
        <f>_xlfn.IFNA(MATCH(Table17[[#This Row],[//db]],[3]!Table2[\\],0),"")</f>
        <v>18</v>
      </c>
      <c r="E193" s="57" t="str">
        <f>INDEX([3]!db[NB NOTA],Table17[[#This Row],[//db]])</f>
        <v>ACRYLIC SISIPAN KERTAS A4 T (21X30 CM)</v>
      </c>
      <c r="F193" s="57" t="str">
        <f>INDEX([3]!db[NB BM],Table17[[#This Row],[//db]])</f>
        <v>ACRYLIC A4 T 21X30</v>
      </c>
      <c r="G193" s="57" t="str">
        <f>IF(Table17[[#This Row],[dbconcat]]="","",INDEX([3]!Table2[NAMA],Table17[[#This Row],[dbconcat]]))</f>
        <v>ACRYLIC A4 T 21X30</v>
      </c>
      <c r="H193" s="57" t="str">
        <f>INDEX([3]!Table2[KODE BARANG],Table17[[#This Row],[dbconcat]])</f>
        <v>ACR-KO11</v>
      </c>
      <c r="I193" s="57" t="str">
        <f>IF(Table17[[#This Row],[NAMA_3]]="",UPPER(Table17[[#This Row],[NAMA_2]]),Table17[[#This Row],[NAMA_3]])</f>
        <v>ACRYLIC A4 T 21X30</v>
      </c>
      <c r="J193" s="57">
        <f>INDEX(NOTA[QTY],Sheet1!A:A)</f>
        <v>40</v>
      </c>
      <c r="K193" s="57" t="str">
        <f>INDEX(NOTA[STN],Sheet1!A:A)</f>
        <v>PCS</v>
      </c>
      <c r="L193" s="57" t="str">
        <f>INDEX([3]!db[QTY B],Table17[[#This Row],[//db]])</f>
        <v>40</v>
      </c>
      <c r="M193" s="57" t="str">
        <f>INDEX([3]!db[STN B],Table17[[#This Row],[//db]])</f>
        <v>PCS</v>
      </c>
      <c r="N193" s="57" t="str">
        <f>IF(Table17[[#This Row],[SATUAN NOTA]]=Table17[[#This Row],[SATUAN DB]],"", MATCH(CONCATENATE(Table17[[#This Row],[SATUAN NOTA]],Table17[[#This Row],[SATUAN DB]]),Table2[4],0))</f>
        <v/>
      </c>
      <c r="O193" s="57" t="str" cm="1">
        <f t="array" ref="O193">IF(Table17[[#This Row],[//CONV]]="","",INDEX(Table2[3],Table17[[#This Row],[//CONV]]))</f>
        <v/>
      </c>
      <c r="P193" s="57" t="str">
        <f>IF(Table17[[#This Row],[//CONV]]="",Table17[[#This Row],[ISI DB]],Table17[[#This Row],[ISI NOTA]]*Table17[[#This Row],[CONV VAR]])</f>
        <v>40</v>
      </c>
      <c r="Q193" s="57" t="str" cm="1">
        <f t="array" ref="Q193">IF(Table17[[#This Row],[//CONV]]="",Table17[[#This Row],[SATUAN DB]],INDEX(Table2[2],Table17[[#This Row],[//CONV]]))</f>
        <v>PCS</v>
      </c>
      <c r="R193" s="57" cm="1">
        <f t="array" ref="R193">IF(Table17[[#This Row],[dbconcat]]="","",INDEX([3]!Table2[ISI],Table17[[#This Row],[dbconcat]]))</f>
        <v>40</v>
      </c>
      <c r="S193" s="57" t="str" cm="1">
        <f t="array" ref="S193">IF(Table17[[#This Row],[dbconcat]]="","",INDEX([3]!Table2[[SATUAN ]],Table17[[#This Row],[dbconcat]]))</f>
        <v>PCS</v>
      </c>
      <c r="T193" s="57" t="str">
        <f>IF(Table17[[#This Row],[SATUAN S]]="","",IF(_xlfn.NUMBERVALUE(Table17[[#This Row],[ISI DB]])=_xlfn.NUMBERVALUE(Table17[[#This Row],[ISI S]]),"",1))</f>
        <v/>
      </c>
      <c r="U193" s="57" t="str">
        <f>IF(Table17[[#This Row],[SATUAN S]]="","",IF(Table17[[#This Row],[SATUAN DB]]=Table17[[#This Row],[SATUAN S]],"",1))</f>
        <v/>
      </c>
      <c r="V193" s="57" t="str">
        <f>IF(Table17[[#This Row],[CEK STN S]]="","",MATCH(CONCATENATE(Table17[[#This Row],[SATUAN CONV]],Table17[[#This Row],[SATUAN S]]),Table2[4],0))</f>
        <v/>
      </c>
      <c r="W193" s="57"/>
      <c r="X193" s="57" t="str" cm="1">
        <f t="array" ref="X193">IF(Table17[[#This Row],[CONV2_//]]="","",INDEX(Table2[3],Table17[[#This Row],[CONV2_//]]))</f>
        <v/>
      </c>
      <c r="Y193" s="58" t="str">
        <f>IF(Table17[[#This Row],[CEK ISI S]]="",Table17[[#This Row],[ISI DB]],Table17[[#This Row],[ISI S]])</f>
        <v>40</v>
      </c>
      <c r="Z193" s="57" t="str">
        <f>IF(Table17[[#This Row],[CEK STN S]]="",Table17[[#This Row],[SATUAN DB]],Table17[[#This Row],[SATUAN S]])</f>
        <v>PCS</v>
      </c>
      <c r="AA193" s="57">
        <f>IF(Table17[[#This Row],[//CONV]]="",Table17[[#This Row],[ISI NOTA]]/Table17[[#This Row],[ISI_C]],Table17[[#This Row],[ISI DB CONV]]/Table17[[#This Row],[ISI_C]])</f>
        <v>1</v>
      </c>
      <c r="AB193" s="57">
        <f>INDEX(NOTA[HARGA SATUAN],Sheet1!A:A)</f>
        <v>51000</v>
      </c>
      <c r="AC193" s="57">
        <f>IF(Table17[[#This Row],[//CONV]]="",Table17[[#This Row],[HARGA NOTA]],Table17[[#This Row],[HARGA NOTA]]/Table17[[#This Row],[CONV VAR]])</f>
        <v>51000</v>
      </c>
      <c r="AD193" s="57">
        <f>IF(Table17[[#This Row],[CEK STN S]]="",Table17[[#This Row],[HARGA CONV]],Table17[[#This Row],[HARGA CONV]]/Table17[[#This Row],[CONV2 VAR]])</f>
        <v>51000</v>
      </c>
      <c r="AE193" s="59" t="str">
        <f>IF(INDEX(NOTA[Column6],Sheet1!A:A)=0,"",INDEX(NOTA[Column6],Sheet1!A:A))</f>
        <v/>
      </c>
      <c r="AF193" s="59" t="str">
        <f>IF(INDEX(NOTA[Column7],Sheet1!A:A)=0,"",INDEX(NOTA[Column7],Sheet1!A:A))</f>
        <v/>
      </c>
      <c r="AG193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3" s="60">
        <f>INDEX(NOTA[HARGA/ CTN_H],Sheet1!A:A)</f>
        <v>2040000</v>
      </c>
      <c r="AI193" s="60">
        <f>IF(Table17[[#This Row],[DISC 3]]="",Table17[[#This Row],[HRG / CTN]],Table17[[#This Row],[HRG / CTN]]-(Table17[[#This Row],[HRG / CTN]]*Table17[[#This Row],[DISC 3]]))</f>
        <v>2040000</v>
      </c>
      <c r="AJ193" s="61" t="e">
        <f>IF(#REF!&lt;1,Table17[[#This Row],[Column9]],Table17[[#This Row],[Column9]]*#REF!)</f>
        <v>#REF!</v>
      </c>
      <c r="AK193" s="60" t="str">
        <f ca="1">IF(NOT(AP194=Table17[[#This Row],[Column6]]),SUMIF(Table17[Column6],Table17[[#This Row],[Column6]],Table17[Column7]),"")</f>
        <v/>
      </c>
      <c r="AL193" s="62">
        <f ca="1">INDEX(NOTA[TGL_H],Sheet1!A:A)</f>
        <v>45498</v>
      </c>
      <c r="AM193" s="62">
        <f ca="1">INDEX(NOTA[TGL.NOTA_H],Sheet1!A:A)</f>
        <v>45495</v>
      </c>
      <c r="AN193" s="63"/>
      <c r="AO193" s="57" t="str">
        <f>IF(INDEX(NOTA[Column10],A:A)="","",INDEX(NOTA[Column10],A:A))</f>
        <v/>
      </c>
      <c r="AP193" s="57" t="str">
        <f ca="1">INDEX(NOTA[NO.NOTA_H],Sheet1!A:A)</f>
        <v>SO2024070087011</v>
      </c>
      <c r="AQ193" s="57">
        <f>INDEX(NOTA[Column10],Sheet1!A:A)</f>
        <v>0</v>
      </c>
      <c r="AR193" s="64" t="str">
        <f ca="1">INDEX(NOTA[SUPPLIER_H],Sheet1!A:A)</f>
        <v>BINTANG SAUDARA</v>
      </c>
      <c r="AS193" s="57" t="str">
        <f>Table17[[#This Row],[NAMA_C]]</f>
        <v>ACRYLIC A4 T 21X30</v>
      </c>
      <c r="AT193" s="57" t="str">
        <f ca="1">Table17[[#This Row],[SUPPLIER]]</f>
        <v>BINTANG SAUDARA</v>
      </c>
      <c r="AU193" s="57" t="str">
        <f>SUBSTITUTE(Table17[[#This Row],[CTN]],",",".")</f>
        <v>1</v>
      </c>
      <c r="AV193" s="68" t="str">
        <f>Table17[[#This Row],[ISI_C]]</f>
        <v>40</v>
      </c>
      <c r="AW193" s="57" t="str">
        <f>Table17[[#This Row],[SATUAN_C]]</f>
        <v>PCS</v>
      </c>
      <c r="AX193" s="57">
        <f>Table17[[#This Row],[HARGA CONV2]]</f>
        <v>51000</v>
      </c>
      <c r="AY193" s="65" t="str">
        <f>SUBSTITUTE(Table17[[#This Row],[DISC 3]],",",".")</f>
        <v/>
      </c>
      <c r="AZ193" s="62">
        <f ca="1">Table17[[#This Row],[TGL DATANG]]</f>
        <v>45498</v>
      </c>
      <c r="BA193" s="62">
        <f ca="1">Table17[[#This Row],[Column10]]</f>
        <v>45495</v>
      </c>
      <c r="BB193" s="63"/>
      <c r="BC193" s="57" t="str">
        <f>Table17[[#This Row],[KETERANGAN CONDRO]]</f>
        <v/>
      </c>
      <c r="BD193" s="57" t="str">
        <f ca="1">Table17[[#This Row],[Column6]]</f>
        <v>SO2024070087011</v>
      </c>
    </row>
    <row r="194" spans="1:56">
      <c r="A194" s="55">
        <v>253</v>
      </c>
      <c r="C194" s="57">
        <f>INDEX(NOTA[//DB],Sheet1!A:A)</f>
        <v>45</v>
      </c>
      <c r="D194" s="57">
        <f>_xlfn.IFNA(MATCH(Table17[[#This Row],[//db]],[3]!Table2[\\],0),"")</f>
        <v>15</v>
      </c>
      <c r="E194" s="57" t="str">
        <f>INDEX([3]!db[NB NOTA],Table17[[#This Row],[//db]])</f>
        <v>ACRYLIC SISIPAN KERTAS A5 T(15 X21 CM)</v>
      </c>
      <c r="F194" s="57" t="str">
        <f>INDEX([3]!db[NB BM],Table17[[#This Row],[//db]])</f>
        <v>ACRYLIC PLASTIK KOALA 15X21</v>
      </c>
      <c r="G194" s="57" t="str">
        <f>IF(Table17[[#This Row],[dbconcat]]="","",INDEX([3]!Table2[NAMA],Table17[[#This Row],[dbconcat]]))</f>
        <v>ACRYLIC PLASTIK KOALA 15X21</v>
      </c>
      <c r="H194" s="57" t="str">
        <f>INDEX([3]!Table2[KODE BARANG],Table17[[#This Row],[dbconcat]])</f>
        <v>ACR-KO1</v>
      </c>
      <c r="I194" s="57" t="str">
        <f>IF(Table17[[#This Row],[NAMA_3]]="",UPPER(Table17[[#This Row],[NAMA_2]]),Table17[[#This Row],[NAMA_3]])</f>
        <v>ACRYLIC PLASTIK KOALA 15X21</v>
      </c>
      <c r="J194" s="57">
        <f>INDEX(NOTA[QTY],Sheet1!A:A)</f>
        <v>60</v>
      </c>
      <c r="K194" s="57" t="str">
        <f>INDEX(NOTA[STN],Sheet1!A:A)</f>
        <v>PCS</v>
      </c>
      <c r="L194" s="57" t="str">
        <f>INDEX([3]!db[QTY B],Table17[[#This Row],[//db]])</f>
        <v>60</v>
      </c>
      <c r="M194" s="57" t="str">
        <f>INDEX([3]!db[STN B],Table17[[#This Row],[//db]])</f>
        <v>PCS</v>
      </c>
      <c r="N194" s="57" t="str">
        <f>IF(Table17[[#This Row],[SATUAN NOTA]]=Table17[[#This Row],[SATUAN DB]],"", MATCH(CONCATENATE(Table17[[#This Row],[SATUAN NOTA]],Table17[[#This Row],[SATUAN DB]]),Table2[4],0))</f>
        <v/>
      </c>
      <c r="O194" s="57" t="str" cm="1">
        <f t="array" ref="O194">IF(Table17[[#This Row],[//CONV]]="","",INDEX(Table2[3],Table17[[#This Row],[//CONV]]))</f>
        <v/>
      </c>
      <c r="P194" s="57" t="str">
        <f>IF(Table17[[#This Row],[//CONV]]="",Table17[[#This Row],[ISI DB]],Table17[[#This Row],[ISI NOTA]]*Table17[[#This Row],[CONV VAR]])</f>
        <v>60</v>
      </c>
      <c r="Q194" s="57" t="str" cm="1">
        <f t="array" ref="Q194">IF(Table17[[#This Row],[//CONV]]="",Table17[[#This Row],[SATUAN DB]],INDEX(Table2[2],Table17[[#This Row],[//CONV]]))</f>
        <v>PCS</v>
      </c>
      <c r="R194" s="57" cm="1">
        <f t="array" ref="R194">IF(Table17[[#This Row],[dbconcat]]="","",INDEX([3]!Table2[ISI],Table17[[#This Row],[dbconcat]]))</f>
        <v>60</v>
      </c>
      <c r="S194" s="57" t="str" cm="1">
        <f t="array" ref="S194">IF(Table17[[#This Row],[dbconcat]]="","",INDEX([3]!Table2[[SATUAN ]],Table17[[#This Row],[dbconcat]]))</f>
        <v>PCS</v>
      </c>
      <c r="T194" s="57" t="str">
        <f>IF(Table17[[#This Row],[SATUAN S]]="","",IF(_xlfn.NUMBERVALUE(Table17[[#This Row],[ISI DB]])=_xlfn.NUMBERVALUE(Table17[[#This Row],[ISI S]]),"",1))</f>
        <v/>
      </c>
      <c r="U194" s="57" t="str">
        <f>IF(Table17[[#This Row],[SATUAN S]]="","",IF(Table17[[#This Row],[SATUAN DB]]=Table17[[#This Row],[SATUAN S]],"",1))</f>
        <v/>
      </c>
      <c r="V194" s="57" t="str">
        <f>IF(Table17[[#This Row],[CEK STN S]]="","",MATCH(CONCATENATE(Table17[[#This Row],[SATUAN CONV]],Table17[[#This Row],[SATUAN S]]),Table2[4],0))</f>
        <v/>
      </c>
      <c r="W194" s="57"/>
      <c r="X194" s="57" t="str" cm="1">
        <f t="array" ref="X194">IF(Table17[[#This Row],[CONV2_//]]="","",INDEX(Table2[3],Table17[[#This Row],[CONV2_//]]))</f>
        <v/>
      </c>
      <c r="Y194" s="58" t="str">
        <f>IF(Table17[[#This Row],[CEK ISI S]]="",Table17[[#This Row],[ISI DB]],Table17[[#This Row],[ISI S]])</f>
        <v>60</v>
      </c>
      <c r="Z194" s="57" t="str">
        <f>IF(Table17[[#This Row],[CEK STN S]]="",Table17[[#This Row],[SATUAN DB]],Table17[[#This Row],[SATUAN S]])</f>
        <v>PCS</v>
      </c>
      <c r="AA194" s="57">
        <f>IF(Table17[[#This Row],[//CONV]]="",Table17[[#This Row],[ISI NOTA]]/Table17[[#This Row],[ISI_C]],Table17[[#This Row],[ISI DB CONV]]/Table17[[#This Row],[ISI_C]])</f>
        <v>1</v>
      </c>
      <c r="AB194" s="57">
        <f>INDEX(NOTA[HARGA SATUAN],Sheet1!A:A)</f>
        <v>28500</v>
      </c>
      <c r="AC194" s="57">
        <f>IF(Table17[[#This Row],[//CONV]]="",Table17[[#This Row],[HARGA NOTA]],Table17[[#This Row],[HARGA NOTA]]/Table17[[#This Row],[CONV VAR]])</f>
        <v>28500</v>
      </c>
      <c r="AD194" s="57">
        <f>IF(Table17[[#This Row],[CEK STN S]]="",Table17[[#This Row],[HARGA CONV]],Table17[[#This Row],[HARGA CONV]]/Table17[[#This Row],[CONV2 VAR]])</f>
        <v>28500</v>
      </c>
      <c r="AE194" s="59" t="str">
        <f>IF(INDEX(NOTA[Column6],Sheet1!A:A)=0,"",INDEX(NOTA[Column6],Sheet1!A:A))</f>
        <v/>
      </c>
      <c r="AF194" s="59" t="str">
        <f>IF(INDEX(NOTA[Column7],Sheet1!A:A)=0,"",INDEX(NOTA[Column7],Sheet1!A:A))</f>
        <v/>
      </c>
      <c r="AG194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4" s="60">
        <f>INDEX(NOTA[HARGA/ CTN_H],Sheet1!A:A)</f>
        <v>1710000</v>
      </c>
      <c r="AI194" s="60">
        <f>IF(Table17[[#This Row],[DISC 3]]="",Table17[[#This Row],[HRG / CTN]],Table17[[#This Row],[HRG / CTN]]-(Table17[[#This Row],[HRG / CTN]]*Table17[[#This Row],[DISC 3]]))</f>
        <v>1710000</v>
      </c>
      <c r="AJ194" s="61" t="e">
        <f>IF(#REF!&lt;1,Table17[[#This Row],[Column9]],Table17[[#This Row],[Column9]]*#REF!)</f>
        <v>#REF!</v>
      </c>
      <c r="AK194" s="60" t="str">
        <f ca="1">IF(NOT(AP195=Table17[[#This Row],[Column6]]),SUMIF(Table17[Column6],Table17[[#This Row],[Column6]],Table17[Column7]),"")</f>
        <v/>
      </c>
      <c r="AL194" s="62">
        <f ca="1">INDEX(NOTA[TGL_H],Sheet1!A:A)</f>
        <v>45498</v>
      </c>
      <c r="AM194" s="62">
        <f ca="1">INDEX(NOTA[TGL.NOTA_H],Sheet1!A:A)</f>
        <v>45495</v>
      </c>
      <c r="AN194" s="63"/>
      <c r="AO194" s="57" t="str">
        <f>IF(INDEX(NOTA[Column10],A:A)="","",INDEX(NOTA[Column10],A:A))</f>
        <v/>
      </c>
      <c r="AP194" s="57" t="str">
        <f ca="1">INDEX(NOTA[NO.NOTA_H],Sheet1!A:A)</f>
        <v>SO2024070087011</v>
      </c>
      <c r="AQ194" s="57">
        <f>INDEX(NOTA[Column10],Sheet1!A:A)</f>
        <v>0</v>
      </c>
      <c r="AR194" s="64" t="str">
        <f ca="1">INDEX(NOTA[SUPPLIER_H],Sheet1!A:A)</f>
        <v>BINTANG SAUDARA</v>
      </c>
      <c r="AS194" s="57" t="str">
        <f>Table17[[#This Row],[NAMA_C]]</f>
        <v>ACRYLIC PLASTIK KOALA 15X21</v>
      </c>
      <c r="AT194" s="57" t="str">
        <f ca="1">Table17[[#This Row],[SUPPLIER]]</f>
        <v>BINTANG SAUDARA</v>
      </c>
      <c r="AU194" s="57" t="str">
        <f>SUBSTITUTE(Table17[[#This Row],[CTN]],",",".")</f>
        <v>1</v>
      </c>
      <c r="AV194" s="68" t="str">
        <f>Table17[[#This Row],[ISI_C]]</f>
        <v>60</v>
      </c>
      <c r="AW194" s="57" t="str">
        <f>Table17[[#This Row],[SATUAN_C]]</f>
        <v>PCS</v>
      </c>
      <c r="AX194" s="57">
        <f>Table17[[#This Row],[HARGA CONV2]]</f>
        <v>28500</v>
      </c>
      <c r="AY194" s="65" t="str">
        <f>SUBSTITUTE(Table17[[#This Row],[DISC 3]],",",".")</f>
        <v/>
      </c>
      <c r="AZ194" s="62">
        <f ca="1">Table17[[#This Row],[TGL DATANG]]</f>
        <v>45498</v>
      </c>
      <c r="BA194" s="62">
        <f ca="1">Table17[[#This Row],[Column10]]</f>
        <v>45495</v>
      </c>
      <c r="BB194" s="63"/>
      <c r="BC194" s="57" t="str">
        <f>Table17[[#This Row],[KETERANGAN CONDRO]]</f>
        <v/>
      </c>
      <c r="BD194" s="57" t="str">
        <f ca="1">Table17[[#This Row],[Column6]]</f>
        <v>SO2024070087011</v>
      </c>
    </row>
    <row r="195" spans="1:56">
      <c r="A195" s="55">
        <v>254</v>
      </c>
      <c r="C195" s="57">
        <f>INDEX(NOTA[//DB],Sheet1!A:A)</f>
        <v>47</v>
      </c>
      <c r="D195" s="57">
        <f>_xlfn.IFNA(MATCH(Table17[[#This Row],[//db]],[3]!Table2[\\],0),"")</f>
        <v>20</v>
      </c>
      <c r="E195" s="57" t="str">
        <f>INDEX([3]!db[NB NOTA],Table17[[#This Row],[//db]])</f>
        <v>ACRYLIC SISIPAN KERTAS FOLIO (21.5X33CM)</v>
      </c>
      <c r="F195" s="57" t="str">
        <f>INDEX([3]!db[NB BM],Table17[[#This Row],[//db]])</f>
        <v>ACRYLIC 21.5 X 33</v>
      </c>
      <c r="G195" s="57" t="str">
        <f>IF(Table17[[#This Row],[dbconcat]]="","",INDEX([3]!Table2[NAMA],Table17[[#This Row],[dbconcat]]))</f>
        <v>ACRYLIC 21.5 X 33</v>
      </c>
      <c r="H195" s="57" t="str">
        <f>INDEX([3]!Table2[KODE BARANG],Table17[[#This Row],[dbconcat]])</f>
        <v>ACR-KO4</v>
      </c>
      <c r="I195" s="57" t="str">
        <f>IF(Table17[[#This Row],[NAMA_3]]="",UPPER(Table17[[#This Row],[NAMA_2]]),Table17[[#This Row],[NAMA_3]])</f>
        <v>ACRYLIC 21.5 X 33</v>
      </c>
      <c r="J195" s="57">
        <f>INDEX(NOTA[QTY],Sheet1!A:A)</f>
        <v>40</v>
      </c>
      <c r="K195" s="57" t="str">
        <f>INDEX(NOTA[STN],Sheet1!A:A)</f>
        <v>PCS</v>
      </c>
      <c r="L195" s="57" t="str">
        <f>INDEX([3]!db[QTY B],Table17[[#This Row],[//db]])</f>
        <v>40</v>
      </c>
      <c r="M195" s="57" t="str">
        <f>INDEX([3]!db[STN B],Table17[[#This Row],[//db]])</f>
        <v>PCS</v>
      </c>
      <c r="N195" s="57" t="str">
        <f>IF(Table17[[#This Row],[SATUAN NOTA]]=Table17[[#This Row],[SATUAN DB]],"", MATCH(CONCATENATE(Table17[[#This Row],[SATUAN NOTA]],Table17[[#This Row],[SATUAN DB]]),Table2[4],0))</f>
        <v/>
      </c>
      <c r="O195" s="57" t="str" cm="1">
        <f t="array" ref="O195">IF(Table17[[#This Row],[//CONV]]="","",INDEX(Table2[3],Table17[[#This Row],[//CONV]]))</f>
        <v/>
      </c>
      <c r="P195" s="57" t="str">
        <f>IF(Table17[[#This Row],[//CONV]]="",Table17[[#This Row],[ISI DB]],Table17[[#This Row],[ISI NOTA]]*Table17[[#This Row],[CONV VAR]])</f>
        <v>40</v>
      </c>
      <c r="Q195" s="57" t="str" cm="1">
        <f t="array" ref="Q195">IF(Table17[[#This Row],[//CONV]]="",Table17[[#This Row],[SATUAN DB]],INDEX(Table2[2],Table17[[#This Row],[//CONV]]))</f>
        <v>PCS</v>
      </c>
      <c r="R195" s="57" cm="1">
        <f t="array" ref="R195">IF(Table17[[#This Row],[dbconcat]]="","",INDEX([3]!Table2[ISI],Table17[[#This Row],[dbconcat]]))</f>
        <v>40</v>
      </c>
      <c r="S195" s="57" t="str" cm="1">
        <f t="array" ref="S195">IF(Table17[[#This Row],[dbconcat]]="","",INDEX([3]!Table2[[SATUAN ]],Table17[[#This Row],[dbconcat]]))</f>
        <v>PCS</v>
      </c>
      <c r="T195" s="57" t="str">
        <f>IF(Table17[[#This Row],[SATUAN S]]="","",IF(_xlfn.NUMBERVALUE(Table17[[#This Row],[ISI DB]])=_xlfn.NUMBERVALUE(Table17[[#This Row],[ISI S]]),"",1))</f>
        <v/>
      </c>
      <c r="U195" s="57" t="str">
        <f>IF(Table17[[#This Row],[SATUAN S]]="","",IF(Table17[[#This Row],[SATUAN DB]]=Table17[[#This Row],[SATUAN S]],"",1))</f>
        <v/>
      </c>
      <c r="V195" s="57" t="str">
        <f>IF(Table17[[#This Row],[CEK STN S]]="","",MATCH(CONCATENATE(Table17[[#This Row],[SATUAN CONV]],Table17[[#This Row],[SATUAN S]]),Table2[4],0))</f>
        <v/>
      </c>
      <c r="W195" s="57"/>
      <c r="X195" s="57" t="str" cm="1">
        <f t="array" ref="X195">IF(Table17[[#This Row],[CONV2_//]]="","",INDEX(Table2[3],Table17[[#This Row],[CONV2_//]]))</f>
        <v/>
      </c>
      <c r="Y195" s="58" t="str">
        <f>IF(Table17[[#This Row],[CEK ISI S]]="",Table17[[#This Row],[ISI DB]],Table17[[#This Row],[ISI S]])</f>
        <v>40</v>
      </c>
      <c r="Z195" s="57" t="str">
        <f>IF(Table17[[#This Row],[CEK STN S]]="",Table17[[#This Row],[SATUAN DB]],Table17[[#This Row],[SATUAN S]])</f>
        <v>PCS</v>
      </c>
      <c r="AA195" s="57">
        <f>IF(Table17[[#This Row],[//CONV]]="",Table17[[#This Row],[ISI NOTA]]/Table17[[#This Row],[ISI_C]],Table17[[#This Row],[ISI DB CONV]]/Table17[[#This Row],[ISI_C]])</f>
        <v>1</v>
      </c>
      <c r="AB195" s="57">
        <f>INDEX(NOTA[HARGA SATUAN],Sheet1!A:A)</f>
        <v>50000</v>
      </c>
      <c r="AC195" s="57">
        <f>IF(Table17[[#This Row],[//CONV]]="",Table17[[#This Row],[HARGA NOTA]],Table17[[#This Row],[HARGA NOTA]]/Table17[[#This Row],[CONV VAR]])</f>
        <v>50000</v>
      </c>
      <c r="AD195" s="57">
        <f>IF(Table17[[#This Row],[CEK STN S]]="",Table17[[#This Row],[HARGA CONV]],Table17[[#This Row],[HARGA CONV]]/Table17[[#This Row],[CONV2 VAR]])</f>
        <v>50000</v>
      </c>
      <c r="AE195" s="59" t="str">
        <f>IF(INDEX(NOTA[Column6],Sheet1!A:A)=0,"",INDEX(NOTA[Column6],Sheet1!A:A))</f>
        <v/>
      </c>
      <c r="AF195" s="59" t="str">
        <f>IF(INDEX(NOTA[Column7],Sheet1!A:A)=0,"",INDEX(NOTA[Column7],Sheet1!A:A))</f>
        <v/>
      </c>
      <c r="AG195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5" s="60">
        <f>INDEX(NOTA[HARGA/ CTN_H],Sheet1!A:A)</f>
        <v>2000000</v>
      </c>
      <c r="AI195" s="60">
        <f>IF(Table17[[#This Row],[DISC 3]]="",Table17[[#This Row],[HRG / CTN]],Table17[[#This Row],[HRG / CTN]]-(Table17[[#This Row],[HRG / CTN]]*Table17[[#This Row],[DISC 3]]))</f>
        <v>2000000</v>
      </c>
      <c r="AJ195" s="61" t="e">
        <f>IF(#REF!&lt;1,Table17[[#This Row],[Column9]],Table17[[#This Row],[Column9]]*#REF!)</f>
        <v>#REF!</v>
      </c>
      <c r="AK195" s="60" t="e">
        <f ca="1">IF(NOT(AP196=Table17[[#This Row],[Column6]]),SUMIF(Table17[Column6],Table17[[#This Row],[Column6]],Table17[Column7]),"")</f>
        <v>#REF!</v>
      </c>
      <c r="AL195" s="62">
        <f ca="1">INDEX(NOTA[TGL_H],Sheet1!A:A)</f>
        <v>45498</v>
      </c>
      <c r="AM195" s="62">
        <f ca="1">INDEX(NOTA[TGL.NOTA_H],Sheet1!A:A)</f>
        <v>45495</v>
      </c>
      <c r="AN195" s="63"/>
      <c r="AO195" s="57" t="str">
        <f>IF(INDEX(NOTA[Column10],A:A)="","",INDEX(NOTA[Column10],A:A))</f>
        <v/>
      </c>
      <c r="AP195" s="57" t="str">
        <f ca="1">INDEX(NOTA[NO.NOTA_H],Sheet1!A:A)</f>
        <v>SO2024070087011</v>
      </c>
      <c r="AQ195" s="57">
        <f>INDEX(NOTA[Column10],Sheet1!A:A)</f>
        <v>0</v>
      </c>
      <c r="AR195" s="64" t="str">
        <f ca="1">INDEX(NOTA[SUPPLIER_H],Sheet1!A:A)</f>
        <v>BINTANG SAUDARA</v>
      </c>
      <c r="AS195" s="57" t="str">
        <f>Table17[[#This Row],[NAMA_C]]</f>
        <v>ACRYLIC 21.5 X 33</v>
      </c>
      <c r="AT195" s="57" t="str">
        <f ca="1">Table17[[#This Row],[SUPPLIER]]</f>
        <v>BINTANG SAUDARA</v>
      </c>
      <c r="AU195" s="57" t="str">
        <f>SUBSTITUTE(Table17[[#This Row],[CTN]],",",".")</f>
        <v>1</v>
      </c>
      <c r="AV195" s="68" t="str">
        <f>Table17[[#This Row],[ISI_C]]</f>
        <v>40</v>
      </c>
      <c r="AW195" s="57" t="str">
        <f>Table17[[#This Row],[SATUAN_C]]</f>
        <v>PCS</v>
      </c>
      <c r="AX195" s="57">
        <f>Table17[[#This Row],[HARGA CONV2]]</f>
        <v>50000</v>
      </c>
      <c r="AY195" s="65" t="str">
        <f>SUBSTITUTE(Table17[[#This Row],[DISC 3]],",",".")</f>
        <v/>
      </c>
      <c r="AZ195" s="62">
        <f ca="1">Table17[[#This Row],[TGL DATANG]]</f>
        <v>45498</v>
      </c>
      <c r="BA195" s="62">
        <f ca="1">Table17[[#This Row],[Column10]]</f>
        <v>45495</v>
      </c>
      <c r="BB195" s="63"/>
      <c r="BC195" s="57" t="str">
        <f>Table17[[#This Row],[KETERANGAN CONDRO]]</f>
        <v/>
      </c>
      <c r="BD195" s="57" t="str">
        <f ca="1">Table17[[#This Row],[Column6]]</f>
        <v>SO2024070087011</v>
      </c>
    </row>
    <row r="196" spans="1:56">
      <c r="A196" s="55">
        <v>256</v>
      </c>
      <c r="C196" s="57">
        <f>INDEX(NOTA[//DB],Sheet1!A:A)</f>
        <v>1384</v>
      </c>
      <c r="D196" s="57" t="str">
        <f>_xlfn.IFNA(MATCH(Table17[[#This Row],[//db]],[3]!Table2[\\],0),"")</f>
        <v/>
      </c>
      <c r="E196" s="57" t="str">
        <f>INDEX([3]!db[NB NOTA],Table17[[#This Row],[//db]])</f>
        <v>GLUE STICK 7X29</v>
      </c>
      <c r="F196" s="57" t="str">
        <f>INDEX([3]!db[NB BM],Table17[[#This Row],[//db]])</f>
        <v>LEM BAKAR STIK 7 X 29 KECIL</v>
      </c>
      <c r="G196" s="57" t="str">
        <f>IF(Table17[[#This Row],[dbconcat]]="","",INDEX([3]!Table2[NAMA],Table17[[#This Row],[dbconcat]]))</f>
        <v/>
      </c>
      <c r="H196" s="57" t="e">
        <f>INDEX([3]!Table2[KODE BARANG],Table17[[#This Row],[dbconcat]])</f>
        <v>#VALUE!</v>
      </c>
      <c r="I196" s="57" t="str">
        <f>IF(Table17[[#This Row],[NAMA_3]]="",UPPER(Table17[[#This Row],[NAMA_2]]),Table17[[#This Row],[NAMA_3]])</f>
        <v>LEM BAKAR STIK 7 X 29 KECIL</v>
      </c>
      <c r="J196" s="57">
        <f>INDEX(NOTA[QTY],Sheet1!A:A)</f>
        <v>375</v>
      </c>
      <c r="K196" s="57" t="str">
        <f>INDEX(NOTA[STN],Sheet1!A:A)</f>
        <v>PAK</v>
      </c>
      <c r="L196" s="57" t="str">
        <f>INDEX([3]!db[QTY B],Table17[[#This Row],[//db]])</f>
        <v>25</v>
      </c>
      <c r="M196" s="57" t="str">
        <f>INDEX([3]!db[STN B],Table17[[#This Row],[//db]])</f>
        <v>PAK</v>
      </c>
      <c r="N196" s="57" t="str">
        <f>IF(Table17[[#This Row],[SATUAN NOTA]]=Table17[[#This Row],[SATUAN DB]],"", MATCH(CONCATENATE(Table17[[#This Row],[SATUAN NOTA]],Table17[[#This Row],[SATUAN DB]]),Table2[4],0))</f>
        <v/>
      </c>
      <c r="O196" s="57" t="str" cm="1">
        <f t="array" ref="O196">IF(Table17[[#This Row],[//CONV]]="","",INDEX(Table2[3],Table17[[#This Row],[//CONV]]))</f>
        <v/>
      </c>
      <c r="P196" s="57" t="str">
        <f>IF(Table17[[#This Row],[//CONV]]="",Table17[[#This Row],[ISI DB]],Table17[[#This Row],[ISI NOTA]]*Table17[[#This Row],[CONV VAR]])</f>
        <v>25</v>
      </c>
      <c r="Q196" s="57" t="str" cm="1">
        <f t="array" ref="Q196">IF(Table17[[#This Row],[//CONV]]="",Table17[[#This Row],[SATUAN DB]],INDEX(Table2[2],Table17[[#This Row],[//CONV]]))</f>
        <v>PAK</v>
      </c>
      <c r="R196" s="57" t="str" cm="1">
        <f t="array" ref="R196">IF(Table17[[#This Row],[dbconcat]]="","",INDEX([3]!Table2[ISI],Table17[[#This Row],[dbconcat]]))</f>
        <v/>
      </c>
      <c r="S196" s="57" t="str" cm="1">
        <f t="array" ref="S196">IF(Table17[[#This Row],[dbconcat]]="","",INDEX([3]!Table2[[SATUAN ]],Table17[[#This Row],[dbconcat]]))</f>
        <v/>
      </c>
      <c r="T196" s="57" t="str">
        <f>IF(Table17[[#This Row],[SATUAN S]]="","",IF(_xlfn.NUMBERVALUE(Table17[[#This Row],[ISI DB]])=_xlfn.NUMBERVALUE(Table17[[#This Row],[ISI S]]),"",1))</f>
        <v/>
      </c>
      <c r="U196" s="57" t="str">
        <f>IF(Table17[[#This Row],[SATUAN S]]="","",IF(Table17[[#This Row],[SATUAN DB]]=Table17[[#This Row],[SATUAN S]],"",1))</f>
        <v/>
      </c>
      <c r="V196" s="57" t="str">
        <f>IF(Table17[[#This Row],[CEK STN S]]="","",MATCH(CONCATENATE(Table17[[#This Row],[SATUAN CONV]],Table17[[#This Row],[SATUAN S]]),Table2[4],0))</f>
        <v/>
      </c>
      <c r="W196" s="57"/>
      <c r="X196" s="57" t="str" cm="1">
        <f t="array" ref="X196">IF(Table17[[#This Row],[CONV2_//]]="","",INDEX(Table2[3],Table17[[#This Row],[CONV2_//]]))</f>
        <v/>
      </c>
      <c r="Y196" s="58" t="str">
        <f>IF(Table17[[#This Row],[CEK ISI S]]="",Table17[[#This Row],[ISI DB]],Table17[[#This Row],[ISI S]])</f>
        <v>25</v>
      </c>
      <c r="Z196" s="57" t="str">
        <f>IF(Table17[[#This Row],[CEK STN S]]="",Table17[[#This Row],[SATUAN DB]],Table17[[#This Row],[SATUAN S]])</f>
        <v>PAK</v>
      </c>
      <c r="AA196" s="57">
        <f>IF(Table17[[#This Row],[//CONV]]="",Table17[[#This Row],[ISI NOTA]]/Table17[[#This Row],[ISI_C]],Table17[[#This Row],[ISI DB CONV]]/Table17[[#This Row],[ISI_C]])</f>
        <v>15</v>
      </c>
      <c r="AB196" s="57">
        <f>INDEX(NOTA[HARGA SATUAN],Sheet1!A:A)</f>
        <v>39000</v>
      </c>
      <c r="AC196" s="57">
        <f>IF(Table17[[#This Row],[//CONV]]="",Table17[[#This Row],[HARGA NOTA]],Table17[[#This Row],[HARGA NOTA]]/Table17[[#This Row],[CONV VAR]])</f>
        <v>39000</v>
      </c>
      <c r="AD196" s="57">
        <f>IF(Table17[[#This Row],[CEK STN S]]="",Table17[[#This Row],[HARGA CONV]],Table17[[#This Row],[HARGA CONV]]/Table17[[#This Row],[CONV2 VAR]])</f>
        <v>39000</v>
      </c>
      <c r="AE196" s="59" t="str">
        <f>IF(INDEX(NOTA[Column6],Sheet1!A:A)=0,"",INDEX(NOTA[Column6],Sheet1!A:A))</f>
        <v/>
      </c>
      <c r="AF196" s="59" t="str">
        <f>IF(INDEX(NOTA[Column7],Sheet1!A:A)=0,"",INDEX(NOTA[Column7],Sheet1!A:A))</f>
        <v/>
      </c>
      <c r="AG196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6" s="60">
        <f>INDEX(NOTA[HARGA/ CTN_H],Sheet1!A:A)</f>
        <v>975000</v>
      </c>
      <c r="AI196" s="60">
        <f>IF(Table17[[#This Row],[DISC 3]]="",Table17[[#This Row],[HRG / CTN]],Table17[[#This Row],[HRG / CTN]]-(Table17[[#This Row],[HRG / CTN]]*Table17[[#This Row],[DISC 3]]))</f>
        <v>975000</v>
      </c>
      <c r="AJ196" s="61" t="e">
        <f>IF(#REF!&lt;1,Table17[[#This Row],[Column9]],Table17[[#This Row],[Column9]]*#REF!)</f>
        <v>#REF!</v>
      </c>
      <c r="AK196" s="60" t="str">
        <f ca="1">IF(NOT(AP197=Table17[[#This Row],[Column6]]),SUMIF(Table17[Column6],Table17[[#This Row],[Column6]],Table17[Column7]),"")</f>
        <v/>
      </c>
      <c r="AL196" s="62">
        <f ca="1">INDEX(NOTA[TGL_H],Sheet1!A:A)</f>
        <v>45498</v>
      </c>
      <c r="AM196" s="62">
        <f ca="1">INDEX(NOTA[TGL.NOTA_H],Sheet1!A:A)</f>
        <v>45500</v>
      </c>
      <c r="AN196" s="63"/>
      <c r="AO196" s="57" t="str">
        <f>IF(INDEX(NOTA[Column10],A:A)="","",INDEX(NOTA[Column10],A:A))</f>
        <v/>
      </c>
      <c r="AP196" s="57" t="str">
        <f ca="1">INDEX(NOTA[NO.NOTA_H],Sheet1!A:A)</f>
        <v>SI-2024/07-0207/M</v>
      </c>
      <c r="AQ196" s="57">
        <f>INDEX(NOTA[Column10],Sheet1!A:A)</f>
        <v>0</v>
      </c>
      <c r="AR196" s="64" t="str">
        <f ca="1">INDEX(NOTA[SUPPLIER_H],Sheet1!A:A)</f>
        <v>WIN'S SENTOSA</v>
      </c>
      <c r="AS196" s="57" t="str">
        <f>Table17[[#This Row],[NAMA_C]]</f>
        <v>LEM BAKAR STIK 7 X 29 KECIL</v>
      </c>
      <c r="AT196" s="57" t="str">
        <f ca="1">Table17[[#This Row],[SUPPLIER]]</f>
        <v>WIN'S SENTOSA</v>
      </c>
      <c r="AU196" s="57" t="str">
        <f>SUBSTITUTE(Table17[[#This Row],[CTN]],",",".")</f>
        <v>15</v>
      </c>
      <c r="AV196" s="68" t="str">
        <f>Table17[[#This Row],[ISI_C]]</f>
        <v>25</v>
      </c>
      <c r="AW196" s="57" t="str">
        <f>Table17[[#This Row],[SATUAN_C]]</f>
        <v>PAK</v>
      </c>
      <c r="AX196" s="57">
        <f>Table17[[#This Row],[HARGA CONV2]]</f>
        <v>39000</v>
      </c>
      <c r="AY196" s="65" t="str">
        <f>SUBSTITUTE(Table17[[#This Row],[DISC 3]],",",".")</f>
        <v/>
      </c>
      <c r="AZ196" s="62">
        <f ca="1">Table17[[#This Row],[TGL DATANG]]</f>
        <v>45498</v>
      </c>
      <c r="BA196" s="62">
        <f ca="1">Table17[[#This Row],[Column10]]</f>
        <v>45500</v>
      </c>
      <c r="BB196" s="63"/>
      <c r="BC196" s="57" t="str">
        <f>Table17[[#This Row],[KETERANGAN CONDRO]]</f>
        <v/>
      </c>
      <c r="BD196" s="57" t="str">
        <f ca="1">Table17[[#This Row],[Column6]]</f>
        <v>SI-2024/07-0207/M</v>
      </c>
    </row>
    <row r="197" spans="1:56">
      <c r="A197" s="55">
        <v>257</v>
      </c>
      <c r="C197" s="57">
        <f>INDEX(NOTA[//DB],Sheet1!A:A)</f>
        <v>1382</v>
      </c>
      <c r="D197" s="57" t="str">
        <f>_xlfn.IFNA(MATCH(Table17[[#This Row],[//db]],[3]!Table2[\\],0),"")</f>
        <v/>
      </c>
      <c r="E197" s="57" t="str">
        <f>INDEX([3]!db[NB NOTA],Table17[[#This Row],[//db]])</f>
        <v>GLUE STICK 11 X 29</v>
      </c>
      <c r="F197" s="57" t="str">
        <f>INDEX([3]!db[NB BM],Table17[[#This Row],[//db]])</f>
        <v>LEM BAKAR STIK 11 X 29 BESAR</v>
      </c>
      <c r="G197" s="57" t="str">
        <f>IF(Table17[[#This Row],[dbconcat]]="","",INDEX([3]!Table2[NAMA],Table17[[#This Row],[dbconcat]]))</f>
        <v/>
      </c>
      <c r="H197" s="57" t="e">
        <f>INDEX([3]!Table2[KODE BARANG],Table17[[#This Row],[dbconcat]])</f>
        <v>#VALUE!</v>
      </c>
      <c r="I197" s="57" t="str">
        <f>IF(Table17[[#This Row],[NAMA_3]]="",UPPER(Table17[[#This Row],[NAMA_2]]),Table17[[#This Row],[NAMA_3]])</f>
        <v>LEM BAKAR STIK 11 X 29 BESAR</v>
      </c>
      <c r="J197" s="57">
        <f>INDEX(NOTA[QTY],Sheet1!A:A)</f>
        <v>250</v>
      </c>
      <c r="K197" s="57" t="str">
        <f>INDEX(NOTA[STN],Sheet1!A:A)</f>
        <v>PAK</v>
      </c>
      <c r="L197" s="57" t="str">
        <f>INDEX([3]!db[QTY B],Table17[[#This Row],[//db]])</f>
        <v>25</v>
      </c>
      <c r="M197" s="57" t="str">
        <f>INDEX([3]!db[STN B],Table17[[#This Row],[//db]])</f>
        <v>PAK</v>
      </c>
      <c r="N197" s="57" t="str">
        <f>IF(Table17[[#This Row],[SATUAN NOTA]]=Table17[[#This Row],[SATUAN DB]],"", MATCH(CONCATENATE(Table17[[#This Row],[SATUAN NOTA]],Table17[[#This Row],[SATUAN DB]]),Table2[4],0))</f>
        <v/>
      </c>
      <c r="O197" s="57" t="str" cm="1">
        <f t="array" ref="O197">IF(Table17[[#This Row],[//CONV]]="","",INDEX(Table2[3],Table17[[#This Row],[//CONV]]))</f>
        <v/>
      </c>
      <c r="P197" s="57" t="str">
        <f>IF(Table17[[#This Row],[//CONV]]="",Table17[[#This Row],[ISI DB]],Table17[[#This Row],[ISI NOTA]]*Table17[[#This Row],[CONV VAR]])</f>
        <v>25</v>
      </c>
      <c r="Q197" s="57" t="str" cm="1">
        <f t="array" ref="Q197">IF(Table17[[#This Row],[//CONV]]="",Table17[[#This Row],[SATUAN DB]],INDEX(Table2[2],Table17[[#This Row],[//CONV]]))</f>
        <v>PAK</v>
      </c>
      <c r="R197" s="57" t="str" cm="1">
        <f t="array" ref="R197">IF(Table17[[#This Row],[dbconcat]]="","",INDEX([3]!Table2[ISI],Table17[[#This Row],[dbconcat]]))</f>
        <v/>
      </c>
      <c r="S197" s="57" t="str" cm="1">
        <f t="array" ref="S197">IF(Table17[[#This Row],[dbconcat]]="","",INDEX([3]!Table2[[SATUAN ]],Table17[[#This Row],[dbconcat]]))</f>
        <v/>
      </c>
      <c r="T197" s="57" t="str">
        <f>IF(Table17[[#This Row],[SATUAN S]]="","",IF(_xlfn.NUMBERVALUE(Table17[[#This Row],[ISI DB]])=_xlfn.NUMBERVALUE(Table17[[#This Row],[ISI S]]),"",1))</f>
        <v/>
      </c>
      <c r="U197" s="57" t="str">
        <f>IF(Table17[[#This Row],[SATUAN S]]="","",IF(Table17[[#This Row],[SATUAN DB]]=Table17[[#This Row],[SATUAN S]],"",1))</f>
        <v/>
      </c>
      <c r="V197" s="57" t="str">
        <f>IF(Table17[[#This Row],[CEK STN S]]="","",MATCH(CONCATENATE(Table17[[#This Row],[SATUAN CONV]],Table17[[#This Row],[SATUAN S]]),Table2[4],0))</f>
        <v/>
      </c>
      <c r="W197" s="57"/>
      <c r="X197" s="57" t="str" cm="1">
        <f t="array" ref="X197">IF(Table17[[#This Row],[CONV2_//]]="","",INDEX(Table2[3],Table17[[#This Row],[CONV2_//]]))</f>
        <v/>
      </c>
      <c r="Y197" s="58" t="str">
        <f>IF(Table17[[#This Row],[CEK ISI S]]="",Table17[[#This Row],[ISI DB]],Table17[[#This Row],[ISI S]])</f>
        <v>25</v>
      </c>
      <c r="Z197" s="57" t="str">
        <f>IF(Table17[[#This Row],[CEK STN S]]="",Table17[[#This Row],[SATUAN DB]],Table17[[#This Row],[SATUAN S]])</f>
        <v>PAK</v>
      </c>
      <c r="AA197" s="57">
        <f>IF(Table17[[#This Row],[//CONV]]="",Table17[[#This Row],[ISI NOTA]]/Table17[[#This Row],[ISI_C]],Table17[[#This Row],[ISI DB CONV]]/Table17[[#This Row],[ISI_C]])</f>
        <v>10</v>
      </c>
      <c r="AB197" s="57">
        <f>INDEX(NOTA[HARGA SATUAN],Sheet1!A:A)</f>
        <v>39000</v>
      </c>
      <c r="AC197" s="57">
        <f>IF(Table17[[#This Row],[//CONV]]="",Table17[[#This Row],[HARGA NOTA]],Table17[[#This Row],[HARGA NOTA]]/Table17[[#This Row],[CONV VAR]])</f>
        <v>39000</v>
      </c>
      <c r="AD197" s="57">
        <f>IF(Table17[[#This Row],[CEK STN S]]="",Table17[[#This Row],[HARGA CONV]],Table17[[#This Row],[HARGA CONV]]/Table17[[#This Row],[CONV2 VAR]])</f>
        <v>39000</v>
      </c>
      <c r="AE197" s="59" t="str">
        <f>IF(INDEX(NOTA[Column6],Sheet1!A:A)=0,"",INDEX(NOTA[Column6],Sheet1!A:A))</f>
        <v/>
      </c>
      <c r="AF197" s="59" t="str">
        <f>IF(INDEX(NOTA[Column7],Sheet1!A:A)=0,"",INDEX(NOTA[Column7],Sheet1!A:A))</f>
        <v/>
      </c>
      <c r="AG197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7" s="60">
        <f>INDEX(NOTA[HARGA/ CTN_H],Sheet1!A:A)</f>
        <v>975000</v>
      </c>
      <c r="AI197" s="60">
        <f>IF(Table17[[#This Row],[DISC 3]]="",Table17[[#This Row],[HRG / CTN]],Table17[[#This Row],[HRG / CTN]]-(Table17[[#This Row],[HRG / CTN]]*Table17[[#This Row],[DISC 3]]))</f>
        <v>975000</v>
      </c>
      <c r="AJ197" s="61" t="e">
        <f>IF(#REF!&lt;1,Table17[[#This Row],[Column9]],Table17[[#This Row],[Column9]]*#REF!)</f>
        <v>#REF!</v>
      </c>
      <c r="AK197" s="60" t="str">
        <f ca="1">IF(NOT(AP198=Table17[[#This Row],[Column6]]),SUMIF(Table17[Column6],Table17[[#This Row],[Column6]],Table17[Column7]),"")</f>
        <v/>
      </c>
      <c r="AL197" s="62">
        <f ca="1">INDEX(NOTA[TGL_H],Sheet1!A:A)</f>
        <v>45498</v>
      </c>
      <c r="AM197" s="62">
        <f ca="1">INDEX(NOTA[TGL.NOTA_H],Sheet1!A:A)</f>
        <v>45500</v>
      </c>
      <c r="AN197" s="63"/>
      <c r="AO197" s="57" t="str">
        <f>IF(INDEX(NOTA[Column10],A:A)="","",INDEX(NOTA[Column10],A:A))</f>
        <v/>
      </c>
      <c r="AP197" s="57" t="str">
        <f ca="1">INDEX(NOTA[NO.NOTA_H],Sheet1!A:A)</f>
        <v>SI-2024/07-0207/M</v>
      </c>
      <c r="AQ197" s="57">
        <f>INDEX(NOTA[Column10],Sheet1!A:A)</f>
        <v>0</v>
      </c>
      <c r="AR197" s="64" t="str">
        <f ca="1">INDEX(NOTA[SUPPLIER_H],Sheet1!A:A)</f>
        <v>WIN'S SENTOSA</v>
      </c>
      <c r="AS197" s="57" t="str">
        <f>Table17[[#This Row],[NAMA_C]]</f>
        <v>LEM BAKAR STIK 11 X 29 BESAR</v>
      </c>
      <c r="AT197" s="57" t="str">
        <f ca="1">Table17[[#This Row],[SUPPLIER]]</f>
        <v>WIN'S SENTOSA</v>
      </c>
      <c r="AU197" s="57" t="str">
        <f>SUBSTITUTE(Table17[[#This Row],[CTN]],",",".")</f>
        <v>10</v>
      </c>
      <c r="AV197" s="68" t="str">
        <f>Table17[[#This Row],[ISI_C]]</f>
        <v>25</v>
      </c>
      <c r="AW197" s="57" t="str">
        <f>Table17[[#This Row],[SATUAN_C]]</f>
        <v>PAK</v>
      </c>
      <c r="AX197" s="57">
        <f>Table17[[#This Row],[HARGA CONV2]]</f>
        <v>39000</v>
      </c>
      <c r="AY197" s="65" t="str">
        <f>SUBSTITUTE(Table17[[#This Row],[DISC 3]],",",".")</f>
        <v/>
      </c>
      <c r="AZ197" s="62">
        <f ca="1">Table17[[#This Row],[TGL DATANG]]</f>
        <v>45498</v>
      </c>
      <c r="BA197" s="62">
        <f ca="1">Table17[[#This Row],[Column10]]</f>
        <v>45500</v>
      </c>
      <c r="BB197" s="63"/>
      <c r="BC197" s="57" t="str">
        <f>Table17[[#This Row],[KETERANGAN CONDRO]]</f>
        <v/>
      </c>
      <c r="BD197" s="57" t="str">
        <f ca="1">Table17[[#This Row],[Column6]]</f>
        <v>SI-2024/07-0207/M</v>
      </c>
    </row>
    <row r="198" spans="1:56">
      <c r="A198" s="55">
        <v>258</v>
      </c>
      <c r="C198" s="57">
        <f>INDEX(NOTA[//DB],Sheet1!A:A)</f>
        <v>3467</v>
      </c>
      <c r="D198" s="57" t="str">
        <f>_xlfn.IFNA(MATCH(Table17[[#This Row],[//db]],[3]!Table2[\\],0),"")</f>
        <v/>
      </c>
      <c r="E198" s="57" t="str">
        <f>INDEX([3]!db[NB NOTA],Table17[[#This Row],[//db]])</f>
        <v>TEROMPET TR OW-02</v>
      </c>
      <c r="F198" s="57" t="str">
        <f>INDEX([3]!db[NB BM],Table17[[#This Row],[//db]])</f>
        <v>TEROMPET TR OW-02</v>
      </c>
      <c r="G198" s="57" t="str">
        <f>IF(Table17[[#This Row],[dbconcat]]="","",INDEX([3]!Table2[NAMA],Table17[[#This Row],[dbconcat]]))</f>
        <v/>
      </c>
      <c r="H198" s="57" t="e">
        <f>INDEX([3]!Table2[KODE BARANG],Table17[[#This Row],[dbconcat]])</f>
        <v>#VALUE!</v>
      </c>
      <c r="I198" s="57" t="str">
        <f>IF(Table17[[#This Row],[NAMA_3]]="",UPPER(Table17[[#This Row],[NAMA_2]]),Table17[[#This Row],[NAMA_3]])</f>
        <v>TEROMPET TR OW-02</v>
      </c>
      <c r="J198" s="57">
        <f>INDEX(NOTA[QTY],Sheet1!A:A)</f>
        <v>360</v>
      </c>
      <c r="K198" s="57" t="str">
        <f>INDEX(NOTA[STN],Sheet1!A:A)</f>
        <v>PCS</v>
      </c>
      <c r="L198" s="57" t="str">
        <f>INDEX([3]!db[QTY B],Table17[[#This Row],[//db]])</f>
        <v>360</v>
      </c>
      <c r="M198" s="57" t="str">
        <f>INDEX([3]!db[STN B],Table17[[#This Row],[//db]])</f>
        <v>PCS</v>
      </c>
      <c r="N198" s="57" t="str">
        <f>IF(Table17[[#This Row],[SATUAN NOTA]]=Table17[[#This Row],[SATUAN DB]],"", MATCH(CONCATENATE(Table17[[#This Row],[SATUAN NOTA]],Table17[[#This Row],[SATUAN DB]]),Table2[4],0))</f>
        <v/>
      </c>
      <c r="O198" s="57" t="str" cm="1">
        <f t="array" ref="O198">IF(Table17[[#This Row],[//CONV]]="","",INDEX(Table2[3],Table17[[#This Row],[//CONV]]))</f>
        <v/>
      </c>
      <c r="P198" s="57" t="str">
        <f>IF(Table17[[#This Row],[//CONV]]="",Table17[[#This Row],[ISI DB]],Table17[[#This Row],[ISI NOTA]]*Table17[[#This Row],[CONV VAR]])</f>
        <v>360</v>
      </c>
      <c r="Q198" s="57" t="str" cm="1">
        <f t="array" ref="Q198">IF(Table17[[#This Row],[//CONV]]="",Table17[[#This Row],[SATUAN DB]],INDEX(Table2[2],Table17[[#This Row],[//CONV]]))</f>
        <v>PCS</v>
      </c>
      <c r="R198" s="57" t="str" cm="1">
        <f t="array" ref="R198">IF(Table17[[#This Row],[dbconcat]]="","",INDEX([3]!Table2[ISI],Table17[[#This Row],[dbconcat]]))</f>
        <v/>
      </c>
      <c r="S198" s="57" t="str" cm="1">
        <f t="array" ref="S198">IF(Table17[[#This Row],[dbconcat]]="","",INDEX([3]!Table2[[SATUAN ]],Table17[[#This Row],[dbconcat]]))</f>
        <v/>
      </c>
      <c r="T198" s="57" t="str">
        <f>IF(Table17[[#This Row],[SATUAN S]]="","",IF(_xlfn.NUMBERVALUE(Table17[[#This Row],[ISI DB]])=_xlfn.NUMBERVALUE(Table17[[#This Row],[ISI S]]),"",1))</f>
        <v/>
      </c>
      <c r="U198" s="57" t="str">
        <f>IF(Table17[[#This Row],[SATUAN S]]="","",IF(Table17[[#This Row],[SATUAN DB]]=Table17[[#This Row],[SATUAN S]],"",1))</f>
        <v/>
      </c>
      <c r="V198" s="57" t="str">
        <f>IF(Table17[[#This Row],[CEK STN S]]="","",MATCH(CONCATENATE(Table17[[#This Row],[SATUAN CONV]],Table17[[#This Row],[SATUAN S]]),Table2[4],0))</f>
        <v/>
      </c>
      <c r="W198" s="57"/>
      <c r="X198" s="57" t="str" cm="1">
        <f t="array" ref="X198">IF(Table17[[#This Row],[CONV2_//]]="","",INDEX(Table2[3],Table17[[#This Row],[CONV2_//]]))</f>
        <v/>
      </c>
      <c r="Y198" s="58" t="str">
        <f>IF(Table17[[#This Row],[CEK ISI S]]="",Table17[[#This Row],[ISI DB]],Table17[[#This Row],[ISI S]])</f>
        <v>360</v>
      </c>
      <c r="Z198" s="57" t="str">
        <f>IF(Table17[[#This Row],[CEK STN S]]="",Table17[[#This Row],[SATUAN DB]],Table17[[#This Row],[SATUAN S]])</f>
        <v>PCS</v>
      </c>
      <c r="AA198" s="57">
        <f>IF(Table17[[#This Row],[//CONV]]="",Table17[[#This Row],[ISI NOTA]]/Table17[[#This Row],[ISI_C]],Table17[[#This Row],[ISI DB CONV]]/Table17[[#This Row],[ISI_C]])</f>
        <v>1</v>
      </c>
      <c r="AB198" s="57">
        <f>INDEX(NOTA[HARGA SATUAN],Sheet1!A:A)</f>
        <v>13750</v>
      </c>
      <c r="AC198" s="57">
        <f>IF(Table17[[#This Row],[//CONV]]="",Table17[[#This Row],[HARGA NOTA]],Table17[[#This Row],[HARGA NOTA]]/Table17[[#This Row],[CONV VAR]])</f>
        <v>13750</v>
      </c>
      <c r="AD198" s="57">
        <f>IF(Table17[[#This Row],[CEK STN S]]="",Table17[[#This Row],[HARGA CONV]],Table17[[#This Row],[HARGA CONV]]/Table17[[#This Row],[CONV2 VAR]])</f>
        <v>13750</v>
      </c>
      <c r="AE198" s="59" t="str">
        <f>IF(INDEX(NOTA[Column6],Sheet1!A:A)=0,"",INDEX(NOTA[Column6],Sheet1!A:A))</f>
        <v/>
      </c>
      <c r="AF198" s="59" t="str">
        <f>IF(INDEX(NOTA[Column7],Sheet1!A:A)=0,"",INDEX(NOTA[Column7],Sheet1!A:A))</f>
        <v/>
      </c>
      <c r="AG198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8" s="60">
        <f>INDEX(NOTA[HARGA/ CTN_H],Sheet1!A:A)</f>
        <v>1650000</v>
      </c>
      <c r="AI198" s="60">
        <f>IF(Table17[[#This Row],[DISC 3]]="",Table17[[#This Row],[HRG / CTN]],Table17[[#This Row],[HRG / CTN]]-(Table17[[#This Row],[HRG / CTN]]*Table17[[#This Row],[DISC 3]]))</f>
        <v>1650000</v>
      </c>
      <c r="AJ198" s="61" t="e">
        <f>IF(#REF!&lt;1,Table17[[#This Row],[Column9]],Table17[[#This Row],[Column9]]*#REF!)</f>
        <v>#REF!</v>
      </c>
      <c r="AK198" s="60" t="str">
        <f ca="1">IF(NOT(AP199=Table17[[#This Row],[Column6]]),SUMIF(Table17[Column6],Table17[[#This Row],[Column6]],Table17[Column7]),"")</f>
        <v/>
      </c>
      <c r="AL198" s="62">
        <f ca="1">INDEX(NOTA[TGL_H],Sheet1!A:A)</f>
        <v>45498</v>
      </c>
      <c r="AM198" s="62">
        <f ca="1">INDEX(NOTA[TGL.NOTA_H],Sheet1!A:A)</f>
        <v>45500</v>
      </c>
      <c r="AN198" s="63"/>
      <c r="AO198" s="57" t="str">
        <f>IF(INDEX(NOTA[Column10],A:A)="","",INDEX(NOTA[Column10],A:A))</f>
        <v/>
      </c>
      <c r="AP198" s="57" t="str">
        <f ca="1">INDEX(NOTA[NO.NOTA_H],Sheet1!A:A)</f>
        <v>SI-2024/07-0207/M</v>
      </c>
      <c r="AQ198" s="57">
        <f>INDEX(NOTA[Column10],Sheet1!A:A)</f>
        <v>0</v>
      </c>
      <c r="AR198" s="64" t="str">
        <f ca="1">INDEX(NOTA[SUPPLIER_H],Sheet1!A:A)</f>
        <v>WIN'S SENTOSA</v>
      </c>
      <c r="AS198" s="57" t="str">
        <f>Table17[[#This Row],[NAMA_C]]</f>
        <v>TEROMPET TR OW-02</v>
      </c>
      <c r="AT198" s="57" t="str">
        <f ca="1">Table17[[#This Row],[SUPPLIER]]</f>
        <v>WIN'S SENTOSA</v>
      </c>
      <c r="AU198" s="57" t="str">
        <f>SUBSTITUTE(Table17[[#This Row],[CTN]],",",".")</f>
        <v>1</v>
      </c>
      <c r="AV198" s="68" t="str">
        <f>Table17[[#This Row],[ISI_C]]</f>
        <v>360</v>
      </c>
      <c r="AW198" s="57" t="str">
        <f>Table17[[#This Row],[SATUAN_C]]</f>
        <v>PCS</v>
      </c>
      <c r="AX198" s="57">
        <f>Table17[[#This Row],[HARGA CONV2]]</f>
        <v>13750</v>
      </c>
      <c r="AY198" s="65" t="str">
        <f>SUBSTITUTE(Table17[[#This Row],[DISC 3]],",",".")</f>
        <v/>
      </c>
      <c r="AZ198" s="62">
        <f ca="1">Table17[[#This Row],[TGL DATANG]]</f>
        <v>45498</v>
      </c>
      <c r="BA198" s="62">
        <f ca="1">Table17[[#This Row],[Column10]]</f>
        <v>45500</v>
      </c>
      <c r="BB198" s="63"/>
      <c r="BC198" s="57" t="str">
        <f>Table17[[#This Row],[KETERANGAN CONDRO]]</f>
        <v/>
      </c>
      <c r="BD198" s="57" t="str">
        <f ca="1">Table17[[#This Row],[Column6]]</f>
        <v>SI-2024/07-0207/M</v>
      </c>
    </row>
    <row r="199" spans="1:56">
      <c r="A199" s="55">
        <v>259</v>
      </c>
      <c r="C199" s="57">
        <f>INDEX(NOTA[//DB],Sheet1!A:A)</f>
        <v>2238</v>
      </c>
      <c r="D199" s="57">
        <f>_xlfn.IFNA(MATCH(Table17[[#This Row],[//db]],[3]!Table2[\\],0),"")</f>
        <v>1165</v>
      </c>
      <c r="E199" s="57" t="str">
        <f>INDEX([3]!db[NB NOTA],Table17[[#This Row],[//db]])</f>
        <v>RULER 30CM ISI 40</v>
      </c>
      <c r="F199" s="57" t="str">
        <f>INDEX([3]!db[NB BM],Table17[[#This Row],[//db]])</f>
        <v>GARISAN LIPAT 008 (40) 30 CM FANCY</v>
      </c>
      <c r="G199" s="57" t="str">
        <f>IF(Table17[[#This Row],[dbconcat]]="","",INDEX([3]!Table2[NAMA],Table17[[#This Row],[dbconcat]]))</f>
        <v>GARISAN LIPAT 008 (40) 30 CM FANCY</v>
      </c>
      <c r="H199" s="57" t="str">
        <f>INDEX([3]!Table2[KODE BARANG],Table17[[#This Row],[dbconcat]])</f>
        <v>GAR-NB198</v>
      </c>
      <c r="I199" s="57" t="str">
        <f>IF(Table17[[#This Row],[NAMA_3]]="",UPPER(Table17[[#This Row],[NAMA_2]]),Table17[[#This Row],[NAMA_3]])</f>
        <v>GARISAN LIPAT 008 (40) 30 CM FANCY</v>
      </c>
      <c r="J199" s="57">
        <f>INDEX(NOTA[QTY],Sheet1!A:A)</f>
        <v>80</v>
      </c>
      <c r="K199" s="57" t="str">
        <f>INDEX(NOTA[STN],Sheet1!A:A)</f>
        <v>BOX</v>
      </c>
      <c r="L199" s="57" t="str">
        <f>INDEX([3]!db[QTY B],Table17[[#This Row],[//db]])</f>
        <v>40</v>
      </c>
      <c r="M199" s="57" t="str">
        <f>INDEX([3]!db[STN B],Table17[[#This Row],[//db]])</f>
        <v>BOX</v>
      </c>
      <c r="N199" s="57" t="str">
        <f>IF(Table17[[#This Row],[SATUAN NOTA]]=Table17[[#This Row],[SATUAN DB]],"", MATCH(CONCATENATE(Table17[[#This Row],[SATUAN NOTA]],Table17[[#This Row],[SATUAN DB]]),Table2[4],0))</f>
        <v/>
      </c>
      <c r="O199" s="57" t="str" cm="1">
        <f t="array" ref="O199">IF(Table17[[#This Row],[//CONV]]="","",INDEX(Table2[3],Table17[[#This Row],[//CONV]]))</f>
        <v/>
      </c>
      <c r="P199" s="57" t="str">
        <f>IF(Table17[[#This Row],[//CONV]]="",Table17[[#This Row],[ISI DB]],Table17[[#This Row],[ISI NOTA]]*Table17[[#This Row],[CONV VAR]])</f>
        <v>40</v>
      </c>
      <c r="Q199" s="57" t="str" cm="1">
        <f t="array" ref="Q199">IF(Table17[[#This Row],[//CONV]]="",Table17[[#This Row],[SATUAN DB]],INDEX(Table2[2],Table17[[#This Row],[//CONV]]))</f>
        <v>BOX</v>
      </c>
      <c r="R199" s="57" cm="1">
        <f t="array" ref="R199">IF(Table17[[#This Row],[dbconcat]]="","",INDEX([3]!Table2[ISI],Table17[[#This Row],[dbconcat]]))</f>
        <v>40</v>
      </c>
      <c r="S199" s="57" t="str" cm="1">
        <f t="array" ref="S199">IF(Table17[[#This Row],[dbconcat]]="","",INDEX([3]!Table2[[SATUAN ]],Table17[[#This Row],[dbconcat]]))</f>
        <v>BOX</v>
      </c>
      <c r="T199" s="57" t="str">
        <f>IF(Table17[[#This Row],[SATUAN S]]="","",IF(_xlfn.NUMBERVALUE(Table17[[#This Row],[ISI DB]])=_xlfn.NUMBERVALUE(Table17[[#This Row],[ISI S]]),"",1))</f>
        <v/>
      </c>
      <c r="U199" s="57" t="str">
        <f>IF(Table17[[#This Row],[SATUAN S]]="","",IF(Table17[[#This Row],[SATUAN DB]]=Table17[[#This Row],[SATUAN S]],"",1))</f>
        <v/>
      </c>
      <c r="V199" s="57" t="str">
        <f>IF(Table17[[#This Row],[CEK STN S]]="","",MATCH(CONCATENATE(Table17[[#This Row],[SATUAN CONV]],Table17[[#This Row],[SATUAN S]]),Table2[4],0))</f>
        <v/>
      </c>
      <c r="W199" s="57"/>
      <c r="X199" s="57" t="str" cm="1">
        <f t="array" ref="X199">IF(Table17[[#This Row],[CONV2_//]]="","",INDEX(Table2[3],Table17[[#This Row],[CONV2_//]]))</f>
        <v/>
      </c>
      <c r="Y199" s="58" t="str">
        <f>IF(Table17[[#This Row],[CEK ISI S]]="",Table17[[#This Row],[ISI DB]],Table17[[#This Row],[ISI S]])</f>
        <v>40</v>
      </c>
      <c r="Z199" s="57" t="str">
        <f>IF(Table17[[#This Row],[CEK STN S]]="",Table17[[#This Row],[SATUAN DB]],Table17[[#This Row],[SATUAN S]])</f>
        <v>BOX</v>
      </c>
      <c r="AA199" s="57">
        <f>IF(Table17[[#This Row],[//CONV]]="",Table17[[#This Row],[ISI NOTA]]/Table17[[#This Row],[ISI_C]],Table17[[#This Row],[ISI DB CONV]]/Table17[[#This Row],[ISI_C]])</f>
        <v>2</v>
      </c>
      <c r="AB199" s="57">
        <f>INDEX(NOTA[HARGA SATUAN],Sheet1!A:A)</f>
        <v>40000</v>
      </c>
      <c r="AC199" s="57">
        <f>IF(Table17[[#This Row],[//CONV]]="",Table17[[#This Row],[HARGA NOTA]],Table17[[#This Row],[HARGA NOTA]]/Table17[[#This Row],[CONV VAR]])</f>
        <v>40000</v>
      </c>
      <c r="AD199" s="57">
        <f>IF(Table17[[#This Row],[CEK STN S]]="",Table17[[#This Row],[HARGA CONV]],Table17[[#This Row],[HARGA CONV]]/Table17[[#This Row],[CONV2 VAR]])</f>
        <v>40000</v>
      </c>
      <c r="AE199" s="59" t="str">
        <f>IF(INDEX(NOTA[Column6],Sheet1!A:A)=0,"",INDEX(NOTA[Column6],Sheet1!A:A))</f>
        <v/>
      </c>
      <c r="AF199" s="59" t="str">
        <f>IF(INDEX(NOTA[Column7],Sheet1!A:A)=0,"",INDEX(NOTA[Column7],Sheet1!A:A))</f>
        <v/>
      </c>
      <c r="AG199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199" s="60">
        <f>INDEX(NOTA[HARGA/ CTN_H],Sheet1!A:A)</f>
        <v>1600000</v>
      </c>
      <c r="AI199" s="60">
        <f>IF(Table17[[#This Row],[DISC 3]]="",Table17[[#This Row],[HRG / CTN]],Table17[[#This Row],[HRG / CTN]]-(Table17[[#This Row],[HRG / CTN]]*Table17[[#This Row],[DISC 3]]))</f>
        <v>1600000</v>
      </c>
      <c r="AJ199" s="61" t="e">
        <f>IF(#REF!&lt;1,Table17[[#This Row],[Column9]],Table17[[#This Row],[Column9]]*#REF!)</f>
        <v>#REF!</v>
      </c>
      <c r="AK199" s="60" t="e">
        <f ca="1">IF(NOT(AP200=Table17[[#This Row],[Column6]]),SUMIF(Table17[Column6],Table17[[#This Row],[Column6]],Table17[Column7]),"")</f>
        <v>#REF!</v>
      </c>
      <c r="AL199" s="62">
        <f ca="1">INDEX(NOTA[TGL_H],Sheet1!A:A)</f>
        <v>45498</v>
      </c>
      <c r="AM199" s="62">
        <f ca="1">INDEX(NOTA[TGL.NOTA_H],Sheet1!A:A)</f>
        <v>45500</v>
      </c>
      <c r="AN199" s="63"/>
      <c r="AO199" s="57" t="str">
        <f>IF(INDEX(NOTA[Column10],A:A)="","",INDEX(NOTA[Column10],A:A))</f>
        <v/>
      </c>
      <c r="AP199" s="57" t="str">
        <f ca="1">INDEX(NOTA[NO.NOTA_H],Sheet1!A:A)</f>
        <v>SI-2024/07-0207/M</v>
      </c>
      <c r="AQ199" s="57">
        <f>INDEX(NOTA[Column10],Sheet1!A:A)</f>
        <v>0</v>
      </c>
      <c r="AR199" s="64" t="str">
        <f ca="1">INDEX(NOTA[SUPPLIER_H],Sheet1!A:A)</f>
        <v>WIN'S SENTOSA</v>
      </c>
      <c r="AS199" s="57" t="str">
        <f>Table17[[#This Row],[NAMA_C]]</f>
        <v>GARISAN LIPAT 008 (40) 30 CM FANCY</v>
      </c>
      <c r="AT199" s="57" t="str">
        <f ca="1">Table17[[#This Row],[SUPPLIER]]</f>
        <v>WIN'S SENTOSA</v>
      </c>
      <c r="AU199" s="57" t="str">
        <f>SUBSTITUTE(Table17[[#This Row],[CTN]],",",".")</f>
        <v>2</v>
      </c>
      <c r="AV199" s="68" t="str">
        <f>Table17[[#This Row],[ISI_C]]</f>
        <v>40</v>
      </c>
      <c r="AW199" s="57" t="str">
        <f>Table17[[#This Row],[SATUAN_C]]</f>
        <v>BOX</v>
      </c>
      <c r="AX199" s="57">
        <f>Table17[[#This Row],[HARGA CONV2]]</f>
        <v>40000</v>
      </c>
      <c r="AY199" s="65" t="str">
        <f>SUBSTITUTE(Table17[[#This Row],[DISC 3]],",",".")</f>
        <v/>
      </c>
      <c r="AZ199" s="62">
        <f ca="1">Table17[[#This Row],[TGL DATANG]]</f>
        <v>45498</v>
      </c>
      <c r="BA199" s="62">
        <f ca="1">Table17[[#This Row],[Column10]]</f>
        <v>45500</v>
      </c>
      <c r="BB199" s="63"/>
      <c r="BC199" s="57" t="str">
        <f>Table17[[#This Row],[KETERANGAN CONDRO]]</f>
        <v/>
      </c>
      <c r="BD199" s="57" t="str">
        <f ca="1">Table17[[#This Row],[Column6]]</f>
        <v>SI-2024/07-0207/M</v>
      </c>
    </row>
    <row r="200" spans="1:56">
      <c r="A200" s="55">
        <v>261</v>
      </c>
      <c r="C200" s="57">
        <f>INDEX(NOTA[//DB],Sheet1!A:A)</f>
        <v>2167</v>
      </c>
      <c r="D200" s="57">
        <f>_xlfn.IFNA(MATCH(Table17[[#This Row],[//db]],[3]!Table2[\\],0),"")</f>
        <v>1996</v>
      </c>
      <c r="E200" s="57" t="str">
        <f>INDEX([3]!db[NB NOTA],Table17[[#This Row],[//db]])</f>
        <v>MEK PENSIL TIZO TM 01730</v>
      </c>
      <c r="F200" s="57" t="str">
        <f>INDEX([3]!db[NB BM],Table17[[#This Row],[//db]])</f>
        <v>MECHPEN TIZO 01730</v>
      </c>
      <c r="G200" s="57" t="str">
        <f>IF(Table17[[#This Row],[dbconcat]]="","",INDEX([3]!Table2[NAMA],Table17[[#This Row],[dbconcat]]))</f>
        <v>MECHPEN TIZO 01730</v>
      </c>
      <c r="H200" s="57" t="str">
        <f>INDEX([3]!Table2[KODE BARANG],Table17[[#This Row],[dbconcat]])</f>
        <v>MEC-TZ8</v>
      </c>
      <c r="I200" s="57" t="str">
        <f>IF(Table17[[#This Row],[NAMA_3]]="",UPPER(Table17[[#This Row],[NAMA_2]]),Table17[[#This Row],[NAMA_3]])</f>
        <v>MECHPEN TIZO 01730</v>
      </c>
      <c r="J200" s="57">
        <f>INDEX(NOTA[QTY],Sheet1!A:A)</f>
        <v>144</v>
      </c>
      <c r="K200" s="57" t="str">
        <f>INDEX(NOTA[STN],Sheet1!A:A)</f>
        <v>LSN</v>
      </c>
      <c r="L200" s="57" t="str">
        <f>INDEX([3]!db[QTY B],Table17[[#This Row],[//db]])</f>
        <v>144</v>
      </c>
      <c r="M200" s="57" t="str">
        <f>INDEX([3]!db[STN B],Table17[[#This Row],[//db]])</f>
        <v>LSN</v>
      </c>
      <c r="N200" s="57" t="str">
        <f>IF(Table17[[#This Row],[SATUAN NOTA]]=Table17[[#This Row],[SATUAN DB]],"", MATCH(CONCATENATE(Table17[[#This Row],[SATUAN NOTA]],Table17[[#This Row],[SATUAN DB]]),Table2[4],0))</f>
        <v/>
      </c>
      <c r="O200" s="57" t="str" cm="1">
        <f t="array" ref="O200">IF(Table17[[#This Row],[//CONV]]="","",INDEX(Table2[3],Table17[[#This Row],[//CONV]]))</f>
        <v/>
      </c>
      <c r="P200" s="57" t="str">
        <f>IF(Table17[[#This Row],[//CONV]]="",Table17[[#This Row],[ISI DB]],Table17[[#This Row],[ISI NOTA]]*Table17[[#This Row],[CONV VAR]])</f>
        <v>144</v>
      </c>
      <c r="Q200" s="57" t="str" cm="1">
        <f t="array" ref="Q200">IF(Table17[[#This Row],[//CONV]]="",Table17[[#This Row],[SATUAN DB]],INDEX(Table2[2],Table17[[#This Row],[//CONV]]))</f>
        <v>LSN</v>
      </c>
      <c r="R200" s="57" cm="1">
        <f t="array" ref="R200">IF(Table17[[#This Row],[dbconcat]]="","",INDEX([3]!Table2[ISI],Table17[[#This Row],[dbconcat]]))</f>
        <v>144</v>
      </c>
      <c r="S200" s="57" t="str" cm="1">
        <f t="array" ref="S200">IF(Table17[[#This Row],[dbconcat]]="","",INDEX([3]!Table2[[SATUAN ]],Table17[[#This Row],[dbconcat]]))</f>
        <v>LSN</v>
      </c>
      <c r="T200" s="57" t="str">
        <f>IF(Table17[[#This Row],[SATUAN S]]="","",IF(_xlfn.NUMBERVALUE(Table17[[#This Row],[ISI DB]])=_xlfn.NUMBERVALUE(Table17[[#This Row],[ISI S]]),"",1))</f>
        <v/>
      </c>
      <c r="U200" s="57" t="str">
        <f>IF(Table17[[#This Row],[SATUAN S]]="","",IF(Table17[[#This Row],[SATUAN DB]]=Table17[[#This Row],[SATUAN S]],"",1))</f>
        <v/>
      </c>
      <c r="V200" s="57" t="str">
        <f>IF(Table17[[#This Row],[CEK STN S]]="","",MATCH(CONCATENATE(Table17[[#This Row],[SATUAN CONV]],Table17[[#This Row],[SATUAN S]]),Table2[4],0))</f>
        <v/>
      </c>
      <c r="W200" s="57"/>
      <c r="X200" s="57" t="str" cm="1">
        <f t="array" ref="X200">IF(Table17[[#This Row],[CONV2_//]]="","",INDEX(Table2[3],Table17[[#This Row],[CONV2_//]]))</f>
        <v/>
      </c>
      <c r="Y200" s="58" t="str">
        <f>IF(Table17[[#This Row],[CEK ISI S]]="",Table17[[#This Row],[ISI DB]],Table17[[#This Row],[ISI S]])</f>
        <v>144</v>
      </c>
      <c r="Z200" s="57" t="str">
        <f>IF(Table17[[#This Row],[CEK STN S]]="",Table17[[#This Row],[SATUAN DB]],Table17[[#This Row],[SATUAN S]])</f>
        <v>LSN</v>
      </c>
      <c r="AA200" s="57">
        <f>IF(Table17[[#This Row],[//CONV]]="",Table17[[#This Row],[ISI NOTA]]/Table17[[#This Row],[ISI_C]],Table17[[#This Row],[ISI DB CONV]]/Table17[[#This Row],[ISI_C]])</f>
        <v>1</v>
      </c>
      <c r="AB200" s="57">
        <f>INDEX(NOTA[HARGA SATUAN],Sheet1!A:A)</f>
        <v>17500</v>
      </c>
      <c r="AC200" s="57">
        <f>IF(Table17[[#This Row],[//CONV]]="",Table17[[#This Row],[HARGA NOTA]],Table17[[#This Row],[HARGA NOTA]]/Table17[[#This Row],[CONV VAR]])</f>
        <v>17500</v>
      </c>
      <c r="AD200" s="57">
        <f>IF(Table17[[#This Row],[CEK STN S]]="",Table17[[#This Row],[HARGA CONV]],Table17[[#This Row],[HARGA CONV]]/Table17[[#This Row],[CONV2 VAR]])</f>
        <v>17500</v>
      </c>
      <c r="AE200" s="59" t="str">
        <f>IF(INDEX(NOTA[Column6],Sheet1!A:A)=0,"",INDEX(NOTA[Column6],Sheet1!A:A))</f>
        <v/>
      </c>
      <c r="AF200" s="59" t="str">
        <f>IF(INDEX(NOTA[Column7],Sheet1!A:A)=0,"",INDEX(NOTA[Column7],Sheet1!A:A))</f>
        <v/>
      </c>
      <c r="AG200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0" s="60">
        <f>INDEX(NOTA[HARGA/ CTN_H],Sheet1!A:A)</f>
        <v>2520000</v>
      </c>
      <c r="AI200" s="60">
        <f>IF(Table17[[#This Row],[DISC 3]]="",Table17[[#This Row],[HRG / CTN]],Table17[[#This Row],[HRG / CTN]]-(Table17[[#This Row],[HRG / CTN]]*Table17[[#This Row],[DISC 3]]))</f>
        <v>2520000</v>
      </c>
      <c r="AJ200" s="61" t="e">
        <f>IF(#REF!&lt;1,Table17[[#This Row],[Column9]],Table17[[#This Row],[Column9]]*#REF!)</f>
        <v>#REF!</v>
      </c>
      <c r="AK200" s="60" t="str">
        <f ca="1">IF(NOT(AP201=Table17[[#This Row],[Column6]]),SUMIF(Table17[Column6],Table17[[#This Row],[Column6]],Table17[Column7]),"")</f>
        <v/>
      </c>
      <c r="AL200" s="62">
        <f ca="1">INDEX(NOTA[TGL_H],Sheet1!A:A)</f>
        <v>45498</v>
      </c>
      <c r="AM200" s="62">
        <f ca="1">INDEX(NOTA[TGL.NOTA_H],Sheet1!A:A)</f>
        <v>45496</v>
      </c>
      <c r="AN200" s="63"/>
      <c r="AO200" s="57" t="str">
        <f>IF(INDEX(NOTA[Column10],A:A)="","",INDEX(NOTA[Column10],A:A))</f>
        <v/>
      </c>
      <c r="AP200" s="57" t="str">
        <f ca="1">INDEX(NOTA[NO.NOTA_H],Sheet1!A:A)</f>
        <v>JUG225824</v>
      </c>
      <c r="AQ200" s="57">
        <f>INDEX(NOTA[Column10],Sheet1!A:A)</f>
        <v>0</v>
      </c>
      <c r="AR200" s="64" t="str">
        <f ca="1">INDEX(NOTA[SUPPLIER_H],Sheet1!A:A)</f>
        <v>DB STATIONERI</v>
      </c>
      <c r="AS200" s="57" t="str">
        <f>Table17[[#This Row],[NAMA_C]]</f>
        <v>MECHPEN TIZO 01730</v>
      </c>
      <c r="AT200" s="57" t="str">
        <f ca="1">Table17[[#This Row],[SUPPLIER]]</f>
        <v>DB STATIONERI</v>
      </c>
      <c r="AU200" s="57" t="str">
        <f>SUBSTITUTE(Table17[[#This Row],[CTN]],",",".")</f>
        <v>1</v>
      </c>
      <c r="AV200" s="68" t="str">
        <f>Table17[[#This Row],[ISI_C]]</f>
        <v>144</v>
      </c>
      <c r="AW200" s="57" t="str">
        <f>Table17[[#This Row],[SATUAN_C]]</f>
        <v>LSN</v>
      </c>
      <c r="AX200" s="57">
        <f>Table17[[#This Row],[HARGA CONV2]]</f>
        <v>17500</v>
      </c>
      <c r="AY200" s="65" t="str">
        <f>SUBSTITUTE(Table17[[#This Row],[DISC 3]],",",".")</f>
        <v/>
      </c>
      <c r="AZ200" s="62">
        <f ca="1">Table17[[#This Row],[TGL DATANG]]</f>
        <v>45498</v>
      </c>
      <c r="BA200" s="62">
        <f ca="1">Table17[[#This Row],[Column10]]</f>
        <v>45496</v>
      </c>
      <c r="BB200" s="63"/>
      <c r="BC200" s="57" t="str">
        <f>Table17[[#This Row],[KETERANGAN CONDRO]]</f>
        <v/>
      </c>
      <c r="BD200" s="57" t="str">
        <f ca="1">Table17[[#This Row],[Column6]]</f>
        <v>JUG225824</v>
      </c>
    </row>
    <row r="201" spans="1:56">
      <c r="A201" s="55">
        <v>262</v>
      </c>
      <c r="C201" s="57">
        <f>INDEX(NOTA[//DB],Sheet1!A:A)</f>
        <v>3421</v>
      </c>
      <c r="D201" s="57">
        <f>_xlfn.IFNA(MATCH(Table17[[#This Row],[//db]],[3]!Table2[\\],0),"")</f>
        <v>2443</v>
      </c>
      <c r="E201" s="57" t="str">
        <f>INDEX([3]!db[NB NOTA],Table17[[#This Row],[//db]])</f>
        <v>TP BD XLG BD191-27</v>
      </c>
      <c r="F201" s="57" t="str">
        <f>INDEX([3]!db[NB BM],Table17[[#This Row],[//db]])</f>
        <v>P CASE XLG BD 191-27</v>
      </c>
      <c r="G201" s="57" t="str">
        <f>IF(Table17[[#This Row],[dbconcat]]="","",INDEX([3]!Table2[NAMA],Table17[[#This Row],[dbconcat]]))</f>
        <v>P CASE XLG BD 191-27</v>
      </c>
      <c r="H201" s="57" t="str">
        <f>INDEX([3]!Table2[KODE BARANG],Table17[[#This Row],[dbconcat]])</f>
        <v>PCA-XL245</v>
      </c>
      <c r="I201" s="57" t="str">
        <f>IF(Table17[[#This Row],[NAMA_3]]="",UPPER(Table17[[#This Row],[NAMA_2]]),Table17[[#This Row],[NAMA_3]])</f>
        <v>P CASE XLG BD 191-27</v>
      </c>
      <c r="J201" s="57">
        <f>INDEX(NOTA[QTY],Sheet1!A:A)</f>
        <v>180</v>
      </c>
      <c r="K201" s="57" t="str">
        <f>INDEX(NOTA[STN],Sheet1!A:A)</f>
        <v>PCS</v>
      </c>
      <c r="L201" s="57" t="str">
        <f>INDEX([3]!db[QTY B],Table17[[#This Row],[//db]])</f>
        <v>180</v>
      </c>
      <c r="M201" s="57" t="str">
        <f>INDEX([3]!db[STN B],Table17[[#This Row],[//db]])</f>
        <v>PCS</v>
      </c>
      <c r="N201" s="57" t="str">
        <f>IF(Table17[[#This Row],[SATUAN NOTA]]=Table17[[#This Row],[SATUAN DB]],"", MATCH(CONCATENATE(Table17[[#This Row],[SATUAN NOTA]],Table17[[#This Row],[SATUAN DB]]),Table2[4],0))</f>
        <v/>
      </c>
      <c r="O201" s="57" t="str" cm="1">
        <f t="array" ref="O201">IF(Table17[[#This Row],[//CONV]]="","",INDEX(Table2[3],Table17[[#This Row],[//CONV]]))</f>
        <v/>
      </c>
      <c r="P201" s="57" t="str">
        <f>IF(Table17[[#This Row],[//CONV]]="",Table17[[#This Row],[ISI DB]],Table17[[#This Row],[ISI NOTA]]*Table17[[#This Row],[CONV VAR]])</f>
        <v>180</v>
      </c>
      <c r="Q201" s="57" t="str" cm="1">
        <f t="array" ref="Q201">IF(Table17[[#This Row],[//CONV]]="",Table17[[#This Row],[SATUAN DB]],INDEX(Table2[2],Table17[[#This Row],[//CONV]]))</f>
        <v>PCS</v>
      </c>
      <c r="R201" s="57" cm="1">
        <f t="array" ref="R201">IF(Table17[[#This Row],[dbconcat]]="","",INDEX([3]!Table2[ISI],Table17[[#This Row],[dbconcat]]))</f>
        <v>180</v>
      </c>
      <c r="S201" s="57" t="str" cm="1">
        <f t="array" ref="S201">IF(Table17[[#This Row],[dbconcat]]="","",INDEX([3]!Table2[[SATUAN ]],Table17[[#This Row],[dbconcat]]))</f>
        <v>PCS</v>
      </c>
      <c r="T201" s="57" t="str">
        <f>IF(Table17[[#This Row],[SATUAN S]]="","",IF(_xlfn.NUMBERVALUE(Table17[[#This Row],[ISI DB]])=_xlfn.NUMBERVALUE(Table17[[#This Row],[ISI S]]),"",1))</f>
        <v/>
      </c>
      <c r="U201" s="57" t="str">
        <f>IF(Table17[[#This Row],[SATUAN S]]="","",IF(Table17[[#This Row],[SATUAN DB]]=Table17[[#This Row],[SATUAN S]],"",1))</f>
        <v/>
      </c>
      <c r="V201" s="57" t="str">
        <f>IF(Table17[[#This Row],[CEK STN S]]="","",MATCH(CONCATENATE(Table17[[#This Row],[SATUAN CONV]],Table17[[#This Row],[SATUAN S]]),Table2[4],0))</f>
        <v/>
      </c>
      <c r="W201" s="57"/>
      <c r="X201" s="57" t="str" cm="1">
        <f t="array" ref="X201">IF(Table17[[#This Row],[CONV2_//]]="","",INDEX(Table2[3],Table17[[#This Row],[CONV2_//]]))</f>
        <v/>
      </c>
      <c r="Y201" s="58" t="str">
        <f>IF(Table17[[#This Row],[CEK ISI S]]="",Table17[[#This Row],[ISI DB]],Table17[[#This Row],[ISI S]])</f>
        <v>180</v>
      </c>
      <c r="Z201" s="57" t="str">
        <f>IF(Table17[[#This Row],[CEK STN S]]="",Table17[[#This Row],[SATUAN DB]],Table17[[#This Row],[SATUAN S]])</f>
        <v>PCS</v>
      </c>
      <c r="AA201" s="57">
        <f>IF(Table17[[#This Row],[//CONV]]="",Table17[[#This Row],[ISI NOTA]]/Table17[[#This Row],[ISI_C]],Table17[[#This Row],[ISI DB CONV]]/Table17[[#This Row],[ISI_C]])</f>
        <v>1</v>
      </c>
      <c r="AB201" s="57">
        <f>INDEX(NOTA[HARGA SATUAN],Sheet1!A:A)</f>
        <v>17000</v>
      </c>
      <c r="AC201" s="57">
        <f>IF(Table17[[#This Row],[//CONV]]="",Table17[[#This Row],[HARGA NOTA]],Table17[[#This Row],[HARGA NOTA]]/Table17[[#This Row],[CONV VAR]])</f>
        <v>17000</v>
      </c>
      <c r="AD201" s="57">
        <f>IF(Table17[[#This Row],[CEK STN S]]="",Table17[[#This Row],[HARGA CONV]],Table17[[#This Row],[HARGA CONV]]/Table17[[#This Row],[CONV2 VAR]])</f>
        <v>17000</v>
      </c>
      <c r="AE201" s="59" t="str">
        <f>IF(INDEX(NOTA[Column6],Sheet1!A:A)=0,"",INDEX(NOTA[Column6],Sheet1!A:A))</f>
        <v/>
      </c>
      <c r="AF201" s="59" t="str">
        <f>IF(INDEX(NOTA[Column7],Sheet1!A:A)=0,"",INDEX(NOTA[Column7],Sheet1!A:A))</f>
        <v/>
      </c>
      <c r="AG201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1" s="60">
        <f>INDEX(NOTA[HARGA/ CTN_H],Sheet1!A:A)</f>
        <v>3060000</v>
      </c>
      <c r="AI201" s="60">
        <f>IF(Table17[[#This Row],[DISC 3]]="",Table17[[#This Row],[HRG / CTN]],Table17[[#This Row],[HRG / CTN]]-(Table17[[#This Row],[HRG / CTN]]*Table17[[#This Row],[DISC 3]]))</f>
        <v>3060000</v>
      </c>
      <c r="AJ201" s="61" t="e">
        <f>IF(#REF!&lt;1,Table17[[#This Row],[Column9]],Table17[[#This Row],[Column9]]*#REF!)</f>
        <v>#REF!</v>
      </c>
      <c r="AK201" s="60" t="str">
        <f ca="1">IF(NOT(AP202=Table17[[#This Row],[Column6]]),SUMIF(Table17[Column6],Table17[[#This Row],[Column6]],Table17[Column7]),"")</f>
        <v/>
      </c>
      <c r="AL201" s="62">
        <f ca="1">INDEX(NOTA[TGL_H],Sheet1!A:A)</f>
        <v>45498</v>
      </c>
      <c r="AM201" s="62">
        <f ca="1">INDEX(NOTA[TGL.NOTA_H],Sheet1!A:A)</f>
        <v>45496</v>
      </c>
      <c r="AN201" s="63"/>
      <c r="AO201" s="57" t="str">
        <f>IF(INDEX(NOTA[Column10],A:A)="","",INDEX(NOTA[Column10],A:A))</f>
        <v/>
      </c>
      <c r="AP201" s="57" t="str">
        <f ca="1">INDEX(NOTA[NO.NOTA_H],Sheet1!A:A)</f>
        <v>JUG225824</v>
      </c>
      <c r="AQ201" s="57">
        <f>INDEX(NOTA[Column10],Sheet1!A:A)</f>
        <v>0</v>
      </c>
      <c r="AR201" s="64" t="str">
        <f ca="1">INDEX(NOTA[SUPPLIER_H],Sheet1!A:A)</f>
        <v>DB STATIONERI</v>
      </c>
      <c r="AS201" s="57" t="str">
        <f>Table17[[#This Row],[NAMA_C]]</f>
        <v>P CASE XLG BD 191-27</v>
      </c>
      <c r="AT201" s="57" t="str">
        <f ca="1">Table17[[#This Row],[SUPPLIER]]</f>
        <v>DB STATIONERI</v>
      </c>
      <c r="AU201" s="57" t="str">
        <f>SUBSTITUTE(Table17[[#This Row],[CTN]],",",".")</f>
        <v>1</v>
      </c>
      <c r="AV201" s="68" t="str">
        <f>Table17[[#This Row],[ISI_C]]</f>
        <v>180</v>
      </c>
      <c r="AW201" s="57" t="str">
        <f>Table17[[#This Row],[SATUAN_C]]</f>
        <v>PCS</v>
      </c>
      <c r="AX201" s="57">
        <f>Table17[[#This Row],[HARGA CONV2]]</f>
        <v>17000</v>
      </c>
      <c r="AY201" s="65" t="str">
        <f>SUBSTITUTE(Table17[[#This Row],[DISC 3]],",",".")</f>
        <v/>
      </c>
      <c r="AZ201" s="62">
        <f ca="1">Table17[[#This Row],[TGL DATANG]]</f>
        <v>45498</v>
      </c>
      <c r="BA201" s="62">
        <f ca="1">Table17[[#This Row],[Column10]]</f>
        <v>45496</v>
      </c>
      <c r="BB201" s="63"/>
      <c r="BC201" s="57" t="str">
        <f>Table17[[#This Row],[KETERANGAN CONDRO]]</f>
        <v/>
      </c>
      <c r="BD201" s="57" t="str">
        <f ca="1">Table17[[#This Row],[Column6]]</f>
        <v>JUG225824</v>
      </c>
    </row>
    <row r="202" spans="1:56">
      <c r="A202" s="55">
        <v>263</v>
      </c>
      <c r="C202" s="57">
        <f>INDEX(NOTA[//DB],Sheet1!A:A)</f>
        <v>3422</v>
      </c>
      <c r="D202" s="57">
        <f>_xlfn.IFNA(MATCH(Table17[[#This Row],[//db]],[3]!Table2[\\],0),"")</f>
        <v>2444</v>
      </c>
      <c r="E202" s="57" t="str">
        <f>INDEX([3]!db[NB NOTA],Table17[[#This Row],[//db]])</f>
        <v>TP BD XLG BD193-27</v>
      </c>
      <c r="F202" s="57" t="str">
        <f>INDEX([3]!db[NB BM],Table17[[#This Row],[//db]])</f>
        <v>P CASE XLG BD 193-27</v>
      </c>
      <c r="G202" s="57" t="str">
        <f>IF(Table17[[#This Row],[dbconcat]]="","",INDEX([3]!Table2[NAMA],Table17[[#This Row],[dbconcat]]))</f>
        <v>P CASE XLG BD 193-27</v>
      </c>
      <c r="H202" s="57" t="str">
        <f>INDEX([3]!Table2[KODE BARANG],Table17[[#This Row],[dbconcat]])</f>
        <v>PCA-XL246</v>
      </c>
      <c r="I202" s="57" t="str">
        <f>IF(Table17[[#This Row],[NAMA_3]]="",UPPER(Table17[[#This Row],[NAMA_2]]),Table17[[#This Row],[NAMA_3]])</f>
        <v>P CASE XLG BD 193-27</v>
      </c>
      <c r="J202" s="57">
        <f>INDEX(NOTA[QTY],Sheet1!A:A)</f>
        <v>180</v>
      </c>
      <c r="K202" s="57" t="str">
        <f>INDEX(NOTA[STN],Sheet1!A:A)</f>
        <v>PCS</v>
      </c>
      <c r="L202" s="57" t="str">
        <f>INDEX([3]!db[QTY B],Table17[[#This Row],[//db]])</f>
        <v>180</v>
      </c>
      <c r="M202" s="57" t="str">
        <f>INDEX([3]!db[STN B],Table17[[#This Row],[//db]])</f>
        <v>PCS</v>
      </c>
      <c r="N202" s="57" t="str">
        <f>IF(Table17[[#This Row],[SATUAN NOTA]]=Table17[[#This Row],[SATUAN DB]],"", MATCH(CONCATENATE(Table17[[#This Row],[SATUAN NOTA]],Table17[[#This Row],[SATUAN DB]]),Table2[4],0))</f>
        <v/>
      </c>
      <c r="O202" s="57" t="str" cm="1">
        <f t="array" ref="O202">IF(Table17[[#This Row],[//CONV]]="","",INDEX(Table2[3],Table17[[#This Row],[//CONV]]))</f>
        <v/>
      </c>
      <c r="P202" s="57" t="str">
        <f>IF(Table17[[#This Row],[//CONV]]="",Table17[[#This Row],[ISI DB]],Table17[[#This Row],[ISI NOTA]]*Table17[[#This Row],[CONV VAR]])</f>
        <v>180</v>
      </c>
      <c r="Q202" s="57" t="str" cm="1">
        <f t="array" ref="Q202">IF(Table17[[#This Row],[//CONV]]="",Table17[[#This Row],[SATUAN DB]],INDEX(Table2[2],Table17[[#This Row],[//CONV]]))</f>
        <v>PCS</v>
      </c>
      <c r="R202" s="57" cm="1">
        <f t="array" ref="R202">IF(Table17[[#This Row],[dbconcat]]="","",INDEX([3]!Table2[ISI],Table17[[#This Row],[dbconcat]]))</f>
        <v>180</v>
      </c>
      <c r="S202" s="57" t="str" cm="1">
        <f t="array" ref="S202">IF(Table17[[#This Row],[dbconcat]]="","",INDEX([3]!Table2[[SATUAN ]],Table17[[#This Row],[dbconcat]]))</f>
        <v>PCS</v>
      </c>
      <c r="T202" s="57" t="str">
        <f>IF(Table17[[#This Row],[SATUAN S]]="","",IF(_xlfn.NUMBERVALUE(Table17[[#This Row],[ISI DB]])=_xlfn.NUMBERVALUE(Table17[[#This Row],[ISI S]]),"",1))</f>
        <v/>
      </c>
      <c r="U202" s="57" t="str">
        <f>IF(Table17[[#This Row],[SATUAN S]]="","",IF(Table17[[#This Row],[SATUAN DB]]=Table17[[#This Row],[SATUAN S]],"",1))</f>
        <v/>
      </c>
      <c r="V202" s="57" t="str">
        <f>IF(Table17[[#This Row],[CEK STN S]]="","",MATCH(CONCATENATE(Table17[[#This Row],[SATUAN CONV]],Table17[[#This Row],[SATUAN S]]),Table2[4],0))</f>
        <v/>
      </c>
      <c r="W202" s="57"/>
      <c r="X202" s="57" t="str" cm="1">
        <f t="array" ref="X202">IF(Table17[[#This Row],[CONV2_//]]="","",INDEX(Table2[3],Table17[[#This Row],[CONV2_//]]))</f>
        <v/>
      </c>
      <c r="Y202" s="58" t="str">
        <f>IF(Table17[[#This Row],[CEK ISI S]]="",Table17[[#This Row],[ISI DB]],Table17[[#This Row],[ISI S]])</f>
        <v>180</v>
      </c>
      <c r="Z202" s="57" t="str">
        <f>IF(Table17[[#This Row],[CEK STN S]]="",Table17[[#This Row],[SATUAN DB]],Table17[[#This Row],[SATUAN S]])</f>
        <v>PCS</v>
      </c>
      <c r="AA202" s="57">
        <f>IF(Table17[[#This Row],[//CONV]]="",Table17[[#This Row],[ISI NOTA]]/Table17[[#This Row],[ISI_C]],Table17[[#This Row],[ISI DB CONV]]/Table17[[#This Row],[ISI_C]])</f>
        <v>1</v>
      </c>
      <c r="AB202" s="57">
        <f>INDEX(NOTA[HARGA SATUAN],Sheet1!A:A)</f>
        <v>16000</v>
      </c>
      <c r="AC202" s="57">
        <f>IF(Table17[[#This Row],[//CONV]]="",Table17[[#This Row],[HARGA NOTA]],Table17[[#This Row],[HARGA NOTA]]/Table17[[#This Row],[CONV VAR]])</f>
        <v>16000</v>
      </c>
      <c r="AD202" s="57">
        <f>IF(Table17[[#This Row],[CEK STN S]]="",Table17[[#This Row],[HARGA CONV]],Table17[[#This Row],[HARGA CONV]]/Table17[[#This Row],[CONV2 VAR]])</f>
        <v>16000</v>
      </c>
      <c r="AE202" s="59" t="str">
        <f>IF(INDEX(NOTA[Column6],Sheet1!A:A)=0,"",INDEX(NOTA[Column6],Sheet1!A:A))</f>
        <v/>
      </c>
      <c r="AF202" s="59" t="str">
        <f>IF(INDEX(NOTA[Column7],Sheet1!A:A)=0,"",INDEX(NOTA[Column7],Sheet1!A:A))</f>
        <v/>
      </c>
      <c r="AG202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2" s="60">
        <f>INDEX(NOTA[HARGA/ CTN_H],Sheet1!A:A)</f>
        <v>2880000</v>
      </c>
      <c r="AI202" s="60">
        <f>IF(Table17[[#This Row],[DISC 3]]="",Table17[[#This Row],[HRG / CTN]],Table17[[#This Row],[HRG / CTN]]-(Table17[[#This Row],[HRG / CTN]]*Table17[[#This Row],[DISC 3]]))</f>
        <v>2880000</v>
      </c>
      <c r="AJ202" s="61" t="e">
        <f>IF(#REF!&lt;1,Table17[[#This Row],[Column9]],Table17[[#This Row],[Column9]]*#REF!)</f>
        <v>#REF!</v>
      </c>
      <c r="AK202" s="60" t="str">
        <f ca="1">IF(NOT(AP203=Table17[[#This Row],[Column6]]),SUMIF(Table17[Column6],Table17[[#This Row],[Column6]],Table17[Column7]),"")</f>
        <v/>
      </c>
      <c r="AL202" s="62">
        <f ca="1">INDEX(NOTA[TGL_H],Sheet1!A:A)</f>
        <v>45498</v>
      </c>
      <c r="AM202" s="62">
        <f ca="1">INDEX(NOTA[TGL.NOTA_H],Sheet1!A:A)</f>
        <v>45496</v>
      </c>
      <c r="AN202" s="63"/>
      <c r="AO202" s="57" t="str">
        <f>IF(INDEX(NOTA[Column10],A:A)="","",INDEX(NOTA[Column10],A:A))</f>
        <v/>
      </c>
      <c r="AP202" s="57" t="str">
        <f ca="1">INDEX(NOTA[NO.NOTA_H],Sheet1!A:A)</f>
        <v>JUG225824</v>
      </c>
      <c r="AQ202" s="57">
        <f>INDEX(NOTA[Column10],Sheet1!A:A)</f>
        <v>0</v>
      </c>
      <c r="AR202" s="64" t="str">
        <f ca="1">INDEX(NOTA[SUPPLIER_H],Sheet1!A:A)</f>
        <v>DB STATIONERI</v>
      </c>
      <c r="AS202" s="57" t="str">
        <f>Table17[[#This Row],[NAMA_C]]</f>
        <v>P CASE XLG BD 193-27</v>
      </c>
      <c r="AT202" s="57" t="str">
        <f ca="1">Table17[[#This Row],[SUPPLIER]]</f>
        <v>DB STATIONERI</v>
      </c>
      <c r="AU202" s="57" t="str">
        <f>SUBSTITUTE(Table17[[#This Row],[CTN]],",",".")</f>
        <v>1</v>
      </c>
      <c r="AV202" s="68" t="str">
        <f>Table17[[#This Row],[ISI_C]]</f>
        <v>180</v>
      </c>
      <c r="AW202" s="57" t="str">
        <f>Table17[[#This Row],[SATUAN_C]]</f>
        <v>PCS</v>
      </c>
      <c r="AX202" s="57">
        <f>Table17[[#This Row],[HARGA CONV2]]</f>
        <v>16000</v>
      </c>
      <c r="AY202" s="65" t="str">
        <f>SUBSTITUTE(Table17[[#This Row],[DISC 3]],",",".")</f>
        <v/>
      </c>
      <c r="AZ202" s="62">
        <f ca="1">Table17[[#This Row],[TGL DATANG]]</f>
        <v>45498</v>
      </c>
      <c r="BA202" s="62">
        <f ca="1">Table17[[#This Row],[Column10]]</f>
        <v>45496</v>
      </c>
      <c r="BB202" s="63"/>
      <c r="BC202" s="57" t="str">
        <f>Table17[[#This Row],[KETERANGAN CONDRO]]</f>
        <v/>
      </c>
      <c r="BD202" s="57" t="str">
        <f ca="1">Table17[[#This Row],[Column6]]</f>
        <v>JUG225824</v>
      </c>
    </row>
    <row r="203" spans="1:56">
      <c r="A203" s="55">
        <v>264</v>
      </c>
      <c r="C203" s="57">
        <f>INDEX(NOTA[//DB],Sheet1!A:A)</f>
        <v>3423</v>
      </c>
      <c r="D203" s="57">
        <f>_xlfn.IFNA(MATCH(Table17[[#This Row],[//db]],[3]!Table2[\\],0),"")</f>
        <v>2445</v>
      </c>
      <c r="E203" s="57" t="str">
        <f>INDEX([3]!db[NB NOTA],Table17[[#This Row],[//db]])</f>
        <v>TP BD XLG BD194-26</v>
      </c>
      <c r="F203" s="57" t="str">
        <f>INDEX([3]!db[NB BM],Table17[[#This Row],[//db]])</f>
        <v>P CASE XLG BD 194-26</v>
      </c>
      <c r="G203" s="57" t="str">
        <f>IF(Table17[[#This Row],[dbconcat]]="","",INDEX([3]!Table2[NAMA],Table17[[#This Row],[dbconcat]]))</f>
        <v>P CASE XLG BD 194-26</v>
      </c>
      <c r="H203" s="57" t="str">
        <f>INDEX([3]!Table2[KODE BARANG],Table17[[#This Row],[dbconcat]])</f>
        <v>PCA-XL247</v>
      </c>
      <c r="I203" s="57" t="str">
        <f>IF(Table17[[#This Row],[NAMA_3]]="",UPPER(Table17[[#This Row],[NAMA_2]]),Table17[[#This Row],[NAMA_3]])</f>
        <v>P CASE XLG BD 194-26</v>
      </c>
      <c r="J203" s="57">
        <f>INDEX(NOTA[QTY],Sheet1!A:A)</f>
        <v>180</v>
      </c>
      <c r="K203" s="57" t="str">
        <f>INDEX(NOTA[STN],Sheet1!A:A)</f>
        <v>PCS</v>
      </c>
      <c r="L203" s="57" t="str">
        <f>INDEX([3]!db[QTY B],Table17[[#This Row],[//db]])</f>
        <v>180</v>
      </c>
      <c r="M203" s="57" t="str">
        <f>INDEX([3]!db[STN B],Table17[[#This Row],[//db]])</f>
        <v>PCS</v>
      </c>
      <c r="N203" s="57" t="str">
        <f>IF(Table17[[#This Row],[SATUAN NOTA]]=Table17[[#This Row],[SATUAN DB]],"", MATCH(CONCATENATE(Table17[[#This Row],[SATUAN NOTA]],Table17[[#This Row],[SATUAN DB]]),Table2[4],0))</f>
        <v/>
      </c>
      <c r="O203" s="57" t="str" cm="1">
        <f t="array" ref="O203">IF(Table17[[#This Row],[//CONV]]="","",INDEX(Table2[3],Table17[[#This Row],[//CONV]]))</f>
        <v/>
      </c>
      <c r="P203" s="57" t="str">
        <f>IF(Table17[[#This Row],[//CONV]]="",Table17[[#This Row],[ISI DB]],Table17[[#This Row],[ISI NOTA]]*Table17[[#This Row],[CONV VAR]])</f>
        <v>180</v>
      </c>
      <c r="Q203" s="57" t="str" cm="1">
        <f t="array" ref="Q203">IF(Table17[[#This Row],[//CONV]]="",Table17[[#This Row],[SATUAN DB]],INDEX(Table2[2],Table17[[#This Row],[//CONV]]))</f>
        <v>PCS</v>
      </c>
      <c r="R203" s="57" cm="1">
        <f t="array" ref="R203">IF(Table17[[#This Row],[dbconcat]]="","",INDEX([3]!Table2[ISI],Table17[[#This Row],[dbconcat]]))</f>
        <v>180</v>
      </c>
      <c r="S203" s="57" t="str" cm="1">
        <f t="array" ref="S203">IF(Table17[[#This Row],[dbconcat]]="","",INDEX([3]!Table2[[SATUAN ]],Table17[[#This Row],[dbconcat]]))</f>
        <v>PCS</v>
      </c>
      <c r="T203" s="57" t="str">
        <f>IF(Table17[[#This Row],[SATUAN S]]="","",IF(_xlfn.NUMBERVALUE(Table17[[#This Row],[ISI DB]])=_xlfn.NUMBERVALUE(Table17[[#This Row],[ISI S]]),"",1))</f>
        <v/>
      </c>
      <c r="U203" s="57" t="str">
        <f>IF(Table17[[#This Row],[SATUAN S]]="","",IF(Table17[[#This Row],[SATUAN DB]]=Table17[[#This Row],[SATUAN S]],"",1))</f>
        <v/>
      </c>
      <c r="V203" s="57" t="str">
        <f>IF(Table17[[#This Row],[CEK STN S]]="","",MATCH(CONCATENATE(Table17[[#This Row],[SATUAN CONV]],Table17[[#This Row],[SATUAN S]]),Table2[4],0))</f>
        <v/>
      </c>
      <c r="W203" s="57"/>
      <c r="X203" s="57" t="str" cm="1">
        <f t="array" ref="X203">IF(Table17[[#This Row],[CONV2_//]]="","",INDEX(Table2[3],Table17[[#This Row],[CONV2_//]]))</f>
        <v/>
      </c>
      <c r="Y203" s="58" t="str">
        <f>IF(Table17[[#This Row],[CEK ISI S]]="",Table17[[#This Row],[ISI DB]],Table17[[#This Row],[ISI S]])</f>
        <v>180</v>
      </c>
      <c r="Z203" s="57" t="str">
        <f>IF(Table17[[#This Row],[CEK STN S]]="",Table17[[#This Row],[SATUAN DB]],Table17[[#This Row],[SATUAN S]])</f>
        <v>PCS</v>
      </c>
      <c r="AA203" s="57">
        <f>IF(Table17[[#This Row],[//CONV]]="",Table17[[#This Row],[ISI NOTA]]/Table17[[#This Row],[ISI_C]],Table17[[#This Row],[ISI DB CONV]]/Table17[[#This Row],[ISI_C]])</f>
        <v>1</v>
      </c>
      <c r="AB203" s="57">
        <f>INDEX(NOTA[HARGA SATUAN],Sheet1!A:A)</f>
        <v>16000</v>
      </c>
      <c r="AC203" s="57">
        <f>IF(Table17[[#This Row],[//CONV]]="",Table17[[#This Row],[HARGA NOTA]],Table17[[#This Row],[HARGA NOTA]]/Table17[[#This Row],[CONV VAR]])</f>
        <v>16000</v>
      </c>
      <c r="AD203" s="57">
        <f>IF(Table17[[#This Row],[CEK STN S]]="",Table17[[#This Row],[HARGA CONV]],Table17[[#This Row],[HARGA CONV]]/Table17[[#This Row],[CONV2 VAR]])</f>
        <v>16000</v>
      </c>
      <c r="AE203" s="59" t="str">
        <f>IF(INDEX(NOTA[Column6],Sheet1!A:A)=0,"",INDEX(NOTA[Column6],Sheet1!A:A))</f>
        <v/>
      </c>
      <c r="AF203" s="59" t="str">
        <f>IF(INDEX(NOTA[Column7],Sheet1!A:A)=0,"",INDEX(NOTA[Column7],Sheet1!A:A))</f>
        <v/>
      </c>
      <c r="AG203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3" s="60">
        <f>INDEX(NOTA[HARGA/ CTN_H],Sheet1!A:A)</f>
        <v>2880000</v>
      </c>
      <c r="AI203" s="60">
        <f>IF(Table17[[#This Row],[DISC 3]]="",Table17[[#This Row],[HRG / CTN]],Table17[[#This Row],[HRG / CTN]]-(Table17[[#This Row],[HRG / CTN]]*Table17[[#This Row],[DISC 3]]))</f>
        <v>2880000</v>
      </c>
      <c r="AJ203" s="61" t="e">
        <f>IF(#REF!&lt;1,Table17[[#This Row],[Column9]],Table17[[#This Row],[Column9]]*#REF!)</f>
        <v>#REF!</v>
      </c>
      <c r="AK203" s="60" t="str">
        <f ca="1">IF(NOT(AP204=Table17[[#This Row],[Column6]]),SUMIF(Table17[Column6],Table17[[#This Row],[Column6]],Table17[Column7]),"")</f>
        <v/>
      </c>
      <c r="AL203" s="62">
        <f ca="1">INDEX(NOTA[TGL_H],Sheet1!A:A)</f>
        <v>45498</v>
      </c>
      <c r="AM203" s="62">
        <f ca="1">INDEX(NOTA[TGL.NOTA_H],Sheet1!A:A)</f>
        <v>45496</v>
      </c>
      <c r="AN203" s="63"/>
      <c r="AO203" s="57" t="str">
        <f>IF(INDEX(NOTA[Column10],A:A)="","",INDEX(NOTA[Column10],A:A))</f>
        <v/>
      </c>
      <c r="AP203" s="57" t="str">
        <f ca="1">INDEX(NOTA[NO.NOTA_H],Sheet1!A:A)</f>
        <v>JUG225824</v>
      </c>
      <c r="AQ203" s="57">
        <f>INDEX(NOTA[Column10],Sheet1!A:A)</f>
        <v>0</v>
      </c>
      <c r="AR203" s="64" t="str">
        <f ca="1">INDEX(NOTA[SUPPLIER_H],Sheet1!A:A)</f>
        <v>DB STATIONERI</v>
      </c>
      <c r="AS203" s="57" t="str">
        <f>Table17[[#This Row],[NAMA_C]]</f>
        <v>P CASE XLG BD 194-26</v>
      </c>
      <c r="AT203" s="57" t="str">
        <f ca="1">Table17[[#This Row],[SUPPLIER]]</f>
        <v>DB STATIONERI</v>
      </c>
      <c r="AU203" s="57" t="str">
        <f>SUBSTITUTE(Table17[[#This Row],[CTN]],",",".")</f>
        <v>1</v>
      </c>
      <c r="AV203" s="68" t="str">
        <f>Table17[[#This Row],[ISI_C]]</f>
        <v>180</v>
      </c>
      <c r="AW203" s="57" t="str">
        <f>Table17[[#This Row],[SATUAN_C]]</f>
        <v>PCS</v>
      </c>
      <c r="AX203" s="57">
        <f>Table17[[#This Row],[HARGA CONV2]]</f>
        <v>16000</v>
      </c>
      <c r="AY203" s="65" t="str">
        <f>SUBSTITUTE(Table17[[#This Row],[DISC 3]],",",".")</f>
        <v/>
      </c>
      <c r="AZ203" s="62">
        <f ca="1">Table17[[#This Row],[TGL DATANG]]</f>
        <v>45498</v>
      </c>
      <c r="BA203" s="62">
        <f ca="1">Table17[[#This Row],[Column10]]</f>
        <v>45496</v>
      </c>
      <c r="BB203" s="63"/>
      <c r="BC203" s="57" t="str">
        <f>Table17[[#This Row],[KETERANGAN CONDRO]]</f>
        <v/>
      </c>
      <c r="BD203" s="57" t="str">
        <f ca="1">Table17[[#This Row],[Column6]]</f>
        <v>JUG225824</v>
      </c>
    </row>
    <row r="204" spans="1:56">
      <c r="A204" s="55">
        <v>265</v>
      </c>
      <c r="C204" s="57">
        <f>INDEX(NOTA[//DB],Sheet1!A:A)</f>
        <v>3426</v>
      </c>
      <c r="D204" s="57">
        <f>_xlfn.IFNA(MATCH(Table17[[#This Row],[//db]],[3]!Table2[\\],0),"")</f>
        <v>2448</v>
      </c>
      <c r="E204" s="57" t="str">
        <f>INDEX([3]!db[NB NOTA],Table17[[#This Row],[//db]])</f>
        <v>TP BD XLG BD331-23</v>
      </c>
      <c r="F204" s="57" t="str">
        <f>INDEX([3]!db[NB BM],Table17[[#This Row],[//db]])</f>
        <v>P CASE XLG BD 331-23</v>
      </c>
      <c r="G204" s="57" t="str">
        <f>IF(Table17[[#This Row],[dbconcat]]="","",INDEX([3]!Table2[NAMA],Table17[[#This Row],[dbconcat]]))</f>
        <v>P CASE XLG BD 331-23</v>
      </c>
      <c r="H204" s="57" t="str">
        <f>INDEX([3]!Table2[KODE BARANG],Table17[[#This Row],[dbconcat]])</f>
        <v>PCA-XL250</v>
      </c>
      <c r="I204" s="57" t="str">
        <f>IF(Table17[[#This Row],[NAMA_3]]="",UPPER(Table17[[#This Row],[NAMA_2]]),Table17[[#This Row],[NAMA_3]])</f>
        <v>P CASE XLG BD 331-23</v>
      </c>
      <c r="J204" s="57">
        <f>INDEX(NOTA[QTY],Sheet1!A:A)</f>
        <v>180</v>
      </c>
      <c r="K204" s="57" t="str">
        <f>INDEX(NOTA[STN],Sheet1!A:A)</f>
        <v>PCS</v>
      </c>
      <c r="L204" s="57" t="str">
        <f>INDEX([3]!db[QTY B],Table17[[#This Row],[//db]])</f>
        <v>180</v>
      </c>
      <c r="M204" s="57" t="str">
        <f>INDEX([3]!db[STN B],Table17[[#This Row],[//db]])</f>
        <v>PCS</v>
      </c>
      <c r="N204" s="57" t="str">
        <f>IF(Table17[[#This Row],[SATUAN NOTA]]=Table17[[#This Row],[SATUAN DB]],"", MATCH(CONCATENATE(Table17[[#This Row],[SATUAN NOTA]],Table17[[#This Row],[SATUAN DB]]),Table2[4],0))</f>
        <v/>
      </c>
      <c r="O204" s="57" t="str" cm="1">
        <f t="array" ref="O204">IF(Table17[[#This Row],[//CONV]]="","",INDEX(Table2[3],Table17[[#This Row],[//CONV]]))</f>
        <v/>
      </c>
      <c r="P204" s="57" t="str">
        <f>IF(Table17[[#This Row],[//CONV]]="",Table17[[#This Row],[ISI DB]],Table17[[#This Row],[ISI NOTA]]*Table17[[#This Row],[CONV VAR]])</f>
        <v>180</v>
      </c>
      <c r="Q204" s="57" t="str" cm="1">
        <f t="array" ref="Q204">IF(Table17[[#This Row],[//CONV]]="",Table17[[#This Row],[SATUAN DB]],INDEX(Table2[2],Table17[[#This Row],[//CONV]]))</f>
        <v>PCS</v>
      </c>
      <c r="R204" s="57" cm="1">
        <f t="array" ref="R204">IF(Table17[[#This Row],[dbconcat]]="","",INDEX([3]!Table2[ISI],Table17[[#This Row],[dbconcat]]))</f>
        <v>180</v>
      </c>
      <c r="S204" s="57" t="str" cm="1">
        <f t="array" ref="S204">IF(Table17[[#This Row],[dbconcat]]="","",INDEX([3]!Table2[[SATUAN ]],Table17[[#This Row],[dbconcat]]))</f>
        <v>PCS</v>
      </c>
      <c r="T204" s="57" t="str">
        <f>IF(Table17[[#This Row],[SATUAN S]]="","",IF(_xlfn.NUMBERVALUE(Table17[[#This Row],[ISI DB]])=_xlfn.NUMBERVALUE(Table17[[#This Row],[ISI S]]),"",1))</f>
        <v/>
      </c>
      <c r="U204" s="57" t="str">
        <f>IF(Table17[[#This Row],[SATUAN S]]="","",IF(Table17[[#This Row],[SATUAN DB]]=Table17[[#This Row],[SATUAN S]],"",1))</f>
        <v/>
      </c>
      <c r="V204" s="57" t="str">
        <f>IF(Table17[[#This Row],[CEK STN S]]="","",MATCH(CONCATENATE(Table17[[#This Row],[SATUAN CONV]],Table17[[#This Row],[SATUAN S]]),Table2[4],0))</f>
        <v/>
      </c>
      <c r="W204" s="57"/>
      <c r="X204" s="57" t="str" cm="1">
        <f t="array" ref="X204">IF(Table17[[#This Row],[CONV2_//]]="","",INDEX(Table2[3],Table17[[#This Row],[CONV2_//]]))</f>
        <v/>
      </c>
      <c r="Y204" s="58" t="str">
        <f>IF(Table17[[#This Row],[CEK ISI S]]="",Table17[[#This Row],[ISI DB]],Table17[[#This Row],[ISI S]])</f>
        <v>180</v>
      </c>
      <c r="Z204" s="57" t="str">
        <f>IF(Table17[[#This Row],[CEK STN S]]="",Table17[[#This Row],[SATUAN DB]],Table17[[#This Row],[SATUAN S]])</f>
        <v>PCS</v>
      </c>
      <c r="AA204" s="57">
        <f>IF(Table17[[#This Row],[//CONV]]="",Table17[[#This Row],[ISI NOTA]]/Table17[[#This Row],[ISI_C]],Table17[[#This Row],[ISI DB CONV]]/Table17[[#This Row],[ISI_C]])</f>
        <v>1</v>
      </c>
      <c r="AB204" s="57">
        <f>INDEX(NOTA[HARGA SATUAN],Sheet1!A:A)</f>
        <v>11000</v>
      </c>
      <c r="AC204" s="57">
        <f>IF(Table17[[#This Row],[//CONV]]="",Table17[[#This Row],[HARGA NOTA]],Table17[[#This Row],[HARGA NOTA]]/Table17[[#This Row],[CONV VAR]])</f>
        <v>11000</v>
      </c>
      <c r="AD204" s="57">
        <f>IF(Table17[[#This Row],[CEK STN S]]="",Table17[[#This Row],[HARGA CONV]],Table17[[#This Row],[HARGA CONV]]/Table17[[#This Row],[CONV2 VAR]])</f>
        <v>11000</v>
      </c>
      <c r="AE204" s="59" t="str">
        <f>IF(INDEX(NOTA[Column6],Sheet1!A:A)=0,"",INDEX(NOTA[Column6],Sheet1!A:A))</f>
        <v/>
      </c>
      <c r="AF204" s="59" t="str">
        <f>IF(INDEX(NOTA[Column7],Sheet1!A:A)=0,"",INDEX(NOTA[Column7],Sheet1!A:A))</f>
        <v/>
      </c>
      <c r="AG204" s="59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H204" s="60">
        <f>INDEX(NOTA[HARGA/ CTN_H],Sheet1!A:A)</f>
        <v>1980000</v>
      </c>
      <c r="AI204" s="60">
        <f>IF(Table17[[#This Row],[DISC 3]]="",Table17[[#This Row],[HRG / CTN]],Table17[[#This Row],[HRG / CTN]]-(Table17[[#This Row],[HRG / CTN]]*Table17[[#This Row],[DISC 3]]))</f>
        <v>1980000</v>
      </c>
      <c r="AJ204" s="61" t="e">
        <f>IF(#REF!&lt;1,Table17[[#This Row],[Column9]],Table17[[#This Row],[Column9]]*#REF!)</f>
        <v>#REF!</v>
      </c>
      <c r="AK204" s="60" t="e">
        <f ca="1">IF(NOT(AP205=Table17[[#This Row],[Column6]]),SUMIF(Table17[Column6],Table17[[#This Row],[Column6]],Table17[Column7]),"")</f>
        <v>#REF!</v>
      </c>
      <c r="AL204" s="62">
        <f ca="1">INDEX(NOTA[TGL_H],Sheet1!A:A)</f>
        <v>45498</v>
      </c>
      <c r="AM204" s="62">
        <f ca="1">INDEX(NOTA[TGL.NOTA_H],Sheet1!A:A)</f>
        <v>45496</v>
      </c>
      <c r="AN204" s="63"/>
      <c r="AO204" s="57" t="str">
        <f>IF(INDEX(NOTA[Column10],A:A)="","",INDEX(NOTA[Column10],A:A))</f>
        <v/>
      </c>
      <c r="AP204" s="57" t="str">
        <f ca="1">INDEX(NOTA[NO.NOTA_H],Sheet1!A:A)</f>
        <v>JUG225824</v>
      </c>
      <c r="AQ204" s="57">
        <f>INDEX(NOTA[Column10],Sheet1!A:A)</f>
        <v>0</v>
      </c>
      <c r="AR204" s="64" t="str">
        <f ca="1">INDEX(NOTA[SUPPLIER_H],Sheet1!A:A)</f>
        <v>DB STATIONERI</v>
      </c>
      <c r="AS204" s="57" t="str">
        <f>Table17[[#This Row],[NAMA_C]]</f>
        <v>P CASE XLG BD 331-23</v>
      </c>
      <c r="AT204" s="57" t="str">
        <f ca="1">Table17[[#This Row],[SUPPLIER]]</f>
        <v>DB STATIONERI</v>
      </c>
      <c r="AU204" s="57" t="str">
        <f>SUBSTITUTE(Table17[[#This Row],[CTN]],",",".")</f>
        <v>1</v>
      </c>
      <c r="AV204" s="68" t="str">
        <f>Table17[[#This Row],[ISI_C]]</f>
        <v>180</v>
      </c>
      <c r="AW204" s="57" t="str">
        <f>Table17[[#This Row],[SATUAN_C]]</f>
        <v>PCS</v>
      </c>
      <c r="AX204" s="57">
        <f>Table17[[#This Row],[HARGA CONV2]]</f>
        <v>11000</v>
      </c>
      <c r="AY204" s="65" t="str">
        <f>SUBSTITUTE(Table17[[#This Row],[DISC 3]],",",".")</f>
        <v/>
      </c>
      <c r="AZ204" s="62">
        <f ca="1">Table17[[#This Row],[TGL DATANG]]</f>
        <v>45498</v>
      </c>
      <c r="BA204" s="62">
        <f ca="1">Table17[[#This Row],[Column10]]</f>
        <v>45496</v>
      </c>
      <c r="BB204" s="63"/>
      <c r="BC204" s="57" t="str">
        <f>Table17[[#This Row],[KETERANGAN CONDRO]]</f>
        <v/>
      </c>
      <c r="BD204" s="57" t="str">
        <f ca="1">Table17[[#This Row],[Column6]]</f>
        <v>JUG225824</v>
      </c>
    </row>
    <row r="205" spans="1:56">
      <c r="A205" s="55" t="s">
        <v>55</v>
      </c>
    </row>
  </sheetData>
  <phoneticPr fontId="6" type="noConversion"/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D83C-23AC-44AB-A2EC-E96029D77FF1}">
  <dimension ref="A1:D62"/>
  <sheetViews>
    <sheetView topLeftCell="A46" workbookViewId="0">
      <selection activeCell="D62" sqref="D62"/>
    </sheetView>
  </sheetViews>
  <sheetFormatPr defaultRowHeight="15"/>
  <sheetData>
    <row r="1" spans="1:4">
      <c r="A1" t="s">
        <v>27</v>
      </c>
      <c r="B1" t="s">
        <v>28</v>
      </c>
      <c r="C1" t="s">
        <v>29</v>
      </c>
      <c r="D1" t="s">
        <v>159</v>
      </c>
    </row>
    <row r="2" spans="1:4">
      <c r="A2" t="s">
        <v>50</v>
      </c>
      <c r="B2" t="s">
        <v>51</v>
      </c>
      <c r="C2">
        <v>12</v>
      </c>
      <c r="D2" t="str">
        <f>CONCATENATE(Table2[[#This Row],[1]],Table2[[#This Row],[2]])</f>
        <v>LSNPCS</v>
      </c>
    </row>
    <row r="3" spans="1:4">
      <c r="A3" t="s">
        <v>51</v>
      </c>
      <c r="B3" t="s">
        <v>50</v>
      </c>
      <c r="C3">
        <f>1/12</f>
        <v>8.3333333333333329E-2</v>
      </c>
      <c r="D3" t="str">
        <f>CONCATENATE(Table2[[#This Row],[1]],Table2[[#This Row],[2]])</f>
        <v>PCSLSN</v>
      </c>
    </row>
    <row r="4" spans="1:4">
      <c r="A4" t="s">
        <v>121</v>
      </c>
      <c r="B4" t="s">
        <v>51</v>
      </c>
      <c r="C4">
        <v>144</v>
      </c>
      <c r="D4" t="str">
        <f>CONCATENATE(Table2[[#This Row],[1]],Table2[[#This Row],[2]])</f>
        <v>GRSPCS</v>
      </c>
    </row>
    <row r="5" spans="1:4">
      <c r="A5" t="s">
        <v>50</v>
      </c>
      <c r="B5" t="s">
        <v>122</v>
      </c>
      <c r="C5">
        <v>12</v>
      </c>
      <c r="D5" t="str">
        <f>CONCATENATE(Table2[[#This Row],[1]],Table2[[#This Row],[2]])</f>
        <v>LSNSET</v>
      </c>
    </row>
    <row r="6" spans="1:4">
      <c r="A6" t="s">
        <v>122</v>
      </c>
      <c r="B6" t="s">
        <v>50</v>
      </c>
      <c r="C6">
        <f>1/12</f>
        <v>8.3333333333333329E-2</v>
      </c>
      <c r="D6" t="str">
        <f>CONCATENATE(Table2[[#This Row],[1]],Table2[[#This Row],[2]])</f>
        <v>SETLSN</v>
      </c>
    </row>
    <row r="7" spans="1:4">
      <c r="A7" t="s">
        <v>50</v>
      </c>
      <c r="B7" t="s">
        <v>121</v>
      </c>
      <c r="C7">
        <v>8.3333333329999995E-2</v>
      </c>
      <c r="D7" t="str">
        <f>CONCATENATE(Table2[[#This Row],[1]],Table2[[#This Row],[2]])</f>
        <v>LSNGRS</v>
      </c>
    </row>
    <row r="8" spans="1:4">
      <c r="A8" t="s">
        <v>51</v>
      </c>
      <c r="B8" t="s">
        <v>121</v>
      </c>
      <c r="C8">
        <f>1/(12*12)</f>
        <v>6.9444444444444441E-3</v>
      </c>
      <c r="D8" t="str">
        <f>CONCATENATE(Table2[[#This Row],[1]],Table2[[#This Row],[2]])</f>
        <v>PCSGRS</v>
      </c>
    </row>
    <row r="9" spans="1:4">
      <c r="A9" t="s">
        <v>123</v>
      </c>
      <c r="B9" t="s">
        <v>51</v>
      </c>
      <c r="C9">
        <v>40</v>
      </c>
      <c r="D9" t="str">
        <f>CONCATENATE(Table2[[#This Row],[1]],Table2[[#This Row],[2]])</f>
        <v>BOX (40)PCS</v>
      </c>
    </row>
    <row r="10" spans="1:4">
      <c r="A10" t="s">
        <v>124</v>
      </c>
      <c r="B10" t="s">
        <v>51</v>
      </c>
      <c r="C10">
        <v>40</v>
      </c>
      <c r="D10" t="str">
        <f>CONCATENATE(Table2[[#This Row],[1]],Table2[[#This Row],[2]])</f>
        <v>PAK (40)PCS</v>
      </c>
    </row>
    <row r="11" spans="1:4">
      <c r="A11" t="s">
        <v>125</v>
      </c>
      <c r="B11" t="s">
        <v>51</v>
      </c>
      <c r="C11">
        <v>30</v>
      </c>
      <c r="D11" t="str">
        <f>CONCATENATE(Table2[[#This Row],[1]],Table2[[#This Row],[2]])</f>
        <v>PAK (30)PCS</v>
      </c>
    </row>
    <row r="12" spans="1:4">
      <c r="A12" t="s">
        <v>126</v>
      </c>
      <c r="B12" t="s">
        <v>51</v>
      </c>
      <c r="C12">
        <v>100</v>
      </c>
      <c r="D12" t="str">
        <f>CONCATENATE(Table2[[#This Row],[1]],Table2[[#This Row],[2]])</f>
        <v>BOX (100)PCS</v>
      </c>
    </row>
    <row r="13" spans="1:4">
      <c r="A13" t="s">
        <v>127</v>
      </c>
      <c r="B13" t="s">
        <v>51</v>
      </c>
      <c r="C13">
        <v>48</v>
      </c>
      <c r="D13" t="str">
        <f>CONCATENATE(Table2[[#This Row],[1]],Table2[[#This Row],[2]])</f>
        <v>PAK (48)PCS</v>
      </c>
    </row>
    <row r="14" spans="1:4">
      <c r="A14" t="s">
        <v>128</v>
      </c>
      <c r="B14" t="s">
        <v>51</v>
      </c>
      <c r="C14">
        <v>50</v>
      </c>
      <c r="D14" t="str">
        <f>CONCATENATE(Table2[[#This Row],[1]],Table2[[#This Row],[2]])</f>
        <v>PAK (50)PCS</v>
      </c>
    </row>
    <row r="15" spans="1:4">
      <c r="A15" t="s">
        <v>129</v>
      </c>
      <c r="B15" t="s">
        <v>51</v>
      </c>
      <c r="C15">
        <v>120</v>
      </c>
      <c r="D15" t="str">
        <f>CONCATENATE(Table2[[#This Row],[1]],Table2[[#This Row],[2]])</f>
        <v>PAK (120)PCS</v>
      </c>
    </row>
    <row r="16" spans="1:4">
      <c r="A16" t="s">
        <v>130</v>
      </c>
      <c r="B16" t="s">
        <v>51</v>
      </c>
      <c r="C16">
        <v>24</v>
      </c>
      <c r="D16" t="str">
        <f>CONCATENATE(Table2[[#This Row],[1]],Table2[[#This Row],[2]])</f>
        <v>PAK (24)PCS</v>
      </c>
    </row>
    <row r="17" spans="1:4">
      <c r="A17" t="s">
        <v>131</v>
      </c>
      <c r="B17" t="s">
        <v>51</v>
      </c>
      <c r="C17">
        <v>36</v>
      </c>
      <c r="D17" t="str">
        <f>CONCATENATE(Table2[[#This Row],[1]],Table2[[#This Row],[2]])</f>
        <v>PAK (36)PCS</v>
      </c>
    </row>
    <row r="18" spans="1:4">
      <c r="A18" t="s">
        <v>132</v>
      </c>
      <c r="B18" t="s">
        <v>51</v>
      </c>
      <c r="C18">
        <v>72</v>
      </c>
      <c r="D18" t="str">
        <f>CONCATENATE(Table2[[#This Row],[1]],Table2[[#This Row],[2]])</f>
        <v>BOX (72)PCS</v>
      </c>
    </row>
    <row r="19" spans="1:4">
      <c r="A19" t="s">
        <v>133</v>
      </c>
      <c r="B19" t="s">
        <v>51</v>
      </c>
      <c r="C19">
        <v>56</v>
      </c>
      <c r="D19" t="str">
        <f>CONCATENATE(Table2[[#This Row],[1]],Table2[[#This Row],[2]])</f>
        <v>BOX (56)PCS</v>
      </c>
    </row>
    <row r="20" spans="1:4">
      <c r="A20" t="s">
        <v>134</v>
      </c>
      <c r="B20" t="s">
        <v>51</v>
      </c>
      <c r="C20">
        <v>42</v>
      </c>
      <c r="D20" t="str">
        <f>CONCATENATE(Table2[[#This Row],[1]],Table2[[#This Row],[2]])</f>
        <v>BOX (42)PCS</v>
      </c>
    </row>
    <row r="21" spans="1:4">
      <c r="A21" t="s">
        <v>135</v>
      </c>
      <c r="B21" t="s">
        <v>51</v>
      </c>
      <c r="C21">
        <v>80</v>
      </c>
      <c r="D21" t="str">
        <f>CONCATENATE(Table2[[#This Row],[1]],Table2[[#This Row],[2]])</f>
        <v>BOX (80)PCS</v>
      </c>
    </row>
    <row r="22" spans="1:4">
      <c r="A22" t="s">
        <v>136</v>
      </c>
      <c r="B22" t="s">
        <v>51</v>
      </c>
      <c r="C22">
        <v>26</v>
      </c>
      <c r="D22" t="str">
        <f>CONCATENATE(Table2[[#This Row],[1]],Table2[[#This Row],[2]])</f>
        <v>BOX (26)PCS</v>
      </c>
    </row>
    <row r="23" spans="1:4">
      <c r="A23" t="s">
        <v>137</v>
      </c>
      <c r="B23" t="s">
        <v>51</v>
      </c>
      <c r="C23">
        <v>12</v>
      </c>
      <c r="D23" t="str">
        <f>CONCATENATE(Table2[[#This Row],[1]],Table2[[#This Row],[2]])</f>
        <v>BOX (12)PCS</v>
      </c>
    </row>
    <row r="24" spans="1:4">
      <c r="A24" t="s">
        <v>138</v>
      </c>
      <c r="B24" t="s">
        <v>51</v>
      </c>
      <c r="C24">
        <v>32</v>
      </c>
      <c r="D24" t="str">
        <f>CONCATENATE(Table2[[#This Row],[1]],Table2[[#This Row],[2]])</f>
        <v>BOX (32)PCS</v>
      </c>
    </row>
    <row r="25" spans="1:4">
      <c r="A25" t="s">
        <v>130</v>
      </c>
      <c r="B25" t="s">
        <v>50</v>
      </c>
      <c r="C25">
        <v>2</v>
      </c>
      <c r="D25" t="str">
        <f>CONCATENATE(Table2[[#This Row],[1]],Table2[[#This Row],[2]])</f>
        <v>PAK (24)LSN</v>
      </c>
    </row>
    <row r="26" spans="1:4">
      <c r="A26" t="s">
        <v>127</v>
      </c>
      <c r="B26" t="s">
        <v>50</v>
      </c>
      <c r="C26">
        <v>4</v>
      </c>
      <c r="D26" t="str">
        <f>CONCATENATE(Table2[[#This Row],[1]],Table2[[#This Row],[2]])</f>
        <v>PAK (48)LSN</v>
      </c>
    </row>
    <row r="27" spans="1:4">
      <c r="A27" t="s">
        <v>139</v>
      </c>
      <c r="B27" t="s">
        <v>51</v>
      </c>
      <c r="C27">
        <v>36</v>
      </c>
      <c r="D27" t="str">
        <f>CONCATENATE(Table2[[#This Row],[1]],Table2[[#This Row],[2]])</f>
        <v>BOX (36)PCS</v>
      </c>
    </row>
    <row r="28" spans="1:4">
      <c r="A28" t="s">
        <v>140</v>
      </c>
      <c r="B28" t="s">
        <v>51</v>
      </c>
      <c r="C28">
        <v>24</v>
      </c>
      <c r="D28" t="str">
        <f>CONCATENATE(Table2[[#This Row],[1]],Table2[[#This Row],[2]])</f>
        <v>BOX (24)PCS</v>
      </c>
    </row>
    <row r="29" spans="1:4">
      <c r="A29" t="s">
        <v>51</v>
      </c>
      <c r="B29" t="s">
        <v>122</v>
      </c>
      <c r="C29">
        <v>1</v>
      </c>
      <c r="D29" t="str">
        <f>CONCATENATE(Table2[[#This Row],[1]],Table2[[#This Row],[2]])</f>
        <v>PCSSET</v>
      </c>
    </row>
    <row r="30" spans="1:4">
      <c r="A30" t="s">
        <v>141</v>
      </c>
      <c r="B30" t="s">
        <v>51</v>
      </c>
      <c r="C30">
        <v>50</v>
      </c>
      <c r="D30" t="str">
        <f>CONCATENATE(Table2[[#This Row],[1]],Table2[[#This Row],[2]])</f>
        <v>BOX (50)PCS</v>
      </c>
    </row>
    <row r="31" spans="1:4">
      <c r="A31" t="s">
        <v>142</v>
      </c>
      <c r="B31" t="s">
        <v>51</v>
      </c>
      <c r="C31">
        <v>48</v>
      </c>
      <c r="D31" t="str">
        <f>CONCATENATE(Table2[[#This Row],[1]],Table2[[#This Row],[2]])</f>
        <v>BOX (48)PCS</v>
      </c>
    </row>
    <row r="32" spans="1:4">
      <c r="A32" t="s">
        <v>143</v>
      </c>
      <c r="B32" t="s">
        <v>51</v>
      </c>
      <c r="C32">
        <v>10</v>
      </c>
      <c r="D32" t="str">
        <f>CONCATENATE(Table2[[#This Row],[1]],Table2[[#This Row],[2]])</f>
        <v>PAK (10)PCS</v>
      </c>
    </row>
    <row r="33" spans="1:4">
      <c r="A33" t="s">
        <v>144</v>
      </c>
      <c r="B33" t="s">
        <v>51</v>
      </c>
      <c r="C33">
        <v>60</v>
      </c>
      <c r="D33" t="str">
        <f>CONCATENATE(Table2[[#This Row],[1]],Table2[[#This Row],[2]])</f>
        <v>BOX (60)PCS</v>
      </c>
    </row>
    <row r="34" spans="1:4">
      <c r="A34" t="s">
        <v>122</v>
      </c>
      <c r="B34" t="s">
        <v>51</v>
      </c>
      <c r="C34">
        <v>1</v>
      </c>
      <c r="D34" t="str">
        <f>CONCATENATE(Table2[[#This Row],[1]],Table2[[#This Row],[2]])</f>
        <v>SETPCS</v>
      </c>
    </row>
    <row r="35" spans="1:4">
      <c r="A35" t="s">
        <v>146</v>
      </c>
      <c r="B35" t="s">
        <v>145</v>
      </c>
      <c r="C35">
        <v>1</v>
      </c>
      <c r="D35" t="str">
        <f>CONCATENATE(Table2[[#This Row],[1]],Table2[[#This Row],[2]])</f>
        <v>BOXPAK</v>
      </c>
    </row>
    <row r="36" spans="1:4">
      <c r="A36" t="s">
        <v>145</v>
      </c>
      <c r="B36" t="s">
        <v>146</v>
      </c>
      <c r="C36">
        <v>1</v>
      </c>
      <c r="D36" t="str">
        <f>CONCATENATE(Table2[[#This Row],[1]],Table2[[#This Row],[2]])</f>
        <v>PAKBOX</v>
      </c>
    </row>
    <row r="37" spans="1:4">
      <c r="A37" t="s">
        <v>142</v>
      </c>
      <c r="B37" t="s">
        <v>50</v>
      </c>
      <c r="C37">
        <f>48/12</f>
        <v>4</v>
      </c>
      <c r="D37" t="str">
        <f>CONCATENATE(Table2[[#This Row],[1]],Table2[[#This Row],[2]])</f>
        <v>BOX (48)LSN</v>
      </c>
    </row>
    <row r="38" spans="1:4">
      <c r="A38" t="s">
        <v>123</v>
      </c>
      <c r="B38" t="s">
        <v>50</v>
      </c>
      <c r="C38">
        <f>40/12</f>
        <v>3.3333333333333335</v>
      </c>
      <c r="D38" t="str">
        <f>CONCATENATE(Table2[[#This Row],[1]],Table2[[#This Row],[2]])</f>
        <v>BOX (40)LSN</v>
      </c>
    </row>
    <row r="39" spans="1:4">
      <c r="A39" t="s">
        <v>134</v>
      </c>
      <c r="B39" t="s">
        <v>50</v>
      </c>
      <c r="C39">
        <f>42/12</f>
        <v>3.5</v>
      </c>
      <c r="D39" t="str">
        <f>CONCATENATE(Table2[[#This Row],[1]],Table2[[#This Row],[2]])</f>
        <v>BOX (42)LSN</v>
      </c>
    </row>
    <row r="40" spans="1:4">
      <c r="A40" t="s">
        <v>140</v>
      </c>
      <c r="B40" t="s">
        <v>50</v>
      </c>
      <c r="C40">
        <f>24/12</f>
        <v>2</v>
      </c>
      <c r="D40" t="str">
        <f>CONCATENATE(Table2[[#This Row],[1]],Table2[[#This Row],[2]])</f>
        <v>BOX (24)LSN</v>
      </c>
    </row>
    <row r="41" spans="1:4">
      <c r="A41" t="s">
        <v>147</v>
      </c>
      <c r="B41" t="s">
        <v>50</v>
      </c>
      <c r="C41">
        <v>1</v>
      </c>
      <c r="D41" t="str">
        <f>CONCATENATE(Table2[[#This Row],[1]],Table2[[#This Row],[2]])</f>
        <v>PAK (12)LSN</v>
      </c>
    </row>
    <row r="42" spans="1:4">
      <c r="A42" t="s">
        <v>148</v>
      </c>
      <c r="B42" t="s">
        <v>50</v>
      </c>
      <c r="C42">
        <v>10</v>
      </c>
      <c r="D42" t="str">
        <f>CONCATENATE(Table2[[#This Row],[1]],Table2[[#This Row],[2]])</f>
        <v>BOX (10 LSN)LSN</v>
      </c>
    </row>
    <row r="43" spans="1:4">
      <c r="A43" t="s">
        <v>147</v>
      </c>
      <c r="B43" t="s">
        <v>51</v>
      </c>
      <c r="C43">
        <v>12</v>
      </c>
      <c r="D43" t="str">
        <f>CONCATENATE(Table2[[#This Row],[1]],Table2[[#This Row],[2]])</f>
        <v>PAK (12)PCS</v>
      </c>
    </row>
    <row r="44" spans="1:4">
      <c r="A44" t="s">
        <v>149</v>
      </c>
      <c r="B44" t="s">
        <v>51</v>
      </c>
      <c r="C44">
        <v>58</v>
      </c>
      <c r="D44" t="str">
        <f>CONCATENATE(Table2[[#This Row],[1]],Table2[[#This Row],[2]])</f>
        <v>BOX (58)PCS</v>
      </c>
    </row>
    <row r="45" spans="1:4">
      <c r="A45" t="s">
        <v>150</v>
      </c>
      <c r="B45" t="s">
        <v>51</v>
      </c>
      <c r="C45">
        <v>10</v>
      </c>
      <c r="D45" t="str">
        <f>CONCATENATE(Table2[[#This Row],[1]],Table2[[#This Row],[2]])</f>
        <v>BOX (10)PCS</v>
      </c>
    </row>
    <row r="46" spans="1:4">
      <c r="A46" t="s">
        <v>151</v>
      </c>
      <c r="B46" t="s">
        <v>50</v>
      </c>
      <c r="C46">
        <v>42</v>
      </c>
      <c r="D46" t="str">
        <f>CONCATENATE(Table2[[#This Row],[1]],Table2[[#This Row],[2]])</f>
        <v>PAK (42)LSN</v>
      </c>
    </row>
    <row r="47" spans="1:4">
      <c r="A47" t="s">
        <v>152</v>
      </c>
      <c r="B47" t="s">
        <v>51</v>
      </c>
      <c r="C47">
        <v>30</v>
      </c>
      <c r="D47" t="str">
        <f>CONCATENATE(Table2[[#This Row],[1]],Table2[[#This Row],[2]])</f>
        <v>BOX (30)PCS</v>
      </c>
    </row>
    <row r="48" spans="1:4">
      <c r="A48" t="s">
        <v>153</v>
      </c>
      <c r="B48" t="s">
        <v>51</v>
      </c>
      <c r="C48">
        <v>120</v>
      </c>
      <c r="D48" t="str">
        <f>CONCATENATE(Table2[[#This Row],[1]],Table2[[#This Row],[2]])</f>
        <v>BOX (120)PCS</v>
      </c>
    </row>
    <row r="49" spans="1:4">
      <c r="A49" t="s">
        <v>142</v>
      </c>
      <c r="B49" t="s">
        <v>50</v>
      </c>
      <c r="C49">
        <v>4</v>
      </c>
      <c r="D49" t="str">
        <f>CONCATENATE(Table2[[#This Row],[1]],Table2[[#This Row],[2]])</f>
        <v>BOX (48)LSN</v>
      </c>
    </row>
    <row r="50" spans="1:4">
      <c r="A50" t="s">
        <v>153</v>
      </c>
      <c r="B50" t="s">
        <v>50</v>
      </c>
      <c r="C50">
        <f>120/12</f>
        <v>10</v>
      </c>
      <c r="D50" t="str">
        <f>CONCATENATE(Table2[[#This Row],[1]],Table2[[#This Row],[2]])</f>
        <v>BOX (120)LSN</v>
      </c>
    </row>
    <row r="51" spans="1:4">
      <c r="A51" t="s">
        <v>137</v>
      </c>
      <c r="B51" t="s">
        <v>50</v>
      </c>
      <c r="C51">
        <v>12</v>
      </c>
      <c r="D51" t="str">
        <f>CONCATENATE(Table2[[#This Row],[1]],Table2[[#This Row],[2]])</f>
        <v>BOX (12)LSN</v>
      </c>
    </row>
    <row r="52" spans="1:4">
      <c r="A52" t="s">
        <v>121</v>
      </c>
      <c r="B52" t="s">
        <v>50</v>
      </c>
      <c r="C52">
        <v>12</v>
      </c>
      <c r="D52" t="str">
        <f>CONCATENATE(Table2[[#This Row],[1]],Table2[[#This Row],[2]])</f>
        <v>GRSLSN</v>
      </c>
    </row>
    <row r="53" spans="1:4">
      <c r="A53" t="s">
        <v>154</v>
      </c>
      <c r="B53" t="s">
        <v>51</v>
      </c>
      <c r="C53">
        <v>20</v>
      </c>
      <c r="D53" t="str">
        <f>CONCATENATE(Table2[[#This Row],[1]],Table2[[#This Row],[2]])</f>
        <v>BOX (20)PCS</v>
      </c>
    </row>
    <row r="54" spans="1:4">
      <c r="A54" t="s">
        <v>140</v>
      </c>
      <c r="B54" t="s">
        <v>122</v>
      </c>
      <c r="C54">
        <v>24</v>
      </c>
      <c r="D54" t="str">
        <f>CONCATENATE(Table2[[#This Row],[1]],Table2[[#This Row],[2]])</f>
        <v>BOX (24)SET</v>
      </c>
    </row>
    <row r="55" spans="1:4">
      <c r="A55" t="s">
        <v>155</v>
      </c>
      <c r="B55" t="s">
        <v>50</v>
      </c>
      <c r="C55">
        <v>72</v>
      </c>
      <c r="D55" t="str">
        <f>CONCATENATE(Table2[[#This Row],[1]],Table2[[#This Row],[2]])</f>
        <v>PAK (72)LSN</v>
      </c>
    </row>
    <row r="56" spans="1:4">
      <c r="A56" t="s">
        <v>156</v>
      </c>
      <c r="B56" t="s">
        <v>51</v>
      </c>
      <c r="C56">
        <v>32</v>
      </c>
      <c r="D56" t="str">
        <f>CONCATENATE(Table2[[#This Row],[1]],Table2[[#This Row],[2]])</f>
        <v>PAK (32)PCS</v>
      </c>
    </row>
    <row r="57" spans="1:4">
      <c r="A57" t="s">
        <v>129</v>
      </c>
      <c r="B57" t="s">
        <v>50</v>
      </c>
      <c r="C57">
        <f>120/12</f>
        <v>10</v>
      </c>
      <c r="D57" t="str">
        <f>CONCATENATE(Table2[[#This Row],[1]],Table2[[#This Row],[2]])</f>
        <v>PAK (120)LSN</v>
      </c>
    </row>
    <row r="58" spans="1:4">
      <c r="A58" t="s">
        <v>157</v>
      </c>
      <c r="B58" t="s">
        <v>50</v>
      </c>
      <c r="C58">
        <v>1</v>
      </c>
      <c r="D58" t="str">
        <f>CONCATENATE(Table2[[#This Row],[1]],Table2[[#This Row],[2]])</f>
        <v>DISP (12)LSN</v>
      </c>
    </row>
    <row r="59" spans="1:4">
      <c r="A59" t="s">
        <v>143</v>
      </c>
      <c r="B59" t="s">
        <v>122</v>
      </c>
      <c r="C59">
        <v>10</v>
      </c>
      <c r="D59" t="str">
        <f>CONCATENATE(Table2[[#This Row],[1]],Table2[[#This Row],[2]])</f>
        <v>PAK (10)SET</v>
      </c>
    </row>
    <row r="60" spans="1:4">
      <c r="A60" t="s">
        <v>158</v>
      </c>
      <c r="B60" t="s">
        <v>51</v>
      </c>
      <c r="C60">
        <v>100</v>
      </c>
      <c r="D60" t="str">
        <f>CONCATENATE(Table2[[#This Row],[1]],Table2[[#This Row],[2]])</f>
        <v>PAK (100)PCS</v>
      </c>
    </row>
    <row r="61" spans="1:4">
      <c r="A61" t="s">
        <v>122</v>
      </c>
      <c r="B61" t="s">
        <v>51</v>
      </c>
      <c r="C61">
        <v>1</v>
      </c>
      <c r="D61" t="str">
        <f>CONCATENATE(Table2[[#This Row],[1]],Table2[[#This Row],[2]])</f>
        <v>SETPCS</v>
      </c>
    </row>
    <row r="62" spans="1:4">
      <c r="A62" t="s">
        <v>145</v>
      </c>
      <c r="B62" t="s">
        <v>419</v>
      </c>
      <c r="C62">
        <v>1</v>
      </c>
      <c r="D62" t="str">
        <f>CONCATENATE(Table2[[#This Row],[1]],Table2[[#This Row],[2]])</f>
        <v>PAKDISP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2024-07-30T07:32:48Z</dcterms:modified>
</cp:coreProperties>
</file>