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1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PAJAK!$E$1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20" r:id="rId8"/>
  </pivotCaches>
</workbook>
</file>

<file path=xl/calcChain.xml><?xml version="1.0" encoding="utf-8"?>
<calcChain xmlns="http://schemas.openxmlformats.org/spreadsheetml/2006/main">
  <c r="V5" i="1" l="1"/>
  <c r="V8" i="1"/>
  <c r="V14" i="1"/>
  <c r="V22" i="1"/>
  <c r="V25" i="1"/>
  <c r="V31" i="1"/>
  <c r="V40" i="1"/>
  <c r="V47" i="1"/>
  <c r="V49" i="1"/>
  <c r="V51" i="1"/>
  <c r="V53" i="1"/>
  <c r="V55" i="1"/>
  <c r="V57" i="1"/>
  <c r="V59" i="1"/>
  <c r="V70" i="1"/>
  <c r="V80" i="1"/>
  <c r="V82" i="1"/>
  <c r="V83" i="1"/>
  <c r="V86" i="1"/>
  <c r="V88" i="1"/>
  <c r="V92" i="1"/>
  <c r="V107" i="1"/>
  <c r="V119" i="1"/>
  <c r="V123" i="1"/>
  <c r="V125" i="1"/>
  <c r="V130" i="1"/>
  <c r="V135" i="1"/>
  <c r="V143" i="1"/>
  <c r="V145" i="1"/>
  <c r="V146" i="1"/>
  <c r="V147" i="1"/>
  <c r="V148" i="1"/>
  <c r="V149" i="1"/>
  <c r="V150" i="1"/>
  <c r="V156" i="1"/>
  <c r="V157" i="1"/>
  <c r="V167" i="1"/>
  <c r="V168" i="1"/>
  <c r="V172" i="1"/>
  <c r="V173" i="1"/>
  <c r="V174" i="1"/>
  <c r="V175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176" i="1"/>
  <c r="V169" i="1"/>
  <c r="V151" i="1"/>
  <c r="V158" i="1"/>
  <c r="V152" i="1"/>
  <c r="B140" i="1" l="1"/>
  <c r="G140" i="1" s="1"/>
  <c r="A140" i="1" s="1"/>
  <c r="B141" i="1"/>
  <c r="B142" i="1"/>
  <c r="G142" i="1" s="1"/>
  <c r="A142" i="1" s="1"/>
  <c r="G141" i="1"/>
  <c r="A141" i="1" s="1"/>
  <c r="AA141" i="1" s="1"/>
  <c r="H140" i="1"/>
  <c r="H141" i="1"/>
  <c r="H142" i="1"/>
  <c r="I140" i="1"/>
  <c r="I141" i="1"/>
  <c r="I142" i="1"/>
  <c r="N140" i="1"/>
  <c r="N141" i="1"/>
  <c r="N142" i="1"/>
  <c r="X140" i="1"/>
  <c r="Y140" i="1" s="1"/>
  <c r="Z140" i="1" s="1"/>
  <c r="S140" i="1" s="1"/>
  <c r="X141" i="1"/>
  <c r="Y141" i="1" s="1"/>
  <c r="Z141" i="1" s="1"/>
  <c r="S141" i="1" s="1"/>
  <c r="X142" i="1"/>
  <c r="Y142" i="1"/>
  <c r="Z142" i="1" s="1"/>
  <c r="S142" i="1" s="1"/>
  <c r="AC140" i="1"/>
  <c r="AC141" i="1"/>
  <c r="AC142" i="1"/>
  <c r="B135" i="1"/>
  <c r="G135" i="1" s="1"/>
  <c r="A135" i="1" s="1"/>
  <c r="AA135" i="1" s="1"/>
  <c r="B137" i="1"/>
  <c r="G137" i="1" s="1"/>
  <c r="A137" i="1" s="1"/>
  <c r="B138" i="1"/>
  <c r="G138" i="1" s="1"/>
  <c r="A138" i="1" s="1"/>
  <c r="B139" i="1"/>
  <c r="G139" i="1" s="1"/>
  <c r="A139" i="1" s="1"/>
  <c r="AA139" i="1" s="1"/>
  <c r="H135" i="1"/>
  <c r="H136" i="1"/>
  <c r="H137" i="1"/>
  <c r="H138" i="1"/>
  <c r="H139" i="1"/>
  <c r="I135" i="1"/>
  <c r="I136" i="1"/>
  <c r="I137" i="1"/>
  <c r="I138" i="1"/>
  <c r="I139" i="1"/>
  <c r="N135" i="1"/>
  <c r="N136" i="1"/>
  <c r="N137" i="1"/>
  <c r="N138" i="1"/>
  <c r="N139" i="1"/>
  <c r="W135" i="1"/>
  <c r="X135" i="1"/>
  <c r="X136" i="1"/>
  <c r="X137" i="1"/>
  <c r="Y137" i="1" s="1"/>
  <c r="Z137" i="1" s="1"/>
  <c r="S137" i="1" s="1"/>
  <c r="X138" i="1"/>
  <c r="X139" i="1"/>
  <c r="Y139" i="1" s="1"/>
  <c r="Z139" i="1" s="1"/>
  <c r="S139" i="1" s="1"/>
  <c r="Y135" i="1"/>
  <c r="Y136" i="1"/>
  <c r="Z136" i="1" s="1"/>
  <c r="S136" i="1" s="1"/>
  <c r="Y138" i="1"/>
  <c r="Z138" i="1" s="1"/>
  <c r="S138" i="1" s="1"/>
  <c r="Z135" i="1"/>
  <c r="S135" i="1" s="1"/>
  <c r="AC135" i="1"/>
  <c r="AC136" i="1"/>
  <c r="AC137" i="1"/>
  <c r="AC138" i="1"/>
  <c r="AC139" i="1"/>
  <c r="B130" i="1"/>
  <c r="G130" i="1" s="1"/>
  <c r="A130" i="1" s="1"/>
  <c r="AA130" i="1" s="1"/>
  <c r="H130" i="1"/>
  <c r="H131" i="1"/>
  <c r="I130" i="1"/>
  <c r="I131" i="1"/>
  <c r="N130" i="1"/>
  <c r="N131" i="1"/>
  <c r="W130" i="1"/>
  <c r="X130" i="1"/>
  <c r="X131" i="1"/>
  <c r="Y130" i="1"/>
  <c r="Y131" i="1"/>
  <c r="Z130" i="1"/>
  <c r="S130" i="1" s="1"/>
  <c r="Z131" i="1"/>
  <c r="S131" i="1" s="1"/>
  <c r="AC130" i="1"/>
  <c r="AC131" i="1"/>
  <c r="B132" i="1"/>
  <c r="B133" i="1"/>
  <c r="G132" i="1"/>
  <c r="A132" i="1" s="1"/>
  <c r="G133" i="1"/>
  <c r="A133" i="1" s="1"/>
  <c r="AA133" i="1" s="1"/>
  <c r="H132" i="1"/>
  <c r="H133" i="1"/>
  <c r="I132" i="1"/>
  <c r="I133" i="1"/>
  <c r="N132" i="1"/>
  <c r="N133" i="1"/>
  <c r="X132" i="1"/>
  <c r="X133" i="1"/>
  <c r="Y132" i="1"/>
  <c r="Y133" i="1"/>
  <c r="Z132" i="1"/>
  <c r="S132" i="1" s="1"/>
  <c r="Z133" i="1"/>
  <c r="S133" i="1" s="1"/>
  <c r="AC132" i="1"/>
  <c r="AC133" i="1"/>
  <c r="B134" i="1"/>
  <c r="G134" i="1" s="1"/>
  <c r="A134" i="1" s="1"/>
  <c r="H134" i="1"/>
  <c r="I134" i="1"/>
  <c r="N134" i="1"/>
  <c r="X134" i="1"/>
  <c r="Y134" i="1" s="1"/>
  <c r="Z134" i="1" s="1"/>
  <c r="S134" i="1" s="1"/>
  <c r="AC134" i="1"/>
  <c r="V159" i="1"/>
  <c r="V160" i="1"/>
  <c r="V153" i="1"/>
  <c r="V177" i="1"/>
  <c r="V170" i="1"/>
  <c r="V161" i="1"/>
  <c r="AA134" i="1" l="1"/>
  <c r="AA138" i="1"/>
  <c r="AA142" i="1"/>
  <c r="AA140" i="1"/>
  <c r="AA137" i="1"/>
  <c r="AA13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B107" i="1"/>
  <c r="G107" i="1" s="1"/>
  <c r="A107" i="1" s="1"/>
  <c r="AA107" i="1" s="1"/>
  <c r="B109" i="1"/>
  <c r="G109" i="1" s="1"/>
  <c r="A109" i="1" s="1"/>
  <c r="B110" i="1"/>
  <c r="B111" i="1"/>
  <c r="G111" i="1" s="1"/>
  <c r="A111" i="1" s="1"/>
  <c r="AA111" i="1" s="1"/>
  <c r="B112" i="1"/>
  <c r="B113" i="1"/>
  <c r="G113" i="1" s="1"/>
  <c r="A113" i="1" s="1"/>
  <c r="AA113" i="1" s="1"/>
  <c r="B114" i="1"/>
  <c r="B115" i="1"/>
  <c r="G115" i="1" s="1"/>
  <c r="A115" i="1" s="1"/>
  <c r="AA115" i="1" s="1"/>
  <c r="B116" i="1"/>
  <c r="B117" i="1"/>
  <c r="G117" i="1" s="1"/>
  <c r="A117" i="1" s="1"/>
  <c r="AA117" i="1" s="1"/>
  <c r="B118" i="1"/>
  <c r="B119" i="1"/>
  <c r="G119" i="1" s="1"/>
  <c r="A119" i="1" s="1"/>
  <c r="B121" i="1"/>
  <c r="G121" i="1" s="1"/>
  <c r="A121" i="1" s="1"/>
  <c r="B122" i="1"/>
  <c r="B123" i="1"/>
  <c r="G123" i="1" s="1"/>
  <c r="A123" i="1" s="1"/>
  <c r="B125" i="1"/>
  <c r="G125" i="1" s="1"/>
  <c r="A125" i="1" s="1"/>
  <c r="AA125" i="1" s="1"/>
  <c r="B127" i="1"/>
  <c r="G127" i="1" s="1"/>
  <c r="A127" i="1" s="1"/>
  <c r="B128" i="1"/>
  <c r="G128" i="1" s="1"/>
  <c r="A128" i="1" s="1"/>
  <c r="B129" i="1"/>
  <c r="G129" i="1" s="1"/>
  <c r="A129" i="1" s="1"/>
  <c r="AA129" i="1" s="1"/>
  <c r="B143" i="1"/>
  <c r="G143" i="1" s="1"/>
  <c r="A143" i="1" s="1"/>
  <c r="AA143" i="1" s="1"/>
  <c r="B145" i="1"/>
  <c r="G145" i="1" s="1"/>
  <c r="A145" i="1" s="1"/>
  <c r="AA145" i="1" s="1"/>
  <c r="B146" i="1"/>
  <c r="G146" i="1" s="1"/>
  <c r="A146" i="1" s="1"/>
  <c r="B147" i="1"/>
  <c r="B148" i="1"/>
  <c r="G148" i="1" s="1"/>
  <c r="A148" i="1" s="1"/>
  <c r="B149" i="1"/>
  <c r="G149" i="1" s="1"/>
  <c r="A149" i="1" s="1"/>
  <c r="AA149" i="1" s="1"/>
  <c r="B150" i="1"/>
  <c r="G150" i="1" s="1"/>
  <c r="A150" i="1" s="1"/>
  <c r="B151" i="1"/>
  <c r="G151" i="1" s="1"/>
  <c r="A151" i="1" s="1"/>
  <c r="AA151" i="1" s="1"/>
  <c r="B152" i="1"/>
  <c r="G152" i="1" s="1"/>
  <c r="A152" i="1" s="1"/>
  <c r="B153" i="1"/>
  <c r="G153" i="1" s="1"/>
  <c r="A153" i="1" s="1"/>
  <c r="AA153" i="1" s="1"/>
  <c r="B154" i="1"/>
  <c r="G154" i="1" s="1"/>
  <c r="A154" i="1" s="1"/>
  <c r="AA154" i="1" s="1"/>
  <c r="B155" i="1"/>
  <c r="B156" i="1"/>
  <c r="G156" i="1" s="1"/>
  <c r="A156" i="1" s="1"/>
  <c r="AA156" i="1" s="1"/>
  <c r="B157" i="1"/>
  <c r="G157" i="1" s="1"/>
  <c r="A157" i="1" s="1"/>
  <c r="B158" i="1"/>
  <c r="G158" i="1" s="1"/>
  <c r="A158" i="1" s="1"/>
  <c r="AA158" i="1" s="1"/>
  <c r="B159" i="1"/>
  <c r="G159" i="1" s="1"/>
  <c r="A159" i="1" s="1"/>
  <c r="AA159" i="1" s="1"/>
  <c r="B160" i="1"/>
  <c r="G160" i="1" s="1"/>
  <c r="A160" i="1" s="1"/>
  <c r="AA160" i="1" s="1"/>
  <c r="B161" i="1"/>
  <c r="G161" i="1" s="1"/>
  <c r="A161" i="1" s="1"/>
  <c r="AA161" i="1" s="1"/>
  <c r="B162" i="1"/>
  <c r="G162" i="1" s="1"/>
  <c r="A162" i="1" s="1"/>
  <c r="AA162" i="1" s="1"/>
  <c r="B163" i="1"/>
  <c r="B164" i="1"/>
  <c r="G164" i="1" s="1"/>
  <c r="A164" i="1" s="1"/>
  <c r="AA164" i="1" s="1"/>
  <c r="B165" i="1"/>
  <c r="G165" i="1" s="1"/>
  <c r="A165" i="1" s="1"/>
  <c r="AA165" i="1" s="1"/>
  <c r="B166" i="1"/>
  <c r="G166" i="1" s="1"/>
  <c r="A166" i="1" s="1"/>
  <c r="AA166" i="1" s="1"/>
  <c r="B167" i="1"/>
  <c r="G167" i="1" s="1"/>
  <c r="A167" i="1" s="1"/>
  <c r="AA167" i="1" s="1"/>
  <c r="B168" i="1"/>
  <c r="G168" i="1" s="1"/>
  <c r="A168" i="1" s="1"/>
  <c r="B169" i="1"/>
  <c r="G169" i="1" s="1"/>
  <c r="A169" i="1" s="1"/>
  <c r="AA169" i="1" s="1"/>
  <c r="B170" i="1"/>
  <c r="G170" i="1" s="1"/>
  <c r="A170" i="1" s="1"/>
  <c r="AA170" i="1" s="1"/>
  <c r="B171" i="1"/>
  <c r="B172" i="1"/>
  <c r="G172" i="1" s="1"/>
  <c r="A172" i="1" s="1"/>
  <c r="AA172" i="1" s="1"/>
  <c r="B173" i="1"/>
  <c r="G173" i="1" s="1"/>
  <c r="A173" i="1" s="1"/>
  <c r="B174" i="1"/>
  <c r="G174" i="1" s="1"/>
  <c r="A174" i="1" s="1"/>
  <c r="AA174" i="1" s="1"/>
  <c r="B175" i="1"/>
  <c r="G175" i="1" s="1"/>
  <c r="A175" i="1" s="1"/>
  <c r="B176" i="1"/>
  <c r="G176" i="1" s="1"/>
  <c r="A176" i="1" s="1"/>
  <c r="AA176" i="1" s="1"/>
  <c r="B177" i="1"/>
  <c r="G177" i="1" s="1"/>
  <c r="A177" i="1" s="1"/>
  <c r="AA177" i="1" s="1"/>
  <c r="B178" i="1"/>
  <c r="G178" i="1" s="1"/>
  <c r="A178" i="1" s="1"/>
  <c r="AA178" i="1" s="1"/>
  <c r="B179" i="1"/>
  <c r="B180" i="1"/>
  <c r="G180" i="1" s="1"/>
  <c r="A180" i="1" s="1"/>
  <c r="AA180" i="1" s="1"/>
  <c r="B181" i="1"/>
  <c r="G181" i="1" s="1"/>
  <c r="A181" i="1" s="1"/>
  <c r="AA181" i="1" s="1"/>
  <c r="B182" i="1"/>
  <c r="G182" i="1" s="1"/>
  <c r="A182" i="1" s="1"/>
  <c r="AA182" i="1" s="1"/>
  <c r="B183" i="1"/>
  <c r="G183" i="1" s="1"/>
  <c r="A183" i="1" s="1"/>
  <c r="AA183" i="1" s="1"/>
  <c r="B184" i="1"/>
  <c r="G184" i="1" s="1"/>
  <c r="A184" i="1" s="1"/>
  <c r="AA184" i="1" s="1"/>
  <c r="B185" i="1"/>
  <c r="G185" i="1" s="1"/>
  <c r="A185" i="1" s="1"/>
  <c r="AA185" i="1" s="1"/>
  <c r="B186" i="1"/>
  <c r="G186" i="1" s="1"/>
  <c r="A186" i="1" s="1"/>
  <c r="AA186" i="1" s="1"/>
  <c r="B187" i="1"/>
  <c r="G187" i="1" s="1"/>
  <c r="A187" i="1" s="1"/>
  <c r="AA187" i="1" s="1"/>
  <c r="B188" i="1"/>
  <c r="G188" i="1" s="1"/>
  <c r="A188" i="1" s="1"/>
  <c r="AA188" i="1" s="1"/>
  <c r="B189" i="1"/>
  <c r="G189" i="1" s="1"/>
  <c r="A189" i="1" s="1"/>
  <c r="AA189" i="1" s="1"/>
  <c r="B190" i="1"/>
  <c r="G190" i="1" s="1"/>
  <c r="A190" i="1" s="1"/>
  <c r="AA190" i="1" s="1"/>
  <c r="B191" i="1"/>
  <c r="G191" i="1" s="1"/>
  <c r="A191" i="1" s="1"/>
  <c r="AA191" i="1" s="1"/>
  <c r="B192" i="1"/>
  <c r="G192" i="1" s="1"/>
  <c r="A192" i="1" s="1"/>
  <c r="AA192" i="1" s="1"/>
  <c r="B193" i="1"/>
  <c r="G193" i="1" s="1"/>
  <c r="A193" i="1" s="1"/>
  <c r="AA193" i="1" s="1"/>
  <c r="B194" i="1"/>
  <c r="G194" i="1" s="1"/>
  <c r="A194" i="1" s="1"/>
  <c r="AA194" i="1" s="1"/>
  <c r="B195" i="1"/>
  <c r="G195" i="1" s="1"/>
  <c r="A195" i="1" s="1"/>
  <c r="AA195" i="1" s="1"/>
  <c r="B196" i="1"/>
  <c r="G196" i="1" s="1"/>
  <c r="A196" i="1" s="1"/>
  <c r="AA196" i="1" s="1"/>
  <c r="B197" i="1"/>
  <c r="G197" i="1" s="1"/>
  <c r="A197" i="1" s="1"/>
  <c r="AA197" i="1" s="1"/>
  <c r="B198" i="1"/>
  <c r="G198" i="1" s="1"/>
  <c r="A198" i="1" s="1"/>
  <c r="AA198" i="1" s="1"/>
  <c r="B199" i="1"/>
  <c r="G199" i="1" s="1"/>
  <c r="A199" i="1" s="1"/>
  <c r="AA199" i="1" s="1"/>
  <c r="B200" i="1"/>
  <c r="G200" i="1" s="1"/>
  <c r="A200" i="1" s="1"/>
  <c r="AA200" i="1" s="1"/>
  <c r="B201" i="1"/>
  <c r="G201" i="1" s="1"/>
  <c r="A201" i="1" s="1"/>
  <c r="AA201" i="1" s="1"/>
  <c r="B202" i="1"/>
  <c r="G202" i="1" s="1"/>
  <c r="A202" i="1" s="1"/>
  <c r="AA202" i="1" s="1"/>
  <c r="B203" i="1"/>
  <c r="G203" i="1" s="1"/>
  <c r="A203" i="1" s="1"/>
  <c r="AA203" i="1" s="1"/>
  <c r="B204" i="1"/>
  <c r="G204" i="1" s="1"/>
  <c r="A204" i="1" s="1"/>
  <c r="AA204" i="1" s="1"/>
  <c r="B205" i="1"/>
  <c r="G205" i="1" s="1"/>
  <c r="A205" i="1" s="1"/>
  <c r="AA205" i="1" s="1"/>
  <c r="B206" i="1"/>
  <c r="G206" i="1" s="1"/>
  <c r="A206" i="1" s="1"/>
  <c r="AA206" i="1" s="1"/>
  <c r="B207" i="1"/>
  <c r="G207" i="1" s="1"/>
  <c r="A207" i="1" s="1"/>
  <c r="AA207" i="1" s="1"/>
  <c r="B208" i="1"/>
  <c r="G208" i="1" s="1"/>
  <c r="A208" i="1" s="1"/>
  <c r="AA208" i="1" s="1"/>
  <c r="B209" i="1"/>
  <c r="G209" i="1" s="1"/>
  <c r="A209" i="1" s="1"/>
  <c r="AA209" i="1" s="1"/>
  <c r="B210" i="1"/>
  <c r="G210" i="1" s="1"/>
  <c r="A210" i="1" s="1"/>
  <c r="AA210" i="1" s="1"/>
  <c r="B211" i="1"/>
  <c r="G211" i="1" s="1"/>
  <c r="A211" i="1" s="1"/>
  <c r="AA211" i="1" s="1"/>
  <c r="B212" i="1"/>
  <c r="G212" i="1" s="1"/>
  <c r="A212" i="1" s="1"/>
  <c r="AA212" i="1" s="1"/>
  <c r="G110" i="1"/>
  <c r="A110" i="1" s="1"/>
  <c r="G112" i="1"/>
  <c r="A112" i="1" s="1"/>
  <c r="G114" i="1"/>
  <c r="A114" i="1" s="1"/>
  <c r="G116" i="1"/>
  <c r="A116" i="1" s="1"/>
  <c r="G118" i="1"/>
  <c r="A118" i="1" s="1"/>
  <c r="G122" i="1"/>
  <c r="A122" i="1" s="1"/>
  <c r="G147" i="1"/>
  <c r="A147" i="1" s="1"/>
  <c r="AA147" i="1" s="1"/>
  <c r="G155" i="1"/>
  <c r="A155" i="1" s="1"/>
  <c r="AA155" i="1" s="1"/>
  <c r="G163" i="1"/>
  <c r="A163" i="1" s="1"/>
  <c r="AA163" i="1" s="1"/>
  <c r="G171" i="1"/>
  <c r="A171" i="1" s="1"/>
  <c r="AA171" i="1" s="1"/>
  <c r="G179" i="1"/>
  <c r="A179" i="1" s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W119" i="1"/>
  <c r="W123" i="1"/>
  <c r="W125" i="1"/>
  <c r="W143" i="1"/>
  <c r="W145" i="1"/>
  <c r="W147" i="1"/>
  <c r="W149" i="1"/>
  <c r="W156" i="1"/>
  <c r="W167" i="1"/>
  <c r="W172" i="1"/>
  <c r="W178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107" i="1"/>
  <c r="W174" i="1"/>
  <c r="X107" i="1"/>
  <c r="X108" i="1"/>
  <c r="Y108" i="1" s="1"/>
  <c r="Z108" i="1" s="1"/>
  <c r="S108" i="1" s="1"/>
  <c r="X109" i="1"/>
  <c r="Y109" i="1" s="1"/>
  <c r="X110" i="1"/>
  <c r="Y110" i="1" s="1"/>
  <c r="Z110" i="1" s="1"/>
  <c r="S110" i="1" s="1"/>
  <c r="X111" i="1"/>
  <c r="Y111" i="1" s="1"/>
  <c r="X112" i="1"/>
  <c r="Y112" i="1" s="1"/>
  <c r="Z112" i="1" s="1"/>
  <c r="S112" i="1" s="1"/>
  <c r="X113" i="1"/>
  <c r="Y113" i="1" s="1"/>
  <c r="X114" i="1"/>
  <c r="Y114" i="1" s="1"/>
  <c r="Z114" i="1" s="1"/>
  <c r="S114" i="1" s="1"/>
  <c r="X115" i="1"/>
  <c r="Y115" i="1" s="1"/>
  <c r="X116" i="1"/>
  <c r="Y116" i="1" s="1"/>
  <c r="Z116" i="1" s="1"/>
  <c r="S116" i="1" s="1"/>
  <c r="X117" i="1"/>
  <c r="Y117" i="1" s="1"/>
  <c r="X118" i="1"/>
  <c r="Y118" i="1" s="1"/>
  <c r="Z118" i="1" s="1"/>
  <c r="S118" i="1" s="1"/>
  <c r="X119" i="1"/>
  <c r="X120" i="1"/>
  <c r="Y120" i="1" s="1"/>
  <c r="X121" i="1"/>
  <c r="Y121" i="1" s="1"/>
  <c r="Z121" i="1" s="1"/>
  <c r="S121" i="1" s="1"/>
  <c r="X122" i="1"/>
  <c r="Y122" i="1" s="1"/>
  <c r="X123" i="1"/>
  <c r="X124" i="1"/>
  <c r="Y124" i="1" s="1"/>
  <c r="X125" i="1"/>
  <c r="X126" i="1"/>
  <c r="Y126" i="1" s="1"/>
  <c r="X127" i="1"/>
  <c r="Y127" i="1" s="1"/>
  <c r="X128" i="1"/>
  <c r="Y128" i="1" s="1"/>
  <c r="X129" i="1"/>
  <c r="Y129" i="1" s="1"/>
  <c r="Z129" i="1" s="1"/>
  <c r="S129" i="1" s="1"/>
  <c r="X143" i="1"/>
  <c r="X144" i="1"/>
  <c r="Y144" i="1" s="1"/>
  <c r="Z144" i="1" s="1"/>
  <c r="S144" i="1" s="1"/>
  <c r="X145" i="1"/>
  <c r="X146" i="1"/>
  <c r="Y146" i="1" s="1"/>
  <c r="Z146" i="1" s="1"/>
  <c r="S146" i="1" s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Y160" i="1" s="1"/>
  <c r="Z160" i="1" s="1"/>
  <c r="S160" i="1" s="1"/>
  <c r="X161" i="1"/>
  <c r="Y161" i="1" s="1"/>
  <c r="Z161" i="1" s="1"/>
  <c r="S161" i="1" s="1"/>
  <c r="X162" i="1"/>
  <c r="X163" i="1"/>
  <c r="Z163" i="1" s="1"/>
  <c r="S163" i="1" s="1"/>
  <c r="X164" i="1"/>
  <c r="X165" i="1"/>
  <c r="Z165" i="1" s="1"/>
  <c r="S165" i="1" s="1"/>
  <c r="X166" i="1"/>
  <c r="X167" i="1"/>
  <c r="X168" i="1"/>
  <c r="Z168" i="1" s="1"/>
  <c r="S168" i="1" s="1"/>
  <c r="X169" i="1"/>
  <c r="X170" i="1"/>
  <c r="Z170" i="1" s="1"/>
  <c r="S170" i="1" s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Y107" i="1"/>
  <c r="Y119" i="1"/>
  <c r="Y123" i="1"/>
  <c r="Y125" i="1"/>
  <c r="Y143" i="1"/>
  <c r="Y145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Z158" i="1" s="1"/>
  <c r="S158" i="1" s="1"/>
  <c r="Y159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Z107" i="1"/>
  <c r="S107" i="1" s="1"/>
  <c r="Z119" i="1"/>
  <c r="S119" i="1" s="1"/>
  <c r="Z123" i="1"/>
  <c r="S123" i="1" s="1"/>
  <c r="Z125" i="1"/>
  <c r="S125" i="1" s="1"/>
  <c r="Z143" i="1"/>
  <c r="S143" i="1" s="1"/>
  <c r="Z145" i="1"/>
  <c r="S145" i="1" s="1"/>
  <c r="Z147" i="1"/>
  <c r="S147" i="1" s="1"/>
  <c r="Z148" i="1"/>
  <c r="S148" i="1" s="1"/>
  <c r="Z149" i="1"/>
  <c r="S149" i="1" s="1"/>
  <c r="Z150" i="1"/>
  <c r="S150" i="1" s="1"/>
  <c r="Z151" i="1"/>
  <c r="S151" i="1" s="1"/>
  <c r="Z152" i="1"/>
  <c r="S152" i="1" s="1"/>
  <c r="Z153" i="1"/>
  <c r="S153" i="1" s="1"/>
  <c r="Z154" i="1"/>
  <c r="S154" i="1" s="1"/>
  <c r="Z155" i="1"/>
  <c r="S155" i="1" s="1"/>
  <c r="Z156" i="1"/>
  <c r="S156" i="1" s="1"/>
  <c r="Z157" i="1"/>
  <c r="S157" i="1" s="1"/>
  <c r="Z159" i="1"/>
  <c r="S159" i="1" s="1"/>
  <c r="Z162" i="1"/>
  <c r="S162" i="1" s="1"/>
  <c r="Z164" i="1"/>
  <c r="S164" i="1" s="1"/>
  <c r="Z166" i="1"/>
  <c r="S166" i="1" s="1"/>
  <c r="Z167" i="1"/>
  <c r="S167" i="1" s="1"/>
  <c r="Z169" i="1"/>
  <c r="S169" i="1" s="1"/>
  <c r="Z171" i="1"/>
  <c r="S171" i="1" s="1"/>
  <c r="Z172" i="1"/>
  <c r="S172" i="1" s="1"/>
  <c r="Z174" i="1"/>
  <c r="S174" i="1" s="1"/>
  <c r="Z175" i="1"/>
  <c r="S175" i="1" s="1"/>
  <c r="Z176" i="1"/>
  <c r="S176" i="1" s="1"/>
  <c r="Z177" i="1"/>
  <c r="S177" i="1" s="1"/>
  <c r="Z178" i="1"/>
  <c r="S178" i="1" s="1"/>
  <c r="Z179" i="1"/>
  <c r="S179" i="1" s="1"/>
  <c r="Z180" i="1"/>
  <c r="S180" i="1" s="1"/>
  <c r="Z181" i="1"/>
  <c r="S181" i="1" s="1"/>
  <c r="Z182" i="1"/>
  <c r="S182" i="1" s="1"/>
  <c r="Z183" i="1"/>
  <c r="S183" i="1" s="1"/>
  <c r="Z184" i="1"/>
  <c r="S184" i="1" s="1"/>
  <c r="Z185" i="1"/>
  <c r="S185" i="1" s="1"/>
  <c r="Z186" i="1"/>
  <c r="S186" i="1" s="1"/>
  <c r="Z187" i="1"/>
  <c r="S187" i="1" s="1"/>
  <c r="Z188" i="1"/>
  <c r="S188" i="1" s="1"/>
  <c r="Z189" i="1"/>
  <c r="S189" i="1" s="1"/>
  <c r="Z190" i="1"/>
  <c r="S190" i="1" s="1"/>
  <c r="Z191" i="1"/>
  <c r="S191" i="1" s="1"/>
  <c r="Z192" i="1"/>
  <c r="S192" i="1" s="1"/>
  <c r="Z193" i="1"/>
  <c r="S193" i="1" s="1"/>
  <c r="Z194" i="1"/>
  <c r="S194" i="1" s="1"/>
  <c r="Z195" i="1"/>
  <c r="S195" i="1" s="1"/>
  <c r="Z196" i="1"/>
  <c r="S196" i="1" s="1"/>
  <c r="Z197" i="1"/>
  <c r="S197" i="1" s="1"/>
  <c r="Z198" i="1"/>
  <c r="S198" i="1" s="1"/>
  <c r="Z199" i="1"/>
  <c r="S199" i="1" s="1"/>
  <c r="Z200" i="1"/>
  <c r="S200" i="1" s="1"/>
  <c r="Z201" i="1"/>
  <c r="S201" i="1" s="1"/>
  <c r="Z202" i="1"/>
  <c r="S202" i="1" s="1"/>
  <c r="Z203" i="1"/>
  <c r="S203" i="1" s="1"/>
  <c r="Z204" i="1"/>
  <c r="S204" i="1" s="1"/>
  <c r="Z205" i="1"/>
  <c r="S205" i="1" s="1"/>
  <c r="Z206" i="1"/>
  <c r="S206" i="1" s="1"/>
  <c r="Z207" i="1"/>
  <c r="S207" i="1" s="1"/>
  <c r="Z208" i="1"/>
  <c r="S208" i="1" s="1"/>
  <c r="Z209" i="1"/>
  <c r="S209" i="1" s="1"/>
  <c r="Z210" i="1"/>
  <c r="S210" i="1" s="1"/>
  <c r="Z211" i="1"/>
  <c r="S211" i="1" s="1"/>
  <c r="Z212" i="1"/>
  <c r="S212" i="1" s="1"/>
  <c r="AA119" i="1"/>
  <c r="AA121" i="1"/>
  <c r="AA123" i="1"/>
  <c r="AA127" i="1"/>
  <c r="AA152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V154" i="1"/>
  <c r="V162" i="1"/>
  <c r="V163" i="1"/>
  <c r="V171" i="1"/>
  <c r="Z173" i="1" l="1"/>
  <c r="S173" i="1" s="1"/>
  <c r="AA122" i="1"/>
  <c r="AA116" i="1"/>
  <c r="AA112" i="1"/>
  <c r="AA128" i="1"/>
  <c r="AA109" i="1"/>
  <c r="AA118" i="1"/>
  <c r="AA114" i="1"/>
  <c r="AA110" i="1"/>
  <c r="Z127" i="1"/>
  <c r="S127" i="1" s="1"/>
  <c r="Z128" i="1"/>
  <c r="S128" i="1" s="1"/>
  <c r="Z126" i="1"/>
  <c r="S126" i="1" s="1"/>
  <c r="Z122" i="1"/>
  <c r="S122" i="1" s="1"/>
  <c r="Z120" i="1"/>
  <c r="S120" i="1" s="1"/>
  <c r="Z124" i="1"/>
  <c r="S124" i="1" s="1"/>
  <c r="Z117" i="1"/>
  <c r="S117" i="1" s="1"/>
  <c r="Z115" i="1"/>
  <c r="S115" i="1" s="1"/>
  <c r="Z113" i="1"/>
  <c r="S113" i="1" s="1"/>
  <c r="Z111" i="1"/>
  <c r="S111" i="1" s="1"/>
  <c r="Z109" i="1"/>
  <c r="S109" i="1" s="1"/>
  <c r="V155" i="1"/>
  <c r="V164" i="1"/>
  <c r="B5" i="1" l="1"/>
  <c r="G5" i="1" s="1"/>
  <c r="A5" i="1" s="1"/>
  <c r="AA5" i="1" s="1"/>
  <c r="H5" i="1"/>
  <c r="I5" i="1"/>
  <c r="W5" i="1"/>
  <c r="X5" i="1"/>
  <c r="Y5" i="1"/>
  <c r="Z5" i="1"/>
  <c r="S5" i="1" s="1"/>
  <c r="AC5" i="1"/>
  <c r="V165" i="1"/>
  <c r="B4" i="1" l="1"/>
  <c r="B7" i="1"/>
  <c r="B8" i="1"/>
  <c r="B10" i="1"/>
  <c r="B11" i="1"/>
  <c r="B12" i="1"/>
  <c r="B13" i="1"/>
  <c r="B14" i="1"/>
  <c r="B16" i="1"/>
  <c r="B17" i="1"/>
  <c r="B18" i="1"/>
  <c r="B19" i="1"/>
  <c r="B20" i="1"/>
  <c r="B21" i="1"/>
  <c r="B22" i="1"/>
  <c r="B24" i="1"/>
  <c r="B25" i="1"/>
  <c r="B27" i="1"/>
  <c r="B28" i="1"/>
  <c r="B29" i="1"/>
  <c r="B30" i="1"/>
  <c r="B31" i="1"/>
  <c r="B33" i="1"/>
  <c r="B34" i="1"/>
  <c r="B35" i="1"/>
  <c r="B36" i="1"/>
  <c r="B37" i="1"/>
  <c r="B38" i="1"/>
  <c r="B39" i="1"/>
  <c r="B40" i="1"/>
  <c r="B42" i="1"/>
  <c r="B43" i="1"/>
  <c r="B44" i="1"/>
  <c r="B45" i="1"/>
  <c r="B46" i="1"/>
  <c r="B47" i="1"/>
  <c r="B49" i="1"/>
  <c r="B51" i="1"/>
  <c r="B53" i="1"/>
  <c r="B55" i="1"/>
  <c r="B57" i="1"/>
  <c r="B59" i="1"/>
  <c r="B61" i="1"/>
  <c r="B62" i="1"/>
  <c r="B63" i="1"/>
  <c r="B64" i="1"/>
  <c r="B65" i="1"/>
  <c r="B66" i="1"/>
  <c r="B67" i="1"/>
  <c r="B68" i="1"/>
  <c r="B69" i="1"/>
  <c r="B70" i="1"/>
  <c r="B72" i="1"/>
  <c r="B73" i="1"/>
  <c r="B74" i="1"/>
  <c r="B75" i="1"/>
  <c r="B76" i="1"/>
  <c r="B77" i="1"/>
  <c r="B78" i="1"/>
  <c r="B79" i="1"/>
  <c r="B80" i="1"/>
  <c r="B82" i="1"/>
  <c r="B83" i="1"/>
  <c r="B85" i="1"/>
  <c r="B86" i="1"/>
  <c r="B88" i="1"/>
  <c r="B90" i="1"/>
  <c r="B91" i="1"/>
  <c r="B92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V166" i="1"/>
  <c r="G4" i="1" l="1"/>
  <c r="A4" i="1" s="1"/>
  <c r="G7" i="1"/>
  <c r="A7" i="1" s="1"/>
  <c r="G8" i="1"/>
  <c r="A8" i="1" s="1"/>
  <c r="AA8" i="1" s="1"/>
  <c r="G10" i="1"/>
  <c r="A10" i="1" s="1"/>
  <c r="G11" i="1"/>
  <c r="A11" i="1" s="1"/>
  <c r="AA11" i="1" s="1"/>
  <c r="G12" i="1"/>
  <c r="A12" i="1" s="1"/>
  <c r="G13" i="1"/>
  <c r="A13" i="1" s="1"/>
  <c r="AA13" i="1" s="1"/>
  <c r="G14" i="1"/>
  <c r="A14" i="1" s="1"/>
  <c r="AA14" i="1" s="1"/>
  <c r="G16" i="1"/>
  <c r="A16" i="1" s="1"/>
  <c r="G17" i="1"/>
  <c r="A17" i="1" s="1"/>
  <c r="AA17" i="1" s="1"/>
  <c r="G18" i="1"/>
  <c r="A18" i="1" s="1"/>
  <c r="G19" i="1"/>
  <c r="A19" i="1" s="1"/>
  <c r="AA19" i="1" s="1"/>
  <c r="G20" i="1"/>
  <c r="A20" i="1" s="1"/>
  <c r="G21" i="1"/>
  <c r="A21" i="1" s="1"/>
  <c r="AA21" i="1" s="1"/>
  <c r="G22" i="1"/>
  <c r="A22" i="1" s="1"/>
  <c r="AA22" i="1" s="1"/>
  <c r="G24" i="1"/>
  <c r="A24" i="1" s="1"/>
  <c r="G25" i="1"/>
  <c r="A25" i="1" s="1"/>
  <c r="AA25" i="1" s="1"/>
  <c r="G27" i="1"/>
  <c r="A27" i="1" s="1"/>
  <c r="G28" i="1"/>
  <c r="A28" i="1" s="1"/>
  <c r="G29" i="1"/>
  <c r="A29" i="1" s="1"/>
  <c r="AA29" i="1" s="1"/>
  <c r="G30" i="1"/>
  <c r="A30" i="1" s="1"/>
  <c r="G31" i="1"/>
  <c r="A31" i="1" s="1"/>
  <c r="AA31" i="1" s="1"/>
  <c r="G33" i="1"/>
  <c r="A33" i="1" s="1"/>
  <c r="G34" i="1"/>
  <c r="A34" i="1" s="1"/>
  <c r="G36" i="1"/>
  <c r="A36" i="1" s="1"/>
  <c r="G37" i="1"/>
  <c r="A37" i="1" s="1"/>
  <c r="AA37" i="1" s="1"/>
  <c r="G38" i="1"/>
  <c r="A38" i="1" s="1"/>
  <c r="G39" i="1"/>
  <c r="A39" i="1" s="1"/>
  <c r="AA39" i="1" s="1"/>
  <c r="G40" i="1"/>
  <c r="A40" i="1" s="1"/>
  <c r="AA40" i="1" s="1"/>
  <c r="G42" i="1"/>
  <c r="A42" i="1" s="1"/>
  <c r="G43" i="1"/>
  <c r="A43" i="1" s="1"/>
  <c r="AA43" i="1" s="1"/>
  <c r="G44" i="1"/>
  <c r="A44" i="1" s="1"/>
  <c r="G45" i="1"/>
  <c r="A45" i="1" s="1"/>
  <c r="AA45" i="1" s="1"/>
  <c r="G46" i="1"/>
  <c r="A46" i="1" s="1"/>
  <c r="G47" i="1"/>
  <c r="A47" i="1" s="1"/>
  <c r="AA47" i="1" s="1"/>
  <c r="G49" i="1"/>
  <c r="A49" i="1" s="1"/>
  <c r="AA49" i="1" s="1"/>
  <c r="G51" i="1"/>
  <c r="A51" i="1" s="1"/>
  <c r="AA51" i="1" s="1"/>
  <c r="G53" i="1"/>
  <c r="A53" i="1" s="1"/>
  <c r="AA53" i="1" s="1"/>
  <c r="G55" i="1"/>
  <c r="A55" i="1" s="1"/>
  <c r="AA55" i="1" s="1"/>
  <c r="G57" i="1"/>
  <c r="A57" i="1" s="1"/>
  <c r="AA57" i="1" s="1"/>
  <c r="G59" i="1"/>
  <c r="A59" i="1" s="1"/>
  <c r="AA59" i="1" s="1"/>
  <c r="G61" i="1"/>
  <c r="A61" i="1" s="1"/>
  <c r="G62" i="1"/>
  <c r="A62" i="1" s="1"/>
  <c r="G63" i="1"/>
  <c r="A63" i="1" s="1"/>
  <c r="AA63" i="1" s="1"/>
  <c r="G64" i="1"/>
  <c r="A64" i="1" s="1"/>
  <c r="G65" i="1"/>
  <c r="A65" i="1" s="1"/>
  <c r="AA65" i="1" s="1"/>
  <c r="G66" i="1"/>
  <c r="A66" i="1" s="1"/>
  <c r="G68" i="1"/>
  <c r="A68" i="1" s="1"/>
  <c r="G69" i="1"/>
  <c r="A69" i="1" s="1"/>
  <c r="AA69" i="1" s="1"/>
  <c r="G70" i="1"/>
  <c r="A70" i="1" s="1"/>
  <c r="AA70" i="1" s="1"/>
  <c r="G72" i="1"/>
  <c r="A72" i="1" s="1"/>
  <c r="G73" i="1"/>
  <c r="A73" i="1" s="1"/>
  <c r="AA73" i="1" s="1"/>
  <c r="G74" i="1"/>
  <c r="A74" i="1" s="1"/>
  <c r="G75" i="1"/>
  <c r="A75" i="1" s="1"/>
  <c r="AA75" i="1" s="1"/>
  <c r="G76" i="1"/>
  <c r="A76" i="1" s="1"/>
  <c r="G77" i="1"/>
  <c r="A77" i="1" s="1"/>
  <c r="AA77" i="1" s="1"/>
  <c r="G78" i="1"/>
  <c r="A78" i="1" s="1"/>
  <c r="G79" i="1"/>
  <c r="A79" i="1" s="1"/>
  <c r="AA79" i="1" s="1"/>
  <c r="G80" i="1"/>
  <c r="A80" i="1" s="1"/>
  <c r="AA80" i="1" s="1"/>
  <c r="G82" i="1"/>
  <c r="A82" i="1" s="1"/>
  <c r="AA82" i="1" s="1"/>
  <c r="G83" i="1"/>
  <c r="A83" i="1" s="1"/>
  <c r="AA83" i="1" s="1"/>
  <c r="G85" i="1"/>
  <c r="A85" i="1" s="1"/>
  <c r="G86" i="1"/>
  <c r="A86" i="1" s="1"/>
  <c r="AA86" i="1" s="1"/>
  <c r="G88" i="1"/>
  <c r="A88" i="1" s="1"/>
  <c r="AA88" i="1" s="1"/>
  <c r="G90" i="1"/>
  <c r="A90" i="1" s="1"/>
  <c r="G91" i="1"/>
  <c r="A91" i="1" s="1"/>
  <c r="AA91" i="1" s="1"/>
  <c r="G92" i="1"/>
  <c r="A92" i="1" s="1"/>
  <c r="AA92" i="1" s="1"/>
  <c r="G94" i="1"/>
  <c r="A94" i="1" s="1"/>
  <c r="G95" i="1"/>
  <c r="A95" i="1" s="1"/>
  <c r="AA95" i="1" s="1"/>
  <c r="G96" i="1"/>
  <c r="A96" i="1" s="1"/>
  <c r="G97" i="1"/>
  <c r="A97" i="1" s="1"/>
  <c r="AA97" i="1" s="1"/>
  <c r="G98" i="1"/>
  <c r="A98" i="1" s="1"/>
  <c r="G100" i="1"/>
  <c r="A100" i="1" s="1"/>
  <c r="G101" i="1"/>
  <c r="A101" i="1" s="1"/>
  <c r="AA101" i="1" s="1"/>
  <c r="G102" i="1"/>
  <c r="A102" i="1" s="1"/>
  <c r="G103" i="1"/>
  <c r="A103" i="1" s="1"/>
  <c r="AA103" i="1" s="1"/>
  <c r="G104" i="1"/>
  <c r="A104" i="1" s="1"/>
  <c r="G105" i="1"/>
  <c r="A105" i="1" s="1"/>
  <c r="AA105" i="1" s="1"/>
  <c r="G106" i="1"/>
  <c r="A106" i="1" s="1"/>
  <c r="G35" i="1"/>
  <c r="A35" i="1" s="1"/>
  <c r="AA35" i="1" s="1"/>
  <c r="G67" i="1"/>
  <c r="A67" i="1" s="1"/>
  <c r="AA67" i="1" s="1"/>
  <c r="G99" i="1"/>
  <c r="A99" i="1" s="1"/>
  <c r="AA99" i="1" s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I3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E39" i="1"/>
  <c r="H39" i="1" s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W8" i="1"/>
  <c r="W14" i="1"/>
  <c r="W22" i="1"/>
  <c r="W25" i="1"/>
  <c r="W31" i="1"/>
  <c r="W40" i="1"/>
  <c r="W47" i="1"/>
  <c r="W49" i="1"/>
  <c r="W51" i="1"/>
  <c r="W53" i="1"/>
  <c r="W55" i="1"/>
  <c r="W57" i="1"/>
  <c r="W59" i="1"/>
  <c r="W70" i="1"/>
  <c r="W80" i="1"/>
  <c r="W82" i="1"/>
  <c r="W83" i="1"/>
  <c r="W86" i="1"/>
  <c r="W88" i="1"/>
  <c r="W92" i="1"/>
  <c r="X3" i="1"/>
  <c r="Y3" i="1" s="1"/>
  <c r="Z3" i="1" s="1"/>
  <c r="S3" i="1" s="1"/>
  <c r="X4" i="1"/>
  <c r="Y4" i="1" s="1"/>
  <c r="Z4" i="1" s="1"/>
  <c r="S4" i="1" s="1"/>
  <c r="X6" i="1"/>
  <c r="Y6" i="1" s="1"/>
  <c r="X7" i="1"/>
  <c r="Y7" i="1" s="1"/>
  <c r="X8" i="1"/>
  <c r="X9" i="1"/>
  <c r="X10" i="1"/>
  <c r="Y10" i="1" s="1"/>
  <c r="Z10" i="1" s="1"/>
  <c r="S10" i="1" s="1"/>
  <c r="X11" i="1"/>
  <c r="X12" i="1"/>
  <c r="X13" i="1"/>
  <c r="X14" i="1"/>
  <c r="X15" i="1"/>
  <c r="X16" i="1"/>
  <c r="Y16" i="1" s="1"/>
  <c r="Z16" i="1" s="1"/>
  <c r="S16" i="1" s="1"/>
  <c r="X17" i="1"/>
  <c r="X18" i="1"/>
  <c r="Y18" i="1" s="1"/>
  <c r="Z18" i="1" s="1"/>
  <c r="S18" i="1" s="1"/>
  <c r="X19" i="1"/>
  <c r="X20" i="1"/>
  <c r="Y20" i="1" s="1"/>
  <c r="Z20" i="1" s="1"/>
  <c r="S20" i="1" s="1"/>
  <c r="X21" i="1"/>
  <c r="X22" i="1"/>
  <c r="X23" i="1"/>
  <c r="X24" i="1"/>
  <c r="Y24" i="1" s="1"/>
  <c r="Z24" i="1" s="1"/>
  <c r="S24" i="1" s="1"/>
  <c r="X25" i="1"/>
  <c r="X26" i="1"/>
  <c r="Y26" i="1" s="1"/>
  <c r="Z26" i="1" s="1"/>
  <c r="S26" i="1" s="1"/>
  <c r="X27" i="1"/>
  <c r="X28" i="1"/>
  <c r="Y28" i="1" s="1"/>
  <c r="Z28" i="1" s="1"/>
  <c r="S28" i="1" s="1"/>
  <c r="X29" i="1"/>
  <c r="X30" i="1"/>
  <c r="Y30" i="1" s="1"/>
  <c r="Z30" i="1" s="1"/>
  <c r="S30" i="1" s="1"/>
  <c r="X31" i="1"/>
  <c r="X32" i="1"/>
  <c r="Y32" i="1" s="1"/>
  <c r="Z32" i="1" s="1"/>
  <c r="S32" i="1" s="1"/>
  <c r="X33" i="1"/>
  <c r="X34" i="1"/>
  <c r="Y34" i="1" s="1"/>
  <c r="Z34" i="1" s="1"/>
  <c r="S34" i="1" s="1"/>
  <c r="X35" i="1"/>
  <c r="X36" i="1"/>
  <c r="Y36" i="1" s="1"/>
  <c r="Z36" i="1" s="1"/>
  <c r="S36" i="1" s="1"/>
  <c r="X37" i="1"/>
  <c r="X38" i="1"/>
  <c r="Y38" i="1" s="1"/>
  <c r="Z38" i="1" s="1"/>
  <c r="S38" i="1" s="1"/>
  <c r="X39" i="1"/>
  <c r="X40" i="1"/>
  <c r="X41" i="1"/>
  <c r="X42" i="1"/>
  <c r="Y42" i="1" s="1"/>
  <c r="X43" i="1"/>
  <c r="Y43" i="1" s="1"/>
  <c r="Z43" i="1" s="1"/>
  <c r="S43" i="1" s="1"/>
  <c r="X44" i="1"/>
  <c r="Y44" i="1" s="1"/>
  <c r="Z44" i="1" s="1"/>
  <c r="S44" i="1" s="1"/>
  <c r="X45" i="1"/>
  <c r="X46" i="1"/>
  <c r="Y46" i="1" s="1"/>
  <c r="Z46" i="1" s="1"/>
  <c r="S46" i="1" s="1"/>
  <c r="X47" i="1"/>
  <c r="X48" i="1"/>
  <c r="Y48" i="1" s="1"/>
  <c r="X49" i="1"/>
  <c r="X50" i="1"/>
  <c r="Y50" i="1" s="1"/>
  <c r="X51" i="1"/>
  <c r="X52" i="1"/>
  <c r="Y52" i="1" s="1"/>
  <c r="Z52" i="1" s="1"/>
  <c r="S52" i="1" s="1"/>
  <c r="X53" i="1"/>
  <c r="X54" i="1"/>
  <c r="Y54" i="1" s="1"/>
  <c r="Z54" i="1" s="1"/>
  <c r="S54" i="1" s="1"/>
  <c r="X55" i="1"/>
  <c r="X56" i="1"/>
  <c r="Y56" i="1" s="1"/>
  <c r="Z56" i="1" s="1"/>
  <c r="S56" i="1" s="1"/>
  <c r="X57" i="1"/>
  <c r="X58" i="1"/>
  <c r="Y58" i="1" s="1"/>
  <c r="Z58" i="1" s="1"/>
  <c r="S58" i="1" s="1"/>
  <c r="X59" i="1"/>
  <c r="X60" i="1"/>
  <c r="Y60" i="1" s="1"/>
  <c r="Z60" i="1" s="1"/>
  <c r="S60" i="1" s="1"/>
  <c r="X61" i="1"/>
  <c r="X62" i="1"/>
  <c r="Y62" i="1" s="1"/>
  <c r="Z62" i="1" s="1"/>
  <c r="S62" i="1" s="1"/>
  <c r="X63" i="1"/>
  <c r="X64" i="1"/>
  <c r="Y64" i="1" s="1"/>
  <c r="Z64" i="1" s="1"/>
  <c r="S64" i="1" s="1"/>
  <c r="X65" i="1"/>
  <c r="X66" i="1"/>
  <c r="Y66" i="1" s="1"/>
  <c r="Z66" i="1" s="1"/>
  <c r="S66" i="1" s="1"/>
  <c r="X67" i="1"/>
  <c r="X68" i="1"/>
  <c r="Y68" i="1" s="1"/>
  <c r="Z68" i="1" s="1"/>
  <c r="S68" i="1" s="1"/>
  <c r="X69" i="1"/>
  <c r="X70" i="1"/>
  <c r="X71" i="1"/>
  <c r="X72" i="1"/>
  <c r="Y72" i="1" s="1"/>
  <c r="Z72" i="1" s="1"/>
  <c r="S72" i="1" s="1"/>
  <c r="X73" i="1"/>
  <c r="X74" i="1"/>
  <c r="Y74" i="1" s="1"/>
  <c r="Z74" i="1" s="1"/>
  <c r="S74" i="1" s="1"/>
  <c r="X75" i="1"/>
  <c r="X76" i="1"/>
  <c r="Y76" i="1" s="1"/>
  <c r="Z76" i="1" s="1"/>
  <c r="S76" i="1" s="1"/>
  <c r="X77" i="1"/>
  <c r="X78" i="1"/>
  <c r="Y78" i="1" s="1"/>
  <c r="Z78" i="1" s="1"/>
  <c r="S78" i="1" s="1"/>
  <c r="X79" i="1"/>
  <c r="X80" i="1"/>
  <c r="X81" i="1"/>
  <c r="X82" i="1"/>
  <c r="X83" i="1"/>
  <c r="X84" i="1"/>
  <c r="Y84" i="1" s="1"/>
  <c r="Z84" i="1" s="1"/>
  <c r="S84" i="1" s="1"/>
  <c r="X85" i="1"/>
  <c r="X86" i="1"/>
  <c r="X87" i="1"/>
  <c r="X88" i="1"/>
  <c r="X89" i="1"/>
  <c r="X90" i="1"/>
  <c r="Y90" i="1" s="1"/>
  <c r="Z90" i="1" s="1"/>
  <c r="S90" i="1" s="1"/>
  <c r="X91" i="1"/>
  <c r="X92" i="1"/>
  <c r="X93" i="1"/>
  <c r="X94" i="1"/>
  <c r="Y94" i="1" s="1"/>
  <c r="Z94" i="1" s="1"/>
  <c r="S94" i="1" s="1"/>
  <c r="X95" i="1"/>
  <c r="X96" i="1"/>
  <c r="Y96" i="1" s="1"/>
  <c r="Z96" i="1" s="1"/>
  <c r="S96" i="1" s="1"/>
  <c r="X97" i="1"/>
  <c r="X98" i="1"/>
  <c r="Y98" i="1" s="1"/>
  <c r="Z98" i="1" s="1"/>
  <c r="S98" i="1" s="1"/>
  <c r="X99" i="1"/>
  <c r="X100" i="1"/>
  <c r="Y100" i="1" s="1"/>
  <c r="Z100" i="1" s="1"/>
  <c r="S100" i="1" s="1"/>
  <c r="X101" i="1"/>
  <c r="X102" i="1"/>
  <c r="Y102" i="1" s="1"/>
  <c r="Z102" i="1" s="1"/>
  <c r="S102" i="1" s="1"/>
  <c r="X103" i="1"/>
  <c r="X104" i="1"/>
  <c r="Y104" i="1" s="1"/>
  <c r="Z104" i="1" s="1"/>
  <c r="S104" i="1" s="1"/>
  <c r="X105" i="1"/>
  <c r="X106" i="1"/>
  <c r="Y106" i="1" s="1"/>
  <c r="Z106" i="1" s="1"/>
  <c r="S106" i="1" s="1"/>
  <c r="Y8" i="1"/>
  <c r="Y9" i="1"/>
  <c r="Y11" i="1"/>
  <c r="Y13" i="1"/>
  <c r="Y14" i="1"/>
  <c r="Y15" i="1"/>
  <c r="Z15" i="1" s="1"/>
  <c r="S15" i="1" s="1"/>
  <c r="Y17" i="1"/>
  <c r="Z17" i="1" s="1"/>
  <c r="S17" i="1" s="1"/>
  <c r="Y19" i="1"/>
  <c r="Z19" i="1" s="1"/>
  <c r="S19" i="1" s="1"/>
  <c r="Y21" i="1"/>
  <c r="Z21" i="1" s="1"/>
  <c r="S21" i="1" s="1"/>
  <c r="Y22" i="1"/>
  <c r="Y23" i="1"/>
  <c r="Z23" i="1" s="1"/>
  <c r="S23" i="1" s="1"/>
  <c r="Y25" i="1"/>
  <c r="Y27" i="1"/>
  <c r="Z27" i="1" s="1"/>
  <c r="S27" i="1" s="1"/>
  <c r="Y29" i="1"/>
  <c r="Z29" i="1" s="1"/>
  <c r="S29" i="1" s="1"/>
  <c r="Y31" i="1"/>
  <c r="Y33" i="1"/>
  <c r="Z33" i="1" s="1"/>
  <c r="S33" i="1" s="1"/>
  <c r="Y35" i="1"/>
  <c r="Z35" i="1" s="1"/>
  <c r="S35" i="1" s="1"/>
  <c r="Y37" i="1"/>
  <c r="Z37" i="1" s="1"/>
  <c r="S37" i="1" s="1"/>
  <c r="Y39" i="1"/>
  <c r="Z39" i="1" s="1"/>
  <c r="S39" i="1" s="1"/>
  <c r="Y40" i="1"/>
  <c r="Y41" i="1"/>
  <c r="Z41" i="1" s="1"/>
  <c r="S41" i="1" s="1"/>
  <c r="Y45" i="1"/>
  <c r="Z45" i="1" s="1"/>
  <c r="S45" i="1" s="1"/>
  <c r="Y47" i="1"/>
  <c r="Y49" i="1"/>
  <c r="Y51" i="1"/>
  <c r="Y53" i="1"/>
  <c r="Y55" i="1"/>
  <c r="Y57" i="1"/>
  <c r="Y59" i="1"/>
  <c r="Y61" i="1"/>
  <c r="Y63" i="1"/>
  <c r="Y65" i="1"/>
  <c r="Y67" i="1"/>
  <c r="Y69" i="1"/>
  <c r="Y70" i="1"/>
  <c r="Y71" i="1"/>
  <c r="Y73" i="1"/>
  <c r="Y75" i="1"/>
  <c r="Y77" i="1"/>
  <c r="Y79" i="1"/>
  <c r="Y80" i="1"/>
  <c r="Y81" i="1"/>
  <c r="Y82" i="1"/>
  <c r="Y83" i="1"/>
  <c r="Y85" i="1"/>
  <c r="Y86" i="1"/>
  <c r="Y87" i="1"/>
  <c r="Y88" i="1"/>
  <c r="Y89" i="1"/>
  <c r="Y91" i="1"/>
  <c r="Y92" i="1"/>
  <c r="Y93" i="1"/>
  <c r="Y95" i="1"/>
  <c r="Y97" i="1"/>
  <c r="Y99" i="1"/>
  <c r="Y101" i="1"/>
  <c r="Y103" i="1"/>
  <c r="Y105" i="1"/>
  <c r="Z8" i="1"/>
  <c r="S8" i="1" s="1"/>
  <c r="Z14" i="1"/>
  <c r="S14" i="1" s="1"/>
  <c r="Z22" i="1"/>
  <c r="S22" i="1" s="1"/>
  <c r="Z25" i="1"/>
  <c r="S25" i="1" s="1"/>
  <c r="Z31" i="1"/>
  <c r="S31" i="1" s="1"/>
  <c r="Z40" i="1"/>
  <c r="S40" i="1" s="1"/>
  <c r="Z47" i="1"/>
  <c r="S47" i="1" s="1"/>
  <c r="Z49" i="1"/>
  <c r="S49" i="1" s="1"/>
  <c r="Z51" i="1"/>
  <c r="S51" i="1" s="1"/>
  <c r="Z53" i="1"/>
  <c r="S53" i="1" s="1"/>
  <c r="Z55" i="1"/>
  <c r="S55" i="1" s="1"/>
  <c r="Z57" i="1"/>
  <c r="S57" i="1" s="1"/>
  <c r="Z59" i="1"/>
  <c r="S59" i="1" s="1"/>
  <c r="Z61" i="1"/>
  <c r="S61" i="1" s="1"/>
  <c r="Z63" i="1"/>
  <c r="S63" i="1" s="1"/>
  <c r="Z65" i="1"/>
  <c r="S65" i="1" s="1"/>
  <c r="Z67" i="1"/>
  <c r="S67" i="1" s="1"/>
  <c r="Z69" i="1"/>
  <c r="S69" i="1" s="1"/>
  <c r="Z70" i="1"/>
  <c r="S70" i="1" s="1"/>
  <c r="Z71" i="1"/>
  <c r="S71" i="1" s="1"/>
  <c r="Z73" i="1"/>
  <c r="S73" i="1" s="1"/>
  <c r="Z75" i="1"/>
  <c r="S75" i="1" s="1"/>
  <c r="Z77" i="1"/>
  <c r="S77" i="1" s="1"/>
  <c r="Z79" i="1"/>
  <c r="S79" i="1" s="1"/>
  <c r="Z80" i="1"/>
  <c r="S80" i="1" s="1"/>
  <c r="Z81" i="1"/>
  <c r="S81" i="1" s="1"/>
  <c r="Z82" i="1"/>
  <c r="S82" i="1" s="1"/>
  <c r="Z83" i="1"/>
  <c r="S83" i="1" s="1"/>
  <c r="Z85" i="1"/>
  <c r="S85" i="1" s="1"/>
  <c r="Z86" i="1"/>
  <c r="S86" i="1" s="1"/>
  <c r="Z87" i="1"/>
  <c r="S87" i="1" s="1"/>
  <c r="Z88" i="1"/>
  <c r="S88" i="1" s="1"/>
  <c r="Z89" i="1"/>
  <c r="S89" i="1" s="1"/>
  <c r="Z91" i="1"/>
  <c r="S91" i="1" s="1"/>
  <c r="Z92" i="1"/>
  <c r="S92" i="1" s="1"/>
  <c r="Z93" i="1"/>
  <c r="S93" i="1" s="1"/>
  <c r="Z95" i="1"/>
  <c r="S95" i="1" s="1"/>
  <c r="Z97" i="1"/>
  <c r="S97" i="1" s="1"/>
  <c r="Z99" i="1"/>
  <c r="S99" i="1" s="1"/>
  <c r="Z101" i="1"/>
  <c r="S101" i="1" s="1"/>
  <c r="Z103" i="1"/>
  <c r="S103" i="1" s="1"/>
  <c r="Z105" i="1"/>
  <c r="S105" i="1" s="1"/>
  <c r="AC3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A98" i="1" l="1"/>
  <c r="AA96" i="1"/>
  <c r="AA85" i="1"/>
  <c r="AA68" i="1"/>
  <c r="AA61" i="1"/>
  <c r="AA46" i="1"/>
  <c r="AA44" i="1"/>
  <c r="AA34" i="1"/>
  <c r="AA27" i="1"/>
  <c r="AA12" i="1"/>
  <c r="AA7" i="1"/>
  <c r="AA106" i="1"/>
  <c r="AA104" i="1"/>
  <c r="AA102" i="1"/>
  <c r="AA100" i="1"/>
  <c r="AA78" i="1"/>
  <c r="AA76" i="1"/>
  <c r="AA74" i="1"/>
  <c r="AA66" i="1"/>
  <c r="AA64" i="1"/>
  <c r="AA62" i="1"/>
  <c r="AA38" i="1"/>
  <c r="AA36" i="1"/>
  <c r="AA33" i="1"/>
  <c r="AA30" i="1"/>
  <c r="AA28" i="1"/>
  <c r="AA20" i="1"/>
  <c r="AA18" i="1"/>
  <c r="AA94" i="1"/>
  <c r="AA42" i="1"/>
  <c r="AA24" i="1"/>
  <c r="AA10" i="1"/>
  <c r="AA90" i="1"/>
  <c r="AA72" i="1"/>
  <c r="AA16" i="1"/>
  <c r="AA4" i="1"/>
  <c r="Y12" i="1"/>
  <c r="Z12" i="1" s="1"/>
  <c r="S12" i="1" s="1"/>
  <c r="Z42" i="1"/>
  <c r="S42" i="1" s="1"/>
  <c r="Z50" i="1"/>
  <c r="S50" i="1" s="1"/>
  <c r="Z48" i="1"/>
  <c r="S48" i="1" s="1"/>
  <c r="Z13" i="1"/>
  <c r="S13" i="1" s="1"/>
  <c r="Z11" i="1"/>
  <c r="S11" i="1" s="1"/>
  <c r="Z9" i="1"/>
  <c r="S9" i="1" s="1"/>
  <c r="Z6" i="1"/>
  <c r="S6" i="1" s="1"/>
  <c r="Z7" i="1"/>
  <c r="S7" i="1" s="1"/>
  <c r="E138" i="5"/>
  <c r="E139" i="5"/>
  <c r="E137" i="5"/>
  <c r="E136" i="5"/>
  <c r="K3" i="3"/>
  <c r="G136" i="5" l="1"/>
  <c r="F136" i="5" s="1"/>
  <c r="I136" i="5"/>
  <c r="M136" i="5" s="1"/>
  <c r="K136" i="5"/>
  <c r="G139" i="5"/>
  <c r="F139" i="5" s="1"/>
  <c r="I139" i="5"/>
  <c r="M139" i="5" s="1"/>
  <c r="K139" i="5"/>
  <c r="G137" i="5"/>
  <c r="F137" i="5" s="1"/>
  <c r="I137" i="5"/>
  <c r="M137" i="5" s="1"/>
  <c r="K137" i="5"/>
  <c r="G138" i="5"/>
  <c r="F138" i="5" s="1"/>
  <c r="I138" i="5"/>
  <c r="M138" i="5" s="1"/>
  <c r="K138" i="5"/>
  <c r="J69" i="2"/>
  <c r="J107" i="2" s="1"/>
  <c r="D41" i="2"/>
  <c r="D79" i="2" s="1"/>
  <c r="L137" i="5" l="1"/>
  <c r="N137" i="5"/>
  <c r="O137" i="5" s="1"/>
  <c r="L136" i="5"/>
  <c r="N136" i="5"/>
  <c r="O136" i="5" s="1"/>
  <c r="L138" i="5"/>
  <c r="N138" i="5"/>
  <c r="O138" i="5" s="1"/>
  <c r="L139" i="5"/>
  <c r="N139" i="5"/>
  <c r="O139" i="5" s="1"/>
  <c r="C1" i="2"/>
  <c r="E18" i="3" l="1"/>
  <c r="B3" i="1" l="1"/>
  <c r="G3" i="1" l="1"/>
  <c r="A3" i="1" s="1"/>
  <c r="V3" i="1" s="1"/>
  <c r="B6" i="1"/>
  <c r="G6" i="1" s="1"/>
  <c r="A6" i="1" s="1"/>
  <c r="V6" i="1" s="1"/>
  <c r="H109" i="5"/>
  <c r="H110" i="5"/>
  <c r="J110" i="5"/>
  <c r="J109" i="5"/>
  <c r="E106" i="5"/>
  <c r="E105" i="5"/>
  <c r="H105" i="5"/>
  <c r="H107" i="5"/>
  <c r="J105" i="5"/>
  <c r="J107" i="5"/>
  <c r="H106" i="5"/>
  <c r="H108" i="5"/>
  <c r="J106" i="5"/>
  <c r="J108" i="5"/>
  <c r="E104" i="5"/>
  <c r="E77" i="5"/>
  <c r="E72" i="5"/>
  <c r="E61" i="5"/>
  <c r="E102" i="5"/>
  <c r="E35" i="5"/>
  <c r="G35" i="5" s="1"/>
  <c r="F35" i="5" s="1"/>
  <c r="E44" i="5"/>
  <c r="E103" i="5"/>
  <c r="E76" i="5"/>
  <c r="E52" i="5"/>
  <c r="E75" i="5"/>
  <c r="E65" i="5"/>
  <c r="G65" i="5" s="1"/>
  <c r="F65" i="5" s="1"/>
  <c r="E71" i="5"/>
  <c r="E84" i="5"/>
  <c r="G84" i="5" s="1"/>
  <c r="F84" i="5" s="1"/>
  <c r="E101" i="5"/>
  <c r="H104" i="5"/>
  <c r="J104" i="5"/>
  <c r="E34" i="5"/>
  <c r="E91" i="5"/>
  <c r="G91" i="5" s="1"/>
  <c r="F91" i="5" s="1"/>
  <c r="E30" i="5"/>
  <c r="G30" i="5" s="1"/>
  <c r="F30" i="5" s="1"/>
  <c r="E51" i="5"/>
  <c r="E83" i="5"/>
  <c r="G83" i="5" s="1"/>
  <c r="F83" i="5" s="1"/>
  <c r="E100" i="5"/>
  <c r="E80" i="5"/>
  <c r="G80" i="5" s="1"/>
  <c r="F80" i="5" s="1"/>
  <c r="E60" i="5"/>
  <c r="G60" i="5" s="1"/>
  <c r="F60" i="5" s="1"/>
  <c r="E56" i="5"/>
  <c r="E16" i="5"/>
  <c r="E43" i="5"/>
  <c r="E74" i="5"/>
  <c r="G74" i="5" s="1"/>
  <c r="F74" i="5" s="1"/>
  <c r="E70" i="5"/>
  <c r="E64" i="5"/>
  <c r="E58" i="5"/>
  <c r="E32" i="5"/>
  <c r="G32" i="5" s="1"/>
  <c r="F32" i="5" s="1"/>
  <c r="E24" i="5"/>
  <c r="H102" i="5"/>
  <c r="J102" i="5"/>
  <c r="H103" i="5"/>
  <c r="J103" i="5"/>
  <c r="E99" i="5"/>
  <c r="E98" i="5"/>
  <c r="E90" i="5"/>
  <c r="G90" i="5" s="1"/>
  <c r="F90" i="5" s="1"/>
  <c r="E82" i="5"/>
  <c r="G82" i="5" s="1"/>
  <c r="F82" i="5" s="1"/>
  <c r="J47" i="5"/>
  <c r="J79" i="5"/>
  <c r="J33" i="5"/>
  <c r="J65" i="5"/>
  <c r="J89" i="5"/>
  <c r="H4" i="5"/>
  <c r="H20" i="5"/>
  <c r="H36" i="5"/>
  <c r="H52" i="5"/>
  <c r="H60" i="5"/>
  <c r="H68" i="5"/>
  <c r="H76" i="5"/>
  <c r="H84" i="5"/>
  <c r="H92" i="5"/>
  <c r="H100" i="5"/>
  <c r="E2" i="5"/>
  <c r="E10" i="5"/>
  <c r="G10" i="5" s="1"/>
  <c r="F10" i="5" s="1"/>
  <c r="E18" i="5"/>
  <c r="G18" i="5" s="1"/>
  <c r="F18" i="5" s="1"/>
  <c r="E42" i="5"/>
  <c r="E49" i="5"/>
  <c r="E57" i="5"/>
  <c r="G57" i="5" s="1"/>
  <c r="F57" i="5" s="1"/>
  <c r="E69" i="5"/>
  <c r="E73" i="5"/>
  <c r="E81" i="5"/>
  <c r="G81" i="5" s="1"/>
  <c r="F81" i="5" s="1"/>
  <c r="E85" i="5"/>
  <c r="E89" i="5"/>
  <c r="G89" i="5" s="1"/>
  <c r="F89" i="5" s="1"/>
  <c r="E93" i="5"/>
  <c r="J63" i="5"/>
  <c r="J17" i="5"/>
  <c r="J49" i="5"/>
  <c r="J81" i="5"/>
  <c r="J97" i="5"/>
  <c r="H12" i="5"/>
  <c r="H28" i="5"/>
  <c r="H44" i="5"/>
  <c r="H56" i="5"/>
  <c r="H64" i="5"/>
  <c r="H72" i="5"/>
  <c r="H80" i="5"/>
  <c r="H88" i="5"/>
  <c r="H96" i="5"/>
  <c r="E14" i="5"/>
  <c r="G14" i="5" s="1"/>
  <c r="F14" i="5" s="1"/>
  <c r="E22" i="5"/>
  <c r="G22" i="5" s="1"/>
  <c r="F22" i="5" s="1"/>
  <c r="E38" i="5"/>
  <c r="G38" i="5" s="1"/>
  <c r="F38" i="5" s="1"/>
  <c r="E46" i="5"/>
  <c r="G46" i="5" s="1"/>
  <c r="F46" i="5" s="1"/>
  <c r="E55" i="5"/>
  <c r="G55" i="5" s="1"/>
  <c r="F55" i="5" s="1"/>
  <c r="E59" i="5"/>
  <c r="G59" i="5" s="1"/>
  <c r="F59" i="5" s="1"/>
  <c r="E63" i="5"/>
  <c r="E79" i="5"/>
  <c r="E87" i="5"/>
  <c r="G87" i="5" s="1"/>
  <c r="F87" i="5" s="1"/>
  <c r="E95" i="5"/>
  <c r="J35" i="5"/>
  <c r="J51" i="5"/>
  <c r="J67" i="5"/>
  <c r="J5" i="5"/>
  <c r="J21" i="5"/>
  <c r="J37" i="5"/>
  <c r="J53" i="5"/>
  <c r="J69" i="5"/>
  <c r="J83" i="5"/>
  <c r="J91" i="5"/>
  <c r="J99" i="5"/>
  <c r="H6" i="5"/>
  <c r="H14" i="5"/>
  <c r="H22" i="5"/>
  <c r="H30" i="5"/>
  <c r="H38" i="5"/>
  <c r="H46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E9" i="5"/>
  <c r="G9" i="5" s="1"/>
  <c r="F9" i="5" s="1"/>
  <c r="E13" i="5"/>
  <c r="G13" i="5" s="1"/>
  <c r="F13" i="5" s="1"/>
  <c r="E21" i="5"/>
  <c r="G21" i="5" s="1"/>
  <c r="F21" i="5" s="1"/>
  <c r="E29" i="5"/>
  <c r="E33" i="5"/>
  <c r="E37" i="5"/>
  <c r="G37" i="5" s="1"/>
  <c r="F37" i="5" s="1"/>
  <c r="E41" i="5"/>
  <c r="G41" i="5" s="1"/>
  <c r="F41" i="5" s="1"/>
  <c r="E96" i="5"/>
  <c r="G96" i="5" s="1"/>
  <c r="F96" i="5" s="1"/>
  <c r="E92" i="5"/>
  <c r="E88" i="5"/>
  <c r="G88" i="5" s="1"/>
  <c r="F88" i="5" s="1"/>
  <c r="E68" i="5"/>
  <c r="E48" i="5"/>
  <c r="G48" i="5" s="1"/>
  <c r="F48" i="5" s="1"/>
  <c r="E40" i="5"/>
  <c r="G40" i="5" s="1"/>
  <c r="F40" i="5" s="1"/>
  <c r="E8" i="5"/>
  <c r="G8" i="5" s="1"/>
  <c r="F8" i="5" s="1"/>
  <c r="H98" i="5"/>
  <c r="H90" i="5"/>
  <c r="H82" i="5"/>
  <c r="H74" i="5"/>
  <c r="H66" i="5"/>
  <c r="H58" i="5"/>
  <c r="H48" i="5"/>
  <c r="H32" i="5"/>
  <c r="H16" i="5"/>
  <c r="J101" i="5"/>
  <c r="J85" i="5"/>
  <c r="J57" i="5"/>
  <c r="J25" i="5"/>
  <c r="J71" i="5"/>
  <c r="J39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H5" i="5"/>
  <c r="H9" i="5"/>
  <c r="H13" i="5"/>
  <c r="H17" i="5"/>
  <c r="H21" i="5"/>
  <c r="H25" i="5"/>
  <c r="H29" i="5"/>
  <c r="J43" i="5"/>
  <c r="J59" i="5"/>
  <c r="J75" i="5"/>
  <c r="J13" i="5"/>
  <c r="J29" i="5"/>
  <c r="J45" i="5"/>
  <c r="J61" i="5"/>
  <c r="J77" i="5"/>
  <c r="J87" i="5"/>
  <c r="J95" i="5"/>
  <c r="H2" i="5"/>
  <c r="H10" i="5"/>
  <c r="H18" i="5"/>
  <c r="H26" i="5"/>
  <c r="H34" i="5"/>
  <c r="H42" i="5"/>
  <c r="H50" i="5"/>
  <c r="H55" i="5"/>
  <c r="H59" i="5"/>
  <c r="H63" i="5"/>
  <c r="H67" i="5"/>
  <c r="H71" i="5"/>
  <c r="H75" i="5"/>
  <c r="H79" i="5"/>
  <c r="H83" i="5"/>
  <c r="H87" i="5"/>
  <c r="H91" i="5"/>
  <c r="H95" i="5"/>
  <c r="H99" i="5"/>
  <c r="E7" i="5"/>
  <c r="G7" i="5" s="1"/>
  <c r="F7" i="5" s="1"/>
  <c r="E11" i="5"/>
  <c r="E15" i="5"/>
  <c r="E19" i="5"/>
  <c r="G19" i="5" s="1"/>
  <c r="F19" i="5" s="1"/>
  <c r="E23" i="5"/>
  <c r="E31" i="5"/>
  <c r="E39" i="5"/>
  <c r="G39" i="5" s="1"/>
  <c r="F39" i="5" s="1"/>
  <c r="E47" i="5"/>
  <c r="G47" i="5" s="1"/>
  <c r="F47" i="5" s="1"/>
  <c r="E94" i="5"/>
  <c r="E86" i="5"/>
  <c r="E62" i="5"/>
  <c r="E50" i="5"/>
  <c r="E20" i="5"/>
  <c r="E97" i="5"/>
  <c r="H94" i="5"/>
  <c r="H86" i="5"/>
  <c r="H78" i="5"/>
  <c r="H70" i="5"/>
  <c r="H62" i="5"/>
  <c r="H54" i="5"/>
  <c r="H40" i="5"/>
  <c r="H24" i="5"/>
  <c r="H8" i="5"/>
  <c r="J93" i="5"/>
  <c r="J73" i="5"/>
  <c r="J41" i="5"/>
  <c r="J9" i="5"/>
  <c r="J55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82" i="5"/>
  <c r="J90" i="5"/>
  <c r="J98" i="5"/>
  <c r="H7" i="5"/>
  <c r="H15" i="5"/>
  <c r="H23" i="5"/>
  <c r="H31" i="5"/>
  <c r="H35" i="5"/>
  <c r="H39" i="5"/>
  <c r="H43" i="5"/>
  <c r="H47" i="5"/>
  <c r="H51" i="5"/>
  <c r="J31" i="5"/>
  <c r="J23" i="5"/>
  <c r="J15" i="5"/>
  <c r="J7" i="5"/>
  <c r="J78" i="5"/>
  <c r="J86" i="5"/>
  <c r="J94" i="5"/>
  <c r="H3" i="5"/>
  <c r="H11" i="5"/>
  <c r="H19" i="5"/>
  <c r="H27" i="5"/>
  <c r="H33" i="5"/>
  <c r="H37" i="5"/>
  <c r="H41" i="5"/>
  <c r="H45" i="5"/>
  <c r="H49" i="5"/>
  <c r="J27" i="5"/>
  <c r="J19" i="5"/>
  <c r="J11" i="5"/>
  <c r="J3" i="5"/>
  <c r="V4" i="1"/>
  <c r="V7" i="1"/>
  <c r="B9" i="1" l="1"/>
  <c r="H138" i="5"/>
  <c r="J138" i="5"/>
  <c r="H139" i="5"/>
  <c r="J139" i="5"/>
  <c r="E135" i="5"/>
  <c r="E134" i="5"/>
  <c r="H137" i="5"/>
  <c r="J137" i="5"/>
  <c r="E133" i="5"/>
  <c r="H136" i="5"/>
  <c r="J136" i="5"/>
  <c r="H135" i="5"/>
  <c r="J135" i="5"/>
  <c r="E132" i="5"/>
  <c r="E131" i="5"/>
  <c r="H133" i="5"/>
  <c r="J133" i="5"/>
  <c r="H134" i="5"/>
  <c r="J134" i="5"/>
  <c r="E130" i="5"/>
  <c r="E129" i="5"/>
  <c r="E6" i="5"/>
  <c r="E116" i="5"/>
  <c r="E3" i="5"/>
  <c r="J132" i="5"/>
  <c r="H132" i="5"/>
  <c r="E115" i="5"/>
  <c r="E128" i="5"/>
  <c r="E111" i="5"/>
  <c r="E113" i="5"/>
  <c r="E117" i="5"/>
  <c r="E119" i="5"/>
  <c r="E121" i="5"/>
  <c r="E123" i="5"/>
  <c r="E125" i="5"/>
  <c r="E127" i="5"/>
  <c r="H111" i="5"/>
  <c r="H113" i="5"/>
  <c r="H115" i="5"/>
  <c r="H117" i="5"/>
  <c r="H119" i="5"/>
  <c r="H121" i="5"/>
  <c r="H123" i="5"/>
  <c r="H125" i="5"/>
  <c r="H127" i="5"/>
  <c r="H129" i="5"/>
  <c r="H131" i="5"/>
  <c r="J111" i="5"/>
  <c r="J113" i="5"/>
  <c r="J115" i="5"/>
  <c r="J117" i="5"/>
  <c r="J119" i="5"/>
  <c r="J121" i="5"/>
  <c r="J123" i="5"/>
  <c r="J125" i="5"/>
  <c r="J127" i="5"/>
  <c r="J129" i="5"/>
  <c r="J131" i="5"/>
  <c r="E112" i="5"/>
  <c r="E114" i="5"/>
  <c r="E118" i="5"/>
  <c r="E120" i="5"/>
  <c r="E122" i="5"/>
  <c r="E124" i="5"/>
  <c r="E126" i="5"/>
  <c r="H112" i="5"/>
  <c r="H114" i="5"/>
  <c r="H116" i="5"/>
  <c r="H118" i="5"/>
  <c r="H120" i="5"/>
  <c r="H122" i="5"/>
  <c r="H124" i="5"/>
  <c r="H126" i="5"/>
  <c r="H128" i="5"/>
  <c r="H130" i="5"/>
  <c r="J112" i="5"/>
  <c r="J114" i="5"/>
  <c r="J116" i="5"/>
  <c r="J118" i="5"/>
  <c r="J120" i="5"/>
  <c r="J122" i="5"/>
  <c r="J124" i="5"/>
  <c r="J126" i="5"/>
  <c r="J128" i="5"/>
  <c r="J130" i="5"/>
  <c r="E53" i="5"/>
  <c r="E5" i="5"/>
  <c r="E78" i="5"/>
  <c r="E107" i="5"/>
  <c r="E17" i="5"/>
  <c r="E66" i="5"/>
  <c r="E4" i="5"/>
  <c r="E108" i="5"/>
  <c r="E12" i="5"/>
  <c r="E26" i="5"/>
  <c r="E109" i="5"/>
  <c r="E27" i="5"/>
  <c r="E54" i="5"/>
  <c r="E28" i="5"/>
  <c r="E110" i="5"/>
  <c r="E67" i="5"/>
  <c r="E25" i="5"/>
  <c r="E45" i="5"/>
  <c r="E36" i="5"/>
  <c r="G105" i="5"/>
  <c r="F105" i="5" s="1"/>
  <c r="K105" i="5"/>
  <c r="I105" i="5"/>
  <c r="M105" i="5" s="1"/>
  <c r="G106" i="5"/>
  <c r="F106" i="5" s="1"/>
  <c r="K106" i="5"/>
  <c r="I106" i="5"/>
  <c r="M106" i="5" s="1"/>
  <c r="G77" i="5"/>
  <c r="F77" i="5" s="1"/>
  <c r="K77" i="5"/>
  <c r="I77" i="5"/>
  <c r="M77" i="5" s="1"/>
  <c r="N77" i="5" s="1"/>
  <c r="O77" i="5" s="1"/>
  <c r="I72" i="5"/>
  <c r="M72" i="5" s="1"/>
  <c r="L72" i="5" s="1"/>
  <c r="N72" i="5" s="1"/>
  <c r="O72" i="5" s="1"/>
  <c r="K72" i="5"/>
  <c r="G72" i="5"/>
  <c r="F72" i="5" s="1"/>
  <c r="G104" i="5"/>
  <c r="F104" i="5" s="1"/>
  <c r="I104" i="5"/>
  <c r="M104" i="5" s="1"/>
  <c r="K104" i="5"/>
  <c r="K76" i="5"/>
  <c r="I76" i="5"/>
  <c r="M76" i="5" s="1"/>
  <c r="N76" i="5" s="1"/>
  <c r="O76" i="5" s="1"/>
  <c r="K44" i="5"/>
  <c r="I44" i="5"/>
  <c r="M44" i="5" s="1"/>
  <c r="N44" i="5" s="1"/>
  <c r="O44" i="5" s="1"/>
  <c r="G44" i="5"/>
  <c r="F44" i="5" s="1"/>
  <c r="G102" i="5"/>
  <c r="F102" i="5" s="1"/>
  <c r="K102" i="5"/>
  <c r="I102" i="5"/>
  <c r="M102" i="5" s="1"/>
  <c r="G76" i="5"/>
  <c r="F76" i="5" s="1"/>
  <c r="L76" i="5"/>
  <c r="I52" i="5"/>
  <c r="M52" i="5" s="1"/>
  <c r="K52" i="5"/>
  <c r="G52" i="5"/>
  <c r="F52" i="5" s="1"/>
  <c r="I103" i="5"/>
  <c r="M103" i="5" s="1"/>
  <c r="G103" i="5"/>
  <c r="F103" i="5" s="1"/>
  <c r="K103" i="5"/>
  <c r="K35" i="5"/>
  <c r="I35" i="5"/>
  <c r="M35" i="5" s="1"/>
  <c r="N35" i="5" s="1"/>
  <c r="O35" i="5" s="1"/>
  <c r="K61" i="5"/>
  <c r="I61" i="5"/>
  <c r="M61" i="5" s="1"/>
  <c r="G61" i="5"/>
  <c r="F61" i="5" s="1"/>
  <c r="K84" i="5"/>
  <c r="I84" i="5"/>
  <c r="M84" i="5" s="1"/>
  <c r="I65" i="5"/>
  <c r="M65" i="5" s="1"/>
  <c r="K65" i="5"/>
  <c r="I101" i="5"/>
  <c r="M101" i="5" s="1"/>
  <c r="K101" i="5"/>
  <c r="G101" i="5"/>
  <c r="F101" i="5" s="1"/>
  <c r="G71" i="5"/>
  <c r="F71" i="5" s="1"/>
  <c r="K71" i="5"/>
  <c r="I71" i="5"/>
  <c r="M71" i="5" s="1"/>
  <c r="L71" i="5" s="1"/>
  <c r="N71" i="5" s="1"/>
  <c r="O71" i="5" s="1"/>
  <c r="G75" i="5"/>
  <c r="F75" i="5" s="1"/>
  <c r="I75" i="5"/>
  <c r="M75" i="5" s="1"/>
  <c r="K75" i="5"/>
  <c r="K32" i="5"/>
  <c r="I32" i="5"/>
  <c r="M32" i="5" s="1"/>
  <c r="N32" i="5" s="1"/>
  <c r="O32" i="5" s="1"/>
  <c r="K64" i="5"/>
  <c r="G64" i="5"/>
  <c r="F64" i="5" s="1"/>
  <c r="I64" i="5"/>
  <c r="M64" i="5" s="1"/>
  <c r="I74" i="5"/>
  <c r="M74" i="5" s="1"/>
  <c r="K74" i="5"/>
  <c r="K16" i="5"/>
  <c r="G16" i="5"/>
  <c r="F16" i="5" s="1"/>
  <c r="I16" i="5"/>
  <c r="M16" i="5" s="1"/>
  <c r="K60" i="5"/>
  <c r="I60" i="5"/>
  <c r="M60" i="5" s="1"/>
  <c r="G100" i="5"/>
  <c r="F100" i="5" s="1"/>
  <c r="I100" i="5"/>
  <c r="M100" i="5" s="1"/>
  <c r="K100" i="5"/>
  <c r="K51" i="5"/>
  <c r="I51" i="5"/>
  <c r="M51" i="5" s="1"/>
  <c r="N51" i="5" s="1"/>
  <c r="O51" i="5" s="1"/>
  <c r="G51" i="5"/>
  <c r="F51" i="5" s="1"/>
  <c r="K91" i="5"/>
  <c r="I91" i="5"/>
  <c r="M91" i="5" s="1"/>
  <c r="L51" i="5"/>
  <c r="L60" i="5"/>
  <c r="I24" i="5"/>
  <c r="M24" i="5" s="1"/>
  <c r="G24" i="5"/>
  <c r="F24" i="5" s="1"/>
  <c r="K24" i="5"/>
  <c r="G58" i="5"/>
  <c r="F58" i="5" s="1"/>
  <c r="K58" i="5"/>
  <c r="I58" i="5"/>
  <c r="M58" i="5" s="1"/>
  <c r="G70" i="5"/>
  <c r="F70" i="5" s="1"/>
  <c r="I70" i="5"/>
  <c r="M70" i="5" s="1"/>
  <c r="L70" i="5" s="1"/>
  <c r="N70" i="5" s="1"/>
  <c r="O70" i="5" s="1"/>
  <c r="K70" i="5"/>
  <c r="G43" i="5"/>
  <c r="F43" i="5" s="1"/>
  <c r="K43" i="5"/>
  <c r="I43" i="5"/>
  <c r="M43" i="5" s="1"/>
  <c r="N43" i="5" s="1"/>
  <c r="O43" i="5" s="1"/>
  <c r="K56" i="5"/>
  <c r="G56" i="5"/>
  <c r="F56" i="5" s="1"/>
  <c r="I56" i="5"/>
  <c r="M56" i="5" s="1"/>
  <c r="K80" i="5"/>
  <c r="I80" i="5"/>
  <c r="M80" i="5" s="1"/>
  <c r="K83" i="5"/>
  <c r="I83" i="5"/>
  <c r="M83" i="5" s="1"/>
  <c r="K30" i="5"/>
  <c r="I30" i="5"/>
  <c r="M30" i="5" s="1"/>
  <c r="G34" i="5"/>
  <c r="F34" i="5" s="1"/>
  <c r="K34" i="5"/>
  <c r="I34" i="5"/>
  <c r="M34" i="5" s="1"/>
  <c r="N34" i="5" s="1"/>
  <c r="O34" i="5" s="1"/>
  <c r="K82" i="5"/>
  <c r="I82" i="5"/>
  <c r="M82" i="5" s="1"/>
  <c r="K98" i="5"/>
  <c r="I98" i="5"/>
  <c r="M98" i="5" s="1"/>
  <c r="G98" i="5"/>
  <c r="F98" i="5" s="1"/>
  <c r="K90" i="5"/>
  <c r="I90" i="5"/>
  <c r="M90" i="5" s="1"/>
  <c r="G99" i="5"/>
  <c r="F99" i="5" s="1"/>
  <c r="K99" i="5"/>
  <c r="I99" i="5"/>
  <c r="M99" i="5" s="1"/>
  <c r="I20" i="5"/>
  <c r="M20" i="5" s="1"/>
  <c r="K20" i="5"/>
  <c r="G62" i="5"/>
  <c r="F62" i="5" s="1"/>
  <c r="K62" i="5"/>
  <c r="I62" i="5"/>
  <c r="M62" i="5" s="1"/>
  <c r="I94" i="5"/>
  <c r="M94" i="5" s="1"/>
  <c r="K94" i="5"/>
  <c r="G94" i="5"/>
  <c r="F94" i="5" s="1"/>
  <c r="K39" i="5"/>
  <c r="I39" i="5"/>
  <c r="M39" i="5" s="1"/>
  <c r="G23" i="5"/>
  <c r="F23" i="5" s="1"/>
  <c r="K23" i="5"/>
  <c r="I23" i="5"/>
  <c r="M23" i="5" s="1"/>
  <c r="G15" i="5"/>
  <c r="F15" i="5" s="1"/>
  <c r="K15" i="5"/>
  <c r="I15" i="5"/>
  <c r="M15" i="5" s="1"/>
  <c r="K7" i="5"/>
  <c r="I7" i="5"/>
  <c r="M7" i="5" s="1"/>
  <c r="K40" i="5"/>
  <c r="I40" i="5"/>
  <c r="M40" i="5" s="1"/>
  <c r="K68" i="5"/>
  <c r="I68" i="5"/>
  <c r="M68" i="5" s="1"/>
  <c r="G68" i="5"/>
  <c r="F68" i="5" s="1"/>
  <c r="K92" i="5"/>
  <c r="G92" i="5"/>
  <c r="F92" i="5" s="1"/>
  <c r="I92" i="5"/>
  <c r="M92" i="5" s="1"/>
  <c r="I41" i="5"/>
  <c r="M41" i="5" s="1"/>
  <c r="K41" i="5"/>
  <c r="G33" i="5"/>
  <c r="F33" i="5" s="1"/>
  <c r="K33" i="5"/>
  <c r="I33" i="5"/>
  <c r="M33" i="5" s="1"/>
  <c r="I21" i="5"/>
  <c r="M21" i="5" s="1"/>
  <c r="K21" i="5"/>
  <c r="I9" i="5"/>
  <c r="M9" i="5" s="1"/>
  <c r="K9" i="5"/>
  <c r="K87" i="5"/>
  <c r="I87" i="5"/>
  <c r="M87" i="5" s="1"/>
  <c r="G63" i="5"/>
  <c r="F63" i="5" s="1"/>
  <c r="K63" i="5"/>
  <c r="I63" i="5"/>
  <c r="M63" i="5" s="1"/>
  <c r="K55" i="5"/>
  <c r="I55" i="5"/>
  <c r="M55" i="5" s="1"/>
  <c r="K38" i="5"/>
  <c r="I38" i="5"/>
  <c r="M38" i="5" s="1"/>
  <c r="K14" i="5"/>
  <c r="I14" i="5"/>
  <c r="M14" i="5" s="1"/>
  <c r="I89" i="5"/>
  <c r="M89" i="5" s="1"/>
  <c r="K89" i="5"/>
  <c r="I81" i="5"/>
  <c r="M81" i="5" s="1"/>
  <c r="K81" i="5"/>
  <c r="K69" i="5"/>
  <c r="I69" i="5"/>
  <c r="M69" i="5" s="1"/>
  <c r="G69" i="5"/>
  <c r="F69" i="5" s="1"/>
  <c r="G49" i="5"/>
  <c r="F49" i="5" s="1"/>
  <c r="K49" i="5"/>
  <c r="I49" i="5"/>
  <c r="M49" i="5" s="1"/>
  <c r="K18" i="5"/>
  <c r="I18" i="5"/>
  <c r="M18" i="5" s="1"/>
  <c r="K2" i="5"/>
  <c r="G2" i="5"/>
  <c r="F2" i="5" s="1"/>
  <c r="I2" i="5"/>
  <c r="M2" i="5" s="1"/>
  <c r="G20" i="5"/>
  <c r="F20" i="5" s="1"/>
  <c r="G97" i="5"/>
  <c r="F97" i="5" s="1"/>
  <c r="K97" i="5"/>
  <c r="I97" i="5"/>
  <c r="M97" i="5" s="1"/>
  <c r="I50" i="5"/>
  <c r="M50" i="5" s="1"/>
  <c r="K50" i="5"/>
  <c r="G50" i="5"/>
  <c r="F50" i="5" s="1"/>
  <c r="G86" i="5"/>
  <c r="F86" i="5" s="1"/>
  <c r="K86" i="5"/>
  <c r="I86" i="5"/>
  <c r="M86" i="5" s="1"/>
  <c r="I47" i="5"/>
  <c r="M47" i="5" s="1"/>
  <c r="K47" i="5"/>
  <c r="G31" i="5"/>
  <c r="F31" i="5" s="1"/>
  <c r="K31" i="5"/>
  <c r="I31" i="5"/>
  <c r="M31" i="5" s="1"/>
  <c r="I19" i="5"/>
  <c r="M19" i="5" s="1"/>
  <c r="K19" i="5"/>
  <c r="G11" i="5"/>
  <c r="F11" i="5" s="1"/>
  <c r="K11" i="5"/>
  <c r="I11" i="5"/>
  <c r="M11" i="5" s="1"/>
  <c r="K8" i="5"/>
  <c r="I8" i="5"/>
  <c r="M8" i="5" s="1"/>
  <c r="K48" i="5"/>
  <c r="I48" i="5"/>
  <c r="M48" i="5" s="1"/>
  <c r="K88" i="5"/>
  <c r="I88" i="5"/>
  <c r="M88" i="5" s="1"/>
  <c r="K96" i="5"/>
  <c r="I96" i="5"/>
  <c r="M96" i="5" s="1"/>
  <c r="I37" i="5"/>
  <c r="M37" i="5" s="1"/>
  <c r="K37" i="5"/>
  <c r="K29" i="5"/>
  <c r="G29" i="5"/>
  <c r="F29" i="5" s="1"/>
  <c r="I29" i="5"/>
  <c r="M29" i="5" s="1"/>
  <c r="I13" i="5"/>
  <c r="M13" i="5" s="1"/>
  <c r="K13" i="5"/>
  <c r="G95" i="5"/>
  <c r="F95" i="5" s="1"/>
  <c r="K95" i="5"/>
  <c r="I95" i="5"/>
  <c r="M95" i="5" s="1"/>
  <c r="G79" i="5"/>
  <c r="F79" i="5" s="1"/>
  <c r="K79" i="5"/>
  <c r="I79" i="5"/>
  <c r="M79" i="5" s="1"/>
  <c r="K59" i="5"/>
  <c r="I59" i="5"/>
  <c r="M59" i="5" s="1"/>
  <c r="K46" i="5"/>
  <c r="I46" i="5"/>
  <c r="M46" i="5" s="1"/>
  <c r="K22" i="5"/>
  <c r="I22" i="5"/>
  <c r="M22" i="5" s="1"/>
  <c r="G93" i="5"/>
  <c r="F93" i="5" s="1"/>
  <c r="K93" i="5"/>
  <c r="I93" i="5"/>
  <c r="M93" i="5" s="1"/>
  <c r="G85" i="5"/>
  <c r="F85" i="5" s="1"/>
  <c r="K85" i="5"/>
  <c r="I85" i="5"/>
  <c r="M85" i="5" s="1"/>
  <c r="G73" i="5"/>
  <c r="F73" i="5" s="1"/>
  <c r="K73" i="5"/>
  <c r="I73" i="5"/>
  <c r="M73" i="5" s="1"/>
  <c r="I57" i="5"/>
  <c r="M57" i="5" s="1"/>
  <c r="K57" i="5"/>
  <c r="K42" i="5"/>
  <c r="G42" i="5"/>
  <c r="F42" i="5" s="1"/>
  <c r="I42" i="5"/>
  <c r="M42" i="5" s="1"/>
  <c r="K10" i="5"/>
  <c r="I10" i="5"/>
  <c r="M10" i="5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B15" i="1" l="1"/>
  <c r="G9" i="1"/>
  <c r="A9" i="1" s="1"/>
  <c r="V9" i="1" s="1"/>
  <c r="B23" i="1"/>
  <c r="G23" i="1" s="1"/>
  <c r="A23" i="1" s="1"/>
  <c r="V23" i="1" s="1"/>
  <c r="I54" i="1"/>
  <c r="I84" i="1"/>
  <c r="G134" i="5"/>
  <c r="F134" i="5" s="1"/>
  <c r="I134" i="5"/>
  <c r="M134" i="5" s="1"/>
  <c r="K134" i="5"/>
  <c r="G135" i="5"/>
  <c r="F135" i="5" s="1"/>
  <c r="I135" i="5"/>
  <c r="M135" i="5" s="1"/>
  <c r="K135" i="5"/>
  <c r="G133" i="5"/>
  <c r="F133" i="5" s="1"/>
  <c r="I133" i="5"/>
  <c r="M133" i="5" s="1"/>
  <c r="K133" i="5"/>
  <c r="G131" i="5"/>
  <c r="F131" i="5" s="1"/>
  <c r="I131" i="5"/>
  <c r="M131" i="5" s="1"/>
  <c r="K131" i="5"/>
  <c r="G132" i="5"/>
  <c r="F132" i="5" s="1"/>
  <c r="I132" i="5"/>
  <c r="M132" i="5" s="1"/>
  <c r="K132" i="5"/>
  <c r="G116" i="5"/>
  <c r="F116" i="5" s="1"/>
  <c r="K116" i="5"/>
  <c r="I116" i="5"/>
  <c r="M116" i="5" s="1"/>
  <c r="N116" i="5" s="1"/>
  <c r="O116" i="5" s="1"/>
  <c r="G129" i="5"/>
  <c r="F129" i="5" s="1"/>
  <c r="I129" i="5"/>
  <c r="M129" i="5" s="1"/>
  <c r="K129" i="5"/>
  <c r="L116" i="5"/>
  <c r="K3" i="5"/>
  <c r="G3" i="5"/>
  <c r="F3" i="5" s="1"/>
  <c r="I3" i="5"/>
  <c r="M3" i="5" s="1"/>
  <c r="K6" i="5"/>
  <c r="I6" i="5"/>
  <c r="M6" i="5" s="1"/>
  <c r="L6" i="5" s="1"/>
  <c r="N6" i="5" s="1"/>
  <c r="O6" i="5" s="1"/>
  <c r="G6" i="5"/>
  <c r="F6" i="5" s="1"/>
  <c r="G130" i="5"/>
  <c r="F130" i="5" s="1"/>
  <c r="K130" i="5"/>
  <c r="I130" i="5"/>
  <c r="M130" i="5" s="1"/>
  <c r="G128" i="5"/>
  <c r="F128" i="5" s="1"/>
  <c r="I128" i="5"/>
  <c r="M128" i="5" s="1"/>
  <c r="K128" i="5"/>
  <c r="K115" i="5"/>
  <c r="G115" i="5"/>
  <c r="F115" i="5" s="1"/>
  <c r="I115" i="5"/>
  <c r="M115" i="5" s="1"/>
  <c r="N115" i="5" s="1"/>
  <c r="O115" i="5" s="1"/>
  <c r="G124" i="5"/>
  <c r="F124" i="5" s="1"/>
  <c r="K124" i="5"/>
  <c r="I124" i="5"/>
  <c r="M124" i="5" s="1"/>
  <c r="G120" i="5"/>
  <c r="F120" i="5" s="1"/>
  <c r="K120" i="5"/>
  <c r="I120" i="5"/>
  <c r="M120" i="5" s="1"/>
  <c r="G114" i="5"/>
  <c r="F114" i="5" s="1"/>
  <c r="K114" i="5"/>
  <c r="I114" i="5"/>
  <c r="M114" i="5" s="1"/>
  <c r="G127" i="5"/>
  <c r="F127" i="5" s="1"/>
  <c r="I127" i="5"/>
  <c r="M127" i="5" s="1"/>
  <c r="K127" i="5"/>
  <c r="G123" i="5"/>
  <c r="F123" i="5" s="1"/>
  <c r="I123" i="5"/>
  <c r="M123" i="5" s="1"/>
  <c r="K123" i="5"/>
  <c r="G119" i="5"/>
  <c r="F119" i="5" s="1"/>
  <c r="I119" i="5"/>
  <c r="M119" i="5" s="1"/>
  <c r="K119" i="5"/>
  <c r="G113" i="5"/>
  <c r="F113" i="5" s="1"/>
  <c r="I113" i="5"/>
  <c r="M113" i="5" s="1"/>
  <c r="K113" i="5"/>
  <c r="G126" i="5"/>
  <c r="F126" i="5" s="1"/>
  <c r="K126" i="5"/>
  <c r="I126" i="5"/>
  <c r="M126" i="5" s="1"/>
  <c r="G122" i="5"/>
  <c r="F122" i="5" s="1"/>
  <c r="K122" i="5"/>
  <c r="I122" i="5"/>
  <c r="M122" i="5" s="1"/>
  <c r="G118" i="5"/>
  <c r="F118" i="5" s="1"/>
  <c r="K118" i="5"/>
  <c r="I118" i="5"/>
  <c r="M118" i="5" s="1"/>
  <c r="G112" i="5"/>
  <c r="F112" i="5" s="1"/>
  <c r="K112" i="5"/>
  <c r="I112" i="5"/>
  <c r="M112" i="5" s="1"/>
  <c r="G125" i="5"/>
  <c r="F125" i="5" s="1"/>
  <c r="I125" i="5"/>
  <c r="M125" i="5" s="1"/>
  <c r="K125" i="5"/>
  <c r="G121" i="5"/>
  <c r="F121" i="5" s="1"/>
  <c r="I121" i="5"/>
  <c r="M121" i="5" s="1"/>
  <c r="K121" i="5"/>
  <c r="G117" i="5"/>
  <c r="F117" i="5" s="1"/>
  <c r="I117" i="5"/>
  <c r="M117" i="5" s="1"/>
  <c r="K117" i="5"/>
  <c r="G111" i="5"/>
  <c r="F111" i="5" s="1"/>
  <c r="I111" i="5"/>
  <c r="M111" i="5" s="1"/>
  <c r="K111" i="5"/>
  <c r="N60" i="5"/>
  <c r="O60" i="5" s="1"/>
  <c r="G78" i="5"/>
  <c r="F78" i="5" s="1"/>
  <c r="I78" i="5"/>
  <c r="M78" i="5" s="1"/>
  <c r="K78" i="5"/>
  <c r="K53" i="5"/>
  <c r="I53" i="5"/>
  <c r="M53" i="5" s="1"/>
  <c r="G53" i="5"/>
  <c r="F53" i="5" s="1"/>
  <c r="K5" i="5"/>
  <c r="G5" i="5"/>
  <c r="F5" i="5" s="1"/>
  <c r="I5" i="5"/>
  <c r="M5" i="5" s="1"/>
  <c r="L5" i="5" s="1"/>
  <c r="N5" i="5" s="1"/>
  <c r="O5" i="5" s="1"/>
  <c r="K108" i="5"/>
  <c r="G108" i="5"/>
  <c r="F108" i="5" s="1"/>
  <c r="I108" i="5"/>
  <c r="M108" i="5" s="1"/>
  <c r="I66" i="5"/>
  <c r="M66" i="5" s="1"/>
  <c r="K66" i="5"/>
  <c r="G66" i="5"/>
  <c r="F66" i="5" s="1"/>
  <c r="I107" i="5"/>
  <c r="M107" i="5" s="1"/>
  <c r="K107" i="5"/>
  <c r="G107" i="5"/>
  <c r="F107" i="5" s="1"/>
  <c r="I12" i="5"/>
  <c r="M12" i="5" s="1"/>
  <c r="K12" i="5"/>
  <c r="G12" i="5"/>
  <c r="F12" i="5" s="1"/>
  <c r="G4" i="5"/>
  <c r="F4" i="5" s="1"/>
  <c r="K4" i="5"/>
  <c r="I4" i="5"/>
  <c r="M4" i="5" s="1"/>
  <c r="L4" i="5" s="1"/>
  <c r="N4" i="5" s="1"/>
  <c r="O4" i="5" s="1"/>
  <c r="K17" i="5"/>
  <c r="I17" i="5"/>
  <c r="M17" i="5" s="1"/>
  <c r="G17" i="5"/>
  <c r="F17" i="5" s="1"/>
  <c r="K45" i="5"/>
  <c r="I45" i="5"/>
  <c r="M45" i="5" s="1"/>
  <c r="G45" i="5"/>
  <c r="F45" i="5" s="1"/>
  <c r="G67" i="5"/>
  <c r="F67" i="5" s="1"/>
  <c r="I67" i="5"/>
  <c r="M67" i="5" s="1"/>
  <c r="K67" i="5"/>
  <c r="I28" i="5"/>
  <c r="M28" i="5" s="1"/>
  <c r="K28" i="5"/>
  <c r="G28" i="5"/>
  <c r="F28" i="5" s="1"/>
  <c r="K27" i="5"/>
  <c r="I27" i="5"/>
  <c r="M27" i="5" s="1"/>
  <c r="G27" i="5"/>
  <c r="F27" i="5" s="1"/>
  <c r="K26" i="5"/>
  <c r="G26" i="5"/>
  <c r="F26" i="5" s="1"/>
  <c r="I26" i="5"/>
  <c r="M26" i="5" s="1"/>
  <c r="I36" i="5"/>
  <c r="M36" i="5" s="1"/>
  <c r="K36" i="5"/>
  <c r="G36" i="5"/>
  <c r="F36" i="5" s="1"/>
  <c r="I25" i="5"/>
  <c r="M25" i="5" s="1"/>
  <c r="K25" i="5"/>
  <c r="G25" i="5"/>
  <c r="F25" i="5" s="1"/>
  <c r="G110" i="5"/>
  <c r="F110" i="5" s="1"/>
  <c r="I110" i="5"/>
  <c r="M110" i="5" s="1"/>
  <c r="K110" i="5"/>
  <c r="I54" i="5"/>
  <c r="M54" i="5" s="1"/>
  <c r="L54" i="5" s="1"/>
  <c r="N54" i="5" s="1"/>
  <c r="O54" i="5" s="1"/>
  <c r="K54" i="5"/>
  <c r="G54" i="5"/>
  <c r="F54" i="5" s="1"/>
  <c r="G109" i="5"/>
  <c r="F109" i="5" s="1"/>
  <c r="K109" i="5"/>
  <c r="I109" i="5"/>
  <c r="M109" i="5" s="1"/>
  <c r="L106" i="5"/>
  <c r="N106" i="5"/>
  <c r="O106" i="5" s="1"/>
  <c r="L105" i="5"/>
  <c r="N105" i="5"/>
  <c r="O105" i="5" s="1"/>
  <c r="L104" i="5"/>
  <c r="N104" i="5"/>
  <c r="O104" i="5" s="1"/>
  <c r="L77" i="5"/>
  <c r="L44" i="5"/>
  <c r="L103" i="5"/>
  <c r="N103" i="5"/>
  <c r="O103" i="5" s="1"/>
  <c r="L35" i="5"/>
  <c r="L102" i="5"/>
  <c r="N102" i="5"/>
  <c r="O102" i="5" s="1"/>
  <c r="L52" i="5"/>
  <c r="N52" i="5" s="1"/>
  <c r="O52" i="5" s="1"/>
  <c r="L61" i="5"/>
  <c r="N61" i="5" s="1"/>
  <c r="O61" i="5" s="1"/>
  <c r="L65" i="5"/>
  <c r="N65" i="5" s="1"/>
  <c r="O65" i="5" s="1"/>
  <c r="L84" i="5"/>
  <c r="N84" i="5" s="1"/>
  <c r="O84" i="5" s="1"/>
  <c r="L101" i="5"/>
  <c r="N101" i="5"/>
  <c r="O101" i="5" s="1"/>
  <c r="L75" i="5"/>
  <c r="N75" i="5" s="1"/>
  <c r="O75" i="5" s="1"/>
  <c r="N58" i="5"/>
  <c r="O58" i="5" s="1"/>
  <c r="L58" i="5"/>
  <c r="L43" i="5"/>
  <c r="N100" i="5"/>
  <c r="O100" i="5" s="1"/>
  <c r="L100" i="5"/>
  <c r="N16" i="5"/>
  <c r="O16" i="5" s="1"/>
  <c r="L16" i="5"/>
  <c r="L74" i="5"/>
  <c r="N74" i="5" s="1"/>
  <c r="O74" i="5" s="1"/>
  <c r="L64" i="5"/>
  <c r="N64" i="5" s="1"/>
  <c r="O64" i="5" s="1"/>
  <c r="L32" i="5"/>
  <c r="L83" i="5"/>
  <c r="N83" i="5" s="1"/>
  <c r="O83" i="5" s="1"/>
  <c r="N56" i="5"/>
  <c r="O56" i="5" s="1"/>
  <c r="L56" i="5"/>
  <c r="L30" i="5"/>
  <c r="N30" i="5" s="1"/>
  <c r="O30" i="5" s="1"/>
  <c r="L80" i="5"/>
  <c r="N80" i="5" s="1"/>
  <c r="O80" i="5" s="1"/>
  <c r="L34" i="5"/>
  <c r="L91" i="5"/>
  <c r="N91" i="5" s="1"/>
  <c r="O91" i="5" s="1"/>
  <c r="L24" i="5"/>
  <c r="N24" i="5" s="1"/>
  <c r="O24" i="5" s="1"/>
  <c r="L95" i="5"/>
  <c r="N95" i="5" s="1"/>
  <c r="O95" i="5" s="1"/>
  <c r="L10" i="5"/>
  <c r="N10" i="5" s="1"/>
  <c r="O10" i="5" s="1"/>
  <c r="L42" i="5"/>
  <c r="N42" i="5"/>
  <c r="O42" i="5" s="1"/>
  <c r="L57" i="5"/>
  <c r="N57" i="5"/>
  <c r="O57" i="5" s="1"/>
  <c r="L85" i="5"/>
  <c r="N85" i="5" s="1"/>
  <c r="O85" i="5" s="1"/>
  <c r="L22" i="5"/>
  <c r="N22" i="5"/>
  <c r="O22" i="5" s="1"/>
  <c r="L46" i="5"/>
  <c r="N46" i="5"/>
  <c r="O46" i="5" s="1"/>
  <c r="L59" i="5"/>
  <c r="N59" i="5" s="1"/>
  <c r="O59" i="5" s="1"/>
  <c r="L79" i="5"/>
  <c r="N79" i="5" s="1"/>
  <c r="O79" i="5" s="1"/>
  <c r="L29" i="5"/>
  <c r="N29" i="5"/>
  <c r="O29" i="5" s="1"/>
  <c r="L37" i="5"/>
  <c r="N37" i="5" s="1"/>
  <c r="O37" i="5" s="1"/>
  <c r="L31" i="5"/>
  <c r="N31" i="5"/>
  <c r="O31" i="5" s="1"/>
  <c r="L47" i="5"/>
  <c r="N47" i="5" s="1"/>
  <c r="O47" i="5" s="1"/>
  <c r="L50" i="5"/>
  <c r="N50" i="5"/>
  <c r="O50" i="5" s="1"/>
  <c r="L18" i="5"/>
  <c r="N18" i="5"/>
  <c r="O18" i="5" s="1"/>
  <c r="L49" i="5"/>
  <c r="N49" i="5" s="1"/>
  <c r="O49" i="5" s="1"/>
  <c r="L69" i="5"/>
  <c r="N69" i="5"/>
  <c r="O69" i="5" s="1"/>
  <c r="L14" i="5"/>
  <c r="N14" i="5"/>
  <c r="O14" i="5" s="1"/>
  <c r="L38" i="5"/>
  <c r="N38" i="5"/>
  <c r="O38" i="5" s="1"/>
  <c r="L55" i="5"/>
  <c r="N55" i="5" s="1"/>
  <c r="O55" i="5" s="1"/>
  <c r="L63" i="5"/>
  <c r="N63" i="5" s="1"/>
  <c r="O63" i="5" s="1"/>
  <c r="L9" i="5"/>
  <c r="N9" i="5" s="1"/>
  <c r="O9" i="5" s="1"/>
  <c r="L21" i="5"/>
  <c r="N21" i="5"/>
  <c r="O21" i="5" s="1"/>
  <c r="L92" i="5"/>
  <c r="N92" i="5" s="1"/>
  <c r="O92" i="5" s="1"/>
  <c r="L68" i="5"/>
  <c r="N68" i="5"/>
  <c r="O68" i="5" s="1"/>
  <c r="L40" i="5"/>
  <c r="N40" i="5"/>
  <c r="O40" i="5" s="1"/>
  <c r="L7" i="5"/>
  <c r="N7" i="5" s="1"/>
  <c r="O7" i="5" s="1"/>
  <c r="L15" i="5"/>
  <c r="N15" i="5"/>
  <c r="O15" i="5" s="1"/>
  <c r="L39" i="5"/>
  <c r="N39" i="5"/>
  <c r="O39" i="5" s="1"/>
  <c r="L94" i="5"/>
  <c r="N94" i="5" s="1"/>
  <c r="O94" i="5" s="1"/>
  <c r="L99" i="5"/>
  <c r="N99" i="5"/>
  <c r="O99" i="5" s="1"/>
  <c r="L98" i="5"/>
  <c r="N98" i="5"/>
  <c r="O98" i="5" s="1"/>
  <c r="L82" i="5"/>
  <c r="N82" i="5" s="1"/>
  <c r="O82" i="5" s="1"/>
  <c r="L73" i="5"/>
  <c r="N73" i="5" s="1"/>
  <c r="O73" i="5" s="1"/>
  <c r="L93" i="5"/>
  <c r="N93" i="5" s="1"/>
  <c r="O93" i="5" s="1"/>
  <c r="L13" i="5"/>
  <c r="N13" i="5"/>
  <c r="O13" i="5" s="1"/>
  <c r="L96" i="5"/>
  <c r="N96" i="5" s="1"/>
  <c r="O96" i="5" s="1"/>
  <c r="L88" i="5"/>
  <c r="N88" i="5" s="1"/>
  <c r="O88" i="5" s="1"/>
  <c r="L48" i="5"/>
  <c r="N48" i="5" s="1"/>
  <c r="O48" i="5" s="1"/>
  <c r="L8" i="5"/>
  <c r="N8" i="5" s="1"/>
  <c r="O8" i="5" s="1"/>
  <c r="L11" i="5"/>
  <c r="N11" i="5"/>
  <c r="O11" i="5" s="1"/>
  <c r="L19" i="5"/>
  <c r="N19" i="5"/>
  <c r="O19" i="5" s="1"/>
  <c r="L86" i="5"/>
  <c r="N86" i="5" s="1"/>
  <c r="O86" i="5" s="1"/>
  <c r="L97" i="5"/>
  <c r="N97" i="5"/>
  <c r="O97" i="5" s="1"/>
  <c r="L2" i="5"/>
  <c r="N2" i="5"/>
  <c r="O2" i="5" s="1"/>
  <c r="L81" i="5"/>
  <c r="N81" i="5" s="1"/>
  <c r="O81" i="5" s="1"/>
  <c r="L89" i="5"/>
  <c r="N89" i="5" s="1"/>
  <c r="O89" i="5" s="1"/>
  <c r="L87" i="5"/>
  <c r="N87" i="5" s="1"/>
  <c r="O87" i="5" s="1"/>
  <c r="L33" i="5"/>
  <c r="N33" i="5" s="1"/>
  <c r="O33" i="5" s="1"/>
  <c r="L41" i="5"/>
  <c r="N41" i="5" s="1"/>
  <c r="O41" i="5" s="1"/>
  <c r="L23" i="5"/>
  <c r="N23" i="5"/>
  <c r="O23" i="5" s="1"/>
  <c r="L62" i="5"/>
  <c r="N62" i="5" s="1"/>
  <c r="O62" i="5" s="1"/>
  <c r="L20" i="5"/>
  <c r="N20" i="5"/>
  <c r="O20" i="5" s="1"/>
  <c r="L90" i="5"/>
  <c r="N90" i="5" s="1"/>
  <c r="O90" i="5" s="1"/>
  <c r="V24" i="1"/>
  <c r="V10" i="1"/>
  <c r="G15" i="1" l="1"/>
  <c r="A15" i="1" s="1"/>
  <c r="V15" i="1" s="1"/>
  <c r="B26" i="1"/>
  <c r="L134" i="5"/>
  <c r="N134" i="5"/>
  <c r="O134" i="5" s="1"/>
  <c r="L135" i="5"/>
  <c r="N135" i="5"/>
  <c r="O135" i="5" s="1"/>
  <c r="L133" i="5"/>
  <c r="N133" i="5"/>
  <c r="O133" i="5" s="1"/>
  <c r="L131" i="5"/>
  <c r="N131" i="5"/>
  <c r="O131" i="5" s="1"/>
  <c r="L132" i="5"/>
  <c r="N132" i="5"/>
  <c r="O132" i="5" s="1"/>
  <c r="N130" i="5"/>
  <c r="O130" i="5" s="1"/>
  <c r="L130" i="5"/>
  <c r="L3" i="5"/>
  <c r="N3" i="5" s="1"/>
  <c r="O3" i="5" s="1"/>
  <c r="N129" i="5"/>
  <c r="O129" i="5" s="1"/>
  <c r="L129" i="5"/>
  <c r="L115" i="5"/>
  <c r="N128" i="5"/>
  <c r="O128" i="5" s="1"/>
  <c r="L128" i="5"/>
  <c r="L111" i="5"/>
  <c r="N111" i="5"/>
  <c r="O111" i="5" s="1"/>
  <c r="L121" i="5"/>
  <c r="N121" i="5"/>
  <c r="O121" i="5" s="1"/>
  <c r="L118" i="5"/>
  <c r="N118" i="5"/>
  <c r="O118" i="5" s="1"/>
  <c r="L126" i="5"/>
  <c r="N126" i="5"/>
  <c r="O126" i="5" s="1"/>
  <c r="L113" i="5"/>
  <c r="N113" i="5"/>
  <c r="O113" i="5" s="1"/>
  <c r="L123" i="5"/>
  <c r="N123" i="5"/>
  <c r="O123" i="5" s="1"/>
  <c r="L120" i="5"/>
  <c r="N120" i="5"/>
  <c r="O120" i="5" s="1"/>
  <c r="L117" i="5"/>
  <c r="N117" i="5"/>
  <c r="O117" i="5" s="1"/>
  <c r="L125" i="5"/>
  <c r="N125" i="5"/>
  <c r="O125" i="5" s="1"/>
  <c r="L112" i="5"/>
  <c r="N112" i="5"/>
  <c r="O112" i="5" s="1"/>
  <c r="L122" i="5"/>
  <c r="N122" i="5"/>
  <c r="O122" i="5" s="1"/>
  <c r="L119" i="5"/>
  <c r="N119" i="5"/>
  <c r="O119" i="5" s="1"/>
  <c r="L127" i="5"/>
  <c r="N127" i="5"/>
  <c r="O127" i="5" s="1"/>
  <c r="L114" i="5"/>
  <c r="N114" i="5"/>
  <c r="O114" i="5" s="1"/>
  <c r="L124" i="5"/>
  <c r="N124" i="5"/>
  <c r="O124" i="5" s="1"/>
  <c r="N78" i="5"/>
  <c r="O78" i="5" s="1"/>
  <c r="L78" i="5"/>
  <c r="N53" i="5"/>
  <c r="O53" i="5" s="1"/>
  <c r="L53" i="5"/>
  <c r="L12" i="5"/>
  <c r="N12" i="5"/>
  <c r="O12" i="5" s="1"/>
  <c r="L66" i="5"/>
  <c r="N66" i="5" s="1"/>
  <c r="O66" i="5" s="1"/>
  <c r="N17" i="5"/>
  <c r="O17" i="5" s="1"/>
  <c r="L17" i="5"/>
  <c r="N107" i="5"/>
  <c r="O107" i="5" s="1"/>
  <c r="L107" i="5"/>
  <c r="N108" i="5"/>
  <c r="O108" i="5" s="1"/>
  <c r="L108" i="5"/>
  <c r="N109" i="5"/>
  <c r="O109" i="5" s="1"/>
  <c r="L109" i="5"/>
  <c r="L36" i="5"/>
  <c r="N36" i="5" s="1"/>
  <c r="O36" i="5" s="1"/>
  <c r="N45" i="5"/>
  <c r="O45" i="5" s="1"/>
  <c r="L45" i="5"/>
  <c r="N110" i="5"/>
  <c r="O110" i="5" s="1"/>
  <c r="L110" i="5"/>
  <c r="L25" i="5"/>
  <c r="N25" i="5"/>
  <c r="O25" i="5" s="1"/>
  <c r="L26" i="5"/>
  <c r="N26" i="5" s="1"/>
  <c r="O26" i="5" s="1"/>
  <c r="L27" i="5"/>
  <c r="N27" i="5" s="1"/>
  <c r="O27" i="5" s="1"/>
  <c r="L28" i="5"/>
  <c r="N28" i="5" s="1"/>
  <c r="O28" i="5" s="1"/>
  <c r="L67" i="5"/>
  <c r="N67" i="5" s="1"/>
  <c r="O67" i="5" s="1"/>
  <c r="V11" i="1"/>
  <c r="V16" i="1"/>
  <c r="B32" i="1" l="1"/>
  <c r="G32" i="1" s="1"/>
  <c r="A32" i="1" s="1"/>
  <c r="V32" i="1" s="1"/>
  <c r="G26" i="1"/>
  <c r="A26" i="1" s="1"/>
  <c r="V26" i="1" s="1"/>
  <c r="B41" i="1"/>
  <c r="G41" i="1" s="1"/>
  <c r="A41" i="1" s="1"/>
  <c r="V41" i="1" s="1"/>
  <c r="V12" i="1"/>
  <c r="V17" i="1"/>
  <c r="V27" i="1"/>
  <c r="V33" i="1"/>
  <c r="V42" i="1"/>
  <c r="B48" i="1" l="1"/>
  <c r="G48" i="1" s="1"/>
  <c r="A48" i="1" s="1"/>
  <c r="V48" i="1" s="1"/>
  <c r="V28" i="1"/>
  <c r="V18" i="1"/>
  <c r="V43" i="1"/>
  <c r="V34" i="1"/>
  <c r="V13" i="1"/>
  <c r="B50" i="1" l="1"/>
  <c r="G50" i="1" s="1"/>
  <c r="A50" i="1" s="1"/>
  <c r="V50" i="1" s="1"/>
  <c r="V35" i="1"/>
  <c r="V44" i="1"/>
  <c r="V29" i="1"/>
  <c r="V19" i="1"/>
  <c r="B52" i="1" l="1"/>
  <c r="G52" i="1" s="1"/>
  <c r="A52" i="1" s="1"/>
  <c r="V52" i="1" s="1"/>
  <c r="V36" i="1"/>
  <c r="V30" i="1"/>
  <c r="V45" i="1"/>
  <c r="V20" i="1"/>
  <c r="B54" i="1" l="1"/>
  <c r="G54" i="1"/>
  <c r="A54" i="1" s="1"/>
  <c r="V54" i="1" s="1"/>
  <c r="B56" i="1"/>
  <c r="V21" i="1"/>
  <c r="V46" i="1"/>
  <c r="V37" i="1"/>
  <c r="G56" i="1" l="1"/>
  <c r="A56" i="1" s="1"/>
  <c r="V56" i="1" s="1"/>
  <c r="B58" i="1"/>
  <c r="V38" i="1"/>
  <c r="G58" i="1" l="1"/>
  <c r="A58" i="1" s="1"/>
  <c r="V58" i="1" s="1"/>
  <c r="B60" i="1"/>
  <c r="V39" i="1"/>
  <c r="G60" i="1" l="1"/>
  <c r="A60" i="1" s="1"/>
  <c r="V60" i="1" s="1"/>
  <c r="B71" i="1"/>
  <c r="V61" i="1"/>
  <c r="G71" i="1" l="1"/>
  <c r="A71" i="1" s="1"/>
  <c r="V71" i="1" s="1"/>
  <c r="B81" i="1"/>
  <c r="V62" i="1"/>
  <c r="V72" i="1"/>
  <c r="G81" i="1" l="1"/>
  <c r="A81" i="1" s="1"/>
  <c r="V81" i="1" s="1"/>
  <c r="B84" i="1"/>
  <c r="V73" i="1"/>
  <c r="V63" i="1"/>
  <c r="G84" i="1" l="1"/>
  <c r="A84" i="1" s="1"/>
  <c r="V84" i="1" s="1"/>
  <c r="B87" i="1"/>
  <c r="V64" i="1"/>
  <c r="V74" i="1"/>
  <c r="V85" i="1"/>
  <c r="G87" i="1" l="1"/>
  <c r="A87" i="1" s="1"/>
  <c r="V87" i="1" s="1"/>
  <c r="B89" i="1"/>
  <c r="V75" i="1"/>
  <c r="V65" i="1"/>
  <c r="G89" i="1" l="1"/>
  <c r="A89" i="1" s="1"/>
  <c r="V89" i="1" s="1"/>
  <c r="B93" i="1"/>
  <c r="V66" i="1"/>
  <c r="V76" i="1"/>
  <c r="V90" i="1"/>
  <c r="G93" i="1" l="1"/>
  <c r="A93" i="1" s="1"/>
  <c r="V93" i="1" s="1"/>
  <c r="B108" i="1"/>
  <c r="V77" i="1"/>
  <c r="V91" i="1"/>
  <c r="V67" i="1"/>
  <c r="V94" i="1"/>
  <c r="G108" i="1" l="1"/>
  <c r="A108" i="1" s="1"/>
  <c r="V108" i="1" s="1"/>
  <c r="B120" i="1"/>
  <c r="V95" i="1"/>
  <c r="V68" i="1"/>
  <c r="V78" i="1"/>
  <c r="V109" i="1"/>
  <c r="G120" i="1" l="1"/>
  <c r="A120" i="1" s="1"/>
  <c r="V120" i="1" s="1"/>
  <c r="B124" i="1"/>
  <c r="V110" i="1"/>
  <c r="V69" i="1"/>
  <c r="V79" i="1"/>
  <c r="V96" i="1"/>
  <c r="V121" i="1"/>
  <c r="G124" i="1" l="1"/>
  <c r="A124" i="1" s="1"/>
  <c r="V124" i="1" s="1"/>
  <c r="B126" i="1"/>
  <c r="B131" i="1" s="1"/>
  <c r="V111" i="1"/>
  <c r="V97" i="1"/>
  <c r="V122" i="1"/>
  <c r="G131" i="1" l="1"/>
  <c r="A131" i="1" s="1"/>
  <c r="V131" i="1" s="1"/>
  <c r="B136" i="1"/>
  <c r="G136" i="1" s="1"/>
  <c r="A136" i="1" s="1"/>
  <c r="V136" i="1" s="1"/>
  <c r="G126" i="1"/>
  <c r="A126" i="1" s="1"/>
  <c r="V126" i="1" s="1"/>
  <c r="V98" i="1"/>
  <c r="V112" i="1"/>
  <c r="V132" i="1"/>
  <c r="V127" i="1"/>
  <c r="V137" i="1"/>
  <c r="B144" i="1" l="1"/>
  <c r="G144" i="1" s="1"/>
  <c r="A144" i="1" s="1"/>
  <c r="V144" i="1" s="1"/>
  <c r="A1" i="2"/>
  <c r="E1" i="4"/>
  <c r="V113" i="1"/>
  <c r="V138" i="1"/>
  <c r="V133" i="1"/>
  <c r="V99" i="1"/>
  <c r="V128" i="1"/>
  <c r="D48" i="4" l="1"/>
  <c r="D45" i="4"/>
  <c r="D53" i="4"/>
  <c r="D8" i="4"/>
  <c r="D31" i="4"/>
  <c r="D37" i="4"/>
  <c r="D10" i="4"/>
  <c r="D30" i="4"/>
  <c r="D16" i="4"/>
  <c r="D33" i="4"/>
  <c r="D22" i="4"/>
  <c r="D20" i="4"/>
  <c r="D17" i="4"/>
  <c r="D26" i="4"/>
  <c r="D35" i="4"/>
  <c r="D29" i="4"/>
  <c r="D15" i="4"/>
  <c r="D50" i="4"/>
  <c r="D47" i="4"/>
  <c r="D55" i="4"/>
  <c r="D42" i="4"/>
  <c r="D13" i="4"/>
  <c r="D12" i="4"/>
  <c r="D7" i="4"/>
  <c r="D36" i="4"/>
  <c r="D5" i="4"/>
  <c r="D44" i="4"/>
  <c r="D52" i="4"/>
  <c r="D49" i="4"/>
  <c r="D43" i="4"/>
  <c r="D11" i="4"/>
  <c r="D32" i="4"/>
  <c r="D38" i="4"/>
  <c r="D27" i="4"/>
  <c r="D23" i="4"/>
  <c r="D3" i="4"/>
  <c r="D25" i="4"/>
  <c r="D41" i="4"/>
  <c r="D6" i="4"/>
  <c r="D34" i="4"/>
  <c r="D28" i="4"/>
  <c r="D39" i="4"/>
  <c r="D4" i="4"/>
  <c r="D46" i="4"/>
  <c r="D54" i="4"/>
  <c r="D51" i="4"/>
  <c r="D14" i="4"/>
  <c r="D19" i="4"/>
  <c r="D9" i="4"/>
  <c r="D18" i="4"/>
  <c r="D40" i="4"/>
  <c r="D21" i="4"/>
  <c r="D24" i="4"/>
  <c r="E3" i="2"/>
  <c r="E41" i="2" s="1"/>
  <c r="E79" i="2" s="1"/>
  <c r="E1" i="2"/>
  <c r="D7" i="2"/>
  <c r="D45" i="2" s="1"/>
  <c r="D83" i="2" s="1"/>
  <c r="D5" i="2"/>
  <c r="D43" i="2" s="1"/>
  <c r="D81" i="2" s="1"/>
  <c r="V129" i="1"/>
  <c r="V139" i="1"/>
  <c r="V134" i="1"/>
  <c r="V114" i="1"/>
  <c r="V100" i="1"/>
  <c r="H5" i="2" l="1"/>
  <c r="H43" i="2" s="1"/>
  <c r="H81" i="2" s="1"/>
  <c r="H3" i="2"/>
  <c r="H41" i="2" s="1"/>
  <c r="H79" i="2" s="1"/>
  <c r="H6" i="2"/>
  <c r="H44" i="2" s="1"/>
  <c r="H82" i="2" s="1"/>
  <c r="F21" i="4"/>
  <c r="G21" i="4"/>
  <c r="R21" i="4" s="1"/>
  <c r="S21" i="4" s="1"/>
  <c r="E21" i="4"/>
  <c r="O21" i="4"/>
  <c r="H21" i="4"/>
  <c r="N21" i="4"/>
  <c r="E18" i="4"/>
  <c r="O18" i="4"/>
  <c r="G18" i="4"/>
  <c r="R18" i="4" s="1"/>
  <c r="S18" i="4" s="1"/>
  <c r="H18" i="4"/>
  <c r="N18" i="4"/>
  <c r="F18" i="4"/>
  <c r="O19" i="4"/>
  <c r="E19" i="4"/>
  <c r="N19" i="4"/>
  <c r="H19" i="4"/>
  <c r="F19" i="4"/>
  <c r="G19" i="4"/>
  <c r="R19" i="4" s="1"/>
  <c r="S19" i="4" s="1"/>
  <c r="O51" i="4"/>
  <c r="L51" i="4"/>
  <c r="I51" i="4"/>
  <c r="H51" i="4"/>
  <c r="G51" i="4"/>
  <c r="R51" i="4" s="1"/>
  <c r="S51" i="4" s="1"/>
  <c r="K51" i="4"/>
  <c r="M51" i="4" s="1"/>
  <c r="J51" i="4"/>
  <c r="N51" i="4"/>
  <c r="F51" i="4"/>
  <c r="E51" i="4"/>
  <c r="G46" i="4"/>
  <c r="R46" i="4" s="1"/>
  <c r="S46" i="4" s="1"/>
  <c r="K46" i="4"/>
  <c r="M46" i="4" s="1"/>
  <c r="F46" i="4"/>
  <c r="H46" i="4"/>
  <c r="L46" i="4"/>
  <c r="E46" i="4"/>
  <c r="I46" i="4"/>
  <c r="O46" i="4"/>
  <c r="J46" i="4"/>
  <c r="N46" i="4"/>
  <c r="O39" i="4"/>
  <c r="E39" i="4"/>
  <c r="F39" i="4"/>
  <c r="G39" i="4"/>
  <c r="R39" i="4" s="1"/>
  <c r="S39" i="4" s="1"/>
  <c r="L39" i="4"/>
  <c r="J39" i="4"/>
  <c r="N39" i="4"/>
  <c r="I39" i="4"/>
  <c r="H39" i="4"/>
  <c r="K39" i="4"/>
  <c r="M39" i="4" s="1"/>
  <c r="N34" i="4"/>
  <c r="O34" i="4"/>
  <c r="F34" i="4"/>
  <c r="G34" i="4"/>
  <c r="R34" i="4" s="1"/>
  <c r="S34" i="4" s="1"/>
  <c r="E34" i="4"/>
  <c r="H34" i="4"/>
  <c r="O41" i="4"/>
  <c r="G41" i="4"/>
  <c r="R41" i="4" s="1"/>
  <c r="S41" i="4" s="1"/>
  <c r="J41" i="4"/>
  <c r="H41" i="4"/>
  <c r="L41" i="4"/>
  <c r="F41" i="4"/>
  <c r="N41" i="4"/>
  <c r="K41" i="4"/>
  <c r="M41" i="4" s="1"/>
  <c r="I41" i="4"/>
  <c r="E41" i="4"/>
  <c r="O3" i="4"/>
  <c r="E3" i="4"/>
  <c r="N3" i="4"/>
  <c r="F3" i="4"/>
  <c r="G3" i="4"/>
  <c r="R3" i="4" s="1"/>
  <c r="S3" i="4" s="1"/>
  <c r="H3" i="4"/>
  <c r="O27" i="4"/>
  <c r="F27" i="4"/>
  <c r="G27" i="4"/>
  <c r="R27" i="4" s="1"/>
  <c r="S27" i="4" s="1"/>
  <c r="H27" i="4"/>
  <c r="N27" i="4"/>
  <c r="E27" i="4"/>
  <c r="H32" i="4"/>
  <c r="G32" i="4"/>
  <c r="R32" i="4" s="1"/>
  <c r="S32" i="4" s="1"/>
  <c r="F32" i="4"/>
  <c r="N32" i="4"/>
  <c r="E32" i="4"/>
  <c r="O32" i="4"/>
  <c r="H43" i="4"/>
  <c r="N43" i="4"/>
  <c r="I43" i="4"/>
  <c r="G43" i="4"/>
  <c r="R43" i="4" s="1"/>
  <c r="S43" i="4" s="1"/>
  <c r="L43" i="4"/>
  <c r="F43" i="4"/>
  <c r="J43" i="4"/>
  <c r="E43" i="4"/>
  <c r="O43" i="4"/>
  <c r="K43" i="4"/>
  <c r="M43" i="4" s="1"/>
  <c r="G52" i="4"/>
  <c r="R52" i="4" s="1"/>
  <c r="S52" i="4" s="1"/>
  <c r="I52" i="4"/>
  <c r="H52" i="4"/>
  <c r="F52" i="4"/>
  <c r="N52" i="4"/>
  <c r="E52" i="4"/>
  <c r="J52" i="4"/>
  <c r="O52" i="4"/>
  <c r="K52" i="4"/>
  <c r="M52" i="4" s="1"/>
  <c r="L52" i="4"/>
  <c r="N5" i="4"/>
  <c r="H5" i="4"/>
  <c r="O5" i="4"/>
  <c r="F5" i="4"/>
  <c r="G5" i="4"/>
  <c r="R5" i="4" s="1"/>
  <c r="S5" i="4" s="1"/>
  <c r="E5" i="4"/>
  <c r="H7" i="4"/>
  <c r="E7" i="4"/>
  <c r="G7" i="4"/>
  <c r="R7" i="4" s="1"/>
  <c r="S7" i="4" s="1"/>
  <c r="N7" i="4"/>
  <c r="O7" i="4"/>
  <c r="F7" i="4"/>
  <c r="N13" i="4"/>
  <c r="F13" i="4"/>
  <c r="O13" i="4"/>
  <c r="H13" i="4"/>
  <c r="G13" i="4"/>
  <c r="R13" i="4" s="1"/>
  <c r="S13" i="4" s="1"/>
  <c r="E13" i="4"/>
  <c r="K55" i="4"/>
  <c r="M55" i="4" s="1"/>
  <c r="F55" i="4"/>
  <c r="J55" i="4"/>
  <c r="G55" i="4"/>
  <c r="R55" i="4" s="1"/>
  <c r="S55" i="4" s="1"/>
  <c r="E55" i="4"/>
  <c r="O55" i="4"/>
  <c r="L55" i="4"/>
  <c r="N55" i="4"/>
  <c r="I55" i="4"/>
  <c r="H55" i="4"/>
  <c r="E50" i="4"/>
  <c r="J50" i="4"/>
  <c r="K50" i="4"/>
  <c r="M50" i="4" s="1"/>
  <c r="I50" i="4"/>
  <c r="L50" i="4"/>
  <c r="G50" i="4"/>
  <c r="R50" i="4" s="1"/>
  <c r="S50" i="4" s="1"/>
  <c r="N50" i="4"/>
  <c r="F50" i="4"/>
  <c r="H50" i="4"/>
  <c r="O50" i="4"/>
  <c r="F29" i="4"/>
  <c r="O29" i="4"/>
  <c r="H29" i="4"/>
  <c r="E29" i="4"/>
  <c r="G29" i="4"/>
  <c r="R29" i="4" s="1"/>
  <c r="S29" i="4" s="1"/>
  <c r="N29" i="4"/>
  <c r="H26" i="4"/>
  <c r="O26" i="4"/>
  <c r="N26" i="4"/>
  <c r="E26" i="4"/>
  <c r="F26" i="4"/>
  <c r="G26" i="4"/>
  <c r="R26" i="4" s="1"/>
  <c r="S26" i="4" s="1"/>
  <c r="N20" i="4"/>
  <c r="O20" i="4"/>
  <c r="E20" i="4"/>
  <c r="F20" i="4"/>
  <c r="G20" i="4"/>
  <c r="R20" i="4" s="1"/>
  <c r="S20" i="4" s="1"/>
  <c r="H20" i="4"/>
  <c r="H33" i="4"/>
  <c r="G33" i="4"/>
  <c r="R33" i="4" s="1"/>
  <c r="S33" i="4" s="1"/>
  <c r="F33" i="4"/>
  <c r="E33" i="4"/>
  <c r="O33" i="4"/>
  <c r="N33" i="4"/>
  <c r="F30" i="4"/>
  <c r="N30" i="4"/>
  <c r="H30" i="4"/>
  <c r="E30" i="4"/>
  <c r="G30" i="4"/>
  <c r="R30" i="4" s="1"/>
  <c r="S30" i="4" s="1"/>
  <c r="O30" i="4"/>
  <c r="G37" i="4"/>
  <c r="R37" i="4" s="1"/>
  <c r="S37" i="4" s="1"/>
  <c r="O37" i="4"/>
  <c r="F37" i="4"/>
  <c r="E37" i="4"/>
  <c r="H37" i="4"/>
  <c r="N37" i="4"/>
  <c r="F8" i="4"/>
  <c r="N8" i="4"/>
  <c r="H8" i="4"/>
  <c r="O8" i="4"/>
  <c r="E8" i="4"/>
  <c r="G8" i="4"/>
  <c r="R8" i="4" s="1"/>
  <c r="S8" i="4" s="1"/>
  <c r="H45" i="4"/>
  <c r="K45" i="4"/>
  <c r="M45" i="4" s="1"/>
  <c r="J45" i="4"/>
  <c r="G45" i="4"/>
  <c r="R45" i="4" s="1"/>
  <c r="S45" i="4" s="1"/>
  <c r="T45" i="4" s="1"/>
  <c r="L45" i="4"/>
  <c r="F45" i="4"/>
  <c r="O45" i="4"/>
  <c r="E45" i="4"/>
  <c r="I45" i="4"/>
  <c r="N45" i="4"/>
  <c r="G24" i="4"/>
  <c r="R24" i="4" s="1"/>
  <c r="S24" i="4" s="1"/>
  <c r="O24" i="4"/>
  <c r="F24" i="4"/>
  <c r="H24" i="4"/>
  <c r="N24" i="4"/>
  <c r="E24" i="4"/>
  <c r="F40" i="4"/>
  <c r="O40" i="4"/>
  <c r="G40" i="4"/>
  <c r="R40" i="4" s="1"/>
  <c r="S40" i="4" s="1"/>
  <c r="H40" i="4"/>
  <c r="N40" i="4"/>
  <c r="L40" i="4"/>
  <c r="J40" i="4"/>
  <c r="K40" i="4"/>
  <c r="M40" i="4" s="1"/>
  <c r="E40" i="4"/>
  <c r="I40" i="4"/>
  <c r="O9" i="4"/>
  <c r="N9" i="4"/>
  <c r="E9" i="4"/>
  <c r="G9" i="4"/>
  <c r="R9" i="4" s="1"/>
  <c r="S9" i="4" s="1"/>
  <c r="H9" i="4"/>
  <c r="F9" i="4"/>
  <c r="O14" i="4"/>
  <c r="F14" i="4"/>
  <c r="E14" i="4"/>
  <c r="G14" i="4"/>
  <c r="R14" i="4" s="1"/>
  <c r="S14" i="4" s="1"/>
  <c r="H14" i="4"/>
  <c r="N14" i="4"/>
  <c r="G54" i="4"/>
  <c r="R54" i="4" s="1"/>
  <c r="S54" i="4" s="1"/>
  <c r="N54" i="4"/>
  <c r="F54" i="4"/>
  <c r="O54" i="4"/>
  <c r="J54" i="4"/>
  <c r="L54" i="4"/>
  <c r="I54" i="4"/>
  <c r="E54" i="4"/>
  <c r="K54" i="4"/>
  <c r="M54" i="4" s="1"/>
  <c r="H54" i="4"/>
  <c r="F4" i="4"/>
  <c r="G4" i="4"/>
  <c r="R4" i="4" s="1"/>
  <c r="S4" i="4" s="1"/>
  <c r="E4" i="4"/>
  <c r="O4" i="4"/>
  <c r="N4" i="4"/>
  <c r="H4" i="4"/>
  <c r="H28" i="4"/>
  <c r="O28" i="4"/>
  <c r="F28" i="4"/>
  <c r="E28" i="4"/>
  <c r="N28" i="4"/>
  <c r="G28" i="4"/>
  <c r="R28" i="4" s="1"/>
  <c r="S28" i="4" s="1"/>
  <c r="G6" i="4"/>
  <c r="R6" i="4" s="1"/>
  <c r="S6" i="4" s="1"/>
  <c r="O6" i="4"/>
  <c r="E6" i="4"/>
  <c r="F6" i="4"/>
  <c r="H6" i="4"/>
  <c r="N6" i="4"/>
  <c r="N25" i="4"/>
  <c r="E25" i="4"/>
  <c r="G25" i="4"/>
  <c r="R25" i="4" s="1"/>
  <c r="S25" i="4" s="1"/>
  <c r="O25" i="4"/>
  <c r="F25" i="4"/>
  <c r="H25" i="4"/>
  <c r="O23" i="4"/>
  <c r="N23" i="4"/>
  <c r="G23" i="4"/>
  <c r="R23" i="4" s="1"/>
  <c r="S23" i="4" s="1"/>
  <c r="H23" i="4"/>
  <c r="F23" i="4"/>
  <c r="E23" i="4"/>
  <c r="N38" i="4"/>
  <c r="G38" i="4"/>
  <c r="R38" i="4" s="1"/>
  <c r="S38" i="4" s="1"/>
  <c r="O38" i="4"/>
  <c r="H38" i="4"/>
  <c r="F38" i="4"/>
  <c r="E38" i="4"/>
  <c r="F11" i="4"/>
  <c r="G11" i="4"/>
  <c r="R11" i="4" s="1"/>
  <c r="S11" i="4" s="1"/>
  <c r="N11" i="4"/>
  <c r="O11" i="4"/>
  <c r="E11" i="4"/>
  <c r="H11" i="4"/>
  <c r="O49" i="4"/>
  <c r="H49" i="4"/>
  <c r="N49" i="4"/>
  <c r="I49" i="4"/>
  <c r="J49" i="4"/>
  <c r="K49" i="4"/>
  <c r="M49" i="4" s="1"/>
  <c r="F49" i="4"/>
  <c r="L49" i="4"/>
  <c r="G49" i="4"/>
  <c r="R49" i="4" s="1"/>
  <c r="S49" i="4" s="1"/>
  <c r="E49" i="4"/>
  <c r="I44" i="4"/>
  <c r="E44" i="4"/>
  <c r="N44" i="4"/>
  <c r="H44" i="4"/>
  <c r="O44" i="4"/>
  <c r="K44" i="4"/>
  <c r="M44" i="4" s="1"/>
  <c r="F44" i="4"/>
  <c r="J44" i="4"/>
  <c r="G44" i="4"/>
  <c r="R44" i="4" s="1"/>
  <c r="S44" i="4" s="1"/>
  <c r="L44" i="4"/>
  <c r="H36" i="4"/>
  <c r="F36" i="4"/>
  <c r="E36" i="4"/>
  <c r="N36" i="4"/>
  <c r="G36" i="4"/>
  <c r="R36" i="4" s="1"/>
  <c r="S36" i="4" s="1"/>
  <c r="O36" i="4"/>
  <c r="H12" i="4"/>
  <c r="E12" i="4"/>
  <c r="F12" i="4"/>
  <c r="N12" i="4"/>
  <c r="O12" i="4"/>
  <c r="G12" i="4"/>
  <c r="R12" i="4" s="1"/>
  <c r="S12" i="4" s="1"/>
  <c r="E42" i="4"/>
  <c r="I42" i="4"/>
  <c r="H42" i="4"/>
  <c r="F42" i="4"/>
  <c r="O42" i="4"/>
  <c r="G42" i="4"/>
  <c r="R42" i="4" s="1"/>
  <c r="S42" i="4" s="1"/>
  <c r="K42" i="4"/>
  <c r="M42" i="4" s="1"/>
  <c r="N42" i="4"/>
  <c r="J42" i="4"/>
  <c r="L42" i="4"/>
  <c r="F47" i="4"/>
  <c r="O47" i="4"/>
  <c r="G47" i="4"/>
  <c r="R47" i="4" s="1"/>
  <c r="S47" i="4" s="1"/>
  <c r="E47" i="4"/>
  <c r="I47" i="4"/>
  <c r="H47" i="4"/>
  <c r="K47" i="4"/>
  <c r="M47" i="4" s="1"/>
  <c r="N47" i="4"/>
  <c r="J47" i="4"/>
  <c r="L47" i="4"/>
  <c r="N15" i="4"/>
  <c r="H15" i="4"/>
  <c r="O15" i="4"/>
  <c r="F15" i="4"/>
  <c r="G15" i="4"/>
  <c r="R15" i="4" s="1"/>
  <c r="S15" i="4" s="1"/>
  <c r="E15" i="4"/>
  <c r="F35" i="4"/>
  <c r="E35" i="4"/>
  <c r="H35" i="4"/>
  <c r="N35" i="4"/>
  <c r="O35" i="4"/>
  <c r="G35" i="4"/>
  <c r="R35" i="4" s="1"/>
  <c r="S35" i="4" s="1"/>
  <c r="F17" i="4"/>
  <c r="N17" i="4"/>
  <c r="G17" i="4"/>
  <c r="R17" i="4" s="1"/>
  <c r="S17" i="4" s="1"/>
  <c r="E17" i="4"/>
  <c r="H17" i="4"/>
  <c r="O17" i="4"/>
  <c r="E22" i="4"/>
  <c r="F22" i="4"/>
  <c r="G22" i="4"/>
  <c r="R22" i="4" s="1"/>
  <c r="S22" i="4" s="1"/>
  <c r="O22" i="4"/>
  <c r="H22" i="4"/>
  <c r="N22" i="4"/>
  <c r="N16" i="4"/>
  <c r="E16" i="4"/>
  <c r="F16" i="4"/>
  <c r="O16" i="4"/>
  <c r="H16" i="4"/>
  <c r="G16" i="4"/>
  <c r="R16" i="4" s="1"/>
  <c r="S16" i="4" s="1"/>
  <c r="O10" i="4"/>
  <c r="E10" i="4"/>
  <c r="F10" i="4"/>
  <c r="H10" i="4"/>
  <c r="N10" i="4"/>
  <c r="G10" i="4"/>
  <c r="R10" i="4" s="1"/>
  <c r="S10" i="4" s="1"/>
  <c r="N31" i="4"/>
  <c r="G31" i="4"/>
  <c r="R31" i="4" s="1"/>
  <c r="S31" i="4" s="1"/>
  <c r="H31" i="4"/>
  <c r="F31" i="4"/>
  <c r="E31" i="4"/>
  <c r="O31" i="4"/>
  <c r="O53" i="4"/>
  <c r="H53" i="4"/>
  <c r="I53" i="4"/>
  <c r="J53" i="4"/>
  <c r="G53" i="4"/>
  <c r="R53" i="4" s="1"/>
  <c r="S53" i="4" s="1"/>
  <c r="K53" i="4"/>
  <c r="M53" i="4" s="1"/>
  <c r="F53" i="4"/>
  <c r="L53" i="4"/>
  <c r="E53" i="4"/>
  <c r="N53" i="4"/>
  <c r="G48" i="4"/>
  <c r="R48" i="4" s="1"/>
  <c r="S48" i="4" s="1"/>
  <c r="I48" i="4"/>
  <c r="F48" i="4"/>
  <c r="N48" i="4"/>
  <c r="K48" i="4"/>
  <c r="M48" i="4" s="1"/>
  <c r="E48" i="4"/>
  <c r="J48" i="4"/>
  <c r="O48" i="4"/>
  <c r="L48" i="4"/>
  <c r="H48" i="4"/>
  <c r="V101" i="1"/>
  <c r="V140" i="1"/>
  <c r="V115" i="1"/>
  <c r="J38" i="2" l="1"/>
  <c r="J37" i="2"/>
  <c r="J75" i="2" s="1"/>
  <c r="J113" i="2" s="1"/>
  <c r="T42" i="4"/>
  <c r="T52" i="4"/>
  <c r="T46" i="4"/>
  <c r="T51" i="4"/>
  <c r="T48" i="4"/>
  <c r="T53" i="4"/>
  <c r="T47" i="4"/>
  <c r="T44" i="4"/>
  <c r="T49" i="4"/>
  <c r="T54" i="4"/>
  <c r="T40" i="4"/>
  <c r="T50" i="4"/>
  <c r="T55" i="4"/>
  <c r="T43" i="4"/>
  <c r="T41" i="4"/>
  <c r="T39" i="4"/>
  <c r="V102" i="1"/>
  <c r="V141" i="1"/>
  <c r="V116" i="1"/>
  <c r="V117" i="1" s="1"/>
  <c r="V103" i="1"/>
  <c r="V142" i="1"/>
  <c r="V118" i="1"/>
  <c r="V104" i="1" l="1"/>
  <c r="V105" i="1"/>
  <c r="V106" i="1"/>
  <c r="W179" i="1" l="1"/>
  <c r="AA179" i="1"/>
  <c r="I38" i="4"/>
  <c r="K38" i="4"/>
  <c r="J38" i="4"/>
  <c r="W106" i="1"/>
  <c r="W105" i="1"/>
  <c r="AA175" i="1"/>
  <c r="I36" i="4"/>
  <c r="AA168" i="1"/>
  <c r="W161" i="1"/>
  <c r="W150" i="1"/>
  <c r="AA150" i="1"/>
  <c r="I31" i="4"/>
  <c r="K28" i="4"/>
  <c r="W108" i="1"/>
  <c r="I10" i="4"/>
  <c r="AA54" i="1"/>
  <c r="W34" i="1"/>
  <c r="J10" i="4"/>
  <c r="W66" i="1"/>
  <c r="W37" i="1"/>
  <c r="I26" i="4"/>
  <c r="AA136" i="1"/>
  <c r="AA87" i="1"/>
  <c r="W54" i="1"/>
  <c r="K10" i="4"/>
  <c r="J6" i="4"/>
  <c r="J37" i="4"/>
  <c r="W163" i="1"/>
  <c r="W152" i="1"/>
  <c r="J31" i="4"/>
  <c r="W112" i="1"/>
  <c r="AA56" i="1"/>
  <c r="K9" i="4"/>
  <c r="W6" i="1"/>
  <c r="W132" i="1"/>
  <c r="W45" i="1"/>
  <c r="W95" i="1"/>
  <c r="W18" i="1"/>
  <c r="W126" i="1"/>
  <c r="W116" i="1"/>
  <c r="W71" i="1"/>
  <c r="W10" i="1"/>
  <c r="W79" i="1"/>
  <c r="I14" i="4"/>
  <c r="W30" i="1"/>
  <c r="W32" i="1"/>
  <c r="W175" i="1"/>
  <c r="G1" i="2" s="1"/>
  <c r="K36" i="4"/>
  <c r="K35" i="4"/>
  <c r="W159" i="1"/>
  <c r="AA157" i="1"/>
  <c r="J33" i="4"/>
  <c r="W146" i="1"/>
  <c r="W133" i="1"/>
  <c r="J16" i="4"/>
  <c r="AA52" i="1"/>
  <c r="W19" i="1"/>
  <c r="J25" i="4"/>
  <c r="I19" i="4"/>
  <c r="K6" i="4"/>
  <c r="AA108" i="1"/>
  <c r="W131" i="1"/>
  <c r="W76" i="1"/>
  <c r="AA3" i="1"/>
  <c r="AA15" i="1"/>
  <c r="I18" i="4"/>
  <c r="W77" i="1"/>
  <c r="W176" i="1"/>
  <c r="I35" i="4"/>
  <c r="J34" i="4"/>
  <c r="AA148" i="1"/>
  <c r="W87" i="1"/>
  <c r="J27" i="4"/>
  <c r="J8" i="4"/>
  <c r="I28" i="4"/>
  <c r="AA81" i="1"/>
  <c r="W144" i="1"/>
  <c r="I21" i="4"/>
  <c r="AA124" i="1"/>
  <c r="K7" i="4"/>
  <c r="AA84" i="1"/>
  <c r="AA6" i="1"/>
  <c r="AA126" i="1"/>
  <c r="I13" i="4"/>
  <c r="I23" i="4"/>
  <c r="AA48" i="1"/>
  <c r="AA120" i="1"/>
  <c r="W97" i="1"/>
  <c r="W73" i="1"/>
  <c r="W173" i="1"/>
  <c r="W169" i="1"/>
  <c r="W164" i="1"/>
  <c r="K34" i="4"/>
  <c r="W151" i="1"/>
  <c r="K32" i="4"/>
  <c r="W118" i="1"/>
  <c r="W46" i="1"/>
  <c r="AA26" i="1"/>
  <c r="I27" i="4"/>
  <c r="K14" i="4"/>
  <c r="W85" i="1"/>
  <c r="J9" i="4"/>
  <c r="AA131" i="1"/>
  <c r="K20" i="4"/>
  <c r="W29" i="1"/>
  <c r="W15" i="1"/>
  <c r="W110" i="1"/>
  <c r="K3" i="4"/>
  <c r="J19" i="4"/>
  <c r="K8" i="4"/>
  <c r="W168" i="1"/>
  <c r="W160" i="1"/>
  <c r="W148" i="1"/>
  <c r="W21" i="1"/>
  <c r="K15" i="4"/>
  <c r="AA32" i="1"/>
  <c r="I17" i="4"/>
  <c r="W33" i="1"/>
  <c r="AA93" i="1"/>
  <c r="K23" i="4"/>
  <c r="W141" i="1"/>
  <c r="W75" i="1"/>
  <c r="AA9" i="1"/>
  <c r="W128" i="1"/>
  <c r="W103" i="1"/>
  <c r="W74" i="1"/>
  <c r="J4" i="4"/>
  <c r="I24" i="4"/>
  <c r="W136" i="1"/>
  <c r="J13" i="4"/>
  <c r="I37" i="4"/>
  <c r="W170" i="1"/>
  <c r="W165" i="1"/>
  <c r="W157" i="1"/>
  <c r="W154" i="1"/>
  <c r="I32" i="4"/>
  <c r="AA146" i="1"/>
  <c r="W41" i="1"/>
  <c r="W115" i="1"/>
  <c r="I30" i="4"/>
  <c r="W84" i="1"/>
  <c r="W13" i="1"/>
  <c r="J20" i="4"/>
  <c r="W100" i="1"/>
  <c r="AA71" i="1"/>
  <c r="W23" i="1"/>
  <c r="W109" i="1"/>
  <c r="I4" i="4"/>
  <c r="W72" i="1"/>
  <c r="I3" i="4"/>
  <c r="J5" i="4"/>
  <c r="J36" i="4"/>
  <c r="W166" i="1"/>
  <c r="I33" i="4"/>
  <c r="W69" i="1"/>
  <c r="W50" i="1"/>
  <c r="J29" i="4"/>
  <c r="W102" i="1"/>
  <c r="W65" i="1"/>
  <c r="W12" i="1"/>
  <c r="I12" i="4"/>
  <c r="W68" i="1"/>
  <c r="W11" i="1"/>
  <c r="W35" i="1"/>
  <c r="W114" i="1"/>
  <c r="I15" i="4"/>
  <c r="W62" i="1"/>
  <c r="W67" i="1"/>
  <c r="W140" i="1"/>
  <c r="AA89" i="1"/>
  <c r="W7" i="1"/>
  <c r="AA23" i="1"/>
  <c r="K25" i="4"/>
  <c r="I9" i="4"/>
  <c r="W60" i="1"/>
  <c r="K11" i="4"/>
  <c r="J26" i="4"/>
  <c r="J21" i="4"/>
  <c r="W58" i="1"/>
  <c r="W104" i="1"/>
  <c r="W127" i="1"/>
  <c r="W64" i="1"/>
  <c r="J3" i="4"/>
  <c r="W61" i="1"/>
  <c r="K24" i="4"/>
  <c r="K17" i="4"/>
  <c r="W177" i="1"/>
  <c r="J35" i="4"/>
  <c r="W155" i="1"/>
  <c r="K31" i="4"/>
  <c r="W81" i="1"/>
  <c r="J7" i="4"/>
  <c r="W121" i="1"/>
  <c r="J15" i="4"/>
  <c r="I29" i="4"/>
  <c r="W56" i="1"/>
  <c r="K13" i="4"/>
  <c r="W39" i="1"/>
  <c r="J30" i="4"/>
  <c r="W9" i="1"/>
  <c r="J18" i="4"/>
  <c r="J28" i="4"/>
  <c r="W94" i="1"/>
  <c r="I22" i="4"/>
  <c r="W134" i="1"/>
  <c r="W99" i="1"/>
  <c r="W93" i="1"/>
  <c r="W101" i="1"/>
  <c r="AA58" i="1"/>
  <c r="W122" i="1"/>
  <c r="I11" i="4"/>
  <c r="W120" i="1"/>
  <c r="W4" i="1"/>
  <c r="J14" i="4"/>
  <c r="K37" i="4"/>
  <c r="W162" i="1"/>
  <c r="W153" i="1"/>
  <c r="K27" i="4"/>
  <c r="AA50" i="1"/>
  <c r="W16" i="1"/>
  <c r="K29" i="4"/>
  <c r="W117" i="1"/>
  <c r="W26" i="1"/>
  <c r="W139" i="1"/>
  <c r="W90" i="1"/>
  <c r="J17" i="4"/>
  <c r="W17" i="1"/>
  <c r="I8" i="4"/>
  <c r="K12" i="4"/>
  <c r="AA144" i="1"/>
  <c r="K22" i="4"/>
  <c r="K21" i="4"/>
  <c r="J22" i="4"/>
  <c r="J24" i="4"/>
  <c r="W142" i="1"/>
  <c r="W42" i="1"/>
  <c r="W138" i="1"/>
  <c r="W63" i="1"/>
  <c r="W137" i="1"/>
  <c r="W27" i="1"/>
  <c r="K30" i="4"/>
  <c r="W98" i="1"/>
  <c r="AA173" i="1"/>
  <c r="W158" i="1"/>
  <c r="K33" i="4"/>
  <c r="W43" i="1"/>
  <c r="K26" i="4"/>
  <c r="K5" i="4"/>
  <c r="W48" i="1"/>
  <c r="W124" i="1"/>
  <c r="I20" i="4"/>
  <c r="W20" i="1"/>
  <c r="W78" i="1"/>
  <c r="W111" i="1"/>
  <c r="I5" i="4"/>
  <c r="J12" i="4"/>
  <c r="W38" i="1"/>
  <c r="W3" i="1"/>
  <c r="W96" i="1"/>
  <c r="K18" i="4"/>
  <c r="W44" i="1"/>
  <c r="K16" i="4"/>
  <c r="K19" i="4"/>
  <c r="I16" i="4"/>
  <c r="W36" i="1"/>
  <c r="J11" i="4"/>
  <c r="W24" i="1"/>
  <c r="W91" i="1"/>
  <c r="AA41" i="1"/>
  <c r="J23" i="4"/>
  <c r="W171" i="1"/>
  <c r="I34" i="4"/>
  <c r="J32" i="4"/>
  <c r="I7" i="4"/>
  <c r="I6" i="4"/>
  <c r="W28" i="1"/>
  <c r="K4" i="4"/>
  <c r="AA60" i="1"/>
  <c r="W129" i="1"/>
  <c r="W52" i="1"/>
  <c r="I25" i="4"/>
  <c r="W89" i="1"/>
  <c r="W113" i="1"/>
  <c r="M38" i="4" l="1"/>
  <c r="T38" i="4" s="1"/>
  <c r="L38" i="4"/>
  <c r="L19" i="4"/>
  <c r="M19" i="4"/>
  <c r="T19" i="4" s="1"/>
  <c r="M26" i="4"/>
  <c r="T26" i="4" s="1"/>
  <c r="L26" i="4"/>
  <c r="L33" i="4"/>
  <c r="M33" i="4"/>
  <c r="T33" i="4" s="1"/>
  <c r="L30" i="4"/>
  <c r="M30" i="4"/>
  <c r="T30" i="4" s="1"/>
  <c r="L22" i="4"/>
  <c r="M22" i="4"/>
  <c r="T22" i="4" s="1"/>
  <c r="L12" i="4"/>
  <c r="M12" i="4"/>
  <c r="T12" i="4" s="1"/>
  <c r="M29" i="4"/>
  <c r="T29" i="4" s="1"/>
  <c r="L29" i="4"/>
  <c r="M37" i="4"/>
  <c r="J29" i="2"/>
  <c r="L37" i="4"/>
  <c r="L13" i="4"/>
  <c r="M13" i="4"/>
  <c r="T13" i="4" s="1"/>
  <c r="L24" i="4"/>
  <c r="M24" i="4"/>
  <c r="T24" i="4" s="1"/>
  <c r="J56" i="4"/>
  <c r="L25" i="4"/>
  <c r="M25" i="4"/>
  <c r="T25" i="4" s="1"/>
  <c r="L15" i="4"/>
  <c r="M15" i="4"/>
  <c r="T15" i="4" s="1"/>
  <c r="L32" i="4"/>
  <c r="M32" i="4"/>
  <c r="T32" i="4" s="1"/>
  <c r="L34" i="4"/>
  <c r="M34" i="4"/>
  <c r="T34" i="4" s="1"/>
  <c r="L35" i="4"/>
  <c r="M35" i="4"/>
  <c r="T35" i="4" s="1"/>
  <c r="C12" i="2"/>
  <c r="C50" i="2" s="1"/>
  <c r="C88" i="2" s="1"/>
  <c r="E19" i="2"/>
  <c r="E57" i="2" s="1"/>
  <c r="E95" i="2" s="1"/>
  <c r="J13" i="2"/>
  <c r="J51" i="2" s="1"/>
  <c r="J89" i="2" s="1"/>
  <c r="I18" i="2"/>
  <c r="I56" i="2" s="1"/>
  <c r="I94" i="2" s="1"/>
  <c r="I23" i="2"/>
  <c r="I61" i="2" s="1"/>
  <c r="I99" i="2" s="1"/>
  <c r="C13" i="2"/>
  <c r="C51" i="2" s="1"/>
  <c r="C89" i="2" s="1"/>
  <c r="B11" i="2"/>
  <c r="B49" i="2" s="1"/>
  <c r="B87" i="2" s="1"/>
  <c r="B22" i="2"/>
  <c r="B60" i="2" s="1"/>
  <c r="B98" i="2" s="1"/>
  <c r="K18" i="2"/>
  <c r="K56" i="2" s="1"/>
  <c r="K94" i="2" s="1"/>
  <c r="D12" i="2"/>
  <c r="D50" i="2" s="1"/>
  <c r="D88" i="2" s="1"/>
  <c r="D16" i="2"/>
  <c r="D54" i="2" s="1"/>
  <c r="D92" i="2" s="1"/>
  <c r="E21" i="2"/>
  <c r="E59" i="2" s="1"/>
  <c r="E97" i="2" s="1"/>
  <c r="B24" i="2"/>
  <c r="B62" i="2" s="1"/>
  <c r="B100" i="2" s="1"/>
  <c r="C15" i="2"/>
  <c r="C53" i="2" s="1"/>
  <c r="C91" i="2" s="1"/>
  <c r="D22" i="2"/>
  <c r="D60" i="2" s="1"/>
  <c r="D98" i="2" s="1"/>
  <c r="B25" i="2"/>
  <c r="B63" i="2" s="1"/>
  <c r="B101" i="2" s="1"/>
  <c r="E11" i="2"/>
  <c r="E49" i="2" s="1"/>
  <c r="E87" i="2" s="1"/>
  <c r="E14" i="2"/>
  <c r="E52" i="2" s="1"/>
  <c r="E90" i="2" s="1"/>
  <c r="I20" i="2"/>
  <c r="I58" i="2" s="1"/>
  <c r="I96" i="2" s="1"/>
  <c r="K22" i="2"/>
  <c r="K60" i="2" s="1"/>
  <c r="K98" i="2" s="1"/>
  <c r="H19" i="2"/>
  <c r="H57" i="2" s="1"/>
  <c r="H95" i="2" s="1"/>
  <c r="J18" i="2"/>
  <c r="J56" i="2" s="1"/>
  <c r="J94" i="2" s="1"/>
  <c r="J14" i="2"/>
  <c r="J52" i="2" s="1"/>
  <c r="J90" i="2" s="1"/>
  <c r="B16" i="2"/>
  <c r="B54" i="2" s="1"/>
  <c r="B92" i="2" s="1"/>
  <c r="E17" i="2"/>
  <c r="E55" i="2" s="1"/>
  <c r="E93" i="2" s="1"/>
  <c r="I24" i="2"/>
  <c r="I62" i="2" s="1"/>
  <c r="I100" i="2" s="1"/>
  <c r="D14" i="2"/>
  <c r="D52" i="2" s="1"/>
  <c r="D90" i="2" s="1"/>
  <c r="K19" i="2"/>
  <c r="K57" i="2" s="1"/>
  <c r="K95" i="2" s="1"/>
  <c r="J12" i="2"/>
  <c r="J50" i="2" s="1"/>
  <c r="J88" i="2" s="1"/>
  <c r="C22" i="2"/>
  <c r="C60" i="2" s="1"/>
  <c r="C98" i="2" s="1"/>
  <c r="C26" i="2"/>
  <c r="C64" i="2" s="1"/>
  <c r="C102" i="2" s="1"/>
  <c r="H14" i="2"/>
  <c r="H52" i="2" s="1"/>
  <c r="H90" i="2" s="1"/>
  <c r="K23" i="2"/>
  <c r="K61" i="2" s="1"/>
  <c r="K99" i="2" s="1"/>
  <c r="E16" i="2"/>
  <c r="E54" i="2" s="1"/>
  <c r="E92" i="2" s="1"/>
  <c r="H16" i="2"/>
  <c r="H54" i="2" s="1"/>
  <c r="H92" i="2" s="1"/>
  <c r="B15" i="2"/>
  <c r="B53" i="2" s="1"/>
  <c r="B91" i="2" s="1"/>
  <c r="J20" i="2"/>
  <c r="J58" i="2" s="1"/>
  <c r="J96" i="2" s="1"/>
  <c r="D25" i="2"/>
  <c r="D63" i="2" s="1"/>
  <c r="D101" i="2" s="1"/>
  <c r="E18" i="2"/>
  <c r="E56" i="2" s="1"/>
  <c r="E94" i="2" s="1"/>
  <c r="B26" i="2"/>
  <c r="B64" i="2" s="1"/>
  <c r="B102" i="2" s="1"/>
  <c r="J15" i="2"/>
  <c r="J53" i="2" s="1"/>
  <c r="J91" i="2" s="1"/>
  <c r="K16" i="2"/>
  <c r="K54" i="2" s="1"/>
  <c r="K92" i="2" s="1"/>
  <c r="H20" i="2"/>
  <c r="H58" i="2" s="1"/>
  <c r="H96" i="2" s="1"/>
  <c r="H17" i="2"/>
  <c r="H55" i="2" s="1"/>
  <c r="H93" i="2" s="1"/>
  <c r="I11" i="2"/>
  <c r="I49" i="2" s="1"/>
  <c r="I87" i="2" s="1"/>
  <c r="J21" i="2"/>
  <c r="J59" i="2" s="1"/>
  <c r="J97" i="2" s="1"/>
  <c r="I22" i="2"/>
  <c r="I60" i="2" s="1"/>
  <c r="I98" i="2" s="1"/>
  <c r="E25" i="2"/>
  <c r="E63" i="2" s="1"/>
  <c r="E101" i="2" s="1"/>
  <c r="D17" i="2"/>
  <c r="D55" i="2" s="1"/>
  <c r="D93" i="2" s="1"/>
  <c r="J17" i="2"/>
  <c r="J55" i="2" s="1"/>
  <c r="J93" i="2" s="1"/>
  <c r="E20" i="2"/>
  <c r="E58" i="2" s="1"/>
  <c r="E96" i="2" s="1"/>
  <c r="J23" i="2"/>
  <c r="J61" i="2" s="1"/>
  <c r="J99" i="2" s="1"/>
  <c r="I14" i="2"/>
  <c r="I52" i="2" s="1"/>
  <c r="I90" i="2" s="1"/>
  <c r="H25" i="2"/>
  <c r="H63" i="2" s="1"/>
  <c r="H101" i="2" s="1"/>
  <c r="J25" i="2"/>
  <c r="J63" i="2" s="1"/>
  <c r="J101" i="2" s="1"/>
  <c r="C23" i="2"/>
  <c r="C61" i="2" s="1"/>
  <c r="C99" i="2" s="1"/>
  <c r="E23" i="2"/>
  <c r="E61" i="2" s="1"/>
  <c r="E99" i="2" s="1"/>
  <c r="H18" i="2"/>
  <c r="H56" i="2" s="1"/>
  <c r="H94" i="2" s="1"/>
  <c r="H22" i="2"/>
  <c r="H60" i="2" s="1"/>
  <c r="H98" i="2" s="1"/>
  <c r="K11" i="2"/>
  <c r="K49" i="2" s="1"/>
  <c r="K87" i="2" s="1"/>
  <c r="H23" i="2"/>
  <c r="H61" i="2" s="1"/>
  <c r="H99" i="2" s="1"/>
  <c r="H12" i="2"/>
  <c r="H50" i="2" s="1"/>
  <c r="H88" i="2" s="1"/>
  <c r="H11" i="2"/>
  <c r="H49" i="2" s="1"/>
  <c r="H87" i="2" s="1"/>
  <c r="J24" i="2"/>
  <c r="J62" i="2" s="1"/>
  <c r="J100" i="2" s="1"/>
  <c r="J22" i="2"/>
  <c r="J60" i="2" s="1"/>
  <c r="J98" i="2" s="1"/>
  <c r="E13" i="2"/>
  <c r="E51" i="2" s="1"/>
  <c r="E89" i="2" s="1"/>
  <c r="K26" i="2"/>
  <c r="K64" i="2" s="1"/>
  <c r="K102" i="2" s="1"/>
  <c r="K21" i="2"/>
  <c r="K59" i="2" s="1"/>
  <c r="K97" i="2" s="1"/>
  <c r="K17" i="2"/>
  <c r="K55" i="2" s="1"/>
  <c r="K93" i="2" s="1"/>
  <c r="D18" i="2"/>
  <c r="D56" i="2" s="1"/>
  <c r="D94" i="2" s="1"/>
  <c r="E26" i="2"/>
  <c r="E64" i="2" s="1"/>
  <c r="E102" i="2" s="1"/>
  <c r="E22" i="2"/>
  <c r="E60" i="2" s="1"/>
  <c r="E98" i="2" s="1"/>
  <c r="C21" i="2"/>
  <c r="C59" i="2" s="1"/>
  <c r="C97" i="2" s="1"/>
  <c r="B19" i="2"/>
  <c r="B57" i="2" s="1"/>
  <c r="B95" i="2" s="1"/>
  <c r="C25" i="2"/>
  <c r="C63" i="2" s="1"/>
  <c r="C101" i="2" s="1"/>
  <c r="D15" i="2"/>
  <c r="D53" i="2" s="1"/>
  <c r="D91" i="2" s="1"/>
  <c r="H24" i="2"/>
  <c r="H62" i="2" s="1"/>
  <c r="H100" i="2" s="1"/>
  <c r="D26" i="2"/>
  <c r="D64" i="2" s="1"/>
  <c r="D102" i="2" s="1"/>
  <c r="I25" i="2"/>
  <c r="I63" i="2" s="1"/>
  <c r="I101" i="2" s="1"/>
  <c r="D24" i="2"/>
  <c r="D62" i="2" s="1"/>
  <c r="D100" i="2" s="1"/>
  <c r="H26" i="2"/>
  <c r="H64" i="2" s="1"/>
  <c r="H102" i="2" s="1"/>
  <c r="J26" i="2"/>
  <c r="J64" i="2" s="1"/>
  <c r="J102" i="2" s="1"/>
  <c r="K14" i="2"/>
  <c r="K52" i="2" s="1"/>
  <c r="K90" i="2" s="1"/>
  <c r="I13" i="2"/>
  <c r="I51" i="2" s="1"/>
  <c r="I89" i="2" s="1"/>
  <c r="J19" i="2"/>
  <c r="J57" i="2" s="1"/>
  <c r="J95" i="2" s="1"/>
  <c r="C14" i="2"/>
  <c r="C52" i="2" s="1"/>
  <c r="C90" i="2" s="1"/>
  <c r="B18" i="2"/>
  <c r="B56" i="2" s="1"/>
  <c r="B94" i="2" s="1"/>
  <c r="D21" i="2"/>
  <c r="D59" i="2" s="1"/>
  <c r="D97" i="2" s="1"/>
  <c r="B23" i="2"/>
  <c r="B61" i="2" s="1"/>
  <c r="B99" i="2" s="1"/>
  <c r="D13" i="2"/>
  <c r="D51" i="2" s="1"/>
  <c r="D89" i="2" s="1"/>
  <c r="K20" i="2"/>
  <c r="K58" i="2" s="1"/>
  <c r="K96" i="2" s="1"/>
  <c r="K24" i="2"/>
  <c r="K62" i="2" s="1"/>
  <c r="K100" i="2" s="1"/>
  <c r="H21" i="2"/>
  <c r="H59" i="2" s="1"/>
  <c r="H97" i="2" s="1"/>
  <c r="E24" i="2"/>
  <c r="E62" i="2" s="1"/>
  <c r="E100" i="2" s="1"/>
  <c r="D19" i="2"/>
  <c r="D57" i="2" s="1"/>
  <c r="D95" i="2" s="1"/>
  <c r="K13" i="2"/>
  <c r="K51" i="2" s="1"/>
  <c r="K89" i="2" s="1"/>
  <c r="C16" i="2"/>
  <c r="C54" i="2" s="1"/>
  <c r="C92" i="2" s="1"/>
  <c r="D11" i="2"/>
  <c r="D49" i="2" s="1"/>
  <c r="D87" i="2" s="1"/>
  <c r="B12" i="2"/>
  <c r="B50" i="2" s="1"/>
  <c r="B88" i="2" s="1"/>
  <c r="J11" i="2"/>
  <c r="J49" i="2" s="1"/>
  <c r="J87" i="2" s="1"/>
  <c r="D20" i="2"/>
  <c r="D58" i="2" s="1"/>
  <c r="D96" i="2" s="1"/>
  <c r="D23" i="2"/>
  <c r="D61" i="2" s="1"/>
  <c r="D99" i="2" s="1"/>
  <c r="B13" i="2"/>
  <c r="B51" i="2" s="1"/>
  <c r="B89" i="2" s="1"/>
  <c r="I21" i="2"/>
  <c r="I59" i="2" s="1"/>
  <c r="I97" i="2" s="1"/>
  <c r="E12" i="2"/>
  <c r="E50" i="2" s="1"/>
  <c r="E88" i="2" s="1"/>
  <c r="B20" i="2"/>
  <c r="B58" i="2" s="1"/>
  <c r="B96" i="2" s="1"/>
  <c r="C19" i="2"/>
  <c r="C57" i="2" s="1"/>
  <c r="C95" i="2" s="1"/>
  <c r="C18" i="2"/>
  <c r="C56" i="2" s="1"/>
  <c r="C94" i="2" s="1"/>
  <c r="B21" i="2"/>
  <c r="B59" i="2" s="1"/>
  <c r="B97" i="2" s="1"/>
  <c r="I12" i="2"/>
  <c r="I50" i="2" s="1"/>
  <c r="I88" i="2" s="1"/>
  <c r="H15" i="2"/>
  <c r="H53" i="2" s="1"/>
  <c r="H91" i="2" s="1"/>
  <c r="B14" i="2"/>
  <c r="B52" i="2" s="1"/>
  <c r="B90" i="2" s="1"/>
  <c r="J16" i="2"/>
  <c r="J54" i="2" s="1"/>
  <c r="J92" i="2" s="1"/>
  <c r="I19" i="2"/>
  <c r="I57" i="2" s="1"/>
  <c r="I95" i="2" s="1"/>
  <c r="E15" i="2"/>
  <c r="E53" i="2" s="1"/>
  <c r="E91" i="2" s="1"/>
  <c r="I16" i="2"/>
  <c r="I54" i="2" s="1"/>
  <c r="I92" i="2" s="1"/>
  <c r="C17" i="2"/>
  <c r="C55" i="2" s="1"/>
  <c r="C93" i="2" s="1"/>
  <c r="I17" i="2"/>
  <c r="I55" i="2" s="1"/>
  <c r="I93" i="2" s="1"/>
  <c r="B17" i="2"/>
  <c r="B55" i="2" s="1"/>
  <c r="B93" i="2" s="1"/>
  <c r="I26" i="2"/>
  <c r="I64" i="2" s="1"/>
  <c r="I102" i="2" s="1"/>
  <c r="H13" i="2"/>
  <c r="H51" i="2" s="1"/>
  <c r="H89" i="2" s="1"/>
  <c r="K25" i="2"/>
  <c r="K63" i="2" s="1"/>
  <c r="K101" i="2" s="1"/>
  <c r="K12" i="2"/>
  <c r="K50" i="2" s="1"/>
  <c r="K88" i="2" s="1"/>
  <c r="C24" i="2"/>
  <c r="C62" i="2" s="1"/>
  <c r="C100" i="2" s="1"/>
  <c r="C11" i="2"/>
  <c r="C49" i="2" s="1"/>
  <c r="C87" i="2" s="1"/>
  <c r="C20" i="2"/>
  <c r="C58" i="2" s="1"/>
  <c r="C96" i="2" s="1"/>
  <c r="K15" i="2"/>
  <c r="K53" i="2" s="1"/>
  <c r="K91" i="2" s="1"/>
  <c r="I15" i="2"/>
  <c r="I53" i="2" s="1"/>
  <c r="I91" i="2" s="1"/>
  <c r="L9" i="4"/>
  <c r="M9" i="4"/>
  <c r="T9" i="4" s="1"/>
  <c r="M10" i="4"/>
  <c r="T10" i="4" s="1"/>
  <c r="L10" i="4"/>
  <c r="M28" i="4"/>
  <c r="T28" i="4" s="1"/>
  <c r="L28" i="4"/>
  <c r="L4" i="4"/>
  <c r="M4" i="4"/>
  <c r="T4" i="4" s="1"/>
  <c r="M16" i="4"/>
  <c r="T16" i="4" s="1"/>
  <c r="L16" i="4"/>
  <c r="L18" i="4"/>
  <c r="M18" i="4"/>
  <c r="T18" i="4" s="1"/>
  <c r="M5" i="4"/>
  <c r="T5" i="4" s="1"/>
  <c r="L5" i="4"/>
  <c r="L21" i="4"/>
  <c r="M21" i="4"/>
  <c r="T21" i="4" s="1"/>
  <c r="M27" i="4"/>
  <c r="T27" i="4" s="1"/>
  <c r="L27" i="4"/>
  <c r="M31" i="4"/>
  <c r="T31" i="4" s="1"/>
  <c r="L31" i="4"/>
  <c r="M17" i="4"/>
  <c r="T17" i="4" s="1"/>
  <c r="L17" i="4"/>
  <c r="L11" i="4"/>
  <c r="M11" i="4"/>
  <c r="T11" i="4" s="1"/>
  <c r="I56" i="4"/>
  <c r="M23" i="4"/>
  <c r="T23" i="4" s="1"/>
  <c r="L23" i="4"/>
  <c r="L8" i="4"/>
  <c r="M8" i="4"/>
  <c r="T8" i="4" s="1"/>
  <c r="L3" i="4"/>
  <c r="K56" i="4"/>
  <c r="M3" i="4"/>
  <c r="L20" i="4"/>
  <c r="M20" i="4"/>
  <c r="T20" i="4" s="1"/>
  <c r="L14" i="4"/>
  <c r="M14" i="4"/>
  <c r="T14" i="4" s="1"/>
  <c r="L7" i="4"/>
  <c r="M7" i="4"/>
  <c r="T7" i="4" s="1"/>
  <c r="L6" i="4"/>
  <c r="M6" i="4"/>
  <c r="T6" i="4" s="1"/>
  <c r="L36" i="4"/>
  <c r="M36" i="4"/>
  <c r="T36" i="4" s="1"/>
  <c r="J33" i="2" l="1"/>
  <c r="J71" i="2" s="1"/>
  <c r="J109" i="2" s="1"/>
  <c r="T3" i="4"/>
  <c r="M56" i="4"/>
  <c r="W2" i="4"/>
  <c r="W4" i="4" s="1"/>
  <c r="W3" i="4"/>
  <c r="L56" i="4"/>
  <c r="K31" i="2"/>
  <c r="K69" i="2" s="1"/>
  <c r="K107" i="2" s="1"/>
  <c r="J67" i="2"/>
  <c r="J105" i="2" s="1"/>
  <c r="K35" i="2"/>
  <c r="K73" i="2" s="1"/>
  <c r="K111" i="2" s="1"/>
  <c r="T37" i="4"/>
</calcChain>
</file>

<file path=xl/sharedStrings.xml><?xml version="1.0" encoding="utf-8"?>
<sst xmlns="http://schemas.openxmlformats.org/spreadsheetml/2006/main" count="874" uniqueCount="488">
  <si>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</si>
  <si>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</si>
  <si>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</si>
  <si>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</si>
  <si>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</si>
  <si>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</si>
  <si>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</si>
  <si>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</si>
  <si>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</si>
  <si>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</si>
  <si>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</si>
  <si>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</si>
  <si>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</si>
  <si>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</si>
  <si>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</si>
  <si>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</si>
  <si>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</si>
  <si>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</si>
  <si>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</si>
  <si>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</si>
  <si>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</si>
  <si>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</si>
  <si>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</si>
  <si>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</si>
  <si>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</si>
  <si>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</si>
  <si>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</si>
  <si>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</si>
  <si>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</si>
  <si>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</si>
  <si>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</si>
  <si>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</si>
  <si>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</si>
  <si>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</si>
  <si>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</si>
  <si>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</si>
  <si>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</si>
  <si>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</si>
  <si>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</si>
  <si>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</si>
  <si>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</si>
  <si>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</si>
  <si>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</si>
  <si>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</si>
  <si>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</si>
  <si>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</si>
  <si>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</si>
  <si>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</si>
  <si>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</si>
  <si>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</si>
  <si>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</si>
  <si>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</si>
  <si>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</si>
  <si>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</si>
  <si>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</si>
  <si>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</si>
  <si>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</si>
  <si>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</si>
  <si>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</si>
  <si>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</si>
  <si>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</si>
  <si>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</si>
  <si>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</si>
  <si>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</si>
  <si>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</si>
  <si>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</si>
  <si>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</si>
  <si>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</si>
  <si>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</si>
  <si>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</si>
  <si>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</si>
  <si>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</si>
  <si>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</si>
  <si>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</si>
  <si>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</si>
  <si>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</si>
  <si>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</si>
  <si>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</si>
  <si>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</si>
  <si>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</si>
  <si>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</si>
  <si>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</si>
  <si>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</si>
  <si>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</si>
  <si>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</si>
  <si>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</si>
  <si>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</si>
  <si>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cek_rekap(share)</t>
  </si>
  <si>
    <t>cek_rekap(network)</t>
  </si>
  <si>
    <t>h_Item Description</t>
  </si>
  <si>
    <t>ko</t>
  </si>
  <si>
    <t>centraal</t>
  </si>
  <si>
    <t>LSN</t>
  </si>
  <si>
    <t>NOVI / CONDRO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</si>
  <si>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</si>
  <si>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</si>
  <si>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</si>
  <si>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</si>
  <si>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</si>
  <si>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</si>
  <si>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</si>
  <si>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</si>
  <si>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</si>
  <si>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</si>
  <si>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</si>
  <si>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</si>
  <si>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</si>
  <si>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</si>
  <si>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</si>
  <si>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</si>
  <si>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</si>
  <si>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</si>
  <si>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</si>
  <si>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</si>
  <si>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</si>
  <si>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</si>
  <si>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</si>
  <si>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</si>
  <si>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</si>
  <si>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</si>
  <si>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</si>
  <si>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0855</t>
  </si>
  <si>
    <t>GUNJK826SG</t>
  </si>
  <si>
    <t>GUNJK838SG</t>
  </si>
  <si>
    <t>GUNTING JOYKO SC-828 SG</t>
  </si>
  <si>
    <t>GUNTING JOYKO SC-838 SG</t>
  </si>
  <si>
    <t>GUNTING JOYKO SC-828 SGLSN6100</t>
  </si>
  <si>
    <t>0832</t>
  </si>
  <si>
    <t>bendan</t>
  </si>
  <si>
    <t>BINDER CLIP KENKO NO. 260</t>
  </si>
  <si>
    <t>BINDER CLIP KENKO NO. 200</t>
  </si>
  <si>
    <t>GRS</t>
  </si>
  <si>
    <t>NOVI / YO</t>
  </si>
  <si>
    <t>BINDER CLIP KENKO NO. 200GRS120000</t>
  </si>
  <si>
    <t>BINDER CLIP KENKO NO. 260GRS180000</t>
  </si>
  <si>
    <t>CORRECTION FLUID KENKO KE-01</t>
  </si>
  <si>
    <t>STAPLER KENKO HD-50</t>
  </si>
  <si>
    <t>STAPLER KENKO HD-10</t>
  </si>
  <si>
    <t>STAPLER KENKO HD-10D</t>
  </si>
  <si>
    <t>ISI STAPLER (STAPLES) KENKO 1210 PREMIUM (23/10)</t>
  </si>
  <si>
    <t>LS</t>
  </si>
  <si>
    <t>BOX</t>
  </si>
  <si>
    <t>KO</t>
  </si>
  <si>
    <t>0834</t>
  </si>
  <si>
    <t>CORRECTION FLUID KENKO KE-01LS54300</t>
  </si>
  <si>
    <t>ISI STAPLER (STAPLES) KENKO 1210 PREMIUM (23/10)BOX4200</t>
  </si>
  <si>
    <t>STAPLER KENKO HD-10DLS117600</t>
  </si>
  <si>
    <t>STAPLER KENKO HD-10LS93000</t>
  </si>
  <si>
    <t>STAPLER KENKO HD-50LS228000</t>
  </si>
  <si>
    <t>0862</t>
  </si>
  <si>
    <t>PCS</t>
  </si>
  <si>
    <t>ISIJK1LINEPUTIH</t>
  </si>
  <si>
    <t>CRAYJK12WCR</t>
  </si>
  <si>
    <t>MESKENMX5500</t>
  </si>
  <si>
    <t>STAKEND4</t>
  </si>
  <si>
    <t>CRAYON / OIL PASTEL PUTAR JOYKO TWCR-12MINI (PENDEK)</t>
  </si>
  <si>
    <t>opjktwcr12mini</t>
  </si>
  <si>
    <t>PWKEN12WPANJANG</t>
  </si>
  <si>
    <t>JANJKMS55</t>
  </si>
  <si>
    <t>LABEL HARGA JOYKO LB-2RL (1 LINE PUTIH)</t>
  </si>
  <si>
    <t>CRAYON / OIL PASTEL JOYKO OP-12CR ROUND (MINI)</t>
  </si>
  <si>
    <t>PENSIL WARNA KENKO CP-12F CLASSIC (PANJANG)</t>
  </si>
  <si>
    <t>MESIN LABEL HARGA KENKO MX-5500 (8 DIGITS, 1 LINE)</t>
  </si>
  <si>
    <t>DATE STAMP KENKO D-4 (Cap Tanggal 4 Mm)</t>
  </si>
  <si>
    <t>JANGKA (MATH SET) JOYKO MS-55</t>
  </si>
  <si>
    <t>CRAYON / OIL PASTEL JOYKO OP-12CR ROUND (MINI)PCS9000</t>
  </si>
  <si>
    <t>CRAYON / OIL PASTEL PUTAR JOYKO TWCR-12MINI (PENDEK)PCS18600</t>
  </si>
  <si>
    <t>DATE STAMP KENKO D-4 (Cap Tanggal 4 Mm)LSN74400</t>
  </si>
  <si>
    <t>GUNTING JOYKO SC-838 SGLSN7700</t>
  </si>
  <si>
    <t>JANGKA (MATH SET) JOYKO MS-55LSN88200</t>
  </si>
  <si>
    <t>LABEL HARGA JOYKO LB-2RL (1 LINE PUTIH)PCS2050</t>
  </si>
  <si>
    <t>MESIN LABEL HARGA KENKO MX-5500 (8 DIGITS, 1 LINE)PCS45000</t>
  </si>
  <si>
    <t>PENSIL WARNA KENKO CP-12F CLASSIC (PANJANG)LSN124200</t>
  </si>
  <si>
    <t>CLIKEN260</t>
  </si>
  <si>
    <t>CLIKEN200</t>
  </si>
  <si>
    <t>TIPKENKE01</t>
  </si>
  <si>
    <t>STAKENHD50</t>
  </si>
  <si>
    <t>STAKENHD10</t>
  </si>
  <si>
    <t>STAKENHD10D</t>
  </si>
  <si>
    <t>ISIKEN1210</t>
  </si>
  <si>
    <t>0863</t>
  </si>
  <si>
    <t>JANJKMS25</t>
  </si>
  <si>
    <t>JANGKA (MATH SET) JOYKO MS-25</t>
  </si>
  <si>
    <t>JANGKA (MATH SET) JOYKO MS-25LSN88200</t>
  </si>
  <si>
    <t>G</t>
  </si>
  <si>
    <t>0793</t>
  </si>
  <si>
    <t>ISOJKTD102</t>
  </si>
  <si>
    <t>STAJKHD35LA</t>
  </si>
  <si>
    <t>PENKENHITECH028HITAM</t>
  </si>
  <si>
    <t>TAPE CUTTER JOYKO TD-102</t>
  </si>
  <si>
    <t>STAPLER LONG REACH JOYKO HD-35LA</t>
  </si>
  <si>
    <t>GEL PEN KENKO HI-TECH-H 0.28 MM HITAM</t>
  </si>
  <si>
    <t>GEL PEN KENKO HI-TECH-H 0.28 MM HITAMLSN39000</t>
  </si>
  <si>
    <t>STAPLER LONG REACH JOYKO HD-35LAPCS58000</t>
  </si>
  <si>
    <t>TAPE CUTTER JOYKO TD-102LSN11100</t>
  </si>
  <si>
    <t>;</t>
  </si>
  <si>
    <t>CLIJK3100</t>
  </si>
  <si>
    <t>PAPER CLIP WARNA JOYKO C-3100</t>
  </si>
  <si>
    <t>PAPER CLIP WARNA JOYKO C-3100LSN37200</t>
  </si>
  <si>
    <t>2887</t>
  </si>
  <si>
    <t>GARKEN100CM</t>
  </si>
  <si>
    <t>STAKENNO0</t>
  </si>
  <si>
    <t>STAKENN38</t>
  </si>
  <si>
    <t>STAKEND3</t>
  </si>
  <si>
    <t>SET</t>
  </si>
  <si>
    <t>PWKEN12WCP12HALF</t>
  </si>
  <si>
    <t>DESKEN8312</t>
  </si>
  <si>
    <t>GARISAN BESI (STAINLESS STEEL) KENKO 100 CM / 1 M</t>
  </si>
  <si>
    <t>STAMP PAD KENKO NO. 0</t>
  </si>
  <si>
    <t>STAMP PLATE NUMBER KENKO N-38 (Cap Nomer)</t>
  </si>
  <si>
    <t>DATE STAMP KENKO D-3 (Cap Tanggal 5 Mm)</t>
  </si>
  <si>
    <t>PENSIL WARNA KENKO CP-12HALF CLASSIC (PENDEK)</t>
  </si>
  <si>
    <t>DESK SET KENKO K-8312 ORGANIZER</t>
  </si>
  <si>
    <t>DATE STAMP KENKO D-3 (Cap Tanggal 5 Mm)LSN77400</t>
  </si>
  <si>
    <t>DESK SET KENKO K-8312 ORGANIZERPCS29000</t>
  </si>
  <si>
    <t>GARISAN BESI (STAINLESS STEEL) KENKO 100 CM / 1 MLSN522000</t>
  </si>
  <si>
    <t>PENSIL WARNA KENKO CP-12HALF CLASSIC (PENDEK)SET6600</t>
  </si>
  <si>
    <t>STAMP PAD KENKO NO. 0LSN59400</t>
  </si>
  <si>
    <t>STAMP PLATE NUMBER KENKO N-38 (Cap Nomer)LSN84000</t>
  </si>
  <si>
    <t>PINKENPN30BUTEK</t>
  </si>
  <si>
    <t>PUSH PIN KENKO PN-30 TRANSPARAN</t>
  </si>
  <si>
    <t>PUSH PIN KENKO PN-30 TRANSPARANLSN33000</t>
  </si>
  <si>
    <t>0841</t>
  </si>
  <si>
    <t>wisuda</t>
  </si>
  <si>
    <t>ISIKENBESAR</t>
  </si>
  <si>
    <t>PUNKENNO85</t>
  </si>
  <si>
    <t>STAJK</t>
  </si>
  <si>
    <t>PENKENK1HITAM</t>
  </si>
  <si>
    <t>CLIKEN111</t>
  </si>
  <si>
    <t>punjk30</t>
  </si>
  <si>
    <t>Stabillo Highlighter JK HL MIX BIRU/ HIJAU</t>
  </si>
  <si>
    <t>PUNCH JOYKO 30</t>
  </si>
  <si>
    <t>ISI CUTTER 18 MM KENKO L-150 (BESAR)</t>
  </si>
  <si>
    <t>GEL PEN KENKO K-1 HITAM</t>
  </si>
  <si>
    <t>BINDER CLIP KENKO NO. 111</t>
  </si>
  <si>
    <t>PUNCH KENKO NO. 85</t>
  </si>
  <si>
    <t>BINDER CLIP KENKO NO. 111GRS49200</t>
  </si>
  <si>
    <t>GEL PEN KENKO K-1 HITAMLSN39600</t>
  </si>
  <si>
    <t>ISI CUTTER 18 MM KENKO L-150 (BESAR)LSN64800</t>
  </si>
  <si>
    <t>PUNCH JOYKO 30LSN139200</t>
  </si>
  <si>
    <t>PUNCH KENKO NO. 85PCS48500</t>
  </si>
  <si>
    <t>Stabillo Highlighter JK HL MIX BIRU/ HIJAUPCS3700</t>
  </si>
  <si>
    <t>RISMA / CONDRO</t>
  </si>
  <si>
    <t>0843</t>
  </si>
  <si>
    <t>0844</t>
  </si>
  <si>
    <t>0847</t>
  </si>
  <si>
    <t>0707</t>
  </si>
  <si>
    <t>PWJKCP12PB</t>
  </si>
  <si>
    <t>PENSIL WARNA JOYKO CP-12PB (PANJANG)</t>
  </si>
  <si>
    <t>PENSIL WARNA JOYKO CP-12PB (PANJANG)PCS10600</t>
  </si>
  <si>
    <t>0872</t>
  </si>
  <si>
    <t>0873</t>
  </si>
  <si>
    <t>LEMKENLG35</t>
  </si>
  <si>
    <t>LEM CAIR 35 ML KENKO LG-35</t>
  </si>
  <si>
    <t>LEM CAIR 35 ML KENKO LG-35LSN19800</t>
  </si>
  <si>
    <t>0877</t>
  </si>
  <si>
    <t>ISIJKPL05</t>
  </si>
  <si>
    <t>TIPJKCT522</t>
  </si>
  <si>
    <t>BNJKA5CAMPUSMIX</t>
  </si>
  <si>
    <t>SLOP</t>
  </si>
  <si>
    <t>TIPJKJK101</t>
  </si>
  <si>
    <t>TIPKENKE108</t>
  </si>
  <si>
    <t>STAJKHLMIX5WARNA</t>
  </si>
  <si>
    <t>BINDER NOTE JOYKO A5 (CAMPUS/CLASSIC) MIX</t>
  </si>
  <si>
    <t>LABJK1LINEPUTIH</t>
  </si>
  <si>
    <t>HIGHLIGHTER / STABILLO JOYKO HL-MIX (5 WARNA)</t>
  </si>
  <si>
    <t>ISI PENSIL 2B 0.5 MM JOYKO PL-05</t>
  </si>
  <si>
    <t>CORRECTION TAPE JOYKO CT-522</t>
  </si>
  <si>
    <t>CORRECTION FLUID JOYKO JK-101</t>
  </si>
  <si>
    <t>CORRECTION FLUID KENKO KE-108</t>
  </si>
  <si>
    <t>BINDER NOTE JOYKO A5 (CAMPUS/CLASSIC) MIXPCS15800</t>
  </si>
  <si>
    <t>CORRECTION FLUID JOYKO JK-101LSN36000</t>
  </si>
  <si>
    <t>CORRECTION FLUID KENKO KE-01LSN54300</t>
  </si>
  <si>
    <t>CORRECTION FLUID KENKO KE-108LSN47100</t>
  </si>
  <si>
    <t>CORRECTION TAPE JOYKO CT-522LSN57600</t>
  </si>
  <si>
    <t>HIGHLIGHTER / STABILLO JOYKO HL-MIX (5 WARNA)PCS3700</t>
  </si>
  <si>
    <t>LABEL HARGA JOYKO LB-2RL (1 LINE PUTIH)SLOP20500</t>
  </si>
  <si>
    <t>ISI PENSIL 2B 0.5 MM JOYKO PL-05GRS176400</t>
  </si>
  <si>
    <t>0908</t>
  </si>
  <si>
    <t>CLIKEN1</t>
  </si>
  <si>
    <t>LEMKEN8GR</t>
  </si>
  <si>
    <t>LEM STICK KENKO 8 GR (KECIL) isi 30 pc</t>
  </si>
  <si>
    <t>LEMKEN15GR</t>
  </si>
  <si>
    <t>LEM STICK KENKO 15 GR (TANGGUNG) isi 20 pc</t>
  </si>
  <si>
    <t>TIPKENKE107</t>
  </si>
  <si>
    <t>CORRECTION FLUID KENKO KE-107M</t>
  </si>
  <si>
    <t>CLIKEN3</t>
  </si>
  <si>
    <t>CLIKEN5</t>
  </si>
  <si>
    <t>TIPKENKE301</t>
  </si>
  <si>
    <t>PAPER TRIGONAL CLIP KENKO NO. 1</t>
  </si>
  <si>
    <t>PAPER TRIGONAL CLIP KENKO NO. 3</t>
  </si>
  <si>
    <t>PAPER JUMBO CLIP KENKO NO. 5</t>
  </si>
  <si>
    <t>CORRECTION FLUID KENKO KE-301</t>
  </si>
  <si>
    <t>CORRECTION FLUID KENKO KE-107MLSN55800</t>
  </si>
  <si>
    <t>CORRECTION FLUID KENKO KE-301LSN53400</t>
  </si>
  <si>
    <t>LEM STICK KENKO 15 GR (TANGGUNG) isi 20 pcBOX72000</t>
  </si>
  <si>
    <t>LEM STICK KENKO 8 GR (KECIL) isi 30 pcBOX66000</t>
  </si>
  <si>
    <t>PAPER JUMBO CLIP KENKO NO. 5PCS4300</t>
  </si>
  <si>
    <t>PAPER TRIGONAL CLIP KENKO NO. 1PCS1700</t>
  </si>
  <si>
    <t>PAPER TRIGONAL CLIP KENKO NO. 3PCS1600</t>
  </si>
  <si>
    <t>STAPLER KENKO HD-10LSN93000</t>
  </si>
  <si>
    <t>STAPLER KENKO HD-50LSN228000</t>
  </si>
  <si>
    <t>0910</t>
  </si>
  <si>
    <t>CUTKENL500</t>
  </si>
  <si>
    <t>CUTTER 18 MM KENKO L-500 (BESAR)</t>
  </si>
  <si>
    <t>CUTTER 18 MM KENKO L-500 (BESAR)LSN147600</t>
  </si>
  <si>
    <t>0716</t>
  </si>
  <si>
    <t>PENKENHITECH028BIRU</t>
  </si>
  <si>
    <t>GEL PEN KENKO HI-TECH-H 0.28 MM BIRU</t>
  </si>
  <si>
    <t>GEL PEN KENKO HI-TECH-H 0.28 MM BIRULSN39000</t>
  </si>
  <si>
    <t>SOEYANTO LOPULUSI</t>
  </si>
  <si>
    <t>0918</t>
  </si>
  <si>
    <t>ISOPOLARMN305</t>
  </si>
  <si>
    <t>TAPE DISPENSER POLAR BEAR MN-305 @12pc</t>
  </si>
  <si>
    <t>TAPE DISPENSER POLAR BEAR MN-305 @12pcBOX100000</t>
  </si>
  <si>
    <t>0887</t>
  </si>
  <si>
    <t>PAK</t>
  </si>
  <si>
    <t>OPKEN12WGARDEN</t>
  </si>
  <si>
    <t>CRAYON / OIL PASTEL KENKO 12W GARDEN</t>
  </si>
  <si>
    <t>CRAYON / OIL PASTEL KENKO 12W GARDENLSN144000</t>
  </si>
  <si>
    <t>PAPER JUMBO CLIP KENKO NO. 5PAK43000</t>
  </si>
  <si>
    <t>OPKEN18WGARDEN</t>
  </si>
  <si>
    <t>CRAYON / OIL PASTEL KENKO 18W GARDEN</t>
  </si>
  <si>
    <t>CRAYON / OIL PASTEL KENKO 18W GARDENLSN258000</t>
  </si>
  <si>
    <t>0890</t>
  </si>
  <si>
    <t>TIPJKCFS221</t>
  </si>
  <si>
    <t>CORRECTION FLUID JOYKO CF-S221</t>
  </si>
  <si>
    <t>TIPJKCFS224</t>
  </si>
  <si>
    <t>CORRECTION FLUID JOYKO CF-S224</t>
  </si>
  <si>
    <t>PCJKPC0719FANCYMIC</t>
  </si>
  <si>
    <t>PCJKPC0719PASTELPOLOSMIX</t>
  </si>
  <si>
    <t>PWJK12WCP100</t>
  </si>
  <si>
    <t>PWJK12WPENDEK</t>
  </si>
  <si>
    <t>PWJK12WPANJANG</t>
  </si>
  <si>
    <t>PWJK24WPANJANG</t>
  </si>
  <si>
    <t>STAJKNO0</t>
  </si>
  <si>
    <t>STAJKNO1</t>
  </si>
  <si>
    <t>JANJKMS402</t>
  </si>
  <si>
    <t>TIPJKCFS225</t>
  </si>
  <si>
    <t>KUAJKBR1</t>
  </si>
  <si>
    <t>PENJKP88</t>
  </si>
  <si>
    <t>PENCIL CASE JOYKO PC-0719 FANCY MIX</t>
  </si>
  <si>
    <t>PENCIL CASE JOYKO PC-0719 PASTEL POLOS MIX</t>
  </si>
  <si>
    <t>KUAS SET JOYKO BR-1</t>
  </si>
  <si>
    <t>CORRECTION FLUID JOYKO CF-S225</t>
  </si>
  <si>
    <t>PENSIL JOYKO 2B P-88</t>
  </si>
  <si>
    <t>PENSIL WARNA JOYKO CP-100 (12W PANJANG)</t>
  </si>
  <si>
    <t>PENSIL WARNA JOYKO CP-S12 MINI (PENDEK)</t>
  </si>
  <si>
    <t>PENSIL WARNA JOYKO CP-24PB (PANJANG)</t>
  </si>
  <si>
    <t>STAMP PAD JOYKO NO. 0</t>
  </si>
  <si>
    <t>STAMP PAD JOYKO NO. 1</t>
  </si>
  <si>
    <t>JANGKA (MATH SET) JOYKO MS-402</t>
  </si>
  <si>
    <t>CORRECTION FLUID JOYKO CF-S221BOX70800</t>
  </si>
  <si>
    <t>CORRECTION FLUID JOYKO CF-S224BOX70800</t>
  </si>
  <si>
    <t>CORRECTION FLUID JOYKO CF-S225LSN34200</t>
  </si>
  <si>
    <t>JANGKA (MATH SET) JOYKO MS-402PCS12000</t>
  </si>
  <si>
    <t>PENCIL CASE JOYKO PC-0719 FANCY MIXPCS4800</t>
  </si>
  <si>
    <t>PENCIL CASE JOYKO PC-0719 PASTEL POLOS MIXPCS4800</t>
  </si>
  <si>
    <t>PENSIL JOYKO 2B P-88GRS104400</t>
  </si>
  <si>
    <t>PENSIL WARNA JOYKO CP-100 (12W PANJANG)PCS9600</t>
  </si>
  <si>
    <t>PENSIL WARNA JOYKO CP-24PB (PANJANG)PCS21200</t>
  </si>
  <si>
    <t>PENSIL WARNA JOYKO CP-S12 MINI (PENDEK)PCS6700</t>
  </si>
  <si>
    <t>STAMP PAD JOYKO NO. 0PCS4900</t>
  </si>
  <si>
    <t>STAMP PAD JOYKO NO. 1PCS5800</t>
  </si>
  <si>
    <t>KUAS SET JOYKO BR-1SET8800</t>
  </si>
  <si>
    <t>0891</t>
  </si>
  <si>
    <t>JANJKMS75</t>
  </si>
  <si>
    <t>JANGKA (MATH SET) JOYKO MS-75</t>
  </si>
  <si>
    <t>LEMJKGS104</t>
  </si>
  <si>
    <t>LEMJKGS09</t>
  </si>
  <si>
    <t>ISIJKPL10</t>
  </si>
  <si>
    <t>ISIJKPL11</t>
  </si>
  <si>
    <t>BNKA5M480TSFS514</t>
  </si>
  <si>
    <t>TIPJKJK01</t>
  </si>
  <si>
    <t>PENJKGPC309</t>
  </si>
  <si>
    <t>GTJKGT701</t>
  </si>
  <si>
    <t>BINDER NOTE JOYKO A5 (CAMPUS/CLASSIC)</t>
  </si>
  <si>
    <t>MESJKMX5500M</t>
  </si>
  <si>
    <t>LEM STICK JOYKO 15 GR GS-104 TG (ANIMAL KINGDOM) isi 24 pc</t>
  </si>
  <si>
    <t>LEM STICK JOYKO 8 GR GS-09 isi 12 pc</t>
  </si>
  <si>
    <t>ISI PENSIL 2B 2.0 MM JOYKO PL-10</t>
  </si>
  <si>
    <t>ISI PENSIL 2B 2.0 MM JOYKO PL-11</t>
  </si>
  <si>
    <t>STAPLER GUNTACKER JOYKO GT-701</t>
  </si>
  <si>
    <t>CORRECTION FLUID JOYKO JK-01</t>
  </si>
  <si>
    <t>MESIN LABEL HARGA JOYKO MX-5500M (8 DIGITS, 1 LINE)</t>
  </si>
  <si>
    <t>GEL PEN SET JOYKO GPC-309S DIAMOND ART</t>
  </si>
  <si>
    <t>BINDER NOTE JOYKO A5 (CAMPUS/CLASSIC)PCS15800</t>
  </si>
  <si>
    <t>CORRECTION FLUID JOYKO JK-01LSN36000</t>
  </si>
  <si>
    <t>GEL PEN SET JOYKO GPC-309S DIAMOND ARTPCS16800</t>
  </si>
  <si>
    <t>ISI PENSIL 2B 2.0 MM JOYKO PL-10LSN19800</t>
  </si>
  <si>
    <t>ISI PENSIL 2B 2.0 MM JOYKO PL-11LSN37200</t>
  </si>
  <si>
    <t>JANGKA (MATH SET) JOYKO MS-75LSN89400</t>
  </si>
  <si>
    <t>LEM STICK JOYKO 15 GR GS-104 TG (ANIMAL KINGDOM) isi 24 pcPCS2450</t>
  </si>
  <si>
    <t>LEM STICK JOYKO 8 GR GS-09 isi 12 pcPCS2100</t>
  </si>
  <si>
    <t>MESIN LABEL HARGA JOYKO MX-5500M (8 DIGITS, 1 LINE)PCS40500</t>
  </si>
  <si>
    <t>STAPLER GUNTACKER JOYKO GT-701PCS97000</t>
  </si>
  <si>
    <t>0892</t>
  </si>
  <si>
    <t>ISIKENKECIL</t>
  </si>
  <si>
    <t>ISI CUTTER 9 MM KENKO A-100 (KECIL)</t>
  </si>
  <si>
    <t>ISI CUTTER 9 MM KENKO A-100 (KECIL)LSN32400</t>
  </si>
  <si>
    <t>1054</t>
  </si>
  <si>
    <t>1065</t>
  </si>
  <si>
    <t>TIPKENCT310SL</t>
  </si>
  <si>
    <t>TIPKENCT905</t>
  </si>
  <si>
    <t>TIPKENCT309</t>
  </si>
  <si>
    <t>TIPKENCT1505FC</t>
  </si>
  <si>
    <t>CORRECTION TAPE KENKO CT-1505FC (15M X 5MM)</t>
  </si>
  <si>
    <t>CORRECTION TAPE KENKO CT-310SL (12M x 5MM)</t>
  </si>
  <si>
    <t>CORRECTION TAPE KENKO CT-905 (12M x 5MM)</t>
  </si>
  <si>
    <t>CORRECTION TAPE KENKO CT-309 (12M x 5MM)</t>
  </si>
  <si>
    <t>CORRECTION TAPE KENKO CT-1505FC (15M X 5MM)LSN69600</t>
  </si>
  <si>
    <t>CORRECTION TAPE KENKO CT-309 (12M x 5MM)LSN81600</t>
  </si>
  <si>
    <t>CORRECTION TAPE KENKO CT-310SL (12M x 5MM)LSN84000</t>
  </si>
  <si>
    <t>CORRECTION TAPE KENKO CT-905 (12M x 5MM)LSN62400</t>
  </si>
  <si>
    <t>0943</t>
  </si>
  <si>
    <t>1103</t>
  </si>
  <si>
    <t>PENKENHITECH028</t>
  </si>
  <si>
    <t>PENKENK1</t>
  </si>
  <si>
    <t>CLIJK155</t>
  </si>
  <si>
    <t>CLIJK280</t>
  </si>
  <si>
    <t>GEL PEN KENKO K-1</t>
  </si>
  <si>
    <t>BINDER CLIP JOYKO 155</t>
  </si>
  <si>
    <t>BINDER CLIP JOYKO 280</t>
  </si>
  <si>
    <t>GEL PEN KENKO HI-TECH-H 0.28 MM</t>
  </si>
  <si>
    <t>1106</t>
  </si>
  <si>
    <t>PENSIL KENKO 2B-6019 ANTIBACTERIAL</t>
  </si>
  <si>
    <t>GUNTING KENKO SC-828</t>
  </si>
  <si>
    <t>GUNTING KENKO SC-838N</t>
  </si>
  <si>
    <t>BINDER CLIP JOYKO 155GRS67800</t>
  </si>
  <si>
    <t>BINDER CLIP JOYKO 280GRS507600</t>
  </si>
  <si>
    <t>GEL PEN KENKO HI-TECH-H 0.28 MMLSN39000</t>
  </si>
  <si>
    <t>GEL PEN KENKO K-1LSN39600</t>
  </si>
  <si>
    <t>GUNTING KENKO SC-828LSN56400</t>
  </si>
  <si>
    <t>GUNTING KENKO SC-838NLSN79800</t>
  </si>
  <si>
    <t>PENSIL KENKO 2B-6019 ANTIBACTERIALGRS102000</t>
  </si>
  <si>
    <t>1120</t>
  </si>
  <si>
    <t>OPJKOP18S</t>
  </si>
  <si>
    <t>CRAYON / OIL PASTEL JOYKO OP-18S PP CASE SEA WORLD</t>
  </si>
  <si>
    <t>OPJKOP36S</t>
  </si>
  <si>
    <t>CRAYON / OIL PASTEL JOYKO OP-36S PP CASE SEA WORLD</t>
  </si>
  <si>
    <t>CRAYON / OIL PASTEL JOYKO OP-36S PP CASE SEA WORLDPCS41500</t>
  </si>
  <si>
    <t>1121</t>
  </si>
  <si>
    <t>TIPKENCT909</t>
  </si>
  <si>
    <t>CORRECTION TAPE KENKO CT-909 (12M x 5MM)</t>
  </si>
  <si>
    <t>CORRECTION TAPE KENKO CT-909 (12M x 5MM)LSN60000</t>
  </si>
  <si>
    <t>0725</t>
  </si>
  <si>
    <t>STAKENHD10MP</t>
  </si>
  <si>
    <t>PENKENSTP100SG</t>
  </si>
  <si>
    <t>PENKENSTP300SG</t>
  </si>
  <si>
    <t>STAND PEN SPIRAL KENKO STP-100SG</t>
  </si>
  <si>
    <t>STAND PEN SPIRAL KENKO STP-300SG</t>
  </si>
  <si>
    <t>STAPLER KENKO HD-10MP</t>
  </si>
  <si>
    <t>PENSIL WARNA KENKO CP-12HALF CLASSIC (PENDEK)LSN79200</t>
  </si>
  <si>
    <t>STAND PEN SPIRAL KENKO STP-100SGLSN54000</t>
  </si>
  <si>
    <t>STAND PEN SPIRAL KENKO STP-300SGLSN49200</t>
  </si>
  <si>
    <t>STAPLER KENKO HD-10MPLSN67200</t>
  </si>
  <si>
    <t>1124</t>
  </si>
  <si>
    <t>PWKEN12WPENDEK</t>
  </si>
  <si>
    <t>CRJK24WPENDEK</t>
  </si>
  <si>
    <t>LLJAB550</t>
  </si>
  <si>
    <t>CLIKEN3100</t>
  </si>
  <si>
    <t>STIKEN40HITAM</t>
  </si>
  <si>
    <t>penkenhitech028funcolorhitam</t>
  </si>
  <si>
    <t>CRAYON / OIL PASTEL PUTAR JOYKO TWCR-24MINI (PENDEK)</t>
  </si>
  <si>
    <t>LOOSE LEAF JOYART B5-2670 (50S)</t>
  </si>
  <si>
    <t>GEL PEN KENKO HI-TECH-H 0.28 MM FUN COLOR</t>
  </si>
  <si>
    <t>PAPER CLIP WARNA KENKO 3100</t>
  </si>
  <si>
    <t>STIP / PENGHAPUS KENKO ERB-40SQ HITAM</t>
  </si>
  <si>
    <t>CRAYON / OIL PASTEL JOYKO OP-18S PP CASE SEA WORLDLSN276000</t>
  </si>
  <si>
    <t>CRAYON / OIL PASTEL PUTAR JOYKO TWCR-24MINI (PENDEK)LSN446400</t>
  </si>
  <si>
    <t>GEL PEN KENKO HI-TECH-H 0.28 MM FUN COLORLSN39000</t>
  </si>
  <si>
    <t>LOOSE LEAF JOYART B5-2670 (50S)PAK5700</t>
  </si>
  <si>
    <t>PAPER CLIP WARNA KENKO 3100LSN41400</t>
  </si>
  <si>
    <t>STIP / PENGHAPUS KENKO ERB-40SQ HITAMPAK27500</t>
  </si>
  <si>
    <t>1073</t>
  </si>
  <si>
    <t>TIPJKCT540</t>
  </si>
  <si>
    <t>TIPJKCT545</t>
  </si>
  <si>
    <t>TIPKENCT809</t>
  </si>
  <si>
    <t>CORRECTION TAPE JOYKO CT-540</t>
  </si>
  <si>
    <t>CORRECTION TAPE JOYKO CT-545</t>
  </si>
  <si>
    <t>CORRECTION TAPE KENKO CT-809 (8M x 5MM)</t>
  </si>
  <si>
    <t>CORRECTION TAPE JOYKO CT-540LSN68400</t>
  </si>
  <si>
    <t>CORRECTION TAPE JOYKO CT-545LSN69600</t>
  </si>
  <si>
    <t>CORRECTION TAPE KENKO CT-809 (8M x 5MM)LSN54000</t>
  </si>
  <si>
    <t>1125</t>
  </si>
  <si>
    <t>1138</t>
  </si>
  <si>
    <t>PAPER TRIGONAL CLIP KENKO NO. 1PAK1700</t>
  </si>
  <si>
    <t>1146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</si>
</sst>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5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95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02-Hitung%20FP%20Keluar%20Februar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</row>
        <row r="4">
          <cell r="D4">
            <v>44959</v>
          </cell>
        </row>
        <row r="6">
          <cell r="D6" t="str">
            <v>KO 0855</v>
          </cell>
        </row>
        <row r="8">
          <cell r="D8" t="str">
            <v>C</v>
          </cell>
          <cell r="K8" t="str">
            <v>Amount</v>
          </cell>
        </row>
        <row r="10">
          <cell r="D10">
            <v>1</v>
          </cell>
          <cell r="K10">
            <v>764208</v>
          </cell>
        </row>
        <row r="11">
          <cell r="D11">
            <v>1</v>
          </cell>
          <cell r="K11">
            <v>964656</v>
          </cell>
        </row>
        <row r="12">
          <cell r="K12">
            <v>0</v>
          </cell>
        </row>
        <row r="13">
          <cell r="K13">
            <v>0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0</v>
          </cell>
        </row>
        <row r="22">
          <cell r="K22">
            <v>0</v>
          </cell>
        </row>
        <row r="23">
          <cell r="K23">
            <v>0</v>
          </cell>
        </row>
        <row r="24">
          <cell r="K24">
            <v>0</v>
          </cell>
        </row>
        <row r="25">
          <cell r="K25">
            <v>0</v>
          </cell>
        </row>
        <row r="30">
          <cell r="K30">
            <v>0</v>
          </cell>
        </row>
        <row r="34">
          <cell r="K34">
            <v>1728864</v>
          </cell>
        </row>
        <row r="40">
          <cell r="D40" t="str">
            <v>AM</v>
          </cell>
        </row>
        <row r="42">
          <cell r="D42">
            <v>44959</v>
          </cell>
        </row>
        <row r="44">
          <cell r="D44" t="str">
            <v>KO 0855</v>
          </cell>
        </row>
        <row r="46">
          <cell r="D46" t="str">
            <v>C</v>
          </cell>
          <cell r="K46" t="str">
            <v>Amount</v>
          </cell>
        </row>
        <row r="48">
          <cell r="D48">
            <v>1</v>
          </cell>
          <cell r="K48">
            <v>764208</v>
          </cell>
        </row>
        <row r="49">
          <cell r="D49">
            <v>1</v>
          </cell>
          <cell r="K49">
            <v>964656</v>
          </cell>
        </row>
        <row r="50">
          <cell r="D50">
            <v>0</v>
          </cell>
          <cell r="K50">
            <v>0</v>
          </cell>
        </row>
        <row r="51">
          <cell r="D51">
            <v>0</v>
          </cell>
          <cell r="K51">
            <v>0</v>
          </cell>
        </row>
        <row r="52">
          <cell r="D52">
            <v>0</v>
          </cell>
          <cell r="K52">
            <v>0</v>
          </cell>
        </row>
        <row r="53">
          <cell r="D53">
            <v>0</v>
          </cell>
          <cell r="K53">
            <v>0</v>
          </cell>
        </row>
        <row r="54">
          <cell r="D54">
            <v>0</v>
          </cell>
          <cell r="K54">
            <v>0</v>
          </cell>
        </row>
        <row r="55">
          <cell r="D55">
            <v>0</v>
          </cell>
          <cell r="K55">
            <v>0</v>
          </cell>
        </row>
        <row r="56">
          <cell r="D56">
            <v>0</v>
          </cell>
          <cell r="K56">
            <v>0</v>
          </cell>
        </row>
        <row r="57">
          <cell r="D57">
            <v>0</v>
          </cell>
          <cell r="K57">
            <v>0</v>
          </cell>
        </row>
        <row r="58">
          <cell r="D58">
            <v>0</v>
          </cell>
          <cell r="K58">
            <v>0</v>
          </cell>
        </row>
        <row r="59">
          <cell r="D59">
            <v>0</v>
          </cell>
          <cell r="K59">
            <v>0</v>
          </cell>
        </row>
        <row r="60">
          <cell r="D60">
            <v>0</v>
          </cell>
          <cell r="K60">
            <v>0</v>
          </cell>
        </row>
        <row r="61">
          <cell r="D61">
            <v>0</v>
          </cell>
          <cell r="K61">
            <v>0</v>
          </cell>
        </row>
        <row r="62">
          <cell r="D62">
            <v>0</v>
          </cell>
          <cell r="K62">
            <v>0</v>
          </cell>
        </row>
        <row r="63">
          <cell r="D63">
            <v>0</v>
          </cell>
          <cell r="K63">
            <v>0</v>
          </cell>
        </row>
        <row r="68">
          <cell r="K68">
            <v>0</v>
          </cell>
        </row>
        <row r="72">
          <cell r="K72">
            <v>1728864</v>
          </cell>
        </row>
        <row r="78">
          <cell r="D78" t="str">
            <v>AM</v>
          </cell>
        </row>
        <row r="80">
          <cell r="D80">
            <v>44959</v>
          </cell>
        </row>
        <row r="82">
          <cell r="D82" t="str">
            <v>KO 0855</v>
          </cell>
        </row>
        <row r="84">
          <cell r="D84" t="str">
            <v>C</v>
          </cell>
          <cell r="K84" t="str">
            <v>Amount</v>
          </cell>
        </row>
        <row r="86">
          <cell r="D86">
            <v>1</v>
          </cell>
          <cell r="K86">
            <v>764208</v>
          </cell>
        </row>
        <row r="87">
          <cell r="D87">
            <v>1</v>
          </cell>
          <cell r="K87">
            <v>964656</v>
          </cell>
        </row>
        <row r="88">
          <cell r="D88">
            <v>0</v>
          </cell>
          <cell r="K88">
            <v>0</v>
          </cell>
        </row>
        <row r="89">
          <cell r="D89">
            <v>0</v>
          </cell>
          <cell r="K89">
            <v>0</v>
          </cell>
        </row>
        <row r="90">
          <cell r="D90">
            <v>0</v>
          </cell>
          <cell r="K90">
            <v>0</v>
          </cell>
        </row>
        <row r="91">
          <cell r="D91">
            <v>0</v>
          </cell>
          <cell r="K91">
            <v>0</v>
          </cell>
        </row>
        <row r="92">
          <cell r="D92">
            <v>0</v>
          </cell>
          <cell r="K92">
            <v>0</v>
          </cell>
        </row>
        <row r="93">
          <cell r="D93">
            <v>0</v>
          </cell>
          <cell r="K93">
            <v>0</v>
          </cell>
        </row>
        <row r="94">
          <cell r="D94">
            <v>0</v>
          </cell>
          <cell r="K94">
            <v>0</v>
          </cell>
        </row>
        <row r="95">
          <cell r="D95">
            <v>0</v>
          </cell>
          <cell r="K95">
            <v>0</v>
          </cell>
        </row>
        <row r="96">
          <cell r="D96">
            <v>0</v>
          </cell>
          <cell r="K96">
            <v>0</v>
          </cell>
        </row>
        <row r="97">
          <cell r="D97">
            <v>0</v>
          </cell>
          <cell r="K97">
            <v>0</v>
          </cell>
        </row>
        <row r="98">
          <cell r="D98">
            <v>0</v>
          </cell>
          <cell r="K98">
            <v>0</v>
          </cell>
        </row>
        <row r="99">
          <cell r="D99">
            <v>0</v>
          </cell>
          <cell r="K99">
            <v>0</v>
          </cell>
        </row>
        <row r="100">
          <cell r="D100">
            <v>0</v>
          </cell>
          <cell r="K100">
            <v>0</v>
          </cell>
        </row>
        <row r="101">
          <cell r="D101">
            <v>0</v>
          </cell>
          <cell r="K101">
            <v>0</v>
          </cell>
        </row>
        <row r="106">
          <cell r="K106">
            <v>0</v>
          </cell>
        </row>
        <row r="110">
          <cell r="K110">
            <v>1728864</v>
          </cell>
        </row>
        <row r="116">
          <cell r="D116" t="str">
            <v>AM</v>
          </cell>
        </row>
        <row r="118">
          <cell r="D118">
            <v>44960</v>
          </cell>
        </row>
        <row r="120">
          <cell r="D120" t="str">
            <v>KO 0832</v>
          </cell>
        </row>
        <row r="122">
          <cell r="D122" t="str">
            <v>C</v>
          </cell>
          <cell r="K122" t="str">
            <v>Amount</v>
          </cell>
        </row>
        <row r="124">
          <cell r="D124">
            <v>3</v>
          </cell>
          <cell r="K124">
            <v>2322000</v>
          </cell>
        </row>
        <row r="125">
          <cell r="D125">
            <v>1</v>
          </cell>
          <cell r="K125">
            <v>1032000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4">
          <cell r="K144">
            <v>0</v>
          </cell>
        </row>
        <row r="148">
          <cell r="K148">
            <v>3354000</v>
          </cell>
        </row>
        <row r="154">
          <cell r="D154" t="str">
            <v>AM</v>
          </cell>
        </row>
        <row r="156">
          <cell r="D156">
            <v>44960</v>
          </cell>
        </row>
        <row r="158">
          <cell r="D158" t="str">
            <v>KO 0832</v>
          </cell>
        </row>
        <row r="160">
          <cell r="D160" t="str">
            <v>C</v>
          </cell>
          <cell r="K160" t="str">
            <v>Amount</v>
          </cell>
        </row>
        <row r="162">
          <cell r="D162">
            <v>3</v>
          </cell>
          <cell r="K162">
            <v>2322000</v>
          </cell>
        </row>
        <row r="163">
          <cell r="D163">
            <v>1</v>
          </cell>
          <cell r="K163">
            <v>1032000</v>
          </cell>
        </row>
        <row r="164">
          <cell r="D164">
            <v>0</v>
          </cell>
          <cell r="K164">
            <v>0</v>
          </cell>
        </row>
        <row r="165">
          <cell r="D165">
            <v>0</v>
          </cell>
          <cell r="K165">
            <v>0</v>
          </cell>
        </row>
        <row r="166">
          <cell r="D166">
            <v>0</v>
          </cell>
          <cell r="K166">
            <v>0</v>
          </cell>
        </row>
        <row r="167">
          <cell r="D167">
            <v>0</v>
          </cell>
          <cell r="K167">
            <v>0</v>
          </cell>
        </row>
        <row r="168">
          <cell r="D168">
            <v>0</v>
          </cell>
          <cell r="K168">
            <v>0</v>
          </cell>
        </row>
        <row r="169">
          <cell r="D169">
            <v>0</v>
          </cell>
          <cell r="K169">
            <v>0</v>
          </cell>
        </row>
        <row r="170">
          <cell r="D170">
            <v>0</v>
          </cell>
          <cell r="K170">
            <v>0</v>
          </cell>
        </row>
        <row r="171">
          <cell r="D171">
            <v>0</v>
          </cell>
          <cell r="K171">
            <v>0</v>
          </cell>
        </row>
        <row r="172">
          <cell r="D172">
            <v>0</v>
          </cell>
          <cell r="K172">
            <v>0</v>
          </cell>
        </row>
        <row r="173">
          <cell r="D173">
            <v>0</v>
          </cell>
          <cell r="K173">
            <v>0</v>
          </cell>
        </row>
        <row r="174">
          <cell r="D174">
            <v>0</v>
          </cell>
          <cell r="K174">
            <v>0</v>
          </cell>
        </row>
        <row r="175">
          <cell r="D175">
            <v>0</v>
          </cell>
          <cell r="K175">
            <v>0</v>
          </cell>
        </row>
        <row r="176">
          <cell r="D176">
            <v>0</v>
          </cell>
          <cell r="K176">
            <v>0</v>
          </cell>
        </row>
        <row r="177">
          <cell r="D177">
            <v>0</v>
          </cell>
          <cell r="K177">
            <v>0</v>
          </cell>
        </row>
        <row r="182">
          <cell r="K182">
            <v>0</v>
          </cell>
        </row>
        <row r="186">
          <cell r="K186">
            <v>3354000</v>
          </cell>
        </row>
        <row r="192">
          <cell r="D192" t="str">
            <v>AM</v>
          </cell>
        </row>
        <row r="194">
          <cell r="D194">
            <v>44960</v>
          </cell>
        </row>
        <row r="196">
          <cell r="D196" t="str">
            <v>KO 0832</v>
          </cell>
        </row>
        <row r="198">
          <cell r="D198" t="str">
            <v>C</v>
          </cell>
          <cell r="K198" t="str">
            <v>Amount</v>
          </cell>
        </row>
        <row r="200">
          <cell r="D200">
            <v>3</v>
          </cell>
          <cell r="K200">
            <v>2322000</v>
          </cell>
        </row>
        <row r="201">
          <cell r="D201">
            <v>1</v>
          </cell>
          <cell r="K201">
            <v>1032000</v>
          </cell>
        </row>
        <row r="202">
          <cell r="D202">
            <v>0</v>
          </cell>
          <cell r="K202">
            <v>0</v>
          </cell>
        </row>
        <row r="203">
          <cell r="D203">
            <v>0</v>
          </cell>
          <cell r="K203">
            <v>0</v>
          </cell>
        </row>
        <row r="204">
          <cell r="D204">
            <v>0</v>
          </cell>
          <cell r="K204">
            <v>0</v>
          </cell>
        </row>
        <row r="205">
          <cell r="D205">
            <v>0</v>
          </cell>
          <cell r="K205">
            <v>0</v>
          </cell>
        </row>
        <row r="206">
          <cell r="D206">
            <v>0</v>
          </cell>
          <cell r="K206">
            <v>0</v>
          </cell>
        </row>
        <row r="207">
          <cell r="D207">
            <v>0</v>
          </cell>
          <cell r="K207">
            <v>0</v>
          </cell>
        </row>
        <row r="208">
          <cell r="D208">
            <v>0</v>
          </cell>
          <cell r="K208">
            <v>0</v>
          </cell>
        </row>
        <row r="209">
          <cell r="D209">
            <v>0</v>
          </cell>
          <cell r="K209">
            <v>0</v>
          </cell>
        </row>
        <row r="210">
          <cell r="D210">
            <v>0</v>
          </cell>
          <cell r="K210">
            <v>0</v>
          </cell>
        </row>
        <row r="211">
          <cell r="D211">
            <v>0</v>
          </cell>
          <cell r="K211">
            <v>0</v>
          </cell>
        </row>
        <row r="212">
          <cell r="D212">
            <v>0</v>
          </cell>
          <cell r="K212">
            <v>0</v>
          </cell>
        </row>
        <row r="213">
          <cell r="D213">
            <v>0</v>
          </cell>
          <cell r="K213">
            <v>0</v>
          </cell>
        </row>
        <row r="214">
          <cell r="D214">
            <v>0</v>
          </cell>
          <cell r="K214">
            <v>0</v>
          </cell>
        </row>
        <row r="215">
          <cell r="D215">
            <v>0</v>
          </cell>
          <cell r="K215">
            <v>0</v>
          </cell>
        </row>
        <row r="220">
          <cell r="K220">
            <v>0</v>
          </cell>
        </row>
        <row r="224">
          <cell r="K224">
            <v>3354000</v>
          </cell>
        </row>
        <row r="230">
          <cell r="D230" t="str">
            <v>AM</v>
          </cell>
        </row>
        <row r="232">
          <cell r="D232">
            <v>44960</v>
          </cell>
        </row>
        <row r="234">
          <cell r="D234" t="str">
            <v>KO 0834</v>
          </cell>
        </row>
        <row r="236">
          <cell r="D236" t="str">
            <v>C</v>
          </cell>
          <cell r="K236" t="str">
            <v>Amount</v>
          </cell>
        </row>
        <row r="238">
          <cell r="K238">
            <v>16909020</v>
          </cell>
        </row>
        <row r="239">
          <cell r="K239">
            <v>1972200</v>
          </cell>
        </row>
        <row r="240">
          <cell r="K240">
            <v>4826700</v>
          </cell>
        </row>
        <row r="241">
          <cell r="K241">
            <v>4068960</v>
          </cell>
        </row>
        <row r="242">
          <cell r="K242">
            <v>2179800</v>
          </cell>
        </row>
        <row r="243">
          <cell r="K243">
            <v>0</v>
          </cell>
        </row>
        <row r="244">
          <cell r="K244">
            <v>0</v>
          </cell>
        </row>
        <row r="245">
          <cell r="K245">
            <v>0</v>
          </cell>
        </row>
        <row r="246">
          <cell r="K246">
            <v>0</v>
          </cell>
        </row>
        <row r="247">
          <cell r="K247">
            <v>0</v>
          </cell>
        </row>
        <row r="248">
          <cell r="K248">
            <v>0</v>
          </cell>
        </row>
        <row r="249">
          <cell r="K249">
            <v>0</v>
          </cell>
        </row>
        <row r="250">
          <cell r="K250">
            <v>0</v>
          </cell>
        </row>
        <row r="251">
          <cell r="K251">
            <v>0</v>
          </cell>
        </row>
        <row r="252">
          <cell r="K252">
            <v>0</v>
          </cell>
        </row>
        <row r="253">
          <cell r="K253">
            <v>0</v>
          </cell>
        </row>
        <row r="258">
          <cell r="K258">
            <v>0</v>
          </cell>
        </row>
        <row r="262">
          <cell r="K262">
            <v>29956680</v>
          </cell>
        </row>
        <row r="268">
          <cell r="D268" t="str">
            <v>AM</v>
          </cell>
        </row>
        <row r="270">
          <cell r="D270">
            <v>44960</v>
          </cell>
        </row>
        <row r="272">
          <cell r="D272" t="str">
            <v>KO 0834</v>
          </cell>
        </row>
        <row r="274">
          <cell r="D274" t="str">
            <v>C</v>
          </cell>
          <cell r="K274" t="str">
            <v>Amount</v>
          </cell>
        </row>
        <row r="276">
          <cell r="D276">
            <v>0</v>
          </cell>
          <cell r="K276">
            <v>16909020</v>
          </cell>
        </row>
        <row r="277">
          <cell r="D277">
            <v>0</v>
          </cell>
          <cell r="K277">
            <v>1972200</v>
          </cell>
        </row>
        <row r="278">
          <cell r="D278">
            <v>0</v>
          </cell>
          <cell r="K278">
            <v>4826700</v>
          </cell>
        </row>
        <row r="279">
          <cell r="D279">
            <v>0</v>
          </cell>
          <cell r="K279">
            <v>4068960</v>
          </cell>
        </row>
        <row r="280">
          <cell r="D280">
            <v>0</v>
          </cell>
          <cell r="K280">
            <v>2179800</v>
          </cell>
        </row>
        <row r="281">
          <cell r="D281">
            <v>0</v>
          </cell>
          <cell r="K281">
            <v>0</v>
          </cell>
        </row>
        <row r="282">
          <cell r="D282">
            <v>0</v>
          </cell>
          <cell r="K282">
            <v>0</v>
          </cell>
        </row>
        <row r="283">
          <cell r="D283">
            <v>0</v>
          </cell>
          <cell r="K283">
            <v>0</v>
          </cell>
        </row>
        <row r="284">
          <cell r="D284">
            <v>0</v>
          </cell>
          <cell r="K284">
            <v>0</v>
          </cell>
        </row>
        <row r="285">
          <cell r="D285">
            <v>0</v>
          </cell>
          <cell r="K285">
            <v>0</v>
          </cell>
        </row>
        <row r="286">
          <cell r="D286">
            <v>0</v>
          </cell>
          <cell r="K286">
            <v>0</v>
          </cell>
        </row>
        <row r="287">
          <cell r="D287">
            <v>0</v>
          </cell>
          <cell r="K287">
            <v>0</v>
          </cell>
        </row>
        <row r="288">
          <cell r="D288">
            <v>0</v>
          </cell>
          <cell r="K288">
            <v>0</v>
          </cell>
        </row>
        <row r="289">
          <cell r="D289">
            <v>0</v>
          </cell>
          <cell r="K289">
            <v>0</v>
          </cell>
        </row>
        <row r="290">
          <cell r="D290">
            <v>0</v>
          </cell>
          <cell r="K290">
            <v>0</v>
          </cell>
        </row>
        <row r="291">
          <cell r="D291">
            <v>0</v>
          </cell>
          <cell r="K291">
            <v>0</v>
          </cell>
        </row>
        <row r="296">
          <cell r="K296">
            <v>0</v>
          </cell>
        </row>
        <row r="300">
          <cell r="K300">
            <v>29956680</v>
          </cell>
        </row>
        <row r="306">
          <cell r="D306" t="str">
            <v>AM</v>
          </cell>
        </row>
        <row r="308">
          <cell r="D308">
            <v>44960</v>
          </cell>
        </row>
        <row r="310">
          <cell r="D310" t="str">
            <v>KO 0834</v>
          </cell>
        </row>
        <row r="312">
          <cell r="D312" t="str">
            <v>C</v>
          </cell>
          <cell r="K312" t="str">
            <v>Amount</v>
          </cell>
        </row>
        <row r="314">
          <cell r="D314">
            <v>0</v>
          </cell>
          <cell r="K314">
            <v>16909020</v>
          </cell>
        </row>
        <row r="315">
          <cell r="D315">
            <v>0</v>
          </cell>
          <cell r="K315">
            <v>1972200</v>
          </cell>
        </row>
        <row r="316">
          <cell r="D316">
            <v>0</v>
          </cell>
          <cell r="K316">
            <v>4826700</v>
          </cell>
        </row>
        <row r="317">
          <cell r="D317">
            <v>0</v>
          </cell>
          <cell r="K317">
            <v>4068960</v>
          </cell>
        </row>
        <row r="318">
          <cell r="D318">
            <v>0</v>
          </cell>
          <cell r="K318">
            <v>2179800</v>
          </cell>
        </row>
        <row r="319">
          <cell r="D319">
            <v>0</v>
          </cell>
          <cell r="K319">
            <v>0</v>
          </cell>
        </row>
        <row r="320">
          <cell r="D320">
            <v>0</v>
          </cell>
          <cell r="K320">
            <v>0</v>
          </cell>
        </row>
        <row r="321">
          <cell r="D321">
            <v>0</v>
          </cell>
          <cell r="K321">
            <v>0</v>
          </cell>
        </row>
        <row r="322">
          <cell r="D322">
            <v>0</v>
          </cell>
          <cell r="K322">
            <v>0</v>
          </cell>
        </row>
        <row r="323">
          <cell r="D323">
            <v>0</v>
          </cell>
          <cell r="K323">
            <v>0</v>
          </cell>
        </row>
        <row r="324">
          <cell r="D324">
            <v>0</v>
          </cell>
          <cell r="K324">
            <v>0</v>
          </cell>
        </row>
        <row r="325">
          <cell r="D325">
            <v>0</v>
          </cell>
          <cell r="K325">
            <v>0</v>
          </cell>
        </row>
        <row r="326">
          <cell r="D326">
            <v>0</v>
          </cell>
          <cell r="K326">
            <v>0</v>
          </cell>
        </row>
        <row r="327">
          <cell r="D327">
            <v>0</v>
          </cell>
          <cell r="K327">
            <v>0</v>
          </cell>
        </row>
        <row r="328">
          <cell r="D328">
            <v>0</v>
          </cell>
          <cell r="K328">
            <v>0</v>
          </cell>
        </row>
        <row r="329">
          <cell r="D329">
            <v>0</v>
          </cell>
          <cell r="K329">
            <v>0</v>
          </cell>
        </row>
        <row r="334">
          <cell r="K334">
            <v>0</v>
          </cell>
        </row>
        <row r="338">
          <cell r="K338">
            <v>29956680</v>
          </cell>
        </row>
        <row r="344">
          <cell r="D344" t="str">
            <v>AM</v>
          </cell>
        </row>
        <row r="346">
          <cell r="D346">
            <v>44961</v>
          </cell>
        </row>
        <row r="348">
          <cell r="D348" t="str">
            <v>KO 0862</v>
          </cell>
        </row>
        <row r="350">
          <cell r="D350" t="str">
            <v>C</v>
          </cell>
          <cell r="K350" t="str">
            <v>Amount</v>
          </cell>
        </row>
        <row r="352">
          <cell r="D352">
            <v>1</v>
          </cell>
          <cell r="K352">
            <v>1783500</v>
          </cell>
        </row>
        <row r="353">
          <cell r="D353">
            <v>2</v>
          </cell>
          <cell r="K353">
            <v>4660416</v>
          </cell>
        </row>
        <row r="354">
          <cell r="D354">
            <v>2</v>
          </cell>
          <cell r="K354">
            <v>2255040</v>
          </cell>
        </row>
        <row r="355">
          <cell r="D355">
            <v>2</v>
          </cell>
          <cell r="K355">
            <v>5186592</v>
          </cell>
        </row>
        <row r="356">
          <cell r="D356" t="str">
            <v/>
          </cell>
          <cell r="K356">
            <v>587250</v>
          </cell>
        </row>
        <row r="357">
          <cell r="D357" t="str">
            <v/>
          </cell>
          <cell r="K357">
            <v>323640</v>
          </cell>
        </row>
        <row r="358">
          <cell r="D358" t="str">
            <v/>
          </cell>
          <cell r="K358">
            <v>383670</v>
          </cell>
        </row>
        <row r="359">
          <cell r="K359">
            <v>0</v>
          </cell>
        </row>
        <row r="360">
          <cell r="K360">
            <v>0</v>
          </cell>
        </row>
        <row r="361">
          <cell r="K361">
            <v>0</v>
          </cell>
        </row>
        <row r="362">
          <cell r="K362">
            <v>0</v>
          </cell>
        </row>
        <row r="363">
          <cell r="K363">
            <v>0</v>
          </cell>
        </row>
        <row r="364">
          <cell r="K364">
            <v>0</v>
          </cell>
        </row>
        <row r="365">
          <cell r="K365">
            <v>0</v>
          </cell>
        </row>
        <row r="366">
          <cell r="K366">
            <v>0</v>
          </cell>
        </row>
        <row r="367">
          <cell r="K367">
            <v>0</v>
          </cell>
        </row>
        <row r="372">
          <cell r="K372">
            <v>0</v>
          </cell>
        </row>
        <row r="376">
          <cell r="K376">
            <v>15180108</v>
          </cell>
        </row>
        <row r="382">
          <cell r="D382" t="str">
            <v>AM</v>
          </cell>
        </row>
        <row r="384">
          <cell r="D384">
            <v>44961</v>
          </cell>
        </row>
        <row r="386">
          <cell r="D386" t="str">
            <v>KO 0862</v>
          </cell>
        </row>
        <row r="388">
          <cell r="D388" t="str">
            <v>C</v>
          </cell>
          <cell r="K388" t="str">
            <v>Amount</v>
          </cell>
        </row>
        <row r="390">
          <cell r="D390">
            <v>1</v>
          </cell>
          <cell r="K390">
            <v>1783500</v>
          </cell>
        </row>
        <row r="391">
          <cell r="D391">
            <v>2</v>
          </cell>
          <cell r="K391">
            <v>4660416</v>
          </cell>
        </row>
        <row r="392">
          <cell r="D392">
            <v>2</v>
          </cell>
          <cell r="K392">
            <v>2255040</v>
          </cell>
        </row>
        <row r="393">
          <cell r="D393">
            <v>2</v>
          </cell>
          <cell r="K393">
            <v>5186592</v>
          </cell>
        </row>
        <row r="394">
          <cell r="D394" t="str">
            <v/>
          </cell>
          <cell r="K394">
            <v>587250</v>
          </cell>
        </row>
        <row r="395">
          <cell r="D395" t="str">
            <v/>
          </cell>
          <cell r="K395">
            <v>323640</v>
          </cell>
        </row>
        <row r="396">
          <cell r="D396" t="str">
            <v/>
          </cell>
          <cell r="K396">
            <v>383670</v>
          </cell>
        </row>
        <row r="397">
          <cell r="D397">
            <v>0</v>
          </cell>
          <cell r="K397">
            <v>0</v>
          </cell>
        </row>
        <row r="398">
          <cell r="D398">
            <v>0</v>
          </cell>
          <cell r="K398">
            <v>0</v>
          </cell>
        </row>
        <row r="399">
          <cell r="D399">
            <v>0</v>
          </cell>
          <cell r="K399">
            <v>0</v>
          </cell>
        </row>
        <row r="400">
          <cell r="D400">
            <v>0</v>
          </cell>
          <cell r="K400">
            <v>0</v>
          </cell>
        </row>
        <row r="401">
          <cell r="D401">
            <v>0</v>
          </cell>
          <cell r="K401">
            <v>0</v>
          </cell>
        </row>
        <row r="402">
          <cell r="D402">
            <v>0</v>
          </cell>
          <cell r="K402">
            <v>0</v>
          </cell>
        </row>
        <row r="403">
          <cell r="D403">
            <v>0</v>
          </cell>
          <cell r="K403">
            <v>0</v>
          </cell>
        </row>
        <row r="404">
          <cell r="D404">
            <v>0</v>
          </cell>
          <cell r="K404">
            <v>0</v>
          </cell>
        </row>
        <row r="405">
          <cell r="D405">
            <v>0</v>
          </cell>
          <cell r="K405">
            <v>0</v>
          </cell>
        </row>
        <row r="410">
          <cell r="K410">
            <v>0</v>
          </cell>
        </row>
        <row r="414">
          <cell r="K414">
            <v>15180108</v>
          </cell>
        </row>
        <row r="420">
          <cell r="D420" t="str">
            <v>AM</v>
          </cell>
        </row>
        <row r="422">
          <cell r="D422">
            <v>44961</v>
          </cell>
        </row>
        <row r="424">
          <cell r="D424" t="str">
            <v>KO 0862</v>
          </cell>
        </row>
        <row r="426">
          <cell r="D426" t="str">
            <v>C</v>
          </cell>
          <cell r="K426" t="str">
            <v>Amount</v>
          </cell>
        </row>
        <row r="428">
          <cell r="D428">
            <v>1</v>
          </cell>
          <cell r="K428">
            <v>1783500</v>
          </cell>
        </row>
        <row r="429">
          <cell r="D429">
            <v>2</v>
          </cell>
          <cell r="K429">
            <v>4660416</v>
          </cell>
        </row>
        <row r="430">
          <cell r="D430">
            <v>2</v>
          </cell>
          <cell r="K430">
            <v>2255040</v>
          </cell>
        </row>
        <row r="431">
          <cell r="D431">
            <v>2</v>
          </cell>
          <cell r="K431">
            <v>5186592</v>
          </cell>
        </row>
        <row r="432">
          <cell r="D432" t="str">
            <v/>
          </cell>
          <cell r="K432">
            <v>587250</v>
          </cell>
        </row>
        <row r="433">
          <cell r="D433" t="str">
            <v/>
          </cell>
          <cell r="K433">
            <v>323640</v>
          </cell>
        </row>
        <row r="434">
          <cell r="D434" t="str">
            <v/>
          </cell>
          <cell r="K434">
            <v>383670</v>
          </cell>
        </row>
        <row r="435">
          <cell r="D435">
            <v>0</v>
          </cell>
          <cell r="K435">
            <v>0</v>
          </cell>
        </row>
        <row r="436">
          <cell r="D436">
            <v>0</v>
          </cell>
          <cell r="K436">
            <v>0</v>
          </cell>
        </row>
        <row r="437">
          <cell r="D437">
            <v>0</v>
          </cell>
          <cell r="K437">
            <v>0</v>
          </cell>
        </row>
        <row r="438">
          <cell r="D438">
            <v>0</v>
          </cell>
          <cell r="K438">
            <v>0</v>
          </cell>
        </row>
        <row r="439">
          <cell r="D439">
            <v>0</v>
          </cell>
          <cell r="K439">
            <v>0</v>
          </cell>
        </row>
        <row r="440">
          <cell r="D440">
            <v>0</v>
          </cell>
          <cell r="K440">
            <v>0</v>
          </cell>
        </row>
        <row r="441">
          <cell r="D441">
            <v>0</v>
          </cell>
          <cell r="K441">
            <v>0</v>
          </cell>
        </row>
        <row r="442">
          <cell r="D442">
            <v>0</v>
          </cell>
          <cell r="K442">
            <v>0</v>
          </cell>
        </row>
        <row r="443">
          <cell r="D443">
            <v>0</v>
          </cell>
          <cell r="K443">
            <v>0</v>
          </cell>
        </row>
        <row r="448">
          <cell r="K448">
            <v>0</v>
          </cell>
        </row>
        <row r="452">
          <cell r="K452">
            <v>15180108</v>
          </cell>
        </row>
        <row r="458">
          <cell r="D458" t="str">
            <v>AM</v>
          </cell>
        </row>
        <row r="460">
          <cell r="D460">
            <v>44961</v>
          </cell>
        </row>
        <row r="462">
          <cell r="D462" t="str">
            <v>KO 0863</v>
          </cell>
        </row>
        <row r="464">
          <cell r="D464" t="str">
            <v>C</v>
          </cell>
          <cell r="K464" t="str">
            <v>Amount</v>
          </cell>
        </row>
        <row r="466">
          <cell r="D466">
            <v>2</v>
          </cell>
          <cell r="K466">
            <v>3662064</v>
          </cell>
        </row>
        <row r="467">
          <cell r="D467">
            <v>1</v>
          </cell>
          <cell r="K467">
            <v>1831032</v>
          </cell>
        </row>
        <row r="468">
          <cell r="K468">
            <v>0</v>
          </cell>
        </row>
        <row r="469">
          <cell r="K469">
            <v>0</v>
          </cell>
        </row>
        <row r="470">
          <cell r="K470">
            <v>0</v>
          </cell>
        </row>
        <row r="471">
          <cell r="K471">
            <v>0</v>
          </cell>
        </row>
        <row r="472">
          <cell r="K472">
            <v>0</v>
          </cell>
        </row>
        <row r="473">
          <cell r="K473">
            <v>0</v>
          </cell>
        </row>
        <row r="474">
          <cell r="K474">
            <v>0</v>
          </cell>
        </row>
        <row r="475">
          <cell r="K475">
            <v>0</v>
          </cell>
        </row>
        <row r="476">
          <cell r="K476">
            <v>0</v>
          </cell>
        </row>
        <row r="477">
          <cell r="K477">
            <v>0</v>
          </cell>
        </row>
        <row r="478">
          <cell r="K478">
            <v>0</v>
          </cell>
        </row>
        <row r="479">
          <cell r="K479">
            <v>0</v>
          </cell>
        </row>
        <row r="480">
          <cell r="K480">
            <v>0</v>
          </cell>
        </row>
        <row r="481">
          <cell r="K481">
            <v>0</v>
          </cell>
        </row>
        <row r="486">
          <cell r="K486">
            <v>0</v>
          </cell>
        </row>
        <row r="490">
          <cell r="K490">
            <v>5493096</v>
          </cell>
        </row>
        <row r="496">
          <cell r="D496" t="str">
            <v>AM</v>
          </cell>
        </row>
        <row r="498">
          <cell r="D498">
            <v>44961</v>
          </cell>
        </row>
        <row r="500">
          <cell r="D500" t="str">
            <v>KO 0863</v>
          </cell>
        </row>
        <row r="502">
          <cell r="D502" t="str">
            <v>C</v>
          </cell>
          <cell r="K502" t="str">
            <v>Amount</v>
          </cell>
        </row>
        <row r="504">
          <cell r="D504">
            <v>2</v>
          </cell>
          <cell r="K504">
            <v>3662064</v>
          </cell>
        </row>
        <row r="505">
          <cell r="D505">
            <v>1</v>
          </cell>
          <cell r="K505">
            <v>1831032</v>
          </cell>
        </row>
        <row r="506">
          <cell r="D506">
            <v>0</v>
          </cell>
          <cell r="K506">
            <v>0</v>
          </cell>
        </row>
        <row r="507">
          <cell r="D507">
            <v>0</v>
          </cell>
          <cell r="K507">
            <v>0</v>
          </cell>
        </row>
        <row r="508">
          <cell r="D508">
            <v>0</v>
          </cell>
          <cell r="K508">
            <v>0</v>
          </cell>
        </row>
        <row r="509">
          <cell r="D509">
            <v>0</v>
          </cell>
          <cell r="K509">
            <v>0</v>
          </cell>
        </row>
        <row r="510">
          <cell r="D510">
            <v>0</v>
          </cell>
          <cell r="K510">
            <v>0</v>
          </cell>
        </row>
        <row r="511">
          <cell r="D511">
            <v>0</v>
          </cell>
          <cell r="K511">
            <v>0</v>
          </cell>
        </row>
        <row r="512">
          <cell r="D512">
            <v>0</v>
          </cell>
          <cell r="K512">
            <v>0</v>
          </cell>
        </row>
        <row r="513">
          <cell r="D513">
            <v>0</v>
          </cell>
          <cell r="K513">
            <v>0</v>
          </cell>
        </row>
        <row r="514">
          <cell r="D514">
            <v>0</v>
          </cell>
          <cell r="K514">
            <v>0</v>
          </cell>
        </row>
        <row r="515">
          <cell r="D515">
            <v>0</v>
          </cell>
          <cell r="K515">
            <v>0</v>
          </cell>
        </row>
        <row r="516">
          <cell r="D516">
            <v>0</v>
          </cell>
          <cell r="K516">
            <v>0</v>
          </cell>
        </row>
        <row r="517">
          <cell r="D517">
            <v>0</v>
          </cell>
          <cell r="K517">
            <v>0</v>
          </cell>
        </row>
        <row r="518">
          <cell r="D518">
            <v>0</v>
          </cell>
          <cell r="K518">
            <v>0</v>
          </cell>
        </row>
        <row r="519">
          <cell r="D519">
            <v>0</v>
          </cell>
          <cell r="K519">
            <v>0</v>
          </cell>
        </row>
        <row r="524">
          <cell r="K524">
            <v>0</v>
          </cell>
        </row>
        <row r="528">
          <cell r="K528">
            <v>5493096</v>
          </cell>
        </row>
        <row r="534">
          <cell r="D534" t="str">
            <v>AM</v>
          </cell>
        </row>
        <row r="536">
          <cell r="D536">
            <v>44961</v>
          </cell>
        </row>
        <row r="538">
          <cell r="D538" t="str">
            <v>KO 0863</v>
          </cell>
        </row>
        <row r="540">
          <cell r="D540" t="str">
            <v>C</v>
          </cell>
          <cell r="K540" t="str">
            <v>Amount</v>
          </cell>
        </row>
        <row r="542">
          <cell r="D542">
            <v>2</v>
          </cell>
          <cell r="K542">
            <v>3662064</v>
          </cell>
        </row>
        <row r="543">
          <cell r="D543">
            <v>1</v>
          </cell>
          <cell r="K543">
            <v>1831032</v>
          </cell>
        </row>
        <row r="544">
          <cell r="D544">
            <v>0</v>
          </cell>
          <cell r="K544">
            <v>0</v>
          </cell>
        </row>
        <row r="545">
          <cell r="D545">
            <v>0</v>
          </cell>
          <cell r="K545">
            <v>0</v>
          </cell>
        </row>
        <row r="546">
          <cell r="D546">
            <v>0</v>
          </cell>
          <cell r="K546">
            <v>0</v>
          </cell>
        </row>
        <row r="547">
          <cell r="D547">
            <v>0</v>
          </cell>
          <cell r="K547">
            <v>0</v>
          </cell>
        </row>
        <row r="548">
          <cell r="D548">
            <v>0</v>
          </cell>
          <cell r="K548">
            <v>0</v>
          </cell>
        </row>
        <row r="549">
          <cell r="D549">
            <v>0</v>
          </cell>
          <cell r="K549">
            <v>0</v>
          </cell>
        </row>
        <row r="550">
          <cell r="D550">
            <v>0</v>
          </cell>
          <cell r="K550">
            <v>0</v>
          </cell>
        </row>
        <row r="551">
          <cell r="D551">
            <v>0</v>
          </cell>
          <cell r="K551">
            <v>0</v>
          </cell>
        </row>
        <row r="552">
          <cell r="D552">
            <v>0</v>
          </cell>
          <cell r="K552">
            <v>0</v>
          </cell>
        </row>
        <row r="553">
          <cell r="D553">
            <v>0</v>
          </cell>
          <cell r="K553">
            <v>0</v>
          </cell>
        </row>
        <row r="554">
          <cell r="D554">
            <v>0</v>
          </cell>
          <cell r="K554">
            <v>0</v>
          </cell>
        </row>
        <row r="555">
          <cell r="D555">
            <v>0</v>
          </cell>
          <cell r="K555">
            <v>0</v>
          </cell>
        </row>
        <row r="556">
          <cell r="D556">
            <v>0</v>
          </cell>
          <cell r="K556">
            <v>0</v>
          </cell>
        </row>
        <row r="557">
          <cell r="D557">
            <v>0</v>
          </cell>
          <cell r="K557">
            <v>0</v>
          </cell>
        </row>
        <row r="562">
          <cell r="K562">
            <v>0</v>
          </cell>
        </row>
        <row r="566">
          <cell r="K566">
            <v>5493096</v>
          </cell>
        </row>
        <row r="572">
          <cell r="D572" t="str">
            <v>AM</v>
          </cell>
        </row>
        <row r="574">
          <cell r="D574">
            <v>44963</v>
          </cell>
        </row>
        <row r="576">
          <cell r="D576" t="str">
            <v>G 0793</v>
          </cell>
        </row>
        <row r="578">
          <cell r="D578" t="str">
            <v>C</v>
          </cell>
          <cell r="K578" t="str">
            <v>Amount</v>
          </cell>
        </row>
        <row r="580">
          <cell r="D580">
            <v>1</v>
          </cell>
          <cell r="K580">
            <v>1852200</v>
          </cell>
        </row>
        <row r="581">
          <cell r="D581">
            <v>2</v>
          </cell>
          <cell r="K581">
            <v>466200</v>
          </cell>
        </row>
        <row r="582">
          <cell r="D582">
            <v>1</v>
          </cell>
          <cell r="K582">
            <v>1827000</v>
          </cell>
        </row>
        <row r="583">
          <cell r="D583">
            <v>1</v>
          </cell>
          <cell r="K583">
            <v>4914000</v>
          </cell>
        </row>
        <row r="584">
          <cell r="D584">
            <v>1</v>
          </cell>
          <cell r="K584">
            <v>781200</v>
          </cell>
        </row>
        <row r="585">
          <cell r="K585">
            <v>0</v>
          </cell>
        </row>
        <row r="586">
          <cell r="K586">
            <v>0</v>
          </cell>
        </row>
        <row r="587">
          <cell r="K587">
            <v>0</v>
          </cell>
        </row>
        <row r="588">
          <cell r="K588">
            <v>0</v>
          </cell>
        </row>
        <row r="589">
          <cell r="K589">
            <v>0</v>
          </cell>
        </row>
        <row r="590">
          <cell r="K590">
            <v>0</v>
          </cell>
        </row>
        <row r="591">
          <cell r="K591">
            <v>0</v>
          </cell>
        </row>
        <row r="592">
          <cell r="K592">
            <v>0</v>
          </cell>
        </row>
        <row r="593">
          <cell r="K593">
            <v>0</v>
          </cell>
        </row>
        <row r="594">
          <cell r="K594">
            <v>0</v>
          </cell>
        </row>
        <row r="595">
          <cell r="K595">
            <v>0</v>
          </cell>
        </row>
        <row r="600">
          <cell r="K600">
            <v>0</v>
          </cell>
        </row>
        <row r="604">
          <cell r="K604">
            <v>9840600</v>
          </cell>
        </row>
        <row r="610">
          <cell r="D610" t="str">
            <v>AM</v>
          </cell>
        </row>
        <row r="612">
          <cell r="D612">
            <v>44963</v>
          </cell>
        </row>
        <row r="614">
          <cell r="D614" t="str">
            <v>G 0793</v>
          </cell>
        </row>
        <row r="616">
          <cell r="D616" t="str">
            <v>C</v>
          </cell>
          <cell r="K616" t="str">
            <v>Amount</v>
          </cell>
        </row>
        <row r="618">
          <cell r="D618">
            <v>1</v>
          </cell>
          <cell r="K618">
            <v>1852200</v>
          </cell>
        </row>
        <row r="619">
          <cell r="D619">
            <v>2</v>
          </cell>
          <cell r="K619">
            <v>466200</v>
          </cell>
        </row>
        <row r="620">
          <cell r="D620">
            <v>1</v>
          </cell>
          <cell r="K620">
            <v>1827000</v>
          </cell>
        </row>
        <row r="621">
          <cell r="D621">
            <v>1</v>
          </cell>
          <cell r="K621">
            <v>4914000</v>
          </cell>
        </row>
        <row r="622">
          <cell r="D622">
            <v>1</v>
          </cell>
          <cell r="K622">
            <v>781200</v>
          </cell>
        </row>
        <row r="623">
          <cell r="D623">
            <v>0</v>
          </cell>
          <cell r="K623">
            <v>0</v>
          </cell>
        </row>
        <row r="624">
          <cell r="D624">
            <v>0</v>
          </cell>
          <cell r="K624">
            <v>0</v>
          </cell>
        </row>
        <row r="625">
          <cell r="D625">
            <v>0</v>
          </cell>
          <cell r="K625">
            <v>0</v>
          </cell>
        </row>
        <row r="626">
          <cell r="D626">
            <v>0</v>
          </cell>
          <cell r="K626">
            <v>0</v>
          </cell>
        </row>
        <row r="627">
          <cell r="D627">
            <v>0</v>
          </cell>
          <cell r="K627">
            <v>0</v>
          </cell>
        </row>
        <row r="628">
          <cell r="D628">
            <v>0</v>
          </cell>
          <cell r="K628">
            <v>0</v>
          </cell>
        </row>
        <row r="629">
          <cell r="D629">
            <v>0</v>
          </cell>
          <cell r="K629">
            <v>0</v>
          </cell>
        </row>
        <row r="630">
          <cell r="D630">
            <v>0</v>
          </cell>
          <cell r="K630">
            <v>0</v>
          </cell>
        </row>
        <row r="631">
          <cell r="D631">
            <v>0</v>
          </cell>
          <cell r="K631">
            <v>0</v>
          </cell>
        </row>
        <row r="632">
          <cell r="D632">
            <v>0</v>
          </cell>
          <cell r="K632">
            <v>0</v>
          </cell>
        </row>
        <row r="633">
          <cell r="D633">
            <v>0</v>
          </cell>
          <cell r="K633">
            <v>0</v>
          </cell>
        </row>
        <row r="638">
          <cell r="K638">
            <v>0</v>
          </cell>
        </row>
        <row r="642">
          <cell r="K642">
            <v>9840600</v>
          </cell>
        </row>
        <row r="648">
          <cell r="D648" t="str">
            <v>AM</v>
          </cell>
        </row>
        <row r="650">
          <cell r="D650">
            <v>44963</v>
          </cell>
        </row>
        <row r="652">
          <cell r="D652" t="str">
            <v>G 0793</v>
          </cell>
        </row>
        <row r="654">
          <cell r="D654" t="str">
            <v>C</v>
          </cell>
          <cell r="K654" t="str">
            <v>Amount</v>
          </cell>
        </row>
        <row r="656">
          <cell r="D656">
            <v>1</v>
          </cell>
          <cell r="K656">
            <v>1852200</v>
          </cell>
        </row>
        <row r="657">
          <cell r="D657">
            <v>2</v>
          </cell>
          <cell r="K657">
            <v>466200</v>
          </cell>
        </row>
        <row r="658">
          <cell r="D658">
            <v>1</v>
          </cell>
          <cell r="K658">
            <v>1827000</v>
          </cell>
        </row>
        <row r="659">
          <cell r="D659">
            <v>1</v>
          </cell>
          <cell r="K659">
            <v>4914000</v>
          </cell>
        </row>
        <row r="660">
          <cell r="D660">
            <v>1</v>
          </cell>
          <cell r="K660">
            <v>781200</v>
          </cell>
        </row>
        <row r="661">
          <cell r="D661">
            <v>0</v>
          </cell>
          <cell r="K661">
            <v>0</v>
          </cell>
        </row>
        <row r="662">
          <cell r="D662">
            <v>0</v>
          </cell>
          <cell r="K662">
            <v>0</v>
          </cell>
        </row>
        <row r="663">
          <cell r="D663">
            <v>0</v>
          </cell>
          <cell r="K663">
            <v>0</v>
          </cell>
        </row>
        <row r="664">
          <cell r="D664">
            <v>0</v>
          </cell>
          <cell r="K664">
            <v>0</v>
          </cell>
        </row>
        <row r="665">
          <cell r="D665">
            <v>0</v>
          </cell>
          <cell r="K665">
            <v>0</v>
          </cell>
        </row>
        <row r="666">
          <cell r="D666">
            <v>0</v>
          </cell>
          <cell r="K666">
            <v>0</v>
          </cell>
        </row>
        <row r="667">
          <cell r="D667">
            <v>0</v>
          </cell>
          <cell r="K667">
            <v>0</v>
          </cell>
        </row>
        <row r="668">
          <cell r="D668">
            <v>0</v>
          </cell>
          <cell r="K668">
            <v>0</v>
          </cell>
        </row>
        <row r="669">
          <cell r="D669">
            <v>0</v>
          </cell>
          <cell r="K669">
            <v>0</v>
          </cell>
        </row>
        <row r="670">
          <cell r="D670">
            <v>0</v>
          </cell>
          <cell r="K670">
            <v>0</v>
          </cell>
        </row>
        <row r="671">
          <cell r="D671">
            <v>0</v>
          </cell>
          <cell r="K671">
            <v>0</v>
          </cell>
        </row>
        <row r="676">
          <cell r="K676">
            <v>0</v>
          </cell>
        </row>
        <row r="680">
          <cell r="K680">
            <v>9840600</v>
          </cell>
        </row>
        <row r="686">
          <cell r="D686" t="str">
            <v>AM</v>
          </cell>
        </row>
        <row r="688">
          <cell r="D688">
            <v>44961</v>
          </cell>
        </row>
        <row r="690">
          <cell r="D690" t="str">
            <v>KO 2887</v>
          </cell>
        </row>
        <row r="692">
          <cell r="D692" t="str">
            <v>C</v>
          </cell>
          <cell r="K692" t="str">
            <v>Amount</v>
          </cell>
        </row>
        <row r="694">
          <cell r="D694" t="str">
            <v/>
          </cell>
          <cell r="K694">
            <v>1338930</v>
          </cell>
        </row>
        <row r="695">
          <cell r="D695" t="str">
            <v/>
          </cell>
          <cell r="K695">
            <v>28215</v>
          </cell>
        </row>
        <row r="696">
          <cell r="D696" t="str">
            <v/>
          </cell>
          <cell r="K696">
            <v>507870</v>
          </cell>
        </row>
        <row r="697">
          <cell r="D697" t="str">
            <v/>
          </cell>
          <cell r="K697">
            <v>574560</v>
          </cell>
        </row>
        <row r="698">
          <cell r="D698" t="str">
            <v/>
          </cell>
          <cell r="K698">
            <v>66177</v>
          </cell>
        </row>
        <row r="699">
          <cell r="D699" t="str">
            <v/>
          </cell>
          <cell r="K699">
            <v>318060</v>
          </cell>
        </row>
        <row r="700">
          <cell r="D700" t="str">
            <v/>
          </cell>
          <cell r="K700">
            <v>270864</v>
          </cell>
        </row>
        <row r="701">
          <cell r="D701" t="str">
            <v/>
          </cell>
          <cell r="K701">
            <v>396720</v>
          </cell>
        </row>
        <row r="702">
          <cell r="K702">
            <v>0</v>
          </cell>
        </row>
        <row r="703">
          <cell r="K703">
            <v>0</v>
          </cell>
        </row>
        <row r="704">
          <cell r="K704">
            <v>0</v>
          </cell>
        </row>
        <row r="705">
          <cell r="K705">
            <v>0</v>
          </cell>
        </row>
        <row r="706">
          <cell r="K706">
            <v>0</v>
          </cell>
        </row>
        <row r="707">
          <cell r="K707">
            <v>0</v>
          </cell>
        </row>
        <row r="708">
          <cell r="K708">
            <v>0</v>
          </cell>
        </row>
        <row r="709">
          <cell r="K709">
            <v>0</v>
          </cell>
        </row>
        <row r="714">
          <cell r="K714">
            <v>0</v>
          </cell>
        </row>
        <row r="718">
          <cell r="K718">
            <v>3501396</v>
          </cell>
        </row>
        <row r="724">
          <cell r="D724" t="str">
            <v>AM</v>
          </cell>
        </row>
        <row r="726">
          <cell r="D726">
            <v>44961</v>
          </cell>
        </row>
        <row r="728">
          <cell r="D728" t="str">
            <v>KO 2887</v>
          </cell>
        </row>
        <row r="730">
          <cell r="D730" t="str">
            <v>C</v>
          </cell>
          <cell r="K730" t="str">
            <v>Amount</v>
          </cell>
        </row>
        <row r="732">
          <cell r="D732" t="str">
            <v/>
          </cell>
          <cell r="K732">
            <v>1338930</v>
          </cell>
        </row>
        <row r="733">
          <cell r="D733" t="str">
            <v/>
          </cell>
          <cell r="K733">
            <v>28215</v>
          </cell>
        </row>
        <row r="734">
          <cell r="D734" t="str">
            <v/>
          </cell>
          <cell r="K734">
            <v>507870</v>
          </cell>
        </row>
        <row r="735">
          <cell r="D735" t="str">
            <v/>
          </cell>
          <cell r="K735">
            <v>574560</v>
          </cell>
        </row>
        <row r="736">
          <cell r="D736" t="str">
            <v/>
          </cell>
          <cell r="K736">
            <v>66177</v>
          </cell>
        </row>
        <row r="737">
          <cell r="D737" t="str">
            <v/>
          </cell>
          <cell r="K737">
            <v>318060</v>
          </cell>
        </row>
        <row r="738">
          <cell r="D738" t="str">
            <v/>
          </cell>
          <cell r="K738">
            <v>270864</v>
          </cell>
        </row>
        <row r="739">
          <cell r="D739" t="str">
            <v/>
          </cell>
          <cell r="K739">
            <v>396720</v>
          </cell>
        </row>
        <row r="740">
          <cell r="D740">
            <v>0</v>
          </cell>
          <cell r="K740">
            <v>0</v>
          </cell>
        </row>
        <row r="741">
          <cell r="D741">
            <v>0</v>
          </cell>
          <cell r="K741">
            <v>0</v>
          </cell>
        </row>
        <row r="742">
          <cell r="D742">
            <v>0</v>
          </cell>
          <cell r="K742">
            <v>0</v>
          </cell>
        </row>
        <row r="743">
          <cell r="D743">
            <v>0</v>
          </cell>
          <cell r="K743">
            <v>0</v>
          </cell>
        </row>
        <row r="744">
          <cell r="D744">
            <v>0</v>
          </cell>
          <cell r="K744">
            <v>0</v>
          </cell>
        </row>
        <row r="745">
          <cell r="D745">
            <v>0</v>
          </cell>
          <cell r="K745">
            <v>0</v>
          </cell>
        </row>
        <row r="746">
          <cell r="D746">
            <v>0</v>
          </cell>
          <cell r="K746">
            <v>0</v>
          </cell>
        </row>
        <row r="747">
          <cell r="D747">
            <v>0</v>
          </cell>
          <cell r="K747">
            <v>0</v>
          </cell>
        </row>
        <row r="752">
          <cell r="K752">
            <v>0</v>
          </cell>
        </row>
        <row r="756">
          <cell r="K756">
            <v>3501396</v>
          </cell>
        </row>
        <row r="762">
          <cell r="D762" t="str">
            <v>AM</v>
          </cell>
        </row>
        <row r="764">
          <cell r="D764">
            <v>44961</v>
          </cell>
        </row>
        <row r="766">
          <cell r="D766" t="str">
            <v>KO 2887</v>
          </cell>
        </row>
        <row r="768">
          <cell r="D768" t="str">
            <v>C</v>
          </cell>
          <cell r="K768" t="str">
            <v>Amount</v>
          </cell>
        </row>
        <row r="770">
          <cell r="D770" t="str">
            <v/>
          </cell>
          <cell r="K770">
            <v>1338930</v>
          </cell>
        </row>
        <row r="771">
          <cell r="D771" t="str">
            <v/>
          </cell>
          <cell r="K771">
            <v>28215</v>
          </cell>
        </row>
        <row r="772">
          <cell r="D772" t="str">
            <v/>
          </cell>
          <cell r="K772">
            <v>507870</v>
          </cell>
        </row>
        <row r="773">
          <cell r="D773" t="str">
            <v/>
          </cell>
          <cell r="K773">
            <v>574560</v>
          </cell>
        </row>
        <row r="774">
          <cell r="D774" t="str">
            <v/>
          </cell>
          <cell r="K774">
            <v>66177</v>
          </cell>
        </row>
        <row r="775">
          <cell r="D775" t="str">
            <v/>
          </cell>
          <cell r="K775">
            <v>318060</v>
          </cell>
        </row>
        <row r="776">
          <cell r="D776" t="str">
            <v/>
          </cell>
          <cell r="K776">
            <v>270864</v>
          </cell>
        </row>
        <row r="777">
          <cell r="D777" t="str">
            <v/>
          </cell>
          <cell r="K777">
            <v>396720</v>
          </cell>
        </row>
        <row r="778">
          <cell r="D778">
            <v>0</v>
          </cell>
          <cell r="K778">
            <v>0</v>
          </cell>
        </row>
        <row r="779">
          <cell r="D779">
            <v>0</v>
          </cell>
          <cell r="K779">
            <v>0</v>
          </cell>
        </row>
        <row r="780">
          <cell r="D780">
            <v>0</v>
          </cell>
          <cell r="K780">
            <v>0</v>
          </cell>
        </row>
        <row r="781">
          <cell r="D781">
            <v>0</v>
          </cell>
          <cell r="K781">
            <v>0</v>
          </cell>
        </row>
        <row r="782">
          <cell r="D782">
            <v>0</v>
          </cell>
          <cell r="K782">
            <v>0</v>
          </cell>
        </row>
        <row r="783">
          <cell r="D783">
            <v>0</v>
          </cell>
          <cell r="K783">
            <v>0</v>
          </cell>
        </row>
        <row r="784">
          <cell r="D784">
            <v>0</v>
          </cell>
          <cell r="K784">
            <v>0</v>
          </cell>
        </row>
        <row r="785">
          <cell r="D785">
            <v>0</v>
          </cell>
          <cell r="K785">
            <v>0</v>
          </cell>
        </row>
        <row r="790">
          <cell r="K790">
            <v>0</v>
          </cell>
        </row>
        <row r="794">
          <cell r="K794">
            <v>3501396</v>
          </cell>
        </row>
        <row r="800">
          <cell r="D800" t="str">
            <v>AM</v>
          </cell>
        </row>
        <row r="802">
          <cell r="D802">
            <v>44963</v>
          </cell>
        </row>
        <row r="804">
          <cell r="D804" t="str">
            <v>KO 0841</v>
          </cell>
        </row>
        <row r="806">
          <cell r="D806" t="str">
            <v>C</v>
          </cell>
          <cell r="K806" t="str">
            <v>Amount</v>
          </cell>
        </row>
        <row r="808">
          <cell r="D808" t="str">
            <v/>
          </cell>
          <cell r="K808">
            <v>125280</v>
          </cell>
        </row>
        <row r="809">
          <cell r="D809" t="str">
            <v/>
          </cell>
          <cell r="K809">
            <v>523800</v>
          </cell>
        </row>
        <row r="810">
          <cell r="D810" t="str">
            <v/>
          </cell>
          <cell r="K810">
            <v>583200</v>
          </cell>
        </row>
        <row r="811">
          <cell r="D811" t="str">
            <v/>
          </cell>
          <cell r="K811">
            <v>333000</v>
          </cell>
        </row>
        <row r="812">
          <cell r="D812" t="str">
            <v/>
          </cell>
          <cell r="K812">
            <v>285120</v>
          </cell>
        </row>
        <row r="813">
          <cell r="D813">
            <v>1</v>
          </cell>
          <cell r="K813">
            <v>1328400</v>
          </cell>
        </row>
        <row r="814">
          <cell r="K814">
            <v>0</v>
          </cell>
        </row>
        <row r="815">
          <cell r="K815">
            <v>0</v>
          </cell>
        </row>
        <row r="816">
          <cell r="K816">
            <v>0</v>
          </cell>
        </row>
        <row r="817">
          <cell r="K817">
            <v>0</v>
          </cell>
        </row>
        <row r="818">
          <cell r="K818">
            <v>0</v>
          </cell>
        </row>
        <row r="819">
          <cell r="K819">
            <v>0</v>
          </cell>
        </row>
        <row r="820">
          <cell r="K820">
            <v>0</v>
          </cell>
        </row>
        <row r="821">
          <cell r="K821">
            <v>0</v>
          </cell>
        </row>
        <row r="822">
          <cell r="K822">
            <v>0</v>
          </cell>
        </row>
        <row r="823">
          <cell r="K823">
            <v>0</v>
          </cell>
        </row>
        <row r="828">
          <cell r="K828">
            <v>0</v>
          </cell>
        </row>
        <row r="832">
          <cell r="K832">
            <v>3178800</v>
          </cell>
        </row>
        <row r="838">
          <cell r="D838" t="str">
            <v>AM</v>
          </cell>
        </row>
        <row r="840">
          <cell r="D840">
            <v>44963</v>
          </cell>
        </row>
        <row r="842">
          <cell r="D842" t="str">
            <v>KO 0841</v>
          </cell>
        </row>
        <row r="844">
          <cell r="D844" t="str">
            <v>C</v>
          </cell>
          <cell r="K844" t="str">
            <v>Amount</v>
          </cell>
        </row>
        <row r="846">
          <cell r="D846" t="str">
            <v/>
          </cell>
          <cell r="K846">
            <v>125280</v>
          </cell>
        </row>
        <row r="847">
          <cell r="D847" t="str">
            <v/>
          </cell>
          <cell r="K847">
            <v>523800</v>
          </cell>
        </row>
        <row r="848">
          <cell r="D848" t="str">
            <v/>
          </cell>
          <cell r="K848">
            <v>583200</v>
          </cell>
        </row>
        <row r="849">
          <cell r="D849" t="str">
            <v/>
          </cell>
          <cell r="K849">
            <v>333000</v>
          </cell>
        </row>
        <row r="850">
          <cell r="D850" t="str">
            <v/>
          </cell>
          <cell r="K850">
            <v>285120</v>
          </cell>
        </row>
        <row r="851">
          <cell r="D851">
            <v>1</v>
          </cell>
          <cell r="K851">
            <v>1328400</v>
          </cell>
        </row>
        <row r="852">
          <cell r="D852">
            <v>0</v>
          </cell>
          <cell r="K852">
            <v>0</v>
          </cell>
        </row>
        <row r="853">
          <cell r="D853">
            <v>0</v>
          </cell>
          <cell r="K853">
            <v>0</v>
          </cell>
        </row>
        <row r="854">
          <cell r="D854">
            <v>0</v>
          </cell>
          <cell r="K854">
            <v>0</v>
          </cell>
        </row>
        <row r="855">
          <cell r="D855">
            <v>0</v>
          </cell>
          <cell r="K855">
            <v>0</v>
          </cell>
        </row>
        <row r="856">
          <cell r="D856">
            <v>0</v>
          </cell>
          <cell r="K856">
            <v>0</v>
          </cell>
        </row>
        <row r="857">
          <cell r="D857">
            <v>0</v>
          </cell>
          <cell r="K857">
            <v>0</v>
          </cell>
        </row>
        <row r="858">
          <cell r="D858">
            <v>0</v>
          </cell>
          <cell r="K858">
            <v>0</v>
          </cell>
        </row>
        <row r="859">
          <cell r="D859">
            <v>0</v>
          </cell>
          <cell r="K859">
            <v>0</v>
          </cell>
        </row>
        <row r="860">
          <cell r="D860">
            <v>0</v>
          </cell>
          <cell r="K860">
            <v>0</v>
          </cell>
        </row>
        <row r="861">
          <cell r="D861">
            <v>0</v>
          </cell>
          <cell r="K861">
            <v>0</v>
          </cell>
        </row>
        <row r="866">
          <cell r="K866">
            <v>0</v>
          </cell>
        </row>
        <row r="870">
          <cell r="K870">
            <v>3178800</v>
          </cell>
        </row>
        <row r="876">
          <cell r="D876" t="str">
            <v>AM</v>
          </cell>
        </row>
        <row r="878">
          <cell r="D878">
            <v>44963</v>
          </cell>
        </row>
        <row r="880">
          <cell r="D880" t="str">
            <v>KO 0841</v>
          </cell>
        </row>
        <row r="882">
          <cell r="D882" t="str">
            <v>C</v>
          </cell>
          <cell r="K882" t="str">
            <v>Amount</v>
          </cell>
        </row>
        <row r="884">
          <cell r="D884" t="str">
            <v/>
          </cell>
          <cell r="K884">
            <v>125280</v>
          </cell>
        </row>
        <row r="885">
          <cell r="D885" t="str">
            <v/>
          </cell>
          <cell r="K885">
            <v>523800</v>
          </cell>
        </row>
        <row r="886">
          <cell r="D886" t="str">
            <v/>
          </cell>
          <cell r="K886">
            <v>583200</v>
          </cell>
        </row>
        <row r="887">
          <cell r="D887" t="str">
            <v/>
          </cell>
          <cell r="K887">
            <v>333000</v>
          </cell>
        </row>
        <row r="888">
          <cell r="D888" t="str">
            <v/>
          </cell>
          <cell r="K888">
            <v>285120</v>
          </cell>
        </row>
        <row r="889">
          <cell r="D889">
            <v>1</v>
          </cell>
          <cell r="K889">
            <v>1328400</v>
          </cell>
        </row>
        <row r="890">
          <cell r="D890">
            <v>0</v>
          </cell>
          <cell r="K890">
            <v>0</v>
          </cell>
        </row>
        <row r="891">
          <cell r="D891">
            <v>0</v>
          </cell>
          <cell r="K891">
            <v>0</v>
          </cell>
        </row>
        <row r="892">
          <cell r="D892">
            <v>0</v>
          </cell>
          <cell r="K892">
            <v>0</v>
          </cell>
        </row>
        <row r="893">
          <cell r="D893">
            <v>0</v>
          </cell>
          <cell r="K893">
            <v>0</v>
          </cell>
        </row>
        <row r="894">
          <cell r="D894">
            <v>0</v>
          </cell>
          <cell r="K894">
            <v>0</v>
          </cell>
        </row>
        <row r="895">
          <cell r="D895">
            <v>0</v>
          </cell>
          <cell r="K895">
            <v>0</v>
          </cell>
        </row>
        <row r="896">
          <cell r="D896">
            <v>0</v>
          </cell>
          <cell r="K896">
            <v>0</v>
          </cell>
        </row>
        <row r="897">
          <cell r="D897">
            <v>0</v>
          </cell>
          <cell r="K897">
            <v>0</v>
          </cell>
        </row>
        <row r="898">
          <cell r="D898">
            <v>0</v>
          </cell>
          <cell r="K898">
            <v>0</v>
          </cell>
        </row>
        <row r="899">
          <cell r="D899">
            <v>0</v>
          </cell>
          <cell r="K899">
            <v>0</v>
          </cell>
        </row>
        <row r="904">
          <cell r="K904">
            <v>0</v>
          </cell>
        </row>
        <row r="908">
          <cell r="K908">
            <v>3178800</v>
          </cell>
        </row>
        <row r="914">
          <cell r="D914" t="str">
            <v>AM</v>
          </cell>
        </row>
        <row r="916">
          <cell r="D916">
            <v>44963</v>
          </cell>
        </row>
        <row r="918">
          <cell r="D918" t="str">
            <v>KO 0843</v>
          </cell>
        </row>
        <row r="920">
          <cell r="D920" t="str">
            <v>C</v>
          </cell>
          <cell r="K920" t="str">
            <v>Amount</v>
          </cell>
        </row>
        <row r="922">
          <cell r="D922">
            <v>1</v>
          </cell>
          <cell r="K922">
            <v>4885920</v>
          </cell>
        </row>
        <row r="923">
          <cell r="K923">
            <v>0</v>
          </cell>
        </row>
        <row r="924">
          <cell r="K924">
            <v>0</v>
          </cell>
        </row>
        <row r="925">
          <cell r="K925">
            <v>0</v>
          </cell>
        </row>
        <row r="926">
          <cell r="K926">
            <v>0</v>
          </cell>
        </row>
        <row r="927">
          <cell r="K927">
            <v>0</v>
          </cell>
        </row>
        <row r="928">
          <cell r="K928">
            <v>0</v>
          </cell>
        </row>
        <row r="929">
          <cell r="K929">
            <v>0</v>
          </cell>
        </row>
        <row r="930">
          <cell r="K930">
            <v>0</v>
          </cell>
        </row>
        <row r="931">
          <cell r="K931">
            <v>0</v>
          </cell>
        </row>
        <row r="932">
          <cell r="K932">
            <v>0</v>
          </cell>
        </row>
        <row r="933">
          <cell r="K933">
            <v>0</v>
          </cell>
        </row>
        <row r="934">
          <cell r="K934">
            <v>0</v>
          </cell>
        </row>
        <row r="935">
          <cell r="K935">
            <v>0</v>
          </cell>
        </row>
        <row r="936">
          <cell r="K936">
            <v>0</v>
          </cell>
        </row>
        <row r="937">
          <cell r="K937">
            <v>0</v>
          </cell>
        </row>
        <row r="942">
          <cell r="K942">
            <v>0</v>
          </cell>
        </row>
        <row r="946">
          <cell r="K946">
            <v>4885920</v>
          </cell>
        </row>
        <row r="952">
          <cell r="D952" t="str">
            <v>AM</v>
          </cell>
        </row>
        <row r="954">
          <cell r="D954">
            <v>44963</v>
          </cell>
        </row>
        <row r="956">
          <cell r="D956" t="str">
            <v>KO 0843</v>
          </cell>
        </row>
        <row r="958">
          <cell r="D958" t="str">
            <v>C</v>
          </cell>
          <cell r="K958" t="str">
            <v>Amount</v>
          </cell>
        </row>
        <row r="960">
          <cell r="D960">
            <v>1</v>
          </cell>
          <cell r="K960">
            <v>4885920</v>
          </cell>
        </row>
        <row r="961">
          <cell r="D961">
            <v>0</v>
          </cell>
          <cell r="K961">
            <v>0</v>
          </cell>
        </row>
        <row r="962">
          <cell r="D962">
            <v>0</v>
          </cell>
          <cell r="K962">
            <v>0</v>
          </cell>
        </row>
        <row r="963">
          <cell r="D963">
            <v>0</v>
          </cell>
          <cell r="K963">
            <v>0</v>
          </cell>
        </row>
        <row r="964">
          <cell r="D964">
            <v>0</v>
          </cell>
          <cell r="K964">
            <v>0</v>
          </cell>
        </row>
        <row r="965">
          <cell r="D965">
            <v>0</v>
          </cell>
          <cell r="K965">
            <v>0</v>
          </cell>
        </row>
        <row r="966">
          <cell r="D966">
            <v>0</v>
          </cell>
          <cell r="K966">
            <v>0</v>
          </cell>
        </row>
        <row r="967">
          <cell r="D967">
            <v>0</v>
          </cell>
          <cell r="K967">
            <v>0</v>
          </cell>
        </row>
        <row r="968">
          <cell r="D968">
            <v>0</v>
          </cell>
          <cell r="K968">
            <v>0</v>
          </cell>
        </row>
        <row r="969">
          <cell r="D969">
            <v>0</v>
          </cell>
          <cell r="K969">
            <v>0</v>
          </cell>
        </row>
        <row r="970">
          <cell r="D970">
            <v>0</v>
          </cell>
          <cell r="K970">
            <v>0</v>
          </cell>
        </row>
        <row r="971">
          <cell r="D971">
            <v>0</v>
          </cell>
          <cell r="K971">
            <v>0</v>
          </cell>
        </row>
        <row r="972">
          <cell r="D972">
            <v>0</v>
          </cell>
          <cell r="K972">
            <v>0</v>
          </cell>
        </row>
        <row r="973">
          <cell r="D973">
            <v>0</v>
          </cell>
          <cell r="K973">
            <v>0</v>
          </cell>
        </row>
        <row r="974">
          <cell r="D974">
            <v>0</v>
          </cell>
          <cell r="K974">
            <v>0</v>
          </cell>
        </row>
        <row r="975">
          <cell r="D975">
            <v>0</v>
          </cell>
          <cell r="K975">
            <v>0</v>
          </cell>
        </row>
        <row r="980">
          <cell r="K980">
            <v>0</v>
          </cell>
        </row>
        <row r="984">
          <cell r="K984">
            <v>4885920</v>
          </cell>
        </row>
        <row r="990">
          <cell r="D990" t="str">
            <v>AM</v>
          </cell>
        </row>
        <row r="992">
          <cell r="D992">
            <v>44963</v>
          </cell>
        </row>
        <row r="994">
          <cell r="D994" t="str">
            <v>KO 0843</v>
          </cell>
        </row>
        <row r="996">
          <cell r="D996" t="str">
            <v>C</v>
          </cell>
          <cell r="K996" t="str">
            <v>Amount</v>
          </cell>
        </row>
        <row r="998">
          <cell r="D998">
            <v>1</v>
          </cell>
          <cell r="K998">
            <v>4885920</v>
          </cell>
        </row>
        <row r="999">
          <cell r="D999">
            <v>0</v>
          </cell>
          <cell r="K999">
            <v>0</v>
          </cell>
        </row>
        <row r="1000">
          <cell r="D1000">
            <v>0</v>
          </cell>
          <cell r="K1000">
            <v>0</v>
          </cell>
        </row>
        <row r="1001">
          <cell r="D1001">
            <v>0</v>
          </cell>
          <cell r="K1001">
            <v>0</v>
          </cell>
        </row>
        <row r="1002">
          <cell r="D1002">
            <v>0</v>
          </cell>
          <cell r="K1002">
            <v>0</v>
          </cell>
        </row>
        <row r="1003">
          <cell r="D1003">
            <v>0</v>
          </cell>
          <cell r="K1003">
            <v>0</v>
          </cell>
        </row>
        <row r="1004">
          <cell r="D1004">
            <v>0</v>
          </cell>
          <cell r="K1004">
            <v>0</v>
          </cell>
        </row>
        <row r="1005">
          <cell r="D1005">
            <v>0</v>
          </cell>
          <cell r="K1005">
            <v>0</v>
          </cell>
        </row>
        <row r="1006">
          <cell r="D1006">
            <v>0</v>
          </cell>
          <cell r="K1006">
            <v>0</v>
          </cell>
        </row>
        <row r="1007">
          <cell r="D1007">
            <v>0</v>
          </cell>
          <cell r="K1007">
            <v>0</v>
          </cell>
        </row>
        <row r="1008">
          <cell r="D1008">
            <v>0</v>
          </cell>
          <cell r="K1008">
            <v>0</v>
          </cell>
        </row>
        <row r="1009">
          <cell r="D1009">
            <v>0</v>
          </cell>
          <cell r="K1009">
            <v>0</v>
          </cell>
        </row>
        <row r="1010">
          <cell r="D1010">
            <v>0</v>
          </cell>
          <cell r="K1010">
            <v>0</v>
          </cell>
        </row>
        <row r="1011">
          <cell r="D1011">
            <v>0</v>
          </cell>
          <cell r="K1011">
            <v>0</v>
          </cell>
        </row>
        <row r="1012">
          <cell r="D1012">
            <v>0</v>
          </cell>
          <cell r="K1012">
            <v>0</v>
          </cell>
        </row>
        <row r="1013">
          <cell r="D1013">
            <v>0</v>
          </cell>
          <cell r="K1013">
            <v>0</v>
          </cell>
        </row>
        <row r="1018">
          <cell r="K1018">
            <v>0</v>
          </cell>
        </row>
        <row r="1022">
          <cell r="K1022">
            <v>4885920</v>
          </cell>
        </row>
        <row r="1028">
          <cell r="D1028" t="str">
            <v>AM</v>
          </cell>
        </row>
        <row r="1030">
          <cell r="D1030">
            <v>44963</v>
          </cell>
        </row>
        <row r="1032">
          <cell r="D1032" t="str">
            <v>KO 0844</v>
          </cell>
        </row>
        <row r="1034">
          <cell r="D1034" t="str">
            <v>C</v>
          </cell>
          <cell r="K1034" t="str">
            <v>Amount</v>
          </cell>
        </row>
        <row r="1036">
          <cell r="D1036">
            <v>1</v>
          </cell>
          <cell r="K1036">
            <v>4857840</v>
          </cell>
        </row>
        <row r="1037">
          <cell r="K1037">
            <v>0</v>
          </cell>
        </row>
        <row r="1038">
          <cell r="K1038">
            <v>0</v>
          </cell>
        </row>
        <row r="1039">
          <cell r="K1039">
            <v>0</v>
          </cell>
        </row>
        <row r="1040">
          <cell r="K1040">
            <v>0</v>
          </cell>
        </row>
        <row r="1041">
          <cell r="K1041">
            <v>0</v>
          </cell>
        </row>
        <row r="1042">
          <cell r="K1042">
            <v>0</v>
          </cell>
        </row>
        <row r="1043">
          <cell r="K1043">
            <v>0</v>
          </cell>
        </row>
        <row r="1044">
          <cell r="K1044">
            <v>0</v>
          </cell>
        </row>
        <row r="1045">
          <cell r="K1045">
            <v>0</v>
          </cell>
        </row>
        <row r="1046">
          <cell r="K1046">
            <v>0</v>
          </cell>
        </row>
        <row r="1047">
          <cell r="K1047">
            <v>0</v>
          </cell>
        </row>
        <row r="1048">
          <cell r="K1048">
            <v>0</v>
          </cell>
        </row>
        <row r="1049">
          <cell r="K1049">
            <v>0</v>
          </cell>
        </row>
        <row r="1050">
          <cell r="K1050">
            <v>0</v>
          </cell>
        </row>
        <row r="1051">
          <cell r="K1051">
            <v>0</v>
          </cell>
        </row>
        <row r="1056">
          <cell r="K1056">
            <v>0</v>
          </cell>
        </row>
        <row r="1060">
          <cell r="K1060">
            <v>4857840</v>
          </cell>
        </row>
        <row r="1066">
          <cell r="D1066" t="str">
            <v>AM</v>
          </cell>
        </row>
        <row r="1068">
          <cell r="D1068">
            <v>44963</v>
          </cell>
        </row>
        <row r="1070">
          <cell r="D1070" t="str">
            <v>KO 0844</v>
          </cell>
        </row>
        <row r="1072">
          <cell r="D1072" t="str">
            <v>C</v>
          </cell>
          <cell r="K1072" t="str">
            <v>Amount</v>
          </cell>
        </row>
        <row r="1074">
          <cell r="D1074">
            <v>1</v>
          </cell>
          <cell r="K1074">
            <v>4857840</v>
          </cell>
        </row>
        <row r="1075">
          <cell r="D1075">
            <v>0</v>
          </cell>
          <cell r="K1075">
            <v>0</v>
          </cell>
        </row>
        <row r="1076">
          <cell r="D1076">
            <v>0</v>
          </cell>
          <cell r="K1076">
            <v>0</v>
          </cell>
        </row>
        <row r="1077">
          <cell r="D1077">
            <v>0</v>
          </cell>
          <cell r="K1077">
            <v>0</v>
          </cell>
        </row>
        <row r="1078">
          <cell r="D1078">
            <v>0</v>
          </cell>
          <cell r="K1078">
            <v>0</v>
          </cell>
        </row>
        <row r="1079">
          <cell r="D1079">
            <v>0</v>
          </cell>
          <cell r="K1079">
            <v>0</v>
          </cell>
        </row>
        <row r="1080">
          <cell r="D1080">
            <v>0</v>
          </cell>
          <cell r="K1080">
            <v>0</v>
          </cell>
        </row>
        <row r="1081">
          <cell r="D1081">
            <v>0</v>
          </cell>
          <cell r="K1081">
            <v>0</v>
          </cell>
        </row>
        <row r="1082">
          <cell r="D1082">
            <v>0</v>
          </cell>
          <cell r="K1082">
            <v>0</v>
          </cell>
        </row>
        <row r="1083">
          <cell r="D1083">
            <v>0</v>
          </cell>
          <cell r="K1083">
            <v>0</v>
          </cell>
        </row>
        <row r="1084">
          <cell r="D1084">
            <v>0</v>
          </cell>
          <cell r="K1084">
            <v>0</v>
          </cell>
        </row>
        <row r="1085">
          <cell r="D1085">
            <v>0</v>
          </cell>
          <cell r="K1085">
            <v>0</v>
          </cell>
        </row>
        <row r="1086">
          <cell r="D1086">
            <v>0</v>
          </cell>
          <cell r="K1086">
            <v>0</v>
          </cell>
        </row>
        <row r="1087">
          <cell r="D1087">
            <v>0</v>
          </cell>
          <cell r="K1087">
            <v>0</v>
          </cell>
        </row>
        <row r="1088">
          <cell r="D1088">
            <v>0</v>
          </cell>
          <cell r="K1088">
            <v>0</v>
          </cell>
        </row>
        <row r="1089">
          <cell r="D1089">
            <v>0</v>
          </cell>
          <cell r="K1089">
            <v>0</v>
          </cell>
        </row>
        <row r="1094">
          <cell r="K1094">
            <v>0</v>
          </cell>
        </row>
        <row r="1098">
          <cell r="K1098">
            <v>4857840</v>
          </cell>
        </row>
        <row r="1104">
          <cell r="D1104" t="str">
            <v>AM</v>
          </cell>
        </row>
        <row r="1106">
          <cell r="D1106">
            <v>44963</v>
          </cell>
        </row>
        <row r="1108">
          <cell r="D1108" t="str">
            <v>KO 0844</v>
          </cell>
        </row>
        <row r="1110">
          <cell r="D1110" t="str">
            <v>C</v>
          </cell>
          <cell r="K1110" t="str">
            <v>Amount</v>
          </cell>
        </row>
        <row r="1112">
          <cell r="D1112">
            <v>1</v>
          </cell>
          <cell r="K1112">
            <v>4857840</v>
          </cell>
        </row>
        <row r="1113">
          <cell r="D1113">
            <v>0</v>
          </cell>
          <cell r="K1113">
            <v>0</v>
          </cell>
        </row>
        <row r="1114">
          <cell r="D1114">
            <v>0</v>
          </cell>
          <cell r="K1114">
            <v>0</v>
          </cell>
        </row>
        <row r="1115">
          <cell r="D1115">
            <v>0</v>
          </cell>
          <cell r="K1115">
            <v>0</v>
          </cell>
        </row>
        <row r="1116">
          <cell r="D1116">
            <v>0</v>
          </cell>
          <cell r="K1116">
            <v>0</v>
          </cell>
        </row>
        <row r="1117">
          <cell r="D1117">
            <v>0</v>
          </cell>
          <cell r="K1117">
            <v>0</v>
          </cell>
        </row>
        <row r="1118">
          <cell r="D1118">
            <v>0</v>
          </cell>
          <cell r="K1118">
            <v>0</v>
          </cell>
        </row>
        <row r="1119">
          <cell r="D1119">
            <v>0</v>
          </cell>
          <cell r="K1119">
            <v>0</v>
          </cell>
        </row>
        <row r="1120">
          <cell r="D1120">
            <v>0</v>
          </cell>
          <cell r="K1120">
            <v>0</v>
          </cell>
        </row>
        <row r="1121">
          <cell r="D1121">
            <v>0</v>
          </cell>
          <cell r="K1121">
            <v>0</v>
          </cell>
        </row>
        <row r="1122">
          <cell r="D1122">
            <v>0</v>
          </cell>
          <cell r="K1122">
            <v>0</v>
          </cell>
        </row>
        <row r="1123">
          <cell r="D1123">
            <v>0</v>
          </cell>
          <cell r="K1123">
            <v>0</v>
          </cell>
        </row>
        <row r="1124">
          <cell r="D1124">
            <v>0</v>
          </cell>
          <cell r="K1124">
            <v>0</v>
          </cell>
        </row>
        <row r="1125">
          <cell r="D1125">
            <v>0</v>
          </cell>
          <cell r="K1125">
            <v>0</v>
          </cell>
        </row>
        <row r="1126">
          <cell r="D1126">
            <v>0</v>
          </cell>
          <cell r="K1126">
            <v>0</v>
          </cell>
        </row>
        <row r="1127">
          <cell r="D1127">
            <v>0</v>
          </cell>
          <cell r="K1127">
            <v>0</v>
          </cell>
        </row>
        <row r="1132">
          <cell r="K1132">
            <v>0</v>
          </cell>
        </row>
        <row r="1136">
          <cell r="K1136">
            <v>4857840</v>
          </cell>
        </row>
        <row r="1142">
          <cell r="D1142" t="str">
            <v>AM</v>
          </cell>
        </row>
        <row r="1144">
          <cell r="D1144">
            <v>44963</v>
          </cell>
        </row>
        <row r="1146">
          <cell r="D1146" t="str">
            <v>KO 0847</v>
          </cell>
        </row>
        <row r="1148">
          <cell r="D1148" t="str">
            <v>C</v>
          </cell>
          <cell r="K1148" t="str">
            <v>Amount</v>
          </cell>
        </row>
        <row r="1150">
          <cell r="D1150">
            <v>5</v>
          </cell>
          <cell r="K1150">
            <v>24289200</v>
          </cell>
        </row>
        <row r="1151">
          <cell r="K1151">
            <v>0</v>
          </cell>
        </row>
        <row r="1152">
          <cell r="K1152">
            <v>0</v>
          </cell>
        </row>
        <row r="1153">
          <cell r="K1153">
            <v>0</v>
          </cell>
        </row>
        <row r="1154">
          <cell r="K1154">
            <v>0</v>
          </cell>
        </row>
        <row r="1155">
          <cell r="K1155">
            <v>0</v>
          </cell>
        </row>
        <row r="1156">
          <cell r="K1156">
            <v>0</v>
          </cell>
        </row>
        <row r="1157">
          <cell r="K1157">
            <v>0</v>
          </cell>
        </row>
        <row r="1158">
          <cell r="K1158">
            <v>0</v>
          </cell>
        </row>
        <row r="1159">
          <cell r="K1159">
            <v>0</v>
          </cell>
        </row>
        <row r="1160">
          <cell r="K1160">
            <v>0</v>
          </cell>
        </row>
        <row r="1161">
          <cell r="K1161">
            <v>0</v>
          </cell>
        </row>
        <row r="1162">
          <cell r="K1162">
            <v>0</v>
          </cell>
        </row>
        <row r="1163">
          <cell r="K1163">
            <v>0</v>
          </cell>
        </row>
        <row r="1164">
          <cell r="K1164">
            <v>0</v>
          </cell>
        </row>
        <row r="1165">
          <cell r="K1165">
            <v>0</v>
          </cell>
        </row>
        <row r="1170">
          <cell r="K1170">
            <v>0</v>
          </cell>
        </row>
        <row r="1174">
          <cell r="K1174">
            <v>24289200</v>
          </cell>
        </row>
        <row r="1180">
          <cell r="D1180" t="str">
            <v>AM</v>
          </cell>
        </row>
        <row r="1182">
          <cell r="D1182">
            <v>44963</v>
          </cell>
        </row>
        <row r="1184">
          <cell r="D1184" t="str">
            <v>KO 0847</v>
          </cell>
        </row>
        <row r="1186">
          <cell r="D1186" t="str">
            <v>C</v>
          </cell>
          <cell r="K1186" t="str">
            <v>Amount</v>
          </cell>
        </row>
        <row r="1188">
          <cell r="D1188">
            <v>5</v>
          </cell>
          <cell r="K1188">
            <v>24289200</v>
          </cell>
        </row>
        <row r="1189">
          <cell r="D1189">
            <v>0</v>
          </cell>
          <cell r="K1189">
            <v>0</v>
          </cell>
        </row>
        <row r="1190">
          <cell r="D1190">
            <v>0</v>
          </cell>
          <cell r="K1190">
            <v>0</v>
          </cell>
        </row>
        <row r="1191">
          <cell r="D1191">
            <v>0</v>
          </cell>
          <cell r="K1191">
            <v>0</v>
          </cell>
        </row>
        <row r="1192">
          <cell r="D1192">
            <v>0</v>
          </cell>
          <cell r="K1192">
            <v>0</v>
          </cell>
        </row>
        <row r="1193">
          <cell r="D1193">
            <v>0</v>
          </cell>
          <cell r="K1193">
            <v>0</v>
          </cell>
        </row>
        <row r="1194">
          <cell r="D1194">
            <v>0</v>
          </cell>
          <cell r="K1194">
            <v>0</v>
          </cell>
        </row>
        <row r="1195">
          <cell r="D1195">
            <v>0</v>
          </cell>
          <cell r="K1195">
            <v>0</v>
          </cell>
        </row>
        <row r="1196">
          <cell r="D1196">
            <v>0</v>
          </cell>
          <cell r="K1196">
            <v>0</v>
          </cell>
        </row>
        <row r="1197">
          <cell r="D1197">
            <v>0</v>
          </cell>
          <cell r="K1197">
            <v>0</v>
          </cell>
        </row>
        <row r="1198">
          <cell r="D1198">
            <v>0</v>
          </cell>
          <cell r="K1198">
            <v>0</v>
          </cell>
        </row>
        <row r="1199">
          <cell r="D1199">
            <v>0</v>
          </cell>
          <cell r="K1199">
            <v>0</v>
          </cell>
        </row>
        <row r="1200">
          <cell r="D1200">
            <v>0</v>
          </cell>
          <cell r="K1200">
            <v>0</v>
          </cell>
        </row>
        <row r="1201">
          <cell r="D1201">
            <v>0</v>
          </cell>
          <cell r="K1201">
            <v>0</v>
          </cell>
        </row>
        <row r="1202">
          <cell r="D1202">
            <v>0</v>
          </cell>
          <cell r="K1202">
            <v>0</v>
          </cell>
        </row>
        <row r="1203">
          <cell r="D1203">
            <v>0</v>
          </cell>
          <cell r="K1203">
            <v>0</v>
          </cell>
        </row>
        <row r="1208">
          <cell r="K1208">
            <v>0</v>
          </cell>
        </row>
        <row r="1212">
          <cell r="K1212">
            <v>24289200</v>
          </cell>
        </row>
        <row r="1218">
          <cell r="D1218" t="str">
            <v>AM</v>
          </cell>
        </row>
        <row r="1220">
          <cell r="D1220">
            <v>44963</v>
          </cell>
        </row>
        <row r="1222">
          <cell r="D1222" t="str">
            <v>KO 0847</v>
          </cell>
        </row>
        <row r="1224">
          <cell r="D1224" t="str">
            <v>C</v>
          </cell>
          <cell r="K1224" t="str">
            <v>Amount</v>
          </cell>
        </row>
        <row r="1226">
          <cell r="D1226">
            <v>5</v>
          </cell>
          <cell r="K1226">
            <v>24289200</v>
          </cell>
        </row>
        <row r="1227">
          <cell r="D1227">
            <v>0</v>
          </cell>
          <cell r="K1227">
            <v>0</v>
          </cell>
        </row>
        <row r="1228">
          <cell r="D1228">
            <v>0</v>
          </cell>
          <cell r="K1228">
            <v>0</v>
          </cell>
        </row>
        <row r="1229">
          <cell r="D1229">
            <v>0</v>
          </cell>
          <cell r="K1229">
            <v>0</v>
          </cell>
        </row>
        <row r="1230">
          <cell r="D1230">
            <v>0</v>
          </cell>
          <cell r="K1230">
            <v>0</v>
          </cell>
        </row>
        <row r="1231">
          <cell r="D1231">
            <v>0</v>
          </cell>
          <cell r="K1231">
            <v>0</v>
          </cell>
        </row>
        <row r="1232">
          <cell r="D1232">
            <v>0</v>
          </cell>
          <cell r="K1232">
            <v>0</v>
          </cell>
        </row>
        <row r="1233">
          <cell r="D1233">
            <v>0</v>
          </cell>
          <cell r="K1233">
            <v>0</v>
          </cell>
        </row>
        <row r="1234">
          <cell r="D1234">
            <v>0</v>
          </cell>
          <cell r="K1234">
            <v>0</v>
          </cell>
        </row>
        <row r="1235">
          <cell r="D1235">
            <v>0</v>
          </cell>
          <cell r="K1235">
            <v>0</v>
          </cell>
        </row>
        <row r="1236">
          <cell r="D1236">
            <v>0</v>
          </cell>
          <cell r="K1236">
            <v>0</v>
          </cell>
        </row>
        <row r="1237">
          <cell r="D1237">
            <v>0</v>
          </cell>
          <cell r="K1237">
            <v>0</v>
          </cell>
        </row>
        <row r="1238">
          <cell r="D1238">
            <v>0</v>
          </cell>
          <cell r="K1238">
            <v>0</v>
          </cell>
        </row>
        <row r="1239">
          <cell r="D1239">
            <v>0</v>
          </cell>
          <cell r="K1239">
            <v>0</v>
          </cell>
        </row>
        <row r="1240">
          <cell r="D1240">
            <v>0</v>
          </cell>
          <cell r="K1240">
            <v>0</v>
          </cell>
        </row>
        <row r="1241">
          <cell r="D1241">
            <v>0</v>
          </cell>
          <cell r="K1241">
            <v>0</v>
          </cell>
        </row>
        <row r="1246">
          <cell r="K1246">
            <v>0</v>
          </cell>
        </row>
        <row r="1250">
          <cell r="K1250">
            <v>24289200</v>
          </cell>
        </row>
        <row r="1256">
          <cell r="D1256" t="str">
            <v>AM</v>
          </cell>
        </row>
        <row r="1258">
          <cell r="D1258">
            <v>44964</v>
          </cell>
        </row>
        <row r="1260">
          <cell r="D1260" t="str">
            <v>KO 0707</v>
          </cell>
        </row>
        <row r="1262">
          <cell r="D1262" t="str">
            <v>C</v>
          </cell>
          <cell r="K1262" t="str">
            <v>Amount</v>
          </cell>
        </row>
        <row r="1264">
          <cell r="D1264">
            <v>1</v>
          </cell>
          <cell r="K1264">
            <v>1335600</v>
          </cell>
        </row>
        <row r="1265">
          <cell r="K1265">
            <v>0</v>
          </cell>
        </row>
        <row r="1266">
          <cell r="K1266">
            <v>0</v>
          </cell>
        </row>
        <row r="1267">
          <cell r="K1267">
            <v>0</v>
          </cell>
        </row>
        <row r="1268">
          <cell r="K1268">
            <v>0</v>
          </cell>
        </row>
        <row r="1269">
          <cell r="K1269">
            <v>0</v>
          </cell>
        </row>
        <row r="1270">
          <cell r="K1270">
            <v>0</v>
          </cell>
        </row>
        <row r="1271">
          <cell r="K1271">
            <v>0</v>
          </cell>
        </row>
        <row r="1272">
          <cell r="K1272">
            <v>0</v>
          </cell>
        </row>
        <row r="1273">
          <cell r="K1273">
            <v>0</v>
          </cell>
        </row>
        <row r="1274">
          <cell r="K1274">
            <v>0</v>
          </cell>
        </row>
        <row r="1275">
          <cell r="K1275">
            <v>0</v>
          </cell>
        </row>
        <row r="1276">
          <cell r="K1276">
            <v>0</v>
          </cell>
        </row>
        <row r="1277">
          <cell r="K1277">
            <v>0</v>
          </cell>
        </row>
        <row r="1278">
          <cell r="K1278">
            <v>0</v>
          </cell>
        </row>
        <row r="1279">
          <cell r="K1279">
            <v>0</v>
          </cell>
        </row>
        <row r="1284">
          <cell r="K1284">
            <v>0</v>
          </cell>
        </row>
        <row r="1288">
          <cell r="K1288">
            <v>1335600</v>
          </cell>
        </row>
        <row r="1294">
          <cell r="D1294" t="str">
            <v>AM</v>
          </cell>
        </row>
        <row r="1296">
          <cell r="D1296">
            <v>44964</v>
          </cell>
        </row>
        <row r="1298">
          <cell r="D1298" t="str">
            <v>KO 0707</v>
          </cell>
        </row>
        <row r="1300">
          <cell r="D1300" t="str">
            <v>C</v>
          </cell>
          <cell r="K1300" t="str">
            <v>Amount</v>
          </cell>
        </row>
        <row r="1302">
          <cell r="D1302">
            <v>1</v>
          </cell>
          <cell r="K1302">
            <v>1335600</v>
          </cell>
        </row>
        <row r="1303">
          <cell r="D1303">
            <v>0</v>
          </cell>
          <cell r="K1303">
            <v>0</v>
          </cell>
        </row>
        <row r="1304">
          <cell r="D1304">
            <v>0</v>
          </cell>
          <cell r="K1304">
            <v>0</v>
          </cell>
        </row>
        <row r="1305">
          <cell r="D1305">
            <v>0</v>
          </cell>
          <cell r="K1305">
            <v>0</v>
          </cell>
        </row>
        <row r="1306">
          <cell r="D1306">
            <v>0</v>
          </cell>
          <cell r="K1306">
            <v>0</v>
          </cell>
        </row>
        <row r="1307">
          <cell r="D1307">
            <v>0</v>
          </cell>
          <cell r="K1307">
            <v>0</v>
          </cell>
        </row>
        <row r="1308">
          <cell r="D1308">
            <v>0</v>
          </cell>
          <cell r="K1308">
            <v>0</v>
          </cell>
        </row>
        <row r="1309">
          <cell r="D1309">
            <v>0</v>
          </cell>
          <cell r="K1309">
            <v>0</v>
          </cell>
        </row>
        <row r="1310">
          <cell r="D1310">
            <v>0</v>
          </cell>
          <cell r="K1310">
            <v>0</v>
          </cell>
        </row>
        <row r="1311">
          <cell r="D1311">
            <v>0</v>
          </cell>
          <cell r="K1311">
            <v>0</v>
          </cell>
        </row>
        <row r="1312">
          <cell r="D1312">
            <v>0</v>
          </cell>
          <cell r="K1312">
            <v>0</v>
          </cell>
        </row>
        <row r="1313">
          <cell r="D1313">
            <v>0</v>
          </cell>
          <cell r="K1313">
            <v>0</v>
          </cell>
        </row>
        <row r="1314">
          <cell r="D1314">
            <v>0</v>
          </cell>
          <cell r="K1314">
            <v>0</v>
          </cell>
        </row>
        <row r="1315">
          <cell r="D1315">
            <v>0</v>
          </cell>
          <cell r="K1315">
            <v>0</v>
          </cell>
        </row>
        <row r="1316">
          <cell r="D1316">
            <v>0</v>
          </cell>
          <cell r="K1316">
            <v>0</v>
          </cell>
        </row>
        <row r="1317">
          <cell r="D1317">
            <v>0</v>
          </cell>
          <cell r="K1317">
            <v>0</v>
          </cell>
        </row>
        <row r="1322">
          <cell r="K1322">
            <v>0</v>
          </cell>
        </row>
        <row r="1326">
          <cell r="K1326">
            <v>1335600</v>
          </cell>
        </row>
        <row r="1332">
          <cell r="D1332" t="str">
            <v>AM</v>
          </cell>
        </row>
        <row r="1334">
          <cell r="D1334">
            <v>44964</v>
          </cell>
        </row>
        <row r="1336">
          <cell r="D1336" t="str">
            <v>KO 0707</v>
          </cell>
        </row>
        <row r="1338">
          <cell r="D1338" t="str">
            <v>C</v>
          </cell>
          <cell r="K1338" t="str">
            <v>Amount</v>
          </cell>
        </row>
        <row r="1340">
          <cell r="D1340">
            <v>1</v>
          </cell>
          <cell r="K1340">
            <v>1335600</v>
          </cell>
        </row>
        <row r="1341">
          <cell r="D1341">
            <v>0</v>
          </cell>
          <cell r="K1341">
            <v>0</v>
          </cell>
        </row>
        <row r="1342">
          <cell r="D1342">
            <v>0</v>
          </cell>
          <cell r="K1342">
            <v>0</v>
          </cell>
        </row>
        <row r="1343">
          <cell r="D1343">
            <v>0</v>
          </cell>
          <cell r="K1343">
            <v>0</v>
          </cell>
        </row>
        <row r="1344">
          <cell r="D1344">
            <v>0</v>
          </cell>
          <cell r="K1344">
            <v>0</v>
          </cell>
        </row>
        <row r="1345">
          <cell r="D1345">
            <v>0</v>
          </cell>
          <cell r="K1345">
            <v>0</v>
          </cell>
        </row>
        <row r="1346">
          <cell r="D1346">
            <v>0</v>
          </cell>
          <cell r="K1346">
            <v>0</v>
          </cell>
        </row>
        <row r="1347">
          <cell r="D1347">
            <v>0</v>
          </cell>
          <cell r="K1347">
            <v>0</v>
          </cell>
        </row>
        <row r="1348">
          <cell r="D1348">
            <v>0</v>
          </cell>
          <cell r="K1348">
            <v>0</v>
          </cell>
        </row>
        <row r="1349">
          <cell r="D1349">
            <v>0</v>
          </cell>
          <cell r="K1349">
            <v>0</v>
          </cell>
        </row>
        <row r="1350">
          <cell r="D1350">
            <v>0</v>
          </cell>
          <cell r="K1350">
            <v>0</v>
          </cell>
        </row>
        <row r="1351">
          <cell r="D1351">
            <v>0</v>
          </cell>
          <cell r="K1351">
            <v>0</v>
          </cell>
        </row>
        <row r="1352">
          <cell r="D1352">
            <v>0</v>
          </cell>
          <cell r="K1352">
            <v>0</v>
          </cell>
        </row>
        <row r="1353">
          <cell r="D1353">
            <v>0</v>
          </cell>
          <cell r="K1353">
            <v>0</v>
          </cell>
        </row>
        <row r="1354">
          <cell r="D1354">
            <v>0</v>
          </cell>
          <cell r="K1354">
            <v>0</v>
          </cell>
        </row>
        <row r="1355">
          <cell r="D1355">
            <v>0</v>
          </cell>
          <cell r="K1355">
            <v>0</v>
          </cell>
        </row>
        <row r="1360">
          <cell r="K1360">
            <v>0</v>
          </cell>
        </row>
        <row r="1364">
          <cell r="K1364">
            <v>1335600</v>
          </cell>
        </row>
        <row r="1370">
          <cell r="D1370" t="str">
            <v>AM</v>
          </cell>
        </row>
        <row r="1372">
          <cell r="D1372">
            <v>44964</v>
          </cell>
        </row>
        <row r="1374">
          <cell r="D1374" t="str">
            <v>KO 0872</v>
          </cell>
        </row>
        <row r="1376">
          <cell r="D1376" t="str">
            <v>C</v>
          </cell>
          <cell r="K1376" t="str">
            <v>Amount</v>
          </cell>
        </row>
        <row r="1378">
          <cell r="D1378">
            <v>1</v>
          </cell>
          <cell r="K1378">
            <v>1773250</v>
          </cell>
        </row>
        <row r="1379">
          <cell r="K1379">
            <v>0</v>
          </cell>
        </row>
        <row r="1380">
          <cell r="K1380">
            <v>0</v>
          </cell>
        </row>
        <row r="1381">
          <cell r="K1381">
            <v>0</v>
          </cell>
        </row>
        <row r="1382">
          <cell r="K1382">
            <v>0</v>
          </cell>
        </row>
        <row r="1383">
          <cell r="K1383">
            <v>0</v>
          </cell>
        </row>
        <row r="1384">
          <cell r="K1384">
            <v>0</v>
          </cell>
        </row>
        <row r="1385">
          <cell r="K1385">
            <v>0</v>
          </cell>
        </row>
        <row r="1386">
          <cell r="K1386">
            <v>0</v>
          </cell>
        </row>
        <row r="1387">
          <cell r="K1387">
            <v>0</v>
          </cell>
        </row>
        <row r="1388">
          <cell r="K1388">
            <v>0</v>
          </cell>
        </row>
        <row r="1389">
          <cell r="K1389">
            <v>0</v>
          </cell>
        </row>
        <row r="1390">
          <cell r="K1390">
            <v>0</v>
          </cell>
        </row>
        <row r="1391">
          <cell r="K1391">
            <v>0</v>
          </cell>
        </row>
        <row r="1392">
          <cell r="K1392">
            <v>0</v>
          </cell>
        </row>
        <row r="1393">
          <cell r="K1393">
            <v>0</v>
          </cell>
        </row>
        <row r="1398">
          <cell r="K1398">
            <v>0</v>
          </cell>
        </row>
        <row r="1402">
          <cell r="K1402">
            <v>1773250</v>
          </cell>
        </row>
        <row r="1408">
          <cell r="D1408" t="str">
            <v>AM</v>
          </cell>
        </row>
        <row r="1410">
          <cell r="D1410">
            <v>44964</v>
          </cell>
        </row>
        <row r="1412">
          <cell r="D1412" t="str">
            <v>KO 0872</v>
          </cell>
        </row>
        <row r="1414">
          <cell r="D1414" t="str">
            <v>C</v>
          </cell>
          <cell r="K1414" t="str">
            <v>Amount</v>
          </cell>
        </row>
        <row r="1416">
          <cell r="D1416">
            <v>1</v>
          </cell>
          <cell r="K1416">
            <v>1773250</v>
          </cell>
        </row>
        <row r="1417">
          <cell r="D1417">
            <v>0</v>
          </cell>
          <cell r="K1417">
            <v>0</v>
          </cell>
        </row>
        <row r="1418">
          <cell r="D1418">
            <v>0</v>
          </cell>
          <cell r="K1418">
            <v>0</v>
          </cell>
        </row>
        <row r="1419">
          <cell r="D1419">
            <v>0</v>
          </cell>
          <cell r="K1419">
            <v>0</v>
          </cell>
        </row>
        <row r="1420">
          <cell r="D1420">
            <v>0</v>
          </cell>
          <cell r="K1420">
            <v>0</v>
          </cell>
        </row>
        <row r="1421">
          <cell r="D1421">
            <v>0</v>
          </cell>
          <cell r="K1421">
            <v>0</v>
          </cell>
        </row>
        <row r="1422">
          <cell r="D1422">
            <v>0</v>
          </cell>
          <cell r="K1422">
            <v>0</v>
          </cell>
        </row>
        <row r="1423">
          <cell r="D1423">
            <v>0</v>
          </cell>
          <cell r="K1423">
            <v>0</v>
          </cell>
        </row>
        <row r="1424">
          <cell r="D1424">
            <v>0</v>
          </cell>
          <cell r="K1424">
            <v>0</v>
          </cell>
        </row>
        <row r="1425">
          <cell r="D1425">
            <v>0</v>
          </cell>
          <cell r="K1425">
            <v>0</v>
          </cell>
        </row>
        <row r="1426">
          <cell r="D1426">
            <v>0</v>
          </cell>
          <cell r="K1426">
            <v>0</v>
          </cell>
        </row>
        <row r="1427">
          <cell r="D1427">
            <v>0</v>
          </cell>
          <cell r="K1427">
            <v>0</v>
          </cell>
        </row>
        <row r="1428">
          <cell r="D1428">
            <v>0</v>
          </cell>
          <cell r="K1428">
            <v>0</v>
          </cell>
        </row>
        <row r="1429">
          <cell r="D1429">
            <v>0</v>
          </cell>
          <cell r="K1429">
            <v>0</v>
          </cell>
        </row>
        <row r="1430">
          <cell r="D1430">
            <v>0</v>
          </cell>
          <cell r="K1430">
            <v>0</v>
          </cell>
        </row>
        <row r="1431">
          <cell r="D1431">
            <v>0</v>
          </cell>
          <cell r="K1431">
            <v>0</v>
          </cell>
        </row>
        <row r="1436">
          <cell r="K1436">
            <v>0</v>
          </cell>
        </row>
        <row r="1440">
          <cell r="K1440">
            <v>1773250</v>
          </cell>
        </row>
        <row r="1446">
          <cell r="D1446" t="str">
            <v>AM</v>
          </cell>
        </row>
        <row r="1448">
          <cell r="D1448">
            <v>44964</v>
          </cell>
        </row>
        <row r="1450">
          <cell r="D1450" t="str">
            <v>KO 0872</v>
          </cell>
        </row>
        <row r="1452">
          <cell r="D1452" t="str">
            <v>C</v>
          </cell>
          <cell r="K1452" t="str">
            <v>Amount</v>
          </cell>
        </row>
        <row r="1454">
          <cell r="D1454">
            <v>1</v>
          </cell>
          <cell r="K1454">
            <v>1773250</v>
          </cell>
        </row>
        <row r="1455">
          <cell r="D1455">
            <v>0</v>
          </cell>
          <cell r="K1455">
            <v>0</v>
          </cell>
        </row>
        <row r="1456">
          <cell r="D1456">
            <v>0</v>
          </cell>
          <cell r="K1456">
            <v>0</v>
          </cell>
        </row>
        <row r="1457">
          <cell r="D1457">
            <v>0</v>
          </cell>
          <cell r="K1457">
            <v>0</v>
          </cell>
        </row>
        <row r="1458">
          <cell r="D1458">
            <v>0</v>
          </cell>
          <cell r="K1458">
            <v>0</v>
          </cell>
        </row>
        <row r="1459">
          <cell r="D1459">
            <v>0</v>
          </cell>
          <cell r="K1459">
            <v>0</v>
          </cell>
        </row>
        <row r="1460">
          <cell r="D1460">
            <v>0</v>
          </cell>
          <cell r="K1460">
            <v>0</v>
          </cell>
        </row>
        <row r="1461">
          <cell r="D1461">
            <v>0</v>
          </cell>
          <cell r="K1461">
            <v>0</v>
          </cell>
        </row>
        <row r="1462">
          <cell r="D1462">
            <v>0</v>
          </cell>
          <cell r="K1462">
            <v>0</v>
          </cell>
        </row>
        <row r="1463">
          <cell r="D1463">
            <v>0</v>
          </cell>
          <cell r="K1463">
            <v>0</v>
          </cell>
        </row>
        <row r="1464">
          <cell r="D1464">
            <v>0</v>
          </cell>
          <cell r="K1464">
            <v>0</v>
          </cell>
        </row>
        <row r="1465">
          <cell r="D1465">
            <v>0</v>
          </cell>
          <cell r="K1465">
            <v>0</v>
          </cell>
        </row>
        <row r="1466">
          <cell r="D1466">
            <v>0</v>
          </cell>
          <cell r="K1466">
            <v>0</v>
          </cell>
        </row>
        <row r="1467">
          <cell r="D1467">
            <v>0</v>
          </cell>
          <cell r="K1467">
            <v>0</v>
          </cell>
        </row>
        <row r="1468">
          <cell r="D1468">
            <v>0</v>
          </cell>
          <cell r="K1468">
            <v>0</v>
          </cell>
        </row>
        <row r="1469">
          <cell r="D1469">
            <v>0</v>
          </cell>
          <cell r="K1469">
            <v>0</v>
          </cell>
        </row>
        <row r="1474">
          <cell r="K1474">
            <v>0</v>
          </cell>
        </row>
        <row r="1478">
          <cell r="K1478">
            <v>1773250</v>
          </cell>
        </row>
        <row r="1484">
          <cell r="D1484" t="str">
            <v>AM</v>
          </cell>
        </row>
        <row r="1486">
          <cell r="D1486">
            <v>44964</v>
          </cell>
        </row>
        <row r="1488">
          <cell r="D1488" t="str">
            <v>KO 0873</v>
          </cell>
        </row>
        <row r="1490">
          <cell r="D1490" t="str">
            <v>C</v>
          </cell>
          <cell r="K1490" t="str">
            <v>Amount</v>
          </cell>
        </row>
        <row r="1492">
          <cell r="D1492">
            <v>1</v>
          </cell>
          <cell r="K1492">
            <v>689040</v>
          </cell>
        </row>
        <row r="1493">
          <cell r="K1493">
            <v>0</v>
          </cell>
        </row>
        <row r="1494">
          <cell r="K1494">
            <v>0</v>
          </cell>
        </row>
        <row r="1495">
          <cell r="K1495">
            <v>0</v>
          </cell>
        </row>
        <row r="1496">
          <cell r="K1496">
            <v>0</v>
          </cell>
        </row>
        <row r="1497">
          <cell r="K1497">
            <v>0</v>
          </cell>
        </row>
        <row r="1498">
          <cell r="K1498">
            <v>0</v>
          </cell>
        </row>
        <row r="1499">
          <cell r="K1499">
            <v>0</v>
          </cell>
        </row>
        <row r="1500">
          <cell r="K1500">
            <v>0</v>
          </cell>
        </row>
        <row r="1501">
          <cell r="K1501">
            <v>0</v>
          </cell>
        </row>
        <row r="1502">
          <cell r="K1502">
            <v>0</v>
          </cell>
        </row>
        <row r="1503">
          <cell r="K1503">
            <v>0</v>
          </cell>
        </row>
        <row r="1504">
          <cell r="K1504">
            <v>0</v>
          </cell>
        </row>
        <row r="1505">
          <cell r="K1505">
            <v>0</v>
          </cell>
        </row>
        <row r="1506">
          <cell r="K1506">
            <v>0</v>
          </cell>
        </row>
        <row r="1507">
          <cell r="K1507">
            <v>0</v>
          </cell>
        </row>
        <row r="1512">
          <cell r="K1512">
            <v>0</v>
          </cell>
        </row>
        <row r="1516">
          <cell r="K1516">
            <v>689040</v>
          </cell>
        </row>
        <row r="1522">
          <cell r="D1522" t="str">
            <v>AM</v>
          </cell>
        </row>
        <row r="1524">
          <cell r="D1524">
            <v>44964</v>
          </cell>
        </row>
        <row r="1526">
          <cell r="D1526" t="str">
            <v>KO 0873</v>
          </cell>
        </row>
        <row r="1528">
          <cell r="D1528" t="str">
            <v>C</v>
          </cell>
          <cell r="K1528" t="str">
            <v>Amount</v>
          </cell>
        </row>
        <row r="1530">
          <cell r="D1530">
            <v>1</v>
          </cell>
          <cell r="K1530">
            <v>689040</v>
          </cell>
        </row>
        <row r="1531">
          <cell r="D1531">
            <v>0</v>
          </cell>
          <cell r="K1531">
            <v>0</v>
          </cell>
        </row>
        <row r="1532">
          <cell r="D1532">
            <v>0</v>
          </cell>
          <cell r="K1532">
            <v>0</v>
          </cell>
        </row>
        <row r="1533">
          <cell r="D1533">
            <v>0</v>
          </cell>
          <cell r="K1533">
            <v>0</v>
          </cell>
        </row>
        <row r="1534">
          <cell r="D1534">
            <v>0</v>
          </cell>
          <cell r="K1534">
            <v>0</v>
          </cell>
        </row>
        <row r="1535">
          <cell r="D1535">
            <v>0</v>
          </cell>
          <cell r="K1535">
            <v>0</v>
          </cell>
        </row>
        <row r="1536">
          <cell r="D1536">
            <v>0</v>
          </cell>
          <cell r="K1536">
            <v>0</v>
          </cell>
        </row>
        <row r="1537">
          <cell r="D1537">
            <v>0</v>
          </cell>
          <cell r="K1537">
            <v>0</v>
          </cell>
        </row>
        <row r="1538">
          <cell r="D1538">
            <v>0</v>
          </cell>
          <cell r="K1538">
            <v>0</v>
          </cell>
        </row>
        <row r="1539">
          <cell r="D1539">
            <v>0</v>
          </cell>
          <cell r="K1539">
            <v>0</v>
          </cell>
        </row>
        <row r="1540">
          <cell r="D1540">
            <v>0</v>
          </cell>
          <cell r="K1540">
            <v>0</v>
          </cell>
        </row>
        <row r="1541">
          <cell r="D1541">
            <v>0</v>
          </cell>
          <cell r="K1541">
            <v>0</v>
          </cell>
        </row>
        <row r="1542">
          <cell r="D1542">
            <v>0</v>
          </cell>
          <cell r="K1542">
            <v>0</v>
          </cell>
        </row>
        <row r="1543">
          <cell r="D1543">
            <v>0</v>
          </cell>
          <cell r="K1543">
            <v>0</v>
          </cell>
        </row>
        <row r="1544">
          <cell r="D1544">
            <v>0</v>
          </cell>
          <cell r="K1544">
            <v>0</v>
          </cell>
        </row>
        <row r="1545">
          <cell r="D1545">
            <v>0</v>
          </cell>
          <cell r="K1545">
            <v>0</v>
          </cell>
        </row>
        <row r="1550">
          <cell r="K1550">
            <v>0</v>
          </cell>
        </row>
        <row r="1554">
          <cell r="K1554">
            <v>689040</v>
          </cell>
        </row>
        <row r="1560">
          <cell r="D1560" t="str">
            <v>AM</v>
          </cell>
        </row>
        <row r="1562">
          <cell r="D1562">
            <v>44964</v>
          </cell>
        </row>
        <row r="1564">
          <cell r="D1564" t="str">
            <v>KO 0873</v>
          </cell>
        </row>
        <row r="1566">
          <cell r="D1566" t="str">
            <v>C</v>
          </cell>
          <cell r="K1566" t="str">
            <v>Amount</v>
          </cell>
        </row>
        <row r="1568">
          <cell r="D1568">
            <v>1</v>
          </cell>
          <cell r="K1568">
            <v>689040</v>
          </cell>
        </row>
        <row r="1569">
          <cell r="D1569">
            <v>0</v>
          </cell>
          <cell r="K1569">
            <v>0</v>
          </cell>
        </row>
        <row r="1570">
          <cell r="D1570">
            <v>0</v>
          </cell>
          <cell r="K1570">
            <v>0</v>
          </cell>
        </row>
        <row r="1571">
          <cell r="D1571">
            <v>0</v>
          </cell>
          <cell r="K1571">
            <v>0</v>
          </cell>
        </row>
        <row r="1572">
          <cell r="D1572">
            <v>0</v>
          </cell>
          <cell r="K1572">
            <v>0</v>
          </cell>
        </row>
        <row r="1573">
          <cell r="D1573">
            <v>0</v>
          </cell>
          <cell r="K1573">
            <v>0</v>
          </cell>
        </row>
        <row r="1574">
          <cell r="D1574">
            <v>0</v>
          </cell>
          <cell r="K1574">
            <v>0</v>
          </cell>
        </row>
        <row r="1575">
          <cell r="D1575">
            <v>0</v>
          </cell>
          <cell r="K1575">
            <v>0</v>
          </cell>
        </row>
        <row r="1576">
          <cell r="D1576">
            <v>0</v>
          </cell>
          <cell r="K1576">
            <v>0</v>
          </cell>
        </row>
        <row r="1577">
          <cell r="D1577">
            <v>0</v>
          </cell>
          <cell r="K1577">
            <v>0</v>
          </cell>
        </row>
        <row r="1578">
          <cell r="D1578">
            <v>0</v>
          </cell>
          <cell r="K1578">
            <v>0</v>
          </cell>
        </row>
        <row r="1579">
          <cell r="D1579">
            <v>0</v>
          </cell>
          <cell r="K1579">
            <v>0</v>
          </cell>
        </row>
        <row r="1580">
          <cell r="D1580">
            <v>0</v>
          </cell>
          <cell r="K1580">
            <v>0</v>
          </cell>
        </row>
        <row r="1581">
          <cell r="D1581">
            <v>0</v>
          </cell>
          <cell r="K1581">
            <v>0</v>
          </cell>
        </row>
        <row r="1582">
          <cell r="D1582">
            <v>0</v>
          </cell>
          <cell r="K1582">
            <v>0</v>
          </cell>
        </row>
        <row r="1583">
          <cell r="D1583">
            <v>0</v>
          </cell>
          <cell r="K1583">
            <v>0</v>
          </cell>
        </row>
        <row r="1588">
          <cell r="K1588">
            <v>0</v>
          </cell>
        </row>
        <row r="1592">
          <cell r="K1592">
            <v>689040</v>
          </cell>
        </row>
        <row r="1598">
          <cell r="D1598" t="str">
            <v>AM</v>
          </cell>
        </row>
        <row r="1600">
          <cell r="D1600">
            <v>44965</v>
          </cell>
        </row>
        <row r="1602">
          <cell r="D1602" t="str">
            <v>G 0877</v>
          </cell>
        </row>
        <row r="1604">
          <cell r="D1604" t="str">
            <v>C</v>
          </cell>
          <cell r="K1604" t="str">
            <v>Amount</v>
          </cell>
        </row>
        <row r="1606">
          <cell r="D1606">
            <v>1</v>
          </cell>
          <cell r="K1606">
            <v>1852200</v>
          </cell>
        </row>
        <row r="1607">
          <cell r="D1607">
            <v>1</v>
          </cell>
          <cell r="K1607">
            <v>2331000</v>
          </cell>
        </row>
        <row r="1608">
          <cell r="D1608">
            <v>1</v>
          </cell>
          <cell r="K1608">
            <v>1852200</v>
          </cell>
        </row>
        <row r="1609">
          <cell r="D1609">
            <v>7</v>
          </cell>
          <cell r="K1609">
            <v>21168000</v>
          </cell>
        </row>
        <row r="1610">
          <cell r="D1610">
            <v>4</v>
          </cell>
          <cell r="K1610">
            <v>3981600</v>
          </cell>
        </row>
        <row r="1611">
          <cell r="D1611">
            <v>1</v>
          </cell>
          <cell r="K1611">
            <v>4914000</v>
          </cell>
        </row>
        <row r="1612">
          <cell r="D1612">
            <v>1</v>
          </cell>
          <cell r="K1612">
            <v>1793750</v>
          </cell>
        </row>
        <row r="1613">
          <cell r="D1613">
            <v>3</v>
          </cell>
          <cell r="K1613">
            <v>4536000</v>
          </cell>
        </row>
        <row r="1614">
          <cell r="D1614">
            <v>1</v>
          </cell>
          <cell r="K1614">
            <v>2967300</v>
          </cell>
        </row>
        <row r="1615">
          <cell r="D1615">
            <v>1</v>
          </cell>
          <cell r="K1615">
            <v>3420900</v>
          </cell>
        </row>
        <row r="1616">
          <cell r="K1616">
            <v>0</v>
          </cell>
        </row>
        <row r="1617">
          <cell r="K1617">
            <v>0</v>
          </cell>
        </row>
        <row r="1618">
          <cell r="K1618">
            <v>0</v>
          </cell>
        </row>
        <row r="1619">
          <cell r="K1619">
            <v>0</v>
          </cell>
        </row>
        <row r="1620">
          <cell r="K1620">
            <v>0</v>
          </cell>
        </row>
        <row r="1621">
          <cell r="K1621">
            <v>0</v>
          </cell>
        </row>
        <row r="1626">
          <cell r="K1626">
            <v>0</v>
          </cell>
        </row>
        <row r="1630">
          <cell r="K1630">
            <v>48816950</v>
          </cell>
        </row>
        <row r="1636">
          <cell r="D1636" t="str">
            <v>AM</v>
          </cell>
        </row>
        <row r="1638">
          <cell r="D1638">
            <v>44965</v>
          </cell>
        </row>
        <row r="1640">
          <cell r="D1640" t="str">
            <v>G 0877</v>
          </cell>
        </row>
        <row r="1642">
          <cell r="D1642" t="str">
            <v>C</v>
          </cell>
          <cell r="K1642" t="str">
            <v>Amount</v>
          </cell>
        </row>
        <row r="1644">
          <cell r="D1644">
            <v>1</v>
          </cell>
          <cell r="K1644">
            <v>1852200</v>
          </cell>
        </row>
        <row r="1645">
          <cell r="D1645">
            <v>1</v>
          </cell>
          <cell r="K1645">
            <v>2331000</v>
          </cell>
        </row>
        <row r="1646">
          <cell r="D1646">
            <v>1</v>
          </cell>
          <cell r="K1646">
            <v>1852200</v>
          </cell>
        </row>
        <row r="1647">
          <cell r="D1647">
            <v>7</v>
          </cell>
          <cell r="K1647">
            <v>21168000</v>
          </cell>
        </row>
        <row r="1648">
          <cell r="D1648">
            <v>4</v>
          </cell>
          <cell r="K1648">
            <v>3981600</v>
          </cell>
        </row>
        <row r="1649">
          <cell r="D1649">
            <v>1</v>
          </cell>
          <cell r="K1649">
            <v>4914000</v>
          </cell>
        </row>
        <row r="1650">
          <cell r="D1650">
            <v>1</v>
          </cell>
          <cell r="K1650">
            <v>1793750</v>
          </cell>
        </row>
        <row r="1651">
          <cell r="D1651">
            <v>3</v>
          </cell>
          <cell r="K1651">
            <v>4536000</v>
          </cell>
        </row>
        <row r="1652">
          <cell r="D1652">
            <v>1</v>
          </cell>
          <cell r="K1652">
            <v>2967300</v>
          </cell>
        </row>
        <row r="1653">
          <cell r="D1653">
            <v>1</v>
          </cell>
          <cell r="K1653">
            <v>3420900</v>
          </cell>
        </row>
        <row r="1654">
          <cell r="D1654">
            <v>0</v>
          </cell>
          <cell r="K1654">
            <v>0</v>
          </cell>
        </row>
        <row r="1655">
          <cell r="D1655">
            <v>0</v>
          </cell>
          <cell r="K1655">
            <v>0</v>
          </cell>
        </row>
        <row r="1656">
          <cell r="D1656">
            <v>0</v>
          </cell>
          <cell r="K1656">
            <v>0</v>
          </cell>
        </row>
        <row r="1657">
          <cell r="D1657">
            <v>0</v>
          </cell>
          <cell r="K1657">
            <v>0</v>
          </cell>
        </row>
        <row r="1658">
          <cell r="D1658">
            <v>0</v>
          </cell>
          <cell r="K1658">
            <v>0</v>
          </cell>
        </row>
        <row r="1659">
          <cell r="D1659">
            <v>0</v>
          </cell>
          <cell r="K1659">
            <v>0</v>
          </cell>
        </row>
        <row r="1664">
          <cell r="K1664">
            <v>0</v>
          </cell>
        </row>
        <row r="1668">
          <cell r="K1668">
            <v>48816950</v>
          </cell>
        </row>
        <row r="1674">
          <cell r="D1674" t="str">
            <v>AM</v>
          </cell>
        </row>
        <row r="1676">
          <cell r="D1676">
            <v>44965</v>
          </cell>
        </row>
        <row r="1678">
          <cell r="D1678" t="str">
            <v>G 0877</v>
          </cell>
        </row>
        <row r="1680">
          <cell r="D1680" t="str">
            <v>C</v>
          </cell>
          <cell r="K1680" t="str">
            <v>Amount</v>
          </cell>
        </row>
        <row r="1682">
          <cell r="D1682">
            <v>1</v>
          </cell>
          <cell r="K1682">
            <v>1852200</v>
          </cell>
        </row>
        <row r="1683">
          <cell r="D1683">
            <v>1</v>
          </cell>
          <cell r="K1683">
            <v>2331000</v>
          </cell>
        </row>
        <row r="1684">
          <cell r="D1684">
            <v>1</v>
          </cell>
          <cell r="K1684">
            <v>1852200</v>
          </cell>
        </row>
        <row r="1685">
          <cell r="D1685">
            <v>7</v>
          </cell>
          <cell r="K1685">
            <v>21168000</v>
          </cell>
        </row>
        <row r="1686">
          <cell r="D1686">
            <v>4</v>
          </cell>
          <cell r="K1686">
            <v>3981600</v>
          </cell>
        </row>
        <row r="1687">
          <cell r="D1687">
            <v>1</v>
          </cell>
          <cell r="K1687">
            <v>4914000</v>
          </cell>
        </row>
        <row r="1688">
          <cell r="D1688">
            <v>1</v>
          </cell>
          <cell r="K1688">
            <v>1793750</v>
          </cell>
        </row>
        <row r="1689">
          <cell r="D1689">
            <v>3</v>
          </cell>
          <cell r="K1689">
            <v>4536000</v>
          </cell>
        </row>
        <row r="1690">
          <cell r="D1690">
            <v>1</v>
          </cell>
          <cell r="K1690">
            <v>2967300</v>
          </cell>
        </row>
        <row r="1691">
          <cell r="D1691">
            <v>1</v>
          </cell>
          <cell r="K1691">
            <v>3420900</v>
          </cell>
        </row>
        <row r="1692">
          <cell r="D1692">
            <v>0</v>
          </cell>
          <cell r="K1692">
            <v>0</v>
          </cell>
        </row>
        <row r="1693">
          <cell r="D1693">
            <v>0</v>
          </cell>
          <cell r="K1693">
            <v>0</v>
          </cell>
        </row>
        <row r="1694">
          <cell r="D1694">
            <v>0</v>
          </cell>
          <cell r="K1694">
            <v>0</v>
          </cell>
        </row>
        <row r="1695">
          <cell r="D1695">
            <v>0</v>
          </cell>
          <cell r="K1695">
            <v>0</v>
          </cell>
        </row>
        <row r="1696">
          <cell r="D1696">
            <v>0</v>
          </cell>
          <cell r="K1696">
            <v>0</v>
          </cell>
        </row>
        <row r="1697">
          <cell r="D1697">
            <v>0</v>
          </cell>
          <cell r="K1697">
            <v>0</v>
          </cell>
        </row>
        <row r="1702">
          <cell r="K1702">
            <v>0</v>
          </cell>
        </row>
        <row r="1706">
          <cell r="K1706">
            <v>48816950</v>
          </cell>
        </row>
        <row r="1712">
          <cell r="D1712" t="str">
            <v>AM</v>
          </cell>
        </row>
        <row r="1714">
          <cell r="D1714">
            <v>44966</v>
          </cell>
        </row>
        <row r="1716">
          <cell r="D1716" t="str">
            <v>KO 0908</v>
          </cell>
        </row>
        <row r="1718">
          <cell r="D1718" t="str">
            <v>C</v>
          </cell>
          <cell r="K1718" t="str">
            <v>Amount</v>
          </cell>
        </row>
        <row r="1720">
          <cell r="D1720">
            <v>2</v>
          </cell>
          <cell r="K1720">
            <v>1470500</v>
          </cell>
        </row>
        <row r="1721">
          <cell r="D1721">
            <v>2</v>
          </cell>
          <cell r="K1721">
            <v>1384000</v>
          </cell>
        </row>
        <row r="1722">
          <cell r="D1722">
            <v>2</v>
          </cell>
          <cell r="K1722">
            <v>1487800</v>
          </cell>
        </row>
        <row r="1723">
          <cell r="D1723">
            <v>1</v>
          </cell>
          <cell r="K1723">
            <v>2055240</v>
          </cell>
        </row>
        <row r="1724">
          <cell r="D1724">
            <v>1</v>
          </cell>
          <cell r="K1724">
            <v>2242080</v>
          </cell>
        </row>
        <row r="1725">
          <cell r="D1725">
            <v>1</v>
          </cell>
          <cell r="K1725">
            <v>3325752</v>
          </cell>
        </row>
        <row r="1726">
          <cell r="D1726">
            <v>1</v>
          </cell>
          <cell r="K1726">
            <v>3475224</v>
          </cell>
        </row>
        <row r="1727">
          <cell r="D1727">
            <v>1</v>
          </cell>
          <cell r="K1727">
            <v>1608900</v>
          </cell>
        </row>
        <row r="1728">
          <cell r="D1728">
            <v>1</v>
          </cell>
          <cell r="K1728">
            <v>1972200</v>
          </cell>
        </row>
        <row r="1729">
          <cell r="K1729">
            <v>0</v>
          </cell>
        </row>
        <row r="1730">
          <cell r="K1730">
            <v>0</v>
          </cell>
        </row>
        <row r="1731">
          <cell r="K1731">
            <v>0</v>
          </cell>
        </row>
        <row r="1732">
          <cell r="K1732">
            <v>0</v>
          </cell>
        </row>
        <row r="1733">
          <cell r="K1733">
            <v>0</v>
          </cell>
        </row>
        <row r="1734">
          <cell r="K1734">
            <v>0</v>
          </cell>
        </row>
        <row r="1735">
          <cell r="K1735">
            <v>0</v>
          </cell>
        </row>
        <row r="1740">
          <cell r="K1740">
            <v>0</v>
          </cell>
        </row>
        <row r="1744">
          <cell r="K1744">
            <v>19021696</v>
          </cell>
        </row>
        <row r="1750">
          <cell r="D1750" t="str">
            <v>AM</v>
          </cell>
        </row>
        <row r="1752">
          <cell r="D1752">
            <v>44966</v>
          </cell>
        </row>
        <row r="1754">
          <cell r="D1754" t="str">
            <v>KO 0908</v>
          </cell>
        </row>
        <row r="1756">
          <cell r="D1756" t="str">
            <v>C</v>
          </cell>
          <cell r="K1756" t="str">
            <v>Amount</v>
          </cell>
        </row>
        <row r="1758">
          <cell r="D1758">
            <v>2</v>
          </cell>
          <cell r="K1758">
            <v>1470500</v>
          </cell>
        </row>
        <row r="1759">
          <cell r="D1759">
            <v>2</v>
          </cell>
          <cell r="K1759">
            <v>1384000</v>
          </cell>
        </row>
        <row r="1760">
          <cell r="D1760">
            <v>2</v>
          </cell>
          <cell r="K1760">
            <v>1487800</v>
          </cell>
        </row>
        <row r="1761">
          <cell r="D1761">
            <v>1</v>
          </cell>
          <cell r="K1761">
            <v>2055240</v>
          </cell>
        </row>
        <row r="1762">
          <cell r="D1762">
            <v>1</v>
          </cell>
          <cell r="K1762">
            <v>2242080</v>
          </cell>
        </row>
        <row r="1763">
          <cell r="D1763">
            <v>1</v>
          </cell>
          <cell r="K1763">
            <v>3325752</v>
          </cell>
        </row>
        <row r="1764">
          <cell r="D1764">
            <v>1</v>
          </cell>
          <cell r="K1764">
            <v>3475224</v>
          </cell>
        </row>
        <row r="1765">
          <cell r="D1765">
            <v>1</v>
          </cell>
          <cell r="K1765">
            <v>1608900</v>
          </cell>
        </row>
        <row r="1766">
          <cell r="D1766">
            <v>1</v>
          </cell>
          <cell r="K1766">
            <v>1972200</v>
          </cell>
        </row>
        <row r="1767">
          <cell r="D1767">
            <v>0</v>
          </cell>
          <cell r="K1767">
            <v>0</v>
          </cell>
        </row>
        <row r="1768">
          <cell r="D1768">
            <v>0</v>
          </cell>
          <cell r="K1768">
            <v>0</v>
          </cell>
        </row>
        <row r="1769">
          <cell r="D1769">
            <v>0</v>
          </cell>
          <cell r="K1769">
            <v>0</v>
          </cell>
        </row>
        <row r="1770">
          <cell r="D1770">
            <v>0</v>
          </cell>
          <cell r="K1770">
            <v>0</v>
          </cell>
        </row>
        <row r="1771">
          <cell r="D1771">
            <v>0</v>
          </cell>
          <cell r="K1771">
            <v>0</v>
          </cell>
        </row>
        <row r="1772">
          <cell r="D1772">
            <v>0</v>
          </cell>
          <cell r="K1772">
            <v>0</v>
          </cell>
        </row>
        <row r="1773">
          <cell r="D1773">
            <v>0</v>
          </cell>
          <cell r="K1773">
            <v>0</v>
          </cell>
        </row>
        <row r="1778">
          <cell r="K1778">
            <v>0</v>
          </cell>
        </row>
        <row r="1782">
          <cell r="K1782">
            <v>19021696</v>
          </cell>
        </row>
        <row r="1788">
          <cell r="D1788" t="str">
            <v>AM</v>
          </cell>
        </row>
        <row r="1790">
          <cell r="D1790">
            <v>44966</v>
          </cell>
        </row>
        <row r="1792">
          <cell r="D1792" t="str">
            <v>KO 0908</v>
          </cell>
        </row>
        <row r="1794">
          <cell r="D1794" t="str">
            <v>C</v>
          </cell>
          <cell r="K1794" t="str">
            <v>Amount</v>
          </cell>
        </row>
        <row r="1796">
          <cell r="D1796">
            <v>2</v>
          </cell>
          <cell r="K1796">
            <v>1470500</v>
          </cell>
        </row>
        <row r="1797">
          <cell r="D1797">
            <v>2</v>
          </cell>
          <cell r="K1797">
            <v>1384000</v>
          </cell>
        </row>
        <row r="1798">
          <cell r="D1798">
            <v>2</v>
          </cell>
          <cell r="K1798">
            <v>1487800</v>
          </cell>
        </row>
        <row r="1799">
          <cell r="D1799">
            <v>1</v>
          </cell>
          <cell r="K1799">
            <v>2055240</v>
          </cell>
        </row>
        <row r="1800">
          <cell r="D1800">
            <v>1</v>
          </cell>
          <cell r="K1800">
            <v>2242080</v>
          </cell>
        </row>
        <row r="1801">
          <cell r="D1801">
            <v>1</v>
          </cell>
          <cell r="K1801">
            <v>3325752</v>
          </cell>
        </row>
        <row r="1802">
          <cell r="D1802">
            <v>1</v>
          </cell>
          <cell r="K1802">
            <v>3475224</v>
          </cell>
        </row>
        <row r="1803">
          <cell r="D1803">
            <v>1</v>
          </cell>
          <cell r="K1803">
            <v>1608900</v>
          </cell>
        </row>
        <row r="1804">
          <cell r="D1804">
            <v>1</v>
          </cell>
          <cell r="K1804">
            <v>1972200</v>
          </cell>
        </row>
        <row r="1805">
          <cell r="D1805">
            <v>0</v>
          </cell>
          <cell r="K1805">
            <v>0</v>
          </cell>
        </row>
        <row r="1806">
          <cell r="D1806">
            <v>0</v>
          </cell>
          <cell r="K1806">
            <v>0</v>
          </cell>
        </row>
        <row r="1807">
          <cell r="D1807">
            <v>0</v>
          </cell>
          <cell r="K1807">
            <v>0</v>
          </cell>
        </row>
        <row r="1808">
          <cell r="D1808">
            <v>0</v>
          </cell>
          <cell r="K1808">
            <v>0</v>
          </cell>
        </row>
        <row r="1809">
          <cell r="D1809">
            <v>0</v>
          </cell>
          <cell r="K1809">
            <v>0</v>
          </cell>
        </row>
        <row r="1810">
          <cell r="D1810">
            <v>0</v>
          </cell>
          <cell r="K1810">
            <v>0</v>
          </cell>
        </row>
        <row r="1811">
          <cell r="D1811">
            <v>0</v>
          </cell>
          <cell r="K1811">
            <v>0</v>
          </cell>
        </row>
        <row r="1816">
          <cell r="K1816">
            <v>0</v>
          </cell>
        </row>
        <row r="1820">
          <cell r="K1820">
            <v>19021696</v>
          </cell>
        </row>
        <row r="1826">
          <cell r="D1826" t="str">
            <v>AM</v>
          </cell>
        </row>
        <row r="1828">
          <cell r="D1828">
            <v>44966</v>
          </cell>
        </row>
        <row r="1830">
          <cell r="D1830" t="str">
            <v>KO 0910</v>
          </cell>
        </row>
        <row r="1832">
          <cell r="D1832" t="str">
            <v>C</v>
          </cell>
          <cell r="K1832" t="str">
            <v>Amount</v>
          </cell>
        </row>
        <row r="1834">
          <cell r="D1834">
            <v>1</v>
          </cell>
          <cell r="K1834">
            <v>2538720</v>
          </cell>
        </row>
        <row r="1835">
          <cell r="K1835">
            <v>0</v>
          </cell>
        </row>
        <row r="1836">
          <cell r="K1836">
            <v>0</v>
          </cell>
        </row>
        <row r="1837">
          <cell r="K1837">
            <v>0</v>
          </cell>
        </row>
        <row r="1838">
          <cell r="K1838">
            <v>0</v>
          </cell>
        </row>
        <row r="1839">
          <cell r="K1839">
            <v>0</v>
          </cell>
        </row>
        <row r="1840">
          <cell r="K1840">
            <v>0</v>
          </cell>
        </row>
        <row r="1841">
          <cell r="K1841">
            <v>0</v>
          </cell>
        </row>
        <row r="1842">
          <cell r="K1842">
            <v>0</v>
          </cell>
        </row>
        <row r="1843">
          <cell r="K1843">
            <v>0</v>
          </cell>
        </row>
        <row r="1844">
          <cell r="K1844">
            <v>0</v>
          </cell>
        </row>
        <row r="1845">
          <cell r="K1845">
            <v>0</v>
          </cell>
        </row>
        <row r="1846">
          <cell r="K1846">
            <v>0</v>
          </cell>
        </row>
        <row r="1847">
          <cell r="K1847">
            <v>0</v>
          </cell>
        </row>
        <row r="1848">
          <cell r="K1848">
            <v>0</v>
          </cell>
        </row>
        <row r="1849">
          <cell r="K1849">
            <v>0</v>
          </cell>
        </row>
        <row r="1854">
          <cell r="K1854">
            <v>0</v>
          </cell>
        </row>
        <row r="1858">
          <cell r="K1858">
            <v>2538720</v>
          </cell>
        </row>
        <row r="1864">
          <cell r="D1864" t="str">
            <v>AM</v>
          </cell>
        </row>
        <row r="1866">
          <cell r="D1866">
            <v>44966</v>
          </cell>
        </row>
        <row r="1868">
          <cell r="D1868" t="str">
            <v>KO 0910</v>
          </cell>
        </row>
        <row r="1870">
          <cell r="D1870" t="str">
            <v>C</v>
          </cell>
          <cell r="K1870" t="str">
            <v>Amount</v>
          </cell>
        </row>
        <row r="1872">
          <cell r="D1872">
            <v>1</v>
          </cell>
          <cell r="K1872">
            <v>2538720</v>
          </cell>
        </row>
        <row r="1873">
          <cell r="D1873">
            <v>0</v>
          </cell>
          <cell r="K1873">
            <v>0</v>
          </cell>
        </row>
        <row r="1874">
          <cell r="D1874">
            <v>0</v>
          </cell>
          <cell r="K1874">
            <v>0</v>
          </cell>
        </row>
        <row r="1875">
          <cell r="D1875">
            <v>0</v>
          </cell>
          <cell r="K1875">
            <v>0</v>
          </cell>
        </row>
        <row r="1876">
          <cell r="D1876">
            <v>0</v>
          </cell>
          <cell r="K1876">
            <v>0</v>
          </cell>
        </row>
        <row r="1877">
          <cell r="D1877">
            <v>0</v>
          </cell>
          <cell r="K1877">
            <v>0</v>
          </cell>
        </row>
        <row r="1878">
          <cell r="D1878">
            <v>0</v>
          </cell>
          <cell r="K1878">
            <v>0</v>
          </cell>
        </row>
        <row r="1879">
          <cell r="D1879">
            <v>0</v>
          </cell>
          <cell r="K1879">
            <v>0</v>
          </cell>
        </row>
        <row r="1880">
          <cell r="D1880">
            <v>0</v>
          </cell>
          <cell r="K1880">
            <v>0</v>
          </cell>
        </row>
        <row r="1881">
          <cell r="D1881">
            <v>0</v>
          </cell>
          <cell r="K1881">
            <v>0</v>
          </cell>
        </row>
        <row r="1882">
          <cell r="D1882">
            <v>0</v>
          </cell>
          <cell r="K1882">
            <v>0</v>
          </cell>
        </row>
        <row r="1883">
          <cell r="D1883">
            <v>0</v>
          </cell>
          <cell r="K1883">
            <v>0</v>
          </cell>
        </row>
        <row r="1884">
          <cell r="D1884">
            <v>0</v>
          </cell>
          <cell r="K1884">
            <v>0</v>
          </cell>
        </row>
        <row r="1885">
          <cell r="D1885">
            <v>0</v>
          </cell>
          <cell r="K1885">
            <v>0</v>
          </cell>
        </row>
        <row r="1886">
          <cell r="D1886">
            <v>0</v>
          </cell>
          <cell r="K1886">
            <v>0</v>
          </cell>
        </row>
        <row r="1887">
          <cell r="D1887">
            <v>0</v>
          </cell>
          <cell r="K1887">
            <v>0</v>
          </cell>
        </row>
        <row r="1892">
          <cell r="K1892">
            <v>0</v>
          </cell>
        </row>
        <row r="1896">
          <cell r="K1896">
            <v>2538720</v>
          </cell>
        </row>
        <row r="1902">
          <cell r="D1902" t="str">
            <v>AM</v>
          </cell>
        </row>
        <row r="1904">
          <cell r="D1904">
            <v>44966</v>
          </cell>
        </row>
        <row r="1906">
          <cell r="D1906" t="str">
            <v>KO 0910</v>
          </cell>
        </row>
        <row r="1908">
          <cell r="D1908" t="str">
            <v>C</v>
          </cell>
          <cell r="K1908" t="str">
            <v>Amount</v>
          </cell>
        </row>
        <row r="1910">
          <cell r="D1910">
            <v>1</v>
          </cell>
          <cell r="K1910">
            <v>2538720</v>
          </cell>
        </row>
        <row r="1911">
          <cell r="D1911">
            <v>0</v>
          </cell>
          <cell r="K1911">
            <v>0</v>
          </cell>
        </row>
        <row r="1912">
          <cell r="D1912">
            <v>0</v>
          </cell>
          <cell r="K1912">
            <v>0</v>
          </cell>
        </row>
        <row r="1913">
          <cell r="D1913">
            <v>0</v>
          </cell>
          <cell r="K1913">
            <v>0</v>
          </cell>
        </row>
        <row r="1914">
          <cell r="D1914">
            <v>0</v>
          </cell>
          <cell r="K1914">
            <v>0</v>
          </cell>
        </row>
        <row r="1915">
          <cell r="D1915">
            <v>0</v>
          </cell>
          <cell r="K1915">
            <v>0</v>
          </cell>
        </row>
        <row r="1916">
          <cell r="D1916">
            <v>0</v>
          </cell>
          <cell r="K1916">
            <v>0</v>
          </cell>
        </row>
        <row r="1917">
          <cell r="D1917">
            <v>0</v>
          </cell>
          <cell r="K1917">
            <v>0</v>
          </cell>
        </row>
        <row r="1918">
          <cell r="D1918">
            <v>0</v>
          </cell>
          <cell r="K1918">
            <v>0</v>
          </cell>
        </row>
        <row r="1919">
          <cell r="D1919">
            <v>0</v>
          </cell>
          <cell r="K1919">
            <v>0</v>
          </cell>
        </row>
        <row r="1920">
          <cell r="D1920">
            <v>0</v>
          </cell>
          <cell r="K1920">
            <v>0</v>
          </cell>
        </row>
        <row r="1921">
          <cell r="D1921">
            <v>0</v>
          </cell>
          <cell r="K1921">
            <v>0</v>
          </cell>
        </row>
        <row r="1922">
          <cell r="D1922">
            <v>0</v>
          </cell>
          <cell r="K1922">
            <v>0</v>
          </cell>
        </row>
        <row r="1923">
          <cell r="D1923">
            <v>0</v>
          </cell>
          <cell r="K1923">
            <v>0</v>
          </cell>
        </row>
        <row r="1924">
          <cell r="D1924">
            <v>0</v>
          </cell>
          <cell r="K1924">
            <v>0</v>
          </cell>
        </row>
        <row r="1925">
          <cell r="D1925">
            <v>0</v>
          </cell>
          <cell r="K1925">
            <v>0</v>
          </cell>
        </row>
        <row r="1930">
          <cell r="K1930">
            <v>0</v>
          </cell>
        </row>
        <row r="1934">
          <cell r="K1934">
            <v>2538720</v>
          </cell>
        </row>
        <row r="1940">
          <cell r="D1940" t="str">
            <v>AM</v>
          </cell>
        </row>
        <row r="1942">
          <cell r="D1942">
            <v>44968</v>
          </cell>
        </row>
        <row r="1944">
          <cell r="D1944" t="str">
            <v>KO 0716</v>
          </cell>
        </row>
        <row r="1946">
          <cell r="D1946" t="str">
            <v>C</v>
          </cell>
          <cell r="K1946" t="str">
            <v>Amount</v>
          </cell>
        </row>
        <row r="1948">
          <cell r="D1948">
            <v>3</v>
          </cell>
          <cell r="K1948">
            <v>14742000</v>
          </cell>
        </row>
        <row r="1949">
          <cell r="D1949">
            <v>1</v>
          </cell>
          <cell r="K1949">
            <v>4914000</v>
          </cell>
        </row>
        <row r="1950">
          <cell r="K1950">
            <v>0</v>
          </cell>
        </row>
        <row r="1951">
          <cell r="K1951">
            <v>0</v>
          </cell>
        </row>
        <row r="1952">
          <cell r="K1952">
            <v>0</v>
          </cell>
        </row>
        <row r="1953">
          <cell r="K1953">
            <v>0</v>
          </cell>
        </row>
        <row r="1954">
          <cell r="K1954">
            <v>0</v>
          </cell>
        </row>
        <row r="1955">
          <cell r="K1955">
            <v>0</v>
          </cell>
        </row>
        <row r="1956">
          <cell r="K1956">
            <v>0</v>
          </cell>
        </row>
        <row r="1957">
          <cell r="K1957">
            <v>0</v>
          </cell>
        </row>
        <row r="1958">
          <cell r="K1958">
            <v>0</v>
          </cell>
        </row>
        <row r="1959">
          <cell r="K1959">
            <v>0</v>
          </cell>
        </row>
        <row r="1960">
          <cell r="K1960">
            <v>0</v>
          </cell>
        </row>
        <row r="1961">
          <cell r="K1961">
            <v>0</v>
          </cell>
        </row>
        <row r="1962">
          <cell r="K1962">
            <v>0</v>
          </cell>
        </row>
        <row r="1963">
          <cell r="K1963">
            <v>0</v>
          </cell>
        </row>
        <row r="1968">
          <cell r="K1968">
            <v>0</v>
          </cell>
        </row>
        <row r="1972">
          <cell r="K1972">
            <v>19656000</v>
          </cell>
        </row>
        <row r="1978">
          <cell r="D1978" t="str">
            <v>AM</v>
          </cell>
        </row>
        <row r="1980">
          <cell r="D1980">
            <v>44968</v>
          </cell>
        </row>
        <row r="1982">
          <cell r="D1982" t="str">
            <v>KO 0716</v>
          </cell>
        </row>
        <row r="1984">
          <cell r="D1984" t="str">
            <v>C</v>
          </cell>
          <cell r="K1984" t="str">
            <v>Amount</v>
          </cell>
        </row>
        <row r="1986">
          <cell r="D1986">
            <v>3</v>
          </cell>
          <cell r="K1986">
            <v>14742000</v>
          </cell>
        </row>
        <row r="1987">
          <cell r="D1987">
            <v>1</v>
          </cell>
          <cell r="K1987">
            <v>4914000</v>
          </cell>
        </row>
        <row r="1988">
          <cell r="D1988">
            <v>0</v>
          </cell>
          <cell r="K1988">
            <v>0</v>
          </cell>
        </row>
        <row r="1989">
          <cell r="D1989">
            <v>0</v>
          </cell>
          <cell r="K1989">
            <v>0</v>
          </cell>
        </row>
        <row r="1990">
          <cell r="D1990">
            <v>0</v>
          </cell>
          <cell r="K1990">
            <v>0</v>
          </cell>
        </row>
        <row r="1991">
          <cell r="D1991">
            <v>0</v>
          </cell>
          <cell r="K1991">
            <v>0</v>
          </cell>
        </row>
        <row r="1992">
          <cell r="D1992">
            <v>0</v>
          </cell>
          <cell r="K1992">
            <v>0</v>
          </cell>
        </row>
        <row r="1993">
          <cell r="D1993">
            <v>0</v>
          </cell>
          <cell r="K1993">
            <v>0</v>
          </cell>
        </row>
        <row r="1994">
          <cell r="D1994">
            <v>0</v>
          </cell>
          <cell r="K1994">
            <v>0</v>
          </cell>
        </row>
        <row r="1995">
          <cell r="D1995">
            <v>0</v>
          </cell>
          <cell r="K1995">
            <v>0</v>
          </cell>
        </row>
        <row r="1996">
          <cell r="D1996">
            <v>0</v>
          </cell>
          <cell r="K1996">
            <v>0</v>
          </cell>
        </row>
        <row r="1997">
          <cell r="D1997">
            <v>0</v>
          </cell>
          <cell r="K1997">
            <v>0</v>
          </cell>
        </row>
        <row r="1998">
          <cell r="D1998">
            <v>0</v>
          </cell>
          <cell r="K1998">
            <v>0</v>
          </cell>
        </row>
        <row r="1999">
          <cell r="D1999">
            <v>0</v>
          </cell>
          <cell r="K1999">
            <v>0</v>
          </cell>
        </row>
        <row r="2000">
          <cell r="D2000">
            <v>0</v>
          </cell>
          <cell r="K2000">
            <v>0</v>
          </cell>
        </row>
        <row r="2001">
          <cell r="D2001">
            <v>0</v>
          </cell>
          <cell r="K2001">
            <v>0</v>
          </cell>
        </row>
        <row r="2006">
          <cell r="K2006">
            <v>0</v>
          </cell>
        </row>
        <row r="2010">
          <cell r="K2010">
            <v>19656000</v>
          </cell>
        </row>
        <row r="2016">
          <cell r="D2016" t="str">
            <v>AM</v>
          </cell>
        </row>
        <row r="2018">
          <cell r="D2018">
            <v>44968</v>
          </cell>
        </row>
        <row r="2020">
          <cell r="D2020" t="str">
            <v>KO 0716</v>
          </cell>
        </row>
        <row r="2022">
          <cell r="D2022" t="str">
            <v>C</v>
          </cell>
          <cell r="K2022" t="str">
            <v>Amount</v>
          </cell>
        </row>
        <row r="2024">
          <cell r="D2024">
            <v>3</v>
          </cell>
          <cell r="K2024">
            <v>14742000</v>
          </cell>
        </row>
        <row r="2025">
          <cell r="D2025">
            <v>1</v>
          </cell>
          <cell r="K2025">
            <v>4914000</v>
          </cell>
        </row>
        <row r="2026">
          <cell r="D2026">
            <v>0</v>
          </cell>
          <cell r="K2026">
            <v>0</v>
          </cell>
        </row>
        <row r="2027">
          <cell r="D2027">
            <v>0</v>
          </cell>
          <cell r="K2027">
            <v>0</v>
          </cell>
        </row>
        <row r="2028">
          <cell r="D2028">
            <v>0</v>
          </cell>
          <cell r="K2028">
            <v>0</v>
          </cell>
        </row>
        <row r="2029">
          <cell r="D2029">
            <v>0</v>
          </cell>
          <cell r="K2029">
            <v>0</v>
          </cell>
        </row>
        <row r="2030">
          <cell r="D2030">
            <v>0</v>
          </cell>
          <cell r="K2030">
            <v>0</v>
          </cell>
        </row>
        <row r="2031">
          <cell r="D2031">
            <v>0</v>
          </cell>
          <cell r="K2031">
            <v>0</v>
          </cell>
        </row>
        <row r="2032">
          <cell r="D2032">
            <v>0</v>
          </cell>
          <cell r="K2032">
            <v>0</v>
          </cell>
        </row>
        <row r="2033">
          <cell r="D2033">
            <v>0</v>
          </cell>
          <cell r="K2033">
            <v>0</v>
          </cell>
        </row>
        <row r="2034">
          <cell r="D2034">
            <v>0</v>
          </cell>
          <cell r="K2034">
            <v>0</v>
          </cell>
        </row>
        <row r="2035">
          <cell r="D2035">
            <v>0</v>
          </cell>
          <cell r="K2035">
            <v>0</v>
          </cell>
        </row>
        <row r="2036">
          <cell r="D2036">
            <v>0</v>
          </cell>
          <cell r="K2036">
            <v>0</v>
          </cell>
        </row>
        <row r="2037">
          <cell r="D2037">
            <v>0</v>
          </cell>
          <cell r="K2037">
            <v>0</v>
          </cell>
        </row>
        <row r="2038">
          <cell r="D2038">
            <v>0</v>
          </cell>
          <cell r="K2038">
            <v>0</v>
          </cell>
        </row>
        <row r="2039">
          <cell r="D2039">
            <v>0</v>
          </cell>
          <cell r="K2039">
            <v>0</v>
          </cell>
        </row>
        <row r="2044">
          <cell r="K2044">
            <v>0</v>
          </cell>
        </row>
        <row r="2048">
          <cell r="K2048">
            <v>19656000</v>
          </cell>
        </row>
        <row r="2054">
          <cell r="D2054" t="str">
            <v>AM</v>
          </cell>
        </row>
        <row r="2056">
          <cell r="D2056">
            <v>44968</v>
          </cell>
        </row>
        <row r="2058">
          <cell r="D2058" t="str">
            <v>G 0918</v>
          </cell>
        </row>
        <row r="2060">
          <cell r="D2060" t="str">
            <v>C</v>
          </cell>
          <cell r="K2060" t="str">
            <v>Amount</v>
          </cell>
        </row>
        <row r="2062">
          <cell r="D2062" t="str">
            <v/>
          </cell>
          <cell r="K2062">
            <v>500000</v>
          </cell>
        </row>
        <row r="2063">
          <cell r="K2063">
            <v>0</v>
          </cell>
        </row>
        <row r="2064">
          <cell r="K2064">
            <v>0</v>
          </cell>
        </row>
        <row r="2065">
          <cell r="K2065">
            <v>0</v>
          </cell>
        </row>
        <row r="2066">
          <cell r="K2066">
            <v>0</v>
          </cell>
        </row>
        <row r="2067">
          <cell r="K2067">
            <v>0</v>
          </cell>
        </row>
        <row r="2068">
          <cell r="K2068">
            <v>0</v>
          </cell>
        </row>
        <row r="2069">
          <cell r="K2069">
            <v>0</v>
          </cell>
        </row>
        <row r="2070">
          <cell r="K2070">
            <v>0</v>
          </cell>
        </row>
        <row r="2071">
          <cell r="K2071">
            <v>0</v>
          </cell>
        </row>
        <row r="2072">
          <cell r="K2072">
            <v>0</v>
          </cell>
        </row>
        <row r="2073">
          <cell r="K2073">
            <v>0</v>
          </cell>
        </row>
        <row r="2074">
          <cell r="K2074">
            <v>0</v>
          </cell>
        </row>
        <row r="2075">
          <cell r="K2075">
            <v>0</v>
          </cell>
        </row>
        <row r="2076">
          <cell r="K2076">
            <v>0</v>
          </cell>
        </row>
        <row r="2077">
          <cell r="K2077">
            <v>0</v>
          </cell>
        </row>
        <row r="2082">
          <cell r="K2082">
            <v>0</v>
          </cell>
        </row>
        <row r="2086">
          <cell r="K2086">
            <v>500000</v>
          </cell>
        </row>
        <row r="2092">
          <cell r="D2092" t="str">
            <v>AM</v>
          </cell>
        </row>
        <row r="2094">
          <cell r="D2094">
            <v>44968</v>
          </cell>
        </row>
        <row r="2096">
          <cell r="D2096" t="str">
            <v>G 0918</v>
          </cell>
        </row>
        <row r="2098">
          <cell r="D2098" t="str">
            <v>C</v>
          </cell>
          <cell r="K2098" t="str">
            <v>Amount</v>
          </cell>
        </row>
        <row r="2100">
          <cell r="D2100" t="str">
            <v/>
          </cell>
          <cell r="K2100">
            <v>500000</v>
          </cell>
        </row>
        <row r="2101">
          <cell r="D2101">
            <v>0</v>
          </cell>
          <cell r="K2101">
            <v>0</v>
          </cell>
        </row>
        <row r="2102">
          <cell r="D2102">
            <v>0</v>
          </cell>
          <cell r="K2102">
            <v>0</v>
          </cell>
        </row>
        <row r="2103">
          <cell r="D2103">
            <v>0</v>
          </cell>
          <cell r="K2103">
            <v>0</v>
          </cell>
        </row>
        <row r="2104">
          <cell r="D2104">
            <v>0</v>
          </cell>
          <cell r="K2104">
            <v>0</v>
          </cell>
        </row>
        <row r="2105">
          <cell r="D2105">
            <v>0</v>
          </cell>
          <cell r="K2105">
            <v>0</v>
          </cell>
        </row>
        <row r="2106">
          <cell r="D2106">
            <v>0</v>
          </cell>
          <cell r="K2106">
            <v>0</v>
          </cell>
        </row>
        <row r="2107">
          <cell r="D2107">
            <v>0</v>
          </cell>
          <cell r="K2107">
            <v>0</v>
          </cell>
        </row>
        <row r="2108">
          <cell r="D2108">
            <v>0</v>
          </cell>
          <cell r="K2108">
            <v>0</v>
          </cell>
        </row>
        <row r="2109">
          <cell r="D2109">
            <v>0</v>
          </cell>
          <cell r="K2109">
            <v>0</v>
          </cell>
        </row>
        <row r="2110">
          <cell r="D2110">
            <v>0</v>
          </cell>
          <cell r="K2110">
            <v>0</v>
          </cell>
        </row>
        <row r="2111">
          <cell r="D2111">
            <v>0</v>
          </cell>
          <cell r="K2111">
            <v>0</v>
          </cell>
        </row>
        <row r="2112">
          <cell r="D2112">
            <v>0</v>
          </cell>
          <cell r="K2112">
            <v>0</v>
          </cell>
        </row>
        <row r="2113">
          <cell r="D2113">
            <v>0</v>
          </cell>
          <cell r="K2113">
            <v>0</v>
          </cell>
        </row>
        <row r="2114">
          <cell r="D2114">
            <v>0</v>
          </cell>
          <cell r="K2114">
            <v>0</v>
          </cell>
        </row>
        <row r="2115">
          <cell r="D2115">
            <v>0</v>
          </cell>
          <cell r="K2115">
            <v>0</v>
          </cell>
        </row>
        <row r="2120">
          <cell r="K2120">
            <v>0</v>
          </cell>
        </row>
        <row r="2124">
          <cell r="K2124">
            <v>500000</v>
          </cell>
        </row>
        <row r="2130">
          <cell r="D2130" t="str">
            <v>AM</v>
          </cell>
        </row>
        <row r="2132">
          <cell r="D2132">
            <v>44968</v>
          </cell>
        </row>
        <row r="2134">
          <cell r="D2134" t="str">
            <v>G 0918</v>
          </cell>
        </row>
        <row r="2136">
          <cell r="D2136" t="str">
            <v>C</v>
          </cell>
          <cell r="K2136" t="str">
            <v>Amount</v>
          </cell>
        </row>
        <row r="2138">
          <cell r="D2138" t="str">
            <v/>
          </cell>
          <cell r="K2138">
            <v>500000</v>
          </cell>
        </row>
        <row r="2139">
          <cell r="D2139">
            <v>0</v>
          </cell>
          <cell r="K2139">
            <v>0</v>
          </cell>
        </row>
        <row r="2140">
          <cell r="D2140">
            <v>0</v>
          </cell>
          <cell r="K2140">
            <v>0</v>
          </cell>
        </row>
        <row r="2141">
          <cell r="D2141">
            <v>0</v>
          </cell>
          <cell r="K2141">
            <v>0</v>
          </cell>
        </row>
        <row r="2142">
          <cell r="D2142">
            <v>0</v>
          </cell>
          <cell r="K2142">
            <v>0</v>
          </cell>
        </row>
        <row r="2143">
          <cell r="D2143">
            <v>0</v>
          </cell>
          <cell r="K2143">
            <v>0</v>
          </cell>
        </row>
        <row r="2144">
          <cell r="D2144">
            <v>0</v>
          </cell>
          <cell r="K2144">
            <v>0</v>
          </cell>
        </row>
        <row r="2145">
          <cell r="D2145">
            <v>0</v>
          </cell>
          <cell r="K2145">
            <v>0</v>
          </cell>
        </row>
        <row r="2146">
          <cell r="D2146">
            <v>0</v>
          </cell>
          <cell r="K2146">
            <v>0</v>
          </cell>
        </row>
        <row r="2147">
          <cell r="D2147">
            <v>0</v>
          </cell>
          <cell r="K2147">
            <v>0</v>
          </cell>
        </row>
        <row r="2148">
          <cell r="D2148">
            <v>0</v>
          </cell>
          <cell r="K2148">
            <v>0</v>
          </cell>
        </row>
        <row r="2149">
          <cell r="D2149">
            <v>0</v>
          </cell>
          <cell r="K2149">
            <v>0</v>
          </cell>
        </row>
        <row r="2150">
          <cell r="D2150">
            <v>0</v>
          </cell>
          <cell r="K2150">
            <v>0</v>
          </cell>
        </row>
        <row r="2151">
          <cell r="D2151">
            <v>0</v>
          </cell>
          <cell r="K2151">
            <v>0</v>
          </cell>
        </row>
        <row r="2152">
          <cell r="D2152">
            <v>0</v>
          </cell>
          <cell r="K2152">
            <v>0</v>
          </cell>
        </row>
        <row r="2153">
          <cell r="D2153">
            <v>0</v>
          </cell>
          <cell r="K2153">
            <v>0</v>
          </cell>
        </row>
        <row r="2158">
          <cell r="K2158">
            <v>0</v>
          </cell>
        </row>
        <row r="2162">
          <cell r="K2162">
            <v>500000</v>
          </cell>
        </row>
        <row r="2168">
          <cell r="D2168" t="str">
            <v>AM</v>
          </cell>
        </row>
        <row r="2170">
          <cell r="D2170">
            <v>44970</v>
          </cell>
        </row>
        <row r="2172">
          <cell r="D2172" t="str">
            <v>KO 0887</v>
          </cell>
        </row>
        <row r="2174">
          <cell r="D2174" t="str">
            <v>C</v>
          </cell>
          <cell r="K2174" t="str">
            <v>Amount</v>
          </cell>
        </row>
        <row r="2176">
          <cell r="D2176">
            <v>1</v>
          </cell>
          <cell r="K2176">
            <v>1503360</v>
          </cell>
        </row>
        <row r="2177">
          <cell r="D2177">
            <v>1</v>
          </cell>
          <cell r="K2177">
            <v>1346760</v>
          </cell>
        </row>
        <row r="2178">
          <cell r="D2178">
            <v>1</v>
          </cell>
          <cell r="K2178">
            <v>748200</v>
          </cell>
        </row>
        <row r="2179">
          <cell r="K2179">
            <v>0</v>
          </cell>
        </row>
        <row r="2180">
          <cell r="K2180">
            <v>0</v>
          </cell>
        </row>
        <row r="2181">
          <cell r="K2181">
            <v>0</v>
          </cell>
        </row>
        <row r="2182">
          <cell r="K2182">
            <v>0</v>
          </cell>
        </row>
        <row r="2183">
          <cell r="K2183">
            <v>0</v>
          </cell>
        </row>
        <row r="2184">
          <cell r="K2184">
            <v>0</v>
          </cell>
        </row>
        <row r="2185">
          <cell r="K2185">
            <v>0</v>
          </cell>
        </row>
        <row r="2186">
          <cell r="K2186">
            <v>0</v>
          </cell>
        </row>
        <row r="2187">
          <cell r="K2187">
            <v>0</v>
          </cell>
        </row>
        <row r="2188">
          <cell r="K2188">
            <v>0</v>
          </cell>
        </row>
        <row r="2189">
          <cell r="K2189">
            <v>0</v>
          </cell>
        </row>
        <row r="2190">
          <cell r="K2190">
            <v>0</v>
          </cell>
        </row>
        <row r="2191">
          <cell r="K2191">
            <v>0</v>
          </cell>
        </row>
        <row r="2196">
          <cell r="K2196">
            <v>0</v>
          </cell>
        </row>
        <row r="2200">
          <cell r="K2200">
            <v>3598320</v>
          </cell>
        </row>
        <row r="2206">
          <cell r="D2206" t="str">
            <v>AM</v>
          </cell>
        </row>
        <row r="2208">
          <cell r="D2208">
            <v>44970</v>
          </cell>
        </row>
        <row r="2210">
          <cell r="D2210" t="str">
            <v>KO 0887</v>
          </cell>
        </row>
        <row r="2212">
          <cell r="D2212" t="str">
            <v>C</v>
          </cell>
          <cell r="K2212" t="str">
            <v>Amount</v>
          </cell>
        </row>
        <row r="2214">
          <cell r="D2214">
            <v>1</v>
          </cell>
          <cell r="K2214">
            <v>1503360</v>
          </cell>
        </row>
        <row r="2215">
          <cell r="D2215">
            <v>1</v>
          </cell>
          <cell r="K2215">
            <v>1346760</v>
          </cell>
        </row>
        <row r="2216">
          <cell r="D2216">
            <v>1</v>
          </cell>
          <cell r="K2216">
            <v>748200</v>
          </cell>
        </row>
        <row r="2217">
          <cell r="D2217">
            <v>0</v>
          </cell>
          <cell r="K2217">
            <v>0</v>
          </cell>
        </row>
        <row r="2218">
          <cell r="D2218">
            <v>0</v>
          </cell>
          <cell r="K2218">
            <v>0</v>
          </cell>
        </row>
        <row r="2219">
          <cell r="D2219">
            <v>0</v>
          </cell>
          <cell r="K2219">
            <v>0</v>
          </cell>
        </row>
        <row r="2220">
          <cell r="D2220">
            <v>0</v>
          </cell>
          <cell r="K2220">
            <v>0</v>
          </cell>
        </row>
        <row r="2221">
          <cell r="D2221">
            <v>0</v>
          </cell>
          <cell r="K2221">
            <v>0</v>
          </cell>
        </row>
        <row r="2222">
          <cell r="D2222">
            <v>0</v>
          </cell>
          <cell r="K2222">
            <v>0</v>
          </cell>
        </row>
        <row r="2223">
          <cell r="D2223">
            <v>0</v>
          </cell>
          <cell r="K2223">
            <v>0</v>
          </cell>
        </row>
        <row r="2224">
          <cell r="D2224">
            <v>0</v>
          </cell>
          <cell r="K2224">
            <v>0</v>
          </cell>
        </row>
        <row r="2225">
          <cell r="D2225">
            <v>0</v>
          </cell>
          <cell r="K2225">
            <v>0</v>
          </cell>
        </row>
        <row r="2226">
          <cell r="D2226">
            <v>0</v>
          </cell>
          <cell r="K2226">
            <v>0</v>
          </cell>
        </row>
        <row r="2227">
          <cell r="D2227">
            <v>0</v>
          </cell>
          <cell r="K2227">
            <v>0</v>
          </cell>
        </row>
        <row r="2228">
          <cell r="D2228">
            <v>0</v>
          </cell>
          <cell r="K2228">
            <v>0</v>
          </cell>
        </row>
        <row r="2229">
          <cell r="D2229">
            <v>0</v>
          </cell>
          <cell r="K2229">
            <v>0</v>
          </cell>
        </row>
        <row r="2234">
          <cell r="K2234">
            <v>0</v>
          </cell>
        </row>
        <row r="2238">
          <cell r="K2238">
            <v>3598320</v>
          </cell>
        </row>
        <row r="2244">
          <cell r="D2244" t="str">
            <v>AM</v>
          </cell>
        </row>
        <row r="2246">
          <cell r="D2246">
            <v>44970</v>
          </cell>
        </row>
        <row r="2248">
          <cell r="D2248" t="str">
            <v>KO 0887</v>
          </cell>
        </row>
        <row r="2250">
          <cell r="D2250" t="str">
            <v>C</v>
          </cell>
          <cell r="K2250" t="str">
            <v>Amount</v>
          </cell>
        </row>
        <row r="2252">
          <cell r="D2252">
            <v>1</v>
          </cell>
          <cell r="K2252">
            <v>1503360</v>
          </cell>
        </row>
        <row r="2253">
          <cell r="D2253">
            <v>1</v>
          </cell>
          <cell r="K2253">
            <v>1346760</v>
          </cell>
        </row>
        <row r="2254">
          <cell r="D2254">
            <v>1</v>
          </cell>
          <cell r="K2254">
            <v>748200</v>
          </cell>
        </row>
        <row r="2255">
          <cell r="D2255">
            <v>0</v>
          </cell>
          <cell r="K2255">
            <v>0</v>
          </cell>
        </row>
        <row r="2256">
          <cell r="D2256">
            <v>0</v>
          </cell>
          <cell r="K2256">
            <v>0</v>
          </cell>
        </row>
        <row r="2257">
          <cell r="D2257">
            <v>0</v>
          </cell>
          <cell r="K2257">
            <v>0</v>
          </cell>
        </row>
        <row r="2258">
          <cell r="D2258">
            <v>0</v>
          </cell>
          <cell r="K2258">
            <v>0</v>
          </cell>
        </row>
        <row r="2259">
          <cell r="D2259">
            <v>0</v>
          </cell>
          <cell r="K2259">
            <v>0</v>
          </cell>
        </row>
        <row r="2260">
          <cell r="D2260">
            <v>0</v>
          </cell>
          <cell r="K2260">
            <v>0</v>
          </cell>
        </row>
        <row r="2261">
          <cell r="D2261">
            <v>0</v>
          </cell>
          <cell r="K2261">
            <v>0</v>
          </cell>
        </row>
        <row r="2262">
          <cell r="D2262">
            <v>0</v>
          </cell>
          <cell r="K2262">
            <v>0</v>
          </cell>
        </row>
        <row r="2263">
          <cell r="D2263">
            <v>0</v>
          </cell>
          <cell r="K2263">
            <v>0</v>
          </cell>
        </row>
        <row r="2264">
          <cell r="D2264">
            <v>0</v>
          </cell>
          <cell r="K2264">
            <v>0</v>
          </cell>
        </row>
        <row r="2265">
          <cell r="D2265">
            <v>0</v>
          </cell>
          <cell r="K2265">
            <v>0</v>
          </cell>
        </row>
        <row r="2266">
          <cell r="D2266">
            <v>0</v>
          </cell>
          <cell r="K2266">
            <v>0</v>
          </cell>
        </row>
        <row r="2267">
          <cell r="D2267">
            <v>0</v>
          </cell>
          <cell r="K2267">
            <v>0</v>
          </cell>
        </row>
        <row r="2272">
          <cell r="K2272">
            <v>0</v>
          </cell>
        </row>
        <row r="2276">
          <cell r="K2276">
            <v>3598320</v>
          </cell>
        </row>
        <row r="2282">
          <cell r="D2282" t="str">
            <v>AM</v>
          </cell>
        </row>
        <row r="2284">
          <cell r="D2284">
            <v>44970</v>
          </cell>
        </row>
        <row r="2286">
          <cell r="D2286" t="str">
            <v>G 0890</v>
          </cell>
        </row>
        <row r="2288">
          <cell r="D2288" t="str">
            <v>C</v>
          </cell>
          <cell r="K2288" t="str">
            <v>Amount</v>
          </cell>
        </row>
        <row r="2290">
          <cell r="D2290">
            <v>2</v>
          </cell>
          <cell r="K2290">
            <v>3696000</v>
          </cell>
        </row>
        <row r="2291">
          <cell r="D2291">
            <v>2</v>
          </cell>
          <cell r="K2291">
            <v>2154600</v>
          </cell>
        </row>
        <row r="2292">
          <cell r="D2292">
            <v>5</v>
          </cell>
          <cell r="K2292">
            <v>7434000</v>
          </cell>
        </row>
        <row r="2293">
          <cell r="D2293">
            <v>5</v>
          </cell>
          <cell r="K2293">
            <v>7434000</v>
          </cell>
        </row>
        <row r="2294">
          <cell r="D2294">
            <v>10</v>
          </cell>
          <cell r="K2294">
            <v>27405000</v>
          </cell>
        </row>
        <row r="2295">
          <cell r="D2295">
            <v>3</v>
          </cell>
          <cell r="K2295">
            <v>3628800</v>
          </cell>
        </row>
        <row r="2296">
          <cell r="D2296">
            <v>2</v>
          </cell>
          <cell r="K2296">
            <v>2419200</v>
          </cell>
        </row>
        <row r="2297">
          <cell r="D2297">
            <v>5</v>
          </cell>
          <cell r="K2297">
            <v>6048000</v>
          </cell>
        </row>
        <row r="2298">
          <cell r="D2298">
            <v>2</v>
          </cell>
          <cell r="K2298">
            <v>3376800</v>
          </cell>
        </row>
        <row r="2299">
          <cell r="D2299">
            <v>10</v>
          </cell>
          <cell r="K2299">
            <v>13356000</v>
          </cell>
        </row>
        <row r="2300">
          <cell r="D2300">
            <v>5</v>
          </cell>
          <cell r="K2300">
            <v>6678000</v>
          </cell>
        </row>
        <row r="2301">
          <cell r="D2301">
            <v>1</v>
          </cell>
          <cell r="K2301">
            <v>926100</v>
          </cell>
        </row>
        <row r="2302">
          <cell r="D2302">
            <v>1</v>
          </cell>
          <cell r="K2302">
            <v>1096200</v>
          </cell>
        </row>
        <row r="2303">
          <cell r="D2303">
            <v>1</v>
          </cell>
          <cell r="K2303">
            <v>3024000</v>
          </cell>
        </row>
        <row r="2304">
          <cell r="K2304">
            <v>0</v>
          </cell>
        </row>
        <row r="2305">
          <cell r="K2305">
            <v>0</v>
          </cell>
        </row>
        <row r="2310">
          <cell r="K2310">
            <v>0</v>
          </cell>
        </row>
        <row r="2314">
          <cell r="K2314">
            <v>88676700</v>
          </cell>
        </row>
        <row r="2320">
          <cell r="D2320" t="str">
            <v>AM</v>
          </cell>
        </row>
        <row r="2322">
          <cell r="D2322">
            <v>44970</v>
          </cell>
        </row>
        <row r="2324">
          <cell r="D2324" t="str">
            <v>G 0890</v>
          </cell>
        </row>
        <row r="2326">
          <cell r="D2326" t="str">
            <v>C</v>
          </cell>
          <cell r="K2326" t="str">
            <v>Amount</v>
          </cell>
        </row>
        <row r="2328">
          <cell r="D2328">
            <v>2</v>
          </cell>
          <cell r="K2328">
            <v>3696000</v>
          </cell>
        </row>
        <row r="2329">
          <cell r="D2329">
            <v>2</v>
          </cell>
          <cell r="K2329">
            <v>2154600</v>
          </cell>
        </row>
        <row r="2330">
          <cell r="D2330">
            <v>5</v>
          </cell>
          <cell r="K2330">
            <v>7434000</v>
          </cell>
        </row>
        <row r="2331">
          <cell r="D2331">
            <v>5</v>
          </cell>
          <cell r="K2331">
            <v>7434000</v>
          </cell>
        </row>
        <row r="2332">
          <cell r="D2332">
            <v>10</v>
          </cell>
          <cell r="K2332">
            <v>27405000</v>
          </cell>
        </row>
        <row r="2333">
          <cell r="D2333">
            <v>3</v>
          </cell>
          <cell r="K2333">
            <v>3628800</v>
          </cell>
        </row>
        <row r="2334">
          <cell r="D2334">
            <v>2</v>
          </cell>
          <cell r="K2334">
            <v>2419200</v>
          </cell>
        </row>
        <row r="2335">
          <cell r="D2335">
            <v>5</v>
          </cell>
          <cell r="K2335">
            <v>6048000</v>
          </cell>
        </row>
        <row r="2336">
          <cell r="D2336">
            <v>2</v>
          </cell>
          <cell r="K2336">
            <v>3376800</v>
          </cell>
        </row>
        <row r="2337">
          <cell r="D2337">
            <v>10</v>
          </cell>
          <cell r="K2337">
            <v>13356000</v>
          </cell>
        </row>
        <row r="2338">
          <cell r="D2338">
            <v>5</v>
          </cell>
          <cell r="K2338">
            <v>6678000</v>
          </cell>
        </row>
        <row r="2339">
          <cell r="D2339">
            <v>1</v>
          </cell>
          <cell r="K2339">
            <v>926100</v>
          </cell>
        </row>
        <row r="2340">
          <cell r="D2340">
            <v>1</v>
          </cell>
          <cell r="K2340">
            <v>1096200</v>
          </cell>
        </row>
        <row r="2341">
          <cell r="D2341">
            <v>1</v>
          </cell>
          <cell r="K2341">
            <v>3024000</v>
          </cell>
        </row>
        <row r="2342">
          <cell r="D2342">
            <v>0</v>
          </cell>
          <cell r="K2342">
            <v>0</v>
          </cell>
        </row>
        <row r="2343">
          <cell r="D2343">
            <v>0</v>
          </cell>
          <cell r="K2343">
            <v>0</v>
          </cell>
        </row>
        <row r="2348">
          <cell r="K2348">
            <v>0</v>
          </cell>
        </row>
        <row r="2352">
          <cell r="K2352">
            <v>88676700</v>
          </cell>
        </row>
        <row r="2358">
          <cell r="D2358" t="str">
            <v>AM</v>
          </cell>
        </row>
        <row r="2360">
          <cell r="D2360">
            <v>44970</v>
          </cell>
        </row>
        <row r="2362">
          <cell r="D2362" t="str">
            <v>G 0890</v>
          </cell>
        </row>
        <row r="2364">
          <cell r="D2364" t="str">
            <v>C</v>
          </cell>
          <cell r="K2364" t="str">
            <v>Amount</v>
          </cell>
        </row>
        <row r="2366">
          <cell r="D2366">
            <v>2</v>
          </cell>
          <cell r="K2366">
            <v>3696000</v>
          </cell>
        </row>
        <row r="2367">
          <cell r="D2367">
            <v>2</v>
          </cell>
          <cell r="K2367">
            <v>2154600</v>
          </cell>
        </row>
        <row r="2368">
          <cell r="D2368">
            <v>5</v>
          </cell>
          <cell r="K2368">
            <v>7434000</v>
          </cell>
        </row>
        <row r="2369">
          <cell r="D2369">
            <v>5</v>
          </cell>
          <cell r="K2369">
            <v>7434000</v>
          </cell>
        </row>
        <row r="2370">
          <cell r="D2370">
            <v>10</v>
          </cell>
          <cell r="K2370">
            <v>27405000</v>
          </cell>
        </row>
        <row r="2371">
          <cell r="D2371">
            <v>3</v>
          </cell>
          <cell r="K2371">
            <v>3628800</v>
          </cell>
        </row>
        <row r="2372">
          <cell r="D2372">
            <v>2</v>
          </cell>
          <cell r="K2372">
            <v>2419200</v>
          </cell>
        </row>
        <row r="2373">
          <cell r="D2373">
            <v>5</v>
          </cell>
          <cell r="K2373">
            <v>6048000</v>
          </cell>
        </row>
        <row r="2374">
          <cell r="D2374">
            <v>2</v>
          </cell>
          <cell r="K2374">
            <v>3376800</v>
          </cell>
        </row>
        <row r="2375">
          <cell r="D2375">
            <v>10</v>
          </cell>
          <cell r="K2375">
            <v>13356000</v>
          </cell>
        </row>
        <row r="2376">
          <cell r="D2376">
            <v>5</v>
          </cell>
          <cell r="K2376">
            <v>6678000</v>
          </cell>
        </row>
        <row r="2377">
          <cell r="D2377">
            <v>1</v>
          </cell>
          <cell r="K2377">
            <v>926100</v>
          </cell>
        </row>
        <row r="2378">
          <cell r="D2378">
            <v>1</v>
          </cell>
          <cell r="K2378">
            <v>1096200</v>
          </cell>
        </row>
        <row r="2379">
          <cell r="D2379">
            <v>1</v>
          </cell>
          <cell r="K2379">
            <v>3024000</v>
          </cell>
        </row>
        <row r="2380">
          <cell r="D2380">
            <v>0</v>
          </cell>
          <cell r="K2380">
            <v>0</v>
          </cell>
        </row>
        <row r="2381">
          <cell r="D2381">
            <v>0</v>
          </cell>
          <cell r="K2381">
            <v>0</v>
          </cell>
        </row>
        <row r="2386">
          <cell r="K2386">
            <v>0</v>
          </cell>
        </row>
        <row r="2390">
          <cell r="K2390">
            <v>88676700</v>
          </cell>
        </row>
        <row r="2396">
          <cell r="D2396" t="str">
            <v>AM</v>
          </cell>
        </row>
        <row r="2398">
          <cell r="D2398">
            <v>44970</v>
          </cell>
        </row>
        <row r="2400">
          <cell r="D2400" t="str">
            <v>G 0891</v>
          </cell>
        </row>
        <row r="2402">
          <cell r="D2402" t="str">
            <v>C</v>
          </cell>
          <cell r="K2402" t="str">
            <v>Amount</v>
          </cell>
        </row>
        <row r="2404">
          <cell r="D2404">
            <v>1</v>
          </cell>
          <cell r="K2404">
            <v>1877400</v>
          </cell>
        </row>
        <row r="2405">
          <cell r="D2405">
            <v>5</v>
          </cell>
          <cell r="K2405">
            <v>9261000</v>
          </cell>
        </row>
        <row r="2406">
          <cell r="D2406">
            <v>1</v>
          </cell>
          <cell r="K2406">
            <v>1411200</v>
          </cell>
        </row>
        <row r="2407">
          <cell r="D2407">
            <v>4</v>
          </cell>
          <cell r="K2407">
            <v>7408800</v>
          </cell>
        </row>
        <row r="2408">
          <cell r="D2408">
            <v>2</v>
          </cell>
          <cell r="K2408">
            <v>4989600</v>
          </cell>
        </row>
        <row r="2409">
          <cell r="D2409">
            <v>2</v>
          </cell>
          <cell r="K2409">
            <v>4687200</v>
          </cell>
        </row>
        <row r="2410">
          <cell r="D2410">
            <v>1</v>
          </cell>
          <cell r="K2410">
            <v>2037000</v>
          </cell>
        </row>
        <row r="2411">
          <cell r="D2411">
            <v>1</v>
          </cell>
          <cell r="K2411">
            <v>995400</v>
          </cell>
        </row>
        <row r="2412">
          <cell r="D2412">
            <v>7</v>
          </cell>
          <cell r="K2412">
            <v>10584000</v>
          </cell>
        </row>
        <row r="2413">
          <cell r="D2413">
            <v>1</v>
          </cell>
          <cell r="K2413">
            <v>708750</v>
          </cell>
        </row>
        <row r="2414">
          <cell r="D2414">
            <v>3</v>
          </cell>
          <cell r="K2414">
            <v>8467200</v>
          </cell>
        </row>
        <row r="2415">
          <cell r="K2415">
            <v>0</v>
          </cell>
        </row>
        <row r="2416">
          <cell r="K2416">
            <v>0</v>
          </cell>
        </row>
        <row r="2417">
          <cell r="K2417">
            <v>0</v>
          </cell>
        </row>
        <row r="2418">
          <cell r="K2418">
            <v>0</v>
          </cell>
        </row>
        <row r="2419">
          <cell r="K2419">
            <v>0</v>
          </cell>
        </row>
        <row r="2424">
          <cell r="K2424">
            <v>0</v>
          </cell>
        </row>
        <row r="2428">
          <cell r="K2428">
            <v>52427550</v>
          </cell>
        </row>
        <row r="2434">
          <cell r="D2434" t="str">
            <v>AM</v>
          </cell>
        </row>
        <row r="2436">
          <cell r="D2436">
            <v>44970</v>
          </cell>
        </row>
        <row r="2438">
          <cell r="D2438" t="str">
            <v>G 0891</v>
          </cell>
        </row>
        <row r="2440">
          <cell r="D2440" t="str">
            <v>C</v>
          </cell>
          <cell r="K2440" t="str">
            <v>Amount</v>
          </cell>
        </row>
        <row r="2442">
          <cell r="D2442">
            <v>1</v>
          </cell>
          <cell r="K2442">
            <v>1877400</v>
          </cell>
        </row>
        <row r="2443">
          <cell r="D2443">
            <v>5</v>
          </cell>
          <cell r="K2443">
            <v>9261000</v>
          </cell>
        </row>
        <row r="2444">
          <cell r="D2444">
            <v>1</v>
          </cell>
          <cell r="K2444">
            <v>1411200</v>
          </cell>
        </row>
        <row r="2445">
          <cell r="D2445">
            <v>4</v>
          </cell>
          <cell r="K2445">
            <v>7408800</v>
          </cell>
        </row>
        <row r="2446">
          <cell r="D2446">
            <v>2</v>
          </cell>
          <cell r="K2446">
            <v>4989600</v>
          </cell>
        </row>
        <row r="2447">
          <cell r="D2447">
            <v>2</v>
          </cell>
          <cell r="K2447">
            <v>4687200</v>
          </cell>
        </row>
        <row r="2448">
          <cell r="D2448">
            <v>1</v>
          </cell>
          <cell r="K2448">
            <v>2037000</v>
          </cell>
        </row>
        <row r="2449">
          <cell r="D2449">
            <v>1</v>
          </cell>
          <cell r="K2449">
            <v>995400</v>
          </cell>
        </row>
        <row r="2450">
          <cell r="D2450">
            <v>7</v>
          </cell>
          <cell r="K2450">
            <v>10584000</v>
          </cell>
        </row>
        <row r="2451">
          <cell r="D2451">
            <v>1</v>
          </cell>
          <cell r="K2451">
            <v>708750</v>
          </cell>
        </row>
        <row r="2452">
          <cell r="D2452">
            <v>3</v>
          </cell>
          <cell r="K2452">
            <v>8467200</v>
          </cell>
        </row>
        <row r="2453">
          <cell r="D2453">
            <v>0</v>
          </cell>
          <cell r="K2453">
            <v>0</v>
          </cell>
        </row>
        <row r="2454">
          <cell r="D2454">
            <v>0</v>
          </cell>
          <cell r="K2454">
            <v>0</v>
          </cell>
        </row>
        <row r="2455">
          <cell r="D2455">
            <v>0</v>
          </cell>
          <cell r="K2455">
            <v>0</v>
          </cell>
        </row>
        <row r="2456">
          <cell r="D2456">
            <v>0</v>
          </cell>
          <cell r="K2456">
            <v>0</v>
          </cell>
        </row>
        <row r="2457">
          <cell r="D2457">
            <v>0</v>
          </cell>
          <cell r="K2457">
            <v>0</v>
          </cell>
        </row>
        <row r="2462">
          <cell r="K2462">
            <v>0</v>
          </cell>
        </row>
        <row r="2466">
          <cell r="K2466">
            <v>52427550</v>
          </cell>
        </row>
        <row r="2472">
          <cell r="D2472" t="str">
            <v>AM</v>
          </cell>
        </row>
        <row r="2474">
          <cell r="D2474">
            <v>44970</v>
          </cell>
        </row>
        <row r="2476">
          <cell r="D2476" t="str">
            <v>G 0891</v>
          </cell>
        </row>
        <row r="2478">
          <cell r="D2478" t="str">
            <v>C</v>
          </cell>
          <cell r="K2478" t="str">
            <v>Amount</v>
          </cell>
        </row>
        <row r="2480">
          <cell r="D2480">
            <v>1</v>
          </cell>
          <cell r="K2480">
            <v>1877400</v>
          </cell>
        </row>
        <row r="2481">
          <cell r="D2481">
            <v>5</v>
          </cell>
          <cell r="K2481">
            <v>9261000</v>
          </cell>
        </row>
        <row r="2482">
          <cell r="D2482">
            <v>1</v>
          </cell>
          <cell r="K2482">
            <v>1411200</v>
          </cell>
        </row>
        <row r="2483">
          <cell r="D2483">
            <v>4</v>
          </cell>
          <cell r="K2483">
            <v>7408800</v>
          </cell>
        </row>
        <row r="2484">
          <cell r="D2484">
            <v>2</v>
          </cell>
          <cell r="K2484">
            <v>4989600</v>
          </cell>
        </row>
        <row r="2485">
          <cell r="D2485">
            <v>2</v>
          </cell>
          <cell r="K2485">
            <v>4687200</v>
          </cell>
        </row>
        <row r="2486">
          <cell r="D2486">
            <v>1</v>
          </cell>
          <cell r="K2486">
            <v>2037000</v>
          </cell>
        </row>
        <row r="2487">
          <cell r="D2487">
            <v>1</v>
          </cell>
          <cell r="K2487">
            <v>995400</v>
          </cell>
        </row>
        <row r="2488">
          <cell r="D2488">
            <v>7</v>
          </cell>
          <cell r="K2488">
            <v>10584000</v>
          </cell>
        </row>
        <row r="2489">
          <cell r="D2489">
            <v>1</v>
          </cell>
          <cell r="K2489">
            <v>708750</v>
          </cell>
        </row>
        <row r="2490">
          <cell r="D2490">
            <v>3</v>
          </cell>
          <cell r="K2490">
            <v>8467200</v>
          </cell>
        </row>
        <row r="2491">
          <cell r="D2491">
            <v>0</v>
          </cell>
          <cell r="K2491">
            <v>0</v>
          </cell>
        </row>
        <row r="2492">
          <cell r="D2492">
            <v>0</v>
          </cell>
          <cell r="K2492">
            <v>0</v>
          </cell>
        </row>
        <row r="2493">
          <cell r="D2493">
            <v>0</v>
          </cell>
          <cell r="K2493">
            <v>0</v>
          </cell>
        </row>
        <row r="2494">
          <cell r="D2494">
            <v>0</v>
          </cell>
          <cell r="K2494">
            <v>0</v>
          </cell>
        </row>
        <row r="2495">
          <cell r="D2495">
            <v>0</v>
          </cell>
          <cell r="K2495">
            <v>0</v>
          </cell>
        </row>
        <row r="2500">
          <cell r="K2500">
            <v>0</v>
          </cell>
        </row>
        <row r="2504">
          <cell r="K2504">
            <v>52427550</v>
          </cell>
        </row>
        <row r="2510">
          <cell r="D2510" t="str">
            <v>AM</v>
          </cell>
        </row>
        <row r="2512">
          <cell r="D2512">
            <v>44970</v>
          </cell>
        </row>
        <row r="2514">
          <cell r="D2514" t="str">
            <v>G 0892</v>
          </cell>
        </row>
        <row r="2516">
          <cell r="D2516" t="str">
            <v>C</v>
          </cell>
          <cell r="K2516" t="str">
            <v>Amount</v>
          </cell>
        </row>
        <row r="2518">
          <cell r="D2518">
            <v>1</v>
          </cell>
          <cell r="K2518">
            <v>1757700</v>
          </cell>
        </row>
        <row r="2519">
          <cell r="D2519">
            <v>1</v>
          </cell>
          <cell r="K2519">
            <v>1710450</v>
          </cell>
        </row>
        <row r="2520">
          <cell r="D2520">
            <v>1</v>
          </cell>
          <cell r="K2520">
            <v>3402000</v>
          </cell>
        </row>
        <row r="2521">
          <cell r="K2521">
            <v>0</v>
          </cell>
        </row>
        <row r="2522">
          <cell r="K2522">
            <v>0</v>
          </cell>
        </row>
        <row r="2523">
          <cell r="K2523">
            <v>0</v>
          </cell>
        </row>
        <row r="2524">
          <cell r="K2524">
            <v>0</v>
          </cell>
        </row>
        <row r="2525">
          <cell r="K2525">
            <v>0</v>
          </cell>
        </row>
        <row r="2526">
          <cell r="K2526">
            <v>0</v>
          </cell>
        </row>
        <row r="2527">
          <cell r="K2527">
            <v>0</v>
          </cell>
        </row>
        <row r="2528">
          <cell r="K2528">
            <v>0</v>
          </cell>
        </row>
        <row r="2529">
          <cell r="K2529">
            <v>0</v>
          </cell>
        </row>
        <row r="2530">
          <cell r="K2530">
            <v>0</v>
          </cell>
        </row>
        <row r="2531">
          <cell r="K2531">
            <v>0</v>
          </cell>
        </row>
        <row r="2532">
          <cell r="K2532">
            <v>0</v>
          </cell>
        </row>
        <row r="2533">
          <cell r="K2533">
            <v>0</v>
          </cell>
        </row>
        <row r="2538">
          <cell r="K2538">
            <v>0</v>
          </cell>
        </row>
        <row r="2542">
          <cell r="K2542">
            <v>6870150</v>
          </cell>
        </row>
        <row r="2548">
          <cell r="D2548" t="str">
            <v>AM</v>
          </cell>
        </row>
        <row r="2550">
          <cell r="D2550">
            <v>44970</v>
          </cell>
        </row>
        <row r="2552">
          <cell r="D2552" t="str">
            <v>G 0892</v>
          </cell>
        </row>
        <row r="2554">
          <cell r="D2554" t="str">
            <v>C</v>
          </cell>
          <cell r="K2554" t="str">
            <v>Amount</v>
          </cell>
        </row>
        <row r="2556">
          <cell r="D2556">
            <v>1</v>
          </cell>
          <cell r="K2556">
            <v>1757700</v>
          </cell>
        </row>
        <row r="2557">
          <cell r="D2557">
            <v>1</v>
          </cell>
          <cell r="K2557">
            <v>1710450</v>
          </cell>
        </row>
        <row r="2558">
          <cell r="D2558">
            <v>1</v>
          </cell>
          <cell r="K2558">
            <v>3402000</v>
          </cell>
        </row>
        <row r="2559">
          <cell r="D2559">
            <v>0</v>
          </cell>
          <cell r="K2559">
            <v>0</v>
          </cell>
        </row>
        <row r="2560">
          <cell r="D2560">
            <v>0</v>
          </cell>
          <cell r="K2560">
            <v>0</v>
          </cell>
        </row>
        <row r="2561">
          <cell r="D2561">
            <v>0</v>
          </cell>
          <cell r="K2561">
            <v>0</v>
          </cell>
        </row>
        <row r="2562">
          <cell r="D2562">
            <v>0</v>
          </cell>
          <cell r="K2562">
            <v>0</v>
          </cell>
        </row>
        <row r="2563">
          <cell r="D2563">
            <v>0</v>
          </cell>
          <cell r="K2563">
            <v>0</v>
          </cell>
        </row>
        <row r="2564">
          <cell r="D2564">
            <v>0</v>
          </cell>
          <cell r="K2564">
            <v>0</v>
          </cell>
        </row>
        <row r="2565">
          <cell r="D2565">
            <v>0</v>
          </cell>
          <cell r="K2565">
            <v>0</v>
          </cell>
        </row>
        <row r="2566">
          <cell r="D2566">
            <v>0</v>
          </cell>
          <cell r="K2566">
            <v>0</v>
          </cell>
        </row>
        <row r="2567">
          <cell r="D2567">
            <v>0</v>
          </cell>
          <cell r="K2567">
            <v>0</v>
          </cell>
        </row>
        <row r="2568">
          <cell r="D2568">
            <v>0</v>
          </cell>
          <cell r="K2568">
            <v>0</v>
          </cell>
        </row>
        <row r="2569">
          <cell r="D2569">
            <v>0</v>
          </cell>
          <cell r="K2569">
            <v>0</v>
          </cell>
        </row>
        <row r="2570">
          <cell r="D2570">
            <v>0</v>
          </cell>
          <cell r="K2570">
            <v>0</v>
          </cell>
        </row>
        <row r="2571">
          <cell r="D2571">
            <v>0</v>
          </cell>
          <cell r="K2571">
            <v>0</v>
          </cell>
        </row>
        <row r="2576">
          <cell r="K2576">
            <v>0</v>
          </cell>
        </row>
        <row r="2580">
          <cell r="K2580">
            <v>6870150</v>
          </cell>
        </row>
        <row r="2586">
          <cell r="D2586" t="str">
            <v>AM</v>
          </cell>
        </row>
        <row r="2588">
          <cell r="D2588">
            <v>44970</v>
          </cell>
        </row>
        <row r="2590">
          <cell r="D2590" t="str">
            <v>G 0892</v>
          </cell>
        </row>
        <row r="2592">
          <cell r="D2592" t="str">
            <v>C</v>
          </cell>
          <cell r="K2592" t="str">
            <v>Amount</v>
          </cell>
        </row>
        <row r="2594">
          <cell r="D2594">
            <v>1</v>
          </cell>
          <cell r="K2594">
            <v>1757700</v>
          </cell>
        </row>
        <row r="2595">
          <cell r="D2595">
            <v>1</v>
          </cell>
          <cell r="K2595">
            <v>1710450</v>
          </cell>
        </row>
        <row r="2596">
          <cell r="D2596">
            <v>1</v>
          </cell>
          <cell r="K2596">
            <v>3402000</v>
          </cell>
        </row>
        <row r="2597">
          <cell r="D2597">
            <v>0</v>
          </cell>
          <cell r="K2597">
            <v>0</v>
          </cell>
        </row>
        <row r="2598">
          <cell r="D2598">
            <v>0</v>
          </cell>
          <cell r="K2598">
            <v>0</v>
          </cell>
        </row>
        <row r="2599">
          <cell r="D2599">
            <v>0</v>
          </cell>
          <cell r="K2599">
            <v>0</v>
          </cell>
        </row>
        <row r="2600">
          <cell r="D2600">
            <v>0</v>
          </cell>
          <cell r="K2600">
            <v>0</v>
          </cell>
        </row>
        <row r="2601">
          <cell r="D2601">
            <v>0</v>
          </cell>
          <cell r="K2601">
            <v>0</v>
          </cell>
        </row>
        <row r="2602">
          <cell r="D2602">
            <v>0</v>
          </cell>
          <cell r="K2602">
            <v>0</v>
          </cell>
        </row>
        <row r="2603">
          <cell r="D2603">
            <v>0</v>
          </cell>
          <cell r="K2603">
            <v>0</v>
          </cell>
        </row>
        <row r="2604">
          <cell r="D2604">
            <v>0</v>
          </cell>
          <cell r="K2604">
            <v>0</v>
          </cell>
        </row>
        <row r="2605">
          <cell r="D2605">
            <v>0</v>
          </cell>
          <cell r="K2605">
            <v>0</v>
          </cell>
        </row>
        <row r="2606">
          <cell r="D2606">
            <v>0</v>
          </cell>
          <cell r="K2606">
            <v>0</v>
          </cell>
        </row>
        <row r="2607">
          <cell r="D2607">
            <v>0</v>
          </cell>
          <cell r="K2607">
            <v>0</v>
          </cell>
        </row>
        <row r="2608">
          <cell r="D2608">
            <v>0</v>
          </cell>
          <cell r="K2608">
            <v>0</v>
          </cell>
        </row>
        <row r="2609">
          <cell r="D2609">
            <v>0</v>
          </cell>
          <cell r="K2609">
            <v>0</v>
          </cell>
        </row>
        <row r="2614">
          <cell r="K2614">
            <v>0</v>
          </cell>
        </row>
        <row r="2618">
          <cell r="K2618">
            <v>6870150</v>
          </cell>
        </row>
        <row r="2624">
          <cell r="D2624" t="str">
            <v>AM</v>
          </cell>
        </row>
        <row r="2626">
          <cell r="D2626">
            <v>44972</v>
          </cell>
        </row>
        <row r="2628">
          <cell r="D2628" t="str">
            <v>KO 1054</v>
          </cell>
        </row>
        <row r="2630">
          <cell r="D2630" t="str">
            <v>C</v>
          </cell>
          <cell r="K2630" t="str">
            <v>Amount</v>
          </cell>
        </row>
        <row r="2632">
          <cell r="D2632">
            <v>1</v>
          </cell>
          <cell r="K2632">
            <v>704700</v>
          </cell>
        </row>
        <row r="2633">
          <cell r="K2633">
            <v>0</v>
          </cell>
        </row>
        <row r="2634">
          <cell r="K2634">
            <v>0</v>
          </cell>
        </row>
        <row r="2635">
          <cell r="K2635">
            <v>0</v>
          </cell>
        </row>
        <row r="2636">
          <cell r="K2636">
            <v>0</v>
          </cell>
        </row>
        <row r="2637">
          <cell r="K2637">
            <v>0</v>
          </cell>
        </row>
        <row r="2638">
          <cell r="K2638">
            <v>0</v>
          </cell>
        </row>
        <row r="2639">
          <cell r="K2639">
            <v>0</v>
          </cell>
        </row>
        <row r="2640">
          <cell r="K2640">
            <v>0</v>
          </cell>
        </row>
        <row r="2641">
          <cell r="K2641">
            <v>0</v>
          </cell>
        </row>
        <row r="2642">
          <cell r="K2642">
            <v>0</v>
          </cell>
        </row>
        <row r="2643">
          <cell r="K2643">
            <v>0</v>
          </cell>
        </row>
        <row r="2644">
          <cell r="K2644">
            <v>0</v>
          </cell>
        </row>
        <row r="2645">
          <cell r="K2645">
            <v>0</v>
          </cell>
        </row>
        <row r="2646">
          <cell r="K2646">
            <v>0</v>
          </cell>
        </row>
        <row r="2647">
          <cell r="K2647">
            <v>0</v>
          </cell>
        </row>
        <row r="2652">
          <cell r="K2652">
            <v>0</v>
          </cell>
        </row>
        <row r="2656">
          <cell r="K2656">
            <v>704700</v>
          </cell>
        </row>
        <row r="2662">
          <cell r="D2662" t="str">
            <v>AM</v>
          </cell>
        </row>
        <row r="2664">
          <cell r="D2664">
            <v>44972</v>
          </cell>
        </row>
        <row r="2666">
          <cell r="D2666" t="str">
            <v>KO 1054</v>
          </cell>
        </row>
        <row r="2668">
          <cell r="D2668" t="str">
            <v>C</v>
          </cell>
          <cell r="K2668" t="str">
            <v>Amount</v>
          </cell>
        </row>
        <row r="2670">
          <cell r="D2670">
            <v>1</v>
          </cell>
          <cell r="K2670">
            <v>704700</v>
          </cell>
        </row>
        <row r="2671">
          <cell r="D2671">
            <v>0</v>
          </cell>
          <cell r="K2671">
            <v>0</v>
          </cell>
        </row>
        <row r="2672">
          <cell r="D2672">
            <v>0</v>
          </cell>
          <cell r="K2672">
            <v>0</v>
          </cell>
        </row>
        <row r="2673">
          <cell r="D2673">
            <v>0</v>
          </cell>
          <cell r="K2673">
            <v>0</v>
          </cell>
        </row>
        <row r="2674">
          <cell r="D2674">
            <v>0</v>
          </cell>
          <cell r="K2674">
            <v>0</v>
          </cell>
        </row>
        <row r="2675">
          <cell r="D2675">
            <v>0</v>
          </cell>
          <cell r="K2675">
            <v>0</v>
          </cell>
        </row>
        <row r="2676">
          <cell r="D2676">
            <v>0</v>
          </cell>
          <cell r="K2676">
            <v>0</v>
          </cell>
        </row>
        <row r="2677">
          <cell r="D2677">
            <v>0</v>
          </cell>
          <cell r="K2677">
            <v>0</v>
          </cell>
        </row>
        <row r="2678">
          <cell r="D2678">
            <v>0</v>
          </cell>
          <cell r="K2678">
            <v>0</v>
          </cell>
        </row>
        <row r="2679">
          <cell r="D2679">
            <v>0</v>
          </cell>
          <cell r="K2679">
            <v>0</v>
          </cell>
        </row>
        <row r="2680">
          <cell r="D2680">
            <v>0</v>
          </cell>
          <cell r="K2680">
            <v>0</v>
          </cell>
        </row>
        <row r="2681">
          <cell r="D2681">
            <v>0</v>
          </cell>
          <cell r="K2681">
            <v>0</v>
          </cell>
        </row>
        <row r="2682">
          <cell r="D2682">
            <v>0</v>
          </cell>
          <cell r="K2682">
            <v>0</v>
          </cell>
        </row>
        <row r="2683">
          <cell r="D2683">
            <v>0</v>
          </cell>
          <cell r="K2683">
            <v>0</v>
          </cell>
        </row>
        <row r="2684">
          <cell r="D2684">
            <v>0</v>
          </cell>
          <cell r="K2684">
            <v>0</v>
          </cell>
        </row>
        <row r="2685">
          <cell r="D2685">
            <v>0</v>
          </cell>
          <cell r="K2685">
            <v>0</v>
          </cell>
        </row>
        <row r="2690">
          <cell r="K2690">
            <v>0</v>
          </cell>
        </row>
        <row r="2694">
          <cell r="K2694">
            <v>704700</v>
          </cell>
        </row>
        <row r="2700">
          <cell r="D2700" t="str">
            <v>AM</v>
          </cell>
        </row>
        <row r="2702">
          <cell r="D2702">
            <v>44972</v>
          </cell>
        </row>
        <row r="2704">
          <cell r="D2704" t="str">
            <v>KO 1054</v>
          </cell>
        </row>
        <row r="2706">
          <cell r="D2706" t="str">
            <v>C</v>
          </cell>
          <cell r="K2706" t="str">
            <v>Amount</v>
          </cell>
        </row>
        <row r="2708">
          <cell r="D2708">
            <v>1</v>
          </cell>
          <cell r="K2708">
            <v>704700</v>
          </cell>
        </row>
        <row r="2709">
          <cell r="D2709">
            <v>0</v>
          </cell>
          <cell r="K2709">
            <v>0</v>
          </cell>
        </row>
        <row r="2710">
          <cell r="D2710">
            <v>0</v>
          </cell>
          <cell r="K2710">
            <v>0</v>
          </cell>
        </row>
        <row r="2711">
          <cell r="D2711">
            <v>0</v>
          </cell>
          <cell r="K2711">
            <v>0</v>
          </cell>
        </row>
        <row r="2712">
          <cell r="D2712">
            <v>0</v>
          </cell>
          <cell r="K2712">
            <v>0</v>
          </cell>
        </row>
        <row r="2713">
          <cell r="D2713">
            <v>0</v>
          </cell>
          <cell r="K2713">
            <v>0</v>
          </cell>
        </row>
        <row r="2714">
          <cell r="D2714">
            <v>0</v>
          </cell>
          <cell r="K2714">
            <v>0</v>
          </cell>
        </row>
        <row r="2715">
          <cell r="D2715">
            <v>0</v>
          </cell>
          <cell r="K2715">
            <v>0</v>
          </cell>
        </row>
        <row r="2716">
          <cell r="D2716">
            <v>0</v>
          </cell>
          <cell r="K2716">
            <v>0</v>
          </cell>
        </row>
        <row r="2717">
          <cell r="D2717">
            <v>0</v>
          </cell>
          <cell r="K2717">
            <v>0</v>
          </cell>
        </row>
        <row r="2718">
          <cell r="D2718">
            <v>0</v>
          </cell>
          <cell r="K2718">
            <v>0</v>
          </cell>
        </row>
        <row r="2719">
          <cell r="D2719">
            <v>0</v>
          </cell>
          <cell r="K2719">
            <v>0</v>
          </cell>
        </row>
        <row r="2720">
          <cell r="D2720">
            <v>0</v>
          </cell>
          <cell r="K2720">
            <v>0</v>
          </cell>
        </row>
        <row r="2721">
          <cell r="D2721">
            <v>0</v>
          </cell>
          <cell r="K2721">
            <v>0</v>
          </cell>
        </row>
        <row r="2722">
          <cell r="D2722">
            <v>0</v>
          </cell>
          <cell r="K2722">
            <v>0</v>
          </cell>
        </row>
        <row r="2723">
          <cell r="D2723">
            <v>0</v>
          </cell>
          <cell r="K2723">
            <v>0</v>
          </cell>
        </row>
        <row r="2728">
          <cell r="K2728">
            <v>0</v>
          </cell>
        </row>
        <row r="2732">
          <cell r="K2732">
            <v>704700</v>
          </cell>
        </row>
        <row r="2738">
          <cell r="D2738" t="str">
            <v>AM</v>
          </cell>
        </row>
        <row r="2740">
          <cell r="D2740">
            <v>44973</v>
          </cell>
        </row>
        <row r="2742">
          <cell r="D2742" t="str">
            <v>KO 1065</v>
          </cell>
        </row>
        <row r="2744">
          <cell r="D2744" t="str">
            <v>C</v>
          </cell>
          <cell r="K2744" t="str">
            <v>Amount</v>
          </cell>
        </row>
        <row r="2746">
          <cell r="D2746" t="str">
            <v/>
          </cell>
          <cell r="K2746">
            <v>908280</v>
          </cell>
        </row>
        <row r="2747">
          <cell r="D2747" t="str">
            <v/>
          </cell>
          <cell r="K2747">
            <v>1096200</v>
          </cell>
        </row>
        <row r="2748">
          <cell r="D2748" t="str">
            <v/>
          </cell>
          <cell r="K2748">
            <v>488592</v>
          </cell>
        </row>
        <row r="2749">
          <cell r="D2749" t="str">
            <v/>
          </cell>
          <cell r="K2749">
            <v>1064880</v>
          </cell>
        </row>
        <row r="2750">
          <cell r="K2750">
            <v>0</v>
          </cell>
        </row>
        <row r="2751">
          <cell r="K2751">
            <v>0</v>
          </cell>
        </row>
        <row r="2752">
          <cell r="K2752">
            <v>0</v>
          </cell>
        </row>
        <row r="2753">
          <cell r="K2753">
            <v>0</v>
          </cell>
        </row>
        <row r="2754">
          <cell r="K2754">
            <v>0</v>
          </cell>
        </row>
        <row r="2755">
          <cell r="K2755">
            <v>0</v>
          </cell>
        </row>
        <row r="2756">
          <cell r="K2756">
            <v>0</v>
          </cell>
        </row>
        <row r="2757">
          <cell r="K2757">
            <v>0</v>
          </cell>
        </row>
        <row r="2758">
          <cell r="K2758">
            <v>0</v>
          </cell>
        </row>
        <row r="2759">
          <cell r="K2759">
            <v>0</v>
          </cell>
        </row>
        <row r="2760">
          <cell r="K2760">
            <v>0</v>
          </cell>
        </row>
        <row r="2761">
          <cell r="K2761">
            <v>0</v>
          </cell>
        </row>
        <row r="2766">
          <cell r="K2766">
            <v>0</v>
          </cell>
        </row>
        <row r="2770">
          <cell r="K2770">
            <v>3557952</v>
          </cell>
        </row>
        <row r="2776">
          <cell r="D2776" t="str">
            <v>AM</v>
          </cell>
        </row>
        <row r="2778">
          <cell r="D2778">
            <v>44973</v>
          </cell>
        </row>
        <row r="2780">
          <cell r="D2780" t="str">
            <v>KO 1065</v>
          </cell>
        </row>
        <row r="2782">
          <cell r="D2782" t="str">
            <v>C</v>
          </cell>
          <cell r="K2782" t="str">
            <v>Amount</v>
          </cell>
        </row>
        <row r="2784">
          <cell r="D2784" t="str">
            <v/>
          </cell>
          <cell r="K2784">
            <v>908280</v>
          </cell>
        </row>
        <row r="2785">
          <cell r="D2785" t="str">
            <v/>
          </cell>
          <cell r="K2785">
            <v>1096200</v>
          </cell>
        </row>
        <row r="2786">
          <cell r="D2786" t="str">
            <v/>
          </cell>
          <cell r="K2786">
            <v>488592</v>
          </cell>
        </row>
        <row r="2787">
          <cell r="D2787" t="str">
            <v/>
          </cell>
          <cell r="K2787">
            <v>1064880</v>
          </cell>
        </row>
        <row r="2788">
          <cell r="D2788">
            <v>0</v>
          </cell>
          <cell r="K2788">
            <v>0</v>
          </cell>
        </row>
        <row r="2789">
          <cell r="D2789">
            <v>0</v>
          </cell>
          <cell r="K2789">
            <v>0</v>
          </cell>
        </row>
        <row r="2790">
          <cell r="D2790">
            <v>0</v>
          </cell>
          <cell r="K2790">
            <v>0</v>
          </cell>
        </row>
        <row r="2791">
          <cell r="D2791">
            <v>0</v>
          </cell>
          <cell r="K2791">
            <v>0</v>
          </cell>
        </row>
        <row r="2792">
          <cell r="D2792">
            <v>0</v>
          </cell>
          <cell r="K2792">
            <v>0</v>
          </cell>
        </row>
        <row r="2793">
          <cell r="D2793">
            <v>0</v>
          </cell>
          <cell r="K2793">
            <v>0</v>
          </cell>
        </row>
        <row r="2794">
          <cell r="D2794">
            <v>0</v>
          </cell>
          <cell r="K2794">
            <v>0</v>
          </cell>
        </row>
        <row r="2795">
          <cell r="D2795">
            <v>0</v>
          </cell>
          <cell r="K2795">
            <v>0</v>
          </cell>
        </row>
        <row r="2796">
          <cell r="D2796">
            <v>0</v>
          </cell>
          <cell r="K2796">
            <v>0</v>
          </cell>
        </row>
        <row r="2797">
          <cell r="D2797">
            <v>0</v>
          </cell>
          <cell r="K2797">
            <v>0</v>
          </cell>
        </row>
        <row r="2798">
          <cell r="D2798">
            <v>0</v>
          </cell>
          <cell r="K2798">
            <v>0</v>
          </cell>
        </row>
        <row r="2799">
          <cell r="D2799">
            <v>0</v>
          </cell>
          <cell r="K2799">
            <v>0</v>
          </cell>
        </row>
        <row r="2804">
          <cell r="K2804">
            <v>0</v>
          </cell>
        </row>
        <row r="2808">
          <cell r="K2808">
            <v>3557952</v>
          </cell>
        </row>
        <row r="2814">
          <cell r="D2814" t="str">
            <v>AM</v>
          </cell>
        </row>
        <row r="2816">
          <cell r="D2816">
            <v>44973</v>
          </cell>
        </row>
        <row r="2818">
          <cell r="D2818" t="str">
            <v>KO 1065</v>
          </cell>
        </row>
        <row r="2820">
          <cell r="D2820" t="str">
            <v>C</v>
          </cell>
          <cell r="K2820" t="str">
            <v>Amount</v>
          </cell>
        </row>
        <row r="2822">
          <cell r="D2822" t="str">
            <v/>
          </cell>
          <cell r="K2822">
            <v>908280</v>
          </cell>
        </row>
        <row r="2823">
          <cell r="D2823" t="str">
            <v/>
          </cell>
          <cell r="K2823">
            <v>1096200</v>
          </cell>
        </row>
        <row r="2824">
          <cell r="D2824" t="str">
            <v/>
          </cell>
          <cell r="K2824">
            <v>488592</v>
          </cell>
        </row>
        <row r="2825">
          <cell r="D2825" t="str">
            <v/>
          </cell>
          <cell r="K2825">
            <v>1064880</v>
          </cell>
        </row>
        <row r="2826">
          <cell r="D2826">
            <v>0</v>
          </cell>
          <cell r="K2826">
            <v>0</v>
          </cell>
        </row>
        <row r="2827">
          <cell r="D2827">
            <v>0</v>
          </cell>
          <cell r="K2827">
            <v>0</v>
          </cell>
        </row>
        <row r="2828">
          <cell r="D2828">
            <v>0</v>
          </cell>
          <cell r="K2828">
            <v>0</v>
          </cell>
        </row>
        <row r="2829">
          <cell r="D2829">
            <v>0</v>
          </cell>
          <cell r="K2829">
            <v>0</v>
          </cell>
        </row>
        <row r="2830">
          <cell r="D2830">
            <v>0</v>
          </cell>
          <cell r="K2830">
            <v>0</v>
          </cell>
        </row>
        <row r="2831">
          <cell r="D2831">
            <v>0</v>
          </cell>
          <cell r="K2831">
            <v>0</v>
          </cell>
        </row>
        <row r="2832">
          <cell r="D2832">
            <v>0</v>
          </cell>
          <cell r="K2832">
            <v>0</v>
          </cell>
        </row>
        <row r="2833">
          <cell r="D2833">
            <v>0</v>
          </cell>
          <cell r="K2833">
            <v>0</v>
          </cell>
        </row>
        <row r="2834">
          <cell r="D2834">
            <v>0</v>
          </cell>
          <cell r="K2834">
            <v>0</v>
          </cell>
        </row>
        <row r="2835">
          <cell r="D2835">
            <v>0</v>
          </cell>
          <cell r="K2835">
            <v>0</v>
          </cell>
        </row>
        <row r="2836">
          <cell r="D2836">
            <v>0</v>
          </cell>
          <cell r="K2836">
            <v>0</v>
          </cell>
        </row>
        <row r="2837">
          <cell r="D2837">
            <v>0</v>
          </cell>
          <cell r="K2837">
            <v>0</v>
          </cell>
        </row>
        <row r="2842">
          <cell r="K2842">
            <v>0</v>
          </cell>
        </row>
        <row r="2846">
          <cell r="K2846">
            <v>3557952</v>
          </cell>
        </row>
        <row r="2852">
          <cell r="D2852" t="str">
            <v>AM</v>
          </cell>
        </row>
        <row r="2854">
          <cell r="D2854">
            <v>44978</v>
          </cell>
        </row>
        <row r="2856">
          <cell r="D2856" t="str">
            <v>KO 1103</v>
          </cell>
        </row>
        <row r="2858">
          <cell r="D2858" t="str">
            <v>C</v>
          </cell>
          <cell r="K2858" t="str">
            <v>Amount</v>
          </cell>
        </row>
        <row r="2860">
          <cell r="K2860">
            <v>421200</v>
          </cell>
        </row>
        <row r="2861">
          <cell r="K2861">
            <v>142560</v>
          </cell>
        </row>
        <row r="2862">
          <cell r="D2862">
            <v>1</v>
          </cell>
          <cell r="K2862">
            <v>1220400</v>
          </cell>
        </row>
        <row r="2863">
          <cell r="D2863">
            <v>1</v>
          </cell>
          <cell r="K2863">
            <v>1370520</v>
          </cell>
        </row>
        <row r="2864">
          <cell r="K2864">
            <v>0</v>
          </cell>
        </row>
        <row r="2865">
          <cell r="K2865">
            <v>0</v>
          </cell>
        </row>
        <row r="2866">
          <cell r="K2866">
            <v>0</v>
          </cell>
        </row>
        <row r="2867">
          <cell r="K2867">
            <v>0</v>
          </cell>
        </row>
        <row r="2868">
          <cell r="K2868">
            <v>0</v>
          </cell>
        </row>
        <row r="2869">
          <cell r="K2869">
            <v>0</v>
          </cell>
        </row>
        <row r="2870">
          <cell r="K2870">
            <v>0</v>
          </cell>
        </row>
        <row r="2871">
          <cell r="K2871">
            <v>0</v>
          </cell>
        </row>
        <row r="2872">
          <cell r="K2872">
            <v>0</v>
          </cell>
        </row>
        <row r="2873">
          <cell r="K2873">
            <v>0</v>
          </cell>
        </row>
        <row r="2874">
          <cell r="K2874">
            <v>0</v>
          </cell>
        </row>
        <row r="2875">
          <cell r="K2875">
            <v>0</v>
          </cell>
        </row>
        <row r="2880">
          <cell r="K2880">
            <v>0</v>
          </cell>
        </row>
        <row r="2884">
          <cell r="K2884">
            <v>3154680</v>
          </cell>
        </row>
        <row r="2890">
          <cell r="D2890" t="str">
            <v>AM</v>
          </cell>
        </row>
        <row r="2892">
          <cell r="D2892">
            <v>44978</v>
          </cell>
        </row>
        <row r="2894">
          <cell r="D2894" t="str">
            <v>KO 1103</v>
          </cell>
        </row>
        <row r="2896">
          <cell r="D2896" t="str">
            <v>C</v>
          </cell>
          <cell r="K2896" t="str">
            <v>Amount</v>
          </cell>
        </row>
        <row r="2898">
          <cell r="D2898">
            <v>0</v>
          </cell>
          <cell r="K2898">
            <v>421200</v>
          </cell>
        </row>
        <row r="2899">
          <cell r="D2899">
            <v>0</v>
          </cell>
          <cell r="K2899">
            <v>142560</v>
          </cell>
        </row>
        <row r="2900">
          <cell r="D2900">
            <v>1</v>
          </cell>
          <cell r="K2900">
            <v>1220400</v>
          </cell>
        </row>
        <row r="2901">
          <cell r="D2901">
            <v>1</v>
          </cell>
          <cell r="K2901">
            <v>1370520</v>
          </cell>
        </row>
        <row r="2902">
          <cell r="D2902">
            <v>0</v>
          </cell>
          <cell r="K2902">
            <v>0</v>
          </cell>
        </row>
        <row r="2903">
          <cell r="D2903">
            <v>0</v>
          </cell>
          <cell r="K2903">
            <v>0</v>
          </cell>
        </row>
        <row r="2904">
          <cell r="D2904">
            <v>0</v>
          </cell>
          <cell r="K2904">
            <v>0</v>
          </cell>
        </row>
        <row r="2905">
          <cell r="D2905">
            <v>0</v>
          </cell>
          <cell r="K2905">
            <v>0</v>
          </cell>
        </row>
        <row r="2906">
          <cell r="D2906">
            <v>0</v>
          </cell>
          <cell r="K2906">
            <v>0</v>
          </cell>
        </row>
        <row r="2907">
          <cell r="D2907">
            <v>0</v>
          </cell>
          <cell r="K2907">
            <v>0</v>
          </cell>
        </row>
        <row r="2908">
          <cell r="D2908">
            <v>0</v>
          </cell>
          <cell r="K2908">
            <v>0</v>
          </cell>
        </row>
        <row r="2909">
          <cell r="D2909">
            <v>0</v>
          </cell>
          <cell r="K2909">
            <v>0</v>
          </cell>
        </row>
        <row r="2910">
          <cell r="D2910">
            <v>0</v>
          </cell>
          <cell r="K2910">
            <v>0</v>
          </cell>
        </row>
        <row r="2911">
          <cell r="D2911">
            <v>0</v>
          </cell>
          <cell r="K2911">
            <v>0</v>
          </cell>
        </row>
        <row r="2912">
          <cell r="D2912">
            <v>0</v>
          </cell>
          <cell r="K2912">
            <v>0</v>
          </cell>
        </row>
        <row r="2913">
          <cell r="D2913">
            <v>0</v>
          </cell>
          <cell r="K2913">
            <v>0</v>
          </cell>
        </row>
        <row r="2918">
          <cell r="K2918">
            <v>0</v>
          </cell>
        </row>
        <row r="2922">
          <cell r="K2922">
            <v>3154680</v>
          </cell>
        </row>
        <row r="2928">
          <cell r="D2928" t="str">
            <v>AM</v>
          </cell>
        </row>
        <row r="2930">
          <cell r="D2930">
            <v>44978</v>
          </cell>
        </row>
        <row r="2932">
          <cell r="D2932" t="str">
            <v>KO 1103</v>
          </cell>
        </row>
        <row r="2934">
          <cell r="D2934" t="str">
            <v>C</v>
          </cell>
          <cell r="K2934" t="str">
            <v>Amount</v>
          </cell>
        </row>
        <row r="2936">
          <cell r="D2936">
            <v>0</v>
          </cell>
          <cell r="K2936">
            <v>421200</v>
          </cell>
        </row>
        <row r="2937">
          <cell r="D2937">
            <v>0</v>
          </cell>
          <cell r="K2937">
            <v>142560</v>
          </cell>
        </row>
        <row r="2938">
          <cell r="D2938">
            <v>1</v>
          </cell>
          <cell r="K2938">
            <v>1220400</v>
          </cell>
        </row>
        <row r="2939">
          <cell r="D2939">
            <v>1</v>
          </cell>
          <cell r="K2939">
            <v>1370520</v>
          </cell>
        </row>
        <row r="2940">
          <cell r="D2940">
            <v>0</v>
          </cell>
          <cell r="K2940">
            <v>0</v>
          </cell>
        </row>
        <row r="2941">
          <cell r="D2941">
            <v>0</v>
          </cell>
          <cell r="K2941">
            <v>0</v>
          </cell>
        </row>
        <row r="2942">
          <cell r="D2942">
            <v>0</v>
          </cell>
          <cell r="K2942">
            <v>0</v>
          </cell>
        </row>
        <row r="2943">
          <cell r="D2943">
            <v>0</v>
          </cell>
          <cell r="K2943">
            <v>0</v>
          </cell>
        </row>
        <row r="2944">
          <cell r="D2944">
            <v>0</v>
          </cell>
          <cell r="K2944">
            <v>0</v>
          </cell>
        </row>
        <row r="2945">
          <cell r="D2945">
            <v>0</v>
          </cell>
          <cell r="K2945">
            <v>0</v>
          </cell>
        </row>
        <row r="2946">
          <cell r="D2946">
            <v>0</v>
          </cell>
          <cell r="K2946">
            <v>0</v>
          </cell>
        </row>
        <row r="2947">
          <cell r="D2947">
            <v>0</v>
          </cell>
          <cell r="K2947">
            <v>0</v>
          </cell>
        </row>
        <row r="2948">
          <cell r="D2948">
            <v>0</v>
          </cell>
          <cell r="K2948">
            <v>0</v>
          </cell>
        </row>
        <row r="2949">
          <cell r="D2949">
            <v>0</v>
          </cell>
          <cell r="K2949">
            <v>0</v>
          </cell>
        </row>
        <row r="2950">
          <cell r="D2950">
            <v>0</v>
          </cell>
          <cell r="K2950">
            <v>0</v>
          </cell>
        </row>
        <row r="2951">
          <cell r="D2951">
            <v>0</v>
          </cell>
          <cell r="K2951">
            <v>0</v>
          </cell>
        </row>
        <row r="2956">
          <cell r="K2956">
            <v>0</v>
          </cell>
        </row>
        <row r="2960">
          <cell r="K2960">
            <v>3154680</v>
          </cell>
        </row>
        <row r="2966">
          <cell r="D2966" t="str">
            <v>AM</v>
          </cell>
        </row>
        <row r="2968">
          <cell r="D2968">
            <v>44978</v>
          </cell>
        </row>
        <row r="2970">
          <cell r="D2970" t="str">
            <v>KO 1106</v>
          </cell>
        </row>
        <row r="2972">
          <cell r="D2972" t="str">
            <v>C</v>
          </cell>
          <cell r="K2972" t="str">
            <v>Amount</v>
          </cell>
        </row>
        <row r="2974">
          <cell r="K2974">
            <v>187920</v>
          </cell>
        </row>
        <row r="2975">
          <cell r="K2975">
            <v>183600</v>
          </cell>
        </row>
        <row r="2976">
          <cell r="K2976">
            <v>194400</v>
          </cell>
        </row>
        <row r="2977">
          <cell r="K2977">
            <v>334800</v>
          </cell>
        </row>
        <row r="2978">
          <cell r="K2978">
            <v>427680</v>
          </cell>
        </row>
        <row r="2979">
          <cell r="K2979">
            <v>203040</v>
          </cell>
        </row>
        <row r="2980">
          <cell r="K2980">
            <v>430920</v>
          </cell>
        </row>
        <row r="2981">
          <cell r="K2981">
            <v>0</v>
          </cell>
        </row>
        <row r="2982">
          <cell r="K2982">
            <v>0</v>
          </cell>
        </row>
        <row r="2983">
          <cell r="K2983">
            <v>0</v>
          </cell>
        </row>
        <row r="2984">
          <cell r="K2984">
            <v>0</v>
          </cell>
        </row>
        <row r="2985">
          <cell r="K2985">
            <v>0</v>
          </cell>
        </row>
        <row r="2986">
          <cell r="K2986">
            <v>0</v>
          </cell>
        </row>
        <row r="2987">
          <cell r="K2987">
            <v>0</v>
          </cell>
        </row>
        <row r="2988">
          <cell r="K2988">
            <v>0</v>
          </cell>
        </row>
        <row r="2989">
          <cell r="K2989">
            <v>0</v>
          </cell>
        </row>
        <row r="2994">
          <cell r="K2994">
            <v>0</v>
          </cell>
        </row>
        <row r="2998">
          <cell r="K2998">
            <v>1962360</v>
          </cell>
        </row>
        <row r="3004">
          <cell r="D3004" t="str">
            <v>AM</v>
          </cell>
        </row>
        <row r="3006">
          <cell r="D3006">
            <v>44978</v>
          </cell>
        </row>
        <row r="3008">
          <cell r="D3008" t="str">
            <v>KO 1106</v>
          </cell>
        </row>
        <row r="3010">
          <cell r="D3010" t="str">
            <v>C</v>
          </cell>
          <cell r="K3010" t="str">
            <v>Amount</v>
          </cell>
        </row>
        <row r="3012">
          <cell r="D3012">
            <v>0</v>
          </cell>
          <cell r="K3012">
            <v>187920</v>
          </cell>
        </row>
        <row r="3013">
          <cell r="D3013">
            <v>0</v>
          </cell>
          <cell r="K3013">
            <v>183600</v>
          </cell>
        </row>
        <row r="3014">
          <cell r="D3014">
            <v>0</v>
          </cell>
          <cell r="K3014">
            <v>194400</v>
          </cell>
        </row>
        <row r="3015">
          <cell r="D3015">
            <v>0</v>
          </cell>
          <cell r="K3015">
            <v>334800</v>
          </cell>
        </row>
        <row r="3016">
          <cell r="D3016">
            <v>0</v>
          </cell>
          <cell r="K3016">
            <v>427680</v>
          </cell>
        </row>
        <row r="3017">
          <cell r="D3017">
            <v>0</v>
          </cell>
          <cell r="K3017">
            <v>203040</v>
          </cell>
        </row>
        <row r="3018">
          <cell r="D3018">
            <v>0</v>
          </cell>
          <cell r="K3018">
            <v>430920</v>
          </cell>
        </row>
        <row r="3019">
          <cell r="D3019">
            <v>0</v>
          </cell>
          <cell r="K3019">
            <v>0</v>
          </cell>
        </row>
        <row r="3020">
          <cell r="D3020">
            <v>0</v>
          </cell>
          <cell r="K3020">
            <v>0</v>
          </cell>
        </row>
        <row r="3021">
          <cell r="D3021">
            <v>0</v>
          </cell>
          <cell r="K3021">
            <v>0</v>
          </cell>
        </row>
        <row r="3022">
          <cell r="D3022">
            <v>0</v>
          </cell>
          <cell r="K3022">
            <v>0</v>
          </cell>
        </row>
        <row r="3023">
          <cell r="D3023">
            <v>0</v>
          </cell>
          <cell r="K3023">
            <v>0</v>
          </cell>
        </row>
        <row r="3024">
          <cell r="D3024">
            <v>0</v>
          </cell>
          <cell r="K3024">
            <v>0</v>
          </cell>
        </row>
        <row r="3025">
          <cell r="D3025">
            <v>0</v>
          </cell>
          <cell r="K3025">
            <v>0</v>
          </cell>
        </row>
        <row r="3026">
          <cell r="D3026">
            <v>0</v>
          </cell>
          <cell r="K3026">
            <v>0</v>
          </cell>
        </row>
        <row r="3027">
          <cell r="D3027">
            <v>0</v>
          </cell>
          <cell r="K3027">
            <v>0</v>
          </cell>
        </row>
        <row r="3032">
          <cell r="K3032">
            <v>0</v>
          </cell>
        </row>
        <row r="3036">
          <cell r="K3036">
            <v>1962360</v>
          </cell>
        </row>
        <row r="3042">
          <cell r="D3042" t="str">
            <v>AM</v>
          </cell>
        </row>
        <row r="3044">
          <cell r="D3044">
            <v>44978</v>
          </cell>
        </row>
        <row r="3046">
          <cell r="D3046" t="str">
            <v>KO 1106</v>
          </cell>
        </row>
        <row r="3048">
          <cell r="D3048" t="str">
            <v>C</v>
          </cell>
          <cell r="K3048" t="str">
            <v>Amount</v>
          </cell>
        </row>
        <row r="3050">
          <cell r="D3050">
            <v>0</v>
          </cell>
          <cell r="K3050">
            <v>187920</v>
          </cell>
        </row>
        <row r="3051">
          <cell r="D3051">
            <v>0</v>
          </cell>
          <cell r="K3051">
            <v>183600</v>
          </cell>
        </row>
        <row r="3052">
          <cell r="D3052">
            <v>0</v>
          </cell>
          <cell r="K3052">
            <v>194400</v>
          </cell>
        </row>
        <row r="3053">
          <cell r="D3053">
            <v>0</v>
          </cell>
          <cell r="K3053">
            <v>334800</v>
          </cell>
        </row>
        <row r="3054">
          <cell r="D3054">
            <v>0</v>
          </cell>
          <cell r="K3054">
            <v>427680</v>
          </cell>
        </row>
        <row r="3055">
          <cell r="D3055">
            <v>0</v>
          </cell>
          <cell r="K3055">
            <v>203040</v>
          </cell>
        </row>
        <row r="3056">
          <cell r="D3056">
            <v>0</v>
          </cell>
          <cell r="K3056">
            <v>430920</v>
          </cell>
        </row>
        <row r="3057">
          <cell r="D3057">
            <v>0</v>
          </cell>
          <cell r="K3057">
            <v>0</v>
          </cell>
        </row>
        <row r="3058">
          <cell r="D3058">
            <v>0</v>
          </cell>
          <cell r="K3058">
            <v>0</v>
          </cell>
        </row>
        <row r="3059">
          <cell r="D3059">
            <v>0</v>
          </cell>
          <cell r="K3059">
            <v>0</v>
          </cell>
        </row>
        <row r="3060">
          <cell r="D3060">
            <v>0</v>
          </cell>
          <cell r="K3060">
            <v>0</v>
          </cell>
        </row>
        <row r="3061">
          <cell r="D3061">
            <v>0</v>
          </cell>
          <cell r="K3061">
            <v>0</v>
          </cell>
        </row>
        <row r="3062">
          <cell r="D3062">
            <v>0</v>
          </cell>
          <cell r="K3062">
            <v>0</v>
          </cell>
        </row>
        <row r="3063">
          <cell r="D3063">
            <v>0</v>
          </cell>
          <cell r="K3063">
            <v>0</v>
          </cell>
        </row>
        <row r="3064">
          <cell r="D3064">
            <v>0</v>
          </cell>
          <cell r="K3064">
            <v>0</v>
          </cell>
        </row>
        <row r="3065">
          <cell r="D3065">
            <v>0</v>
          </cell>
          <cell r="K3065">
            <v>0</v>
          </cell>
        </row>
        <row r="3070">
          <cell r="K3070">
            <v>0</v>
          </cell>
        </row>
        <row r="3074">
          <cell r="K3074">
            <v>1962360</v>
          </cell>
        </row>
        <row r="3080">
          <cell r="D3080" t="str">
            <v>AM</v>
          </cell>
        </row>
        <row r="3082">
          <cell r="D3082">
            <v>44974</v>
          </cell>
        </row>
        <row r="3084">
          <cell r="D3084" t="str">
            <v>KO 0943</v>
          </cell>
        </row>
        <row r="3086">
          <cell r="D3086" t="str">
            <v>C</v>
          </cell>
          <cell r="K3086" t="str">
            <v>Amount</v>
          </cell>
        </row>
        <row r="3088">
          <cell r="D3088" t="str">
            <v/>
          </cell>
          <cell r="K3088">
            <v>918720</v>
          </cell>
        </row>
        <row r="3089">
          <cell r="K3089">
            <v>0</v>
          </cell>
        </row>
        <row r="3090">
          <cell r="K3090">
            <v>0</v>
          </cell>
        </row>
        <row r="3091">
          <cell r="K3091">
            <v>0</v>
          </cell>
        </row>
        <row r="3092">
          <cell r="K3092">
            <v>0</v>
          </cell>
        </row>
        <row r="3093">
          <cell r="K3093">
            <v>0</v>
          </cell>
        </row>
        <row r="3094">
          <cell r="K3094">
            <v>0</v>
          </cell>
        </row>
        <row r="3095">
          <cell r="K3095">
            <v>0</v>
          </cell>
        </row>
        <row r="3096">
          <cell r="K3096">
            <v>0</v>
          </cell>
        </row>
        <row r="3097">
          <cell r="K3097">
            <v>0</v>
          </cell>
        </row>
        <row r="3098">
          <cell r="K3098">
            <v>0</v>
          </cell>
        </row>
        <row r="3099">
          <cell r="K3099">
            <v>0</v>
          </cell>
        </row>
        <row r="3100">
          <cell r="K3100">
            <v>0</v>
          </cell>
        </row>
        <row r="3101">
          <cell r="K3101">
            <v>0</v>
          </cell>
        </row>
        <row r="3102">
          <cell r="K3102">
            <v>0</v>
          </cell>
        </row>
        <row r="3103">
          <cell r="K3103">
            <v>0</v>
          </cell>
        </row>
        <row r="3108">
          <cell r="K3108">
            <v>0</v>
          </cell>
        </row>
        <row r="3112">
          <cell r="K3112">
            <v>918720</v>
          </cell>
        </row>
        <row r="3118">
          <cell r="D3118" t="str">
            <v>AM</v>
          </cell>
        </row>
        <row r="3120">
          <cell r="D3120">
            <v>44974</v>
          </cell>
        </row>
        <row r="3122">
          <cell r="D3122" t="str">
            <v>KO 0943</v>
          </cell>
        </row>
        <row r="3124">
          <cell r="D3124" t="str">
            <v>C</v>
          </cell>
          <cell r="K3124" t="str">
            <v>Amount</v>
          </cell>
        </row>
        <row r="3126">
          <cell r="D3126" t="str">
            <v/>
          </cell>
          <cell r="K3126">
            <v>918720</v>
          </cell>
        </row>
        <row r="3127">
          <cell r="D3127">
            <v>0</v>
          </cell>
          <cell r="K3127">
            <v>0</v>
          </cell>
        </row>
        <row r="3128">
          <cell r="D3128">
            <v>0</v>
          </cell>
          <cell r="K3128">
            <v>0</v>
          </cell>
        </row>
        <row r="3129">
          <cell r="D3129">
            <v>0</v>
          </cell>
          <cell r="K3129">
            <v>0</v>
          </cell>
        </row>
        <row r="3130">
          <cell r="D3130">
            <v>0</v>
          </cell>
          <cell r="K3130">
            <v>0</v>
          </cell>
        </row>
        <row r="3131">
          <cell r="D3131">
            <v>0</v>
          </cell>
          <cell r="K3131">
            <v>0</v>
          </cell>
        </row>
        <row r="3132">
          <cell r="D3132">
            <v>0</v>
          </cell>
          <cell r="K3132">
            <v>0</v>
          </cell>
        </row>
        <row r="3133">
          <cell r="D3133">
            <v>0</v>
          </cell>
          <cell r="K3133">
            <v>0</v>
          </cell>
        </row>
        <row r="3134">
          <cell r="D3134">
            <v>0</v>
          </cell>
          <cell r="K3134">
            <v>0</v>
          </cell>
        </row>
        <row r="3135">
          <cell r="D3135">
            <v>0</v>
          </cell>
          <cell r="K3135">
            <v>0</v>
          </cell>
        </row>
        <row r="3136">
          <cell r="D3136">
            <v>0</v>
          </cell>
          <cell r="K3136">
            <v>0</v>
          </cell>
        </row>
        <row r="3137">
          <cell r="D3137">
            <v>0</v>
          </cell>
          <cell r="K3137">
            <v>0</v>
          </cell>
        </row>
        <row r="3138">
          <cell r="D3138">
            <v>0</v>
          </cell>
          <cell r="K3138">
            <v>0</v>
          </cell>
        </row>
        <row r="3139">
          <cell r="D3139">
            <v>0</v>
          </cell>
          <cell r="K3139">
            <v>0</v>
          </cell>
        </row>
        <row r="3140">
          <cell r="D3140">
            <v>0</v>
          </cell>
          <cell r="K3140">
            <v>0</v>
          </cell>
        </row>
        <row r="3141">
          <cell r="D3141">
            <v>0</v>
          </cell>
          <cell r="K3141">
            <v>0</v>
          </cell>
        </row>
        <row r="3146">
          <cell r="K3146">
            <v>0</v>
          </cell>
        </row>
        <row r="3150">
          <cell r="K3150">
            <v>918720</v>
          </cell>
        </row>
        <row r="3156">
          <cell r="D3156" t="str">
            <v>AM</v>
          </cell>
        </row>
        <row r="3158">
          <cell r="D3158">
            <v>44974</v>
          </cell>
        </row>
        <row r="3160">
          <cell r="D3160" t="str">
            <v>KO 0943</v>
          </cell>
        </row>
        <row r="3162">
          <cell r="D3162" t="str">
            <v>C</v>
          </cell>
          <cell r="K3162" t="str">
            <v>Amount</v>
          </cell>
        </row>
        <row r="3164">
          <cell r="D3164" t="str">
            <v/>
          </cell>
          <cell r="K3164">
            <v>918720</v>
          </cell>
        </row>
        <row r="3165">
          <cell r="D3165">
            <v>0</v>
          </cell>
          <cell r="K3165">
            <v>0</v>
          </cell>
        </row>
        <row r="3166">
          <cell r="D3166">
            <v>0</v>
          </cell>
          <cell r="K3166">
            <v>0</v>
          </cell>
        </row>
        <row r="3167">
          <cell r="D3167">
            <v>0</v>
          </cell>
          <cell r="K3167">
            <v>0</v>
          </cell>
        </row>
        <row r="3168">
          <cell r="D3168">
            <v>0</v>
          </cell>
          <cell r="K3168">
            <v>0</v>
          </cell>
        </row>
        <row r="3169">
          <cell r="D3169">
            <v>0</v>
          </cell>
          <cell r="K3169">
            <v>0</v>
          </cell>
        </row>
        <row r="3170">
          <cell r="D3170">
            <v>0</v>
          </cell>
          <cell r="K3170">
            <v>0</v>
          </cell>
        </row>
        <row r="3171">
          <cell r="D3171">
            <v>0</v>
          </cell>
          <cell r="K3171">
            <v>0</v>
          </cell>
        </row>
        <row r="3172">
          <cell r="D3172">
            <v>0</v>
          </cell>
          <cell r="K3172">
            <v>0</v>
          </cell>
        </row>
        <row r="3173">
          <cell r="D3173">
            <v>0</v>
          </cell>
          <cell r="K3173">
            <v>0</v>
          </cell>
        </row>
        <row r="3174">
          <cell r="D3174">
            <v>0</v>
          </cell>
          <cell r="K3174">
            <v>0</v>
          </cell>
        </row>
        <row r="3175">
          <cell r="D3175">
            <v>0</v>
          </cell>
          <cell r="K3175">
            <v>0</v>
          </cell>
        </row>
        <row r="3176">
          <cell r="D3176">
            <v>0</v>
          </cell>
          <cell r="K3176">
            <v>0</v>
          </cell>
        </row>
        <row r="3177">
          <cell r="D3177">
            <v>0</v>
          </cell>
          <cell r="K3177">
            <v>0</v>
          </cell>
        </row>
        <row r="3178">
          <cell r="D3178">
            <v>0</v>
          </cell>
          <cell r="K3178">
            <v>0</v>
          </cell>
        </row>
        <row r="3179">
          <cell r="D3179">
            <v>0</v>
          </cell>
          <cell r="K3179">
            <v>0</v>
          </cell>
        </row>
        <row r="3184">
          <cell r="K3184">
            <v>0</v>
          </cell>
        </row>
        <row r="3188">
          <cell r="K3188">
            <v>918720</v>
          </cell>
        </row>
        <row r="3194">
          <cell r="D3194" t="str">
            <v>AM</v>
          </cell>
        </row>
        <row r="3196">
          <cell r="D3196">
            <v>44980</v>
          </cell>
        </row>
        <row r="3198">
          <cell r="D3198" t="str">
            <v>KO 1120</v>
          </cell>
        </row>
        <row r="3200">
          <cell r="D3200" t="str">
            <v>C</v>
          </cell>
          <cell r="K3200" t="str">
            <v>Amount</v>
          </cell>
        </row>
        <row r="3202">
          <cell r="D3202">
            <v>2</v>
          </cell>
          <cell r="K3202">
            <v>2599560</v>
          </cell>
        </row>
        <row r="3203">
          <cell r="K3203">
            <v>0</v>
          </cell>
        </row>
        <row r="3204">
          <cell r="K3204">
            <v>0</v>
          </cell>
        </row>
        <row r="3205">
          <cell r="K3205">
            <v>0</v>
          </cell>
        </row>
        <row r="3206">
          <cell r="K3206">
            <v>0</v>
          </cell>
        </row>
        <row r="3207">
          <cell r="K3207">
            <v>0</v>
          </cell>
        </row>
        <row r="3208">
          <cell r="K3208">
            <v>0</v>
          </cell>
        </row>
        <row r="3209">
          <cell r="K3209">
            <v>0</v>
          </cell>
        </row>
        <row r="3210">
          <cell r="K3210">
            <v>0</v>
          </cell>
        </row>
        <row r="3211">
          <cell r="K3211">
            <v>0</v>
          </cell>
        </row>
        <row r="3212">
          <cell r="K3212">
            <v>0</v>
          </cell>
        </row>
        <row r="3213">
          <cell r="K3213">
            <v>0</v>
          </cell>
        </row>
        <row r="3214">
          <cell r="K3214">
            <v>0</v>
          </cell>
        </row>
        <row r="3215">
          <cell r="K3215">
            <v>0</v>
          </cell>
        </row>
        <row r="3216">
          <cell r="K3216">
            <v>0</v>
          </cell>
        </row>
        <row r="3217">
          <cell r="K3217">
            <v>0</v>
          </cell>
        </row>
        <row r="3222">
          <cell r="K3222">
            <v>0</v>
          </cell>
        </row>
        <row r="3226">
          <cell r="K3226">
            <v>2599560</v>
          </cell>
        </row>
        <row r="3232">
          <cell r="D3232" t="str">
            <v>AM</v>
          </cell>
        </row>
        <row r="3234">
          <cell r="D3234">
            <v>44980</v>
          </cell>
        </row>
        <row r="3236">
          <cell r="D3236" t="str">
            <v>KO 1120</v>
          </cell>
        </row>
        <row r="3238">
          <cell r="D3238" t="str">
            <v>C</v>
          </cell>
          <cell r="K3238" t="str">
            <v>Amount</v>
          </cell>
        </row>
        <row r="3240">
          <cell r="D3240">
            <v>2</v>
          </cell>
          <cell r="K3240">
            <v>2599560</v>
          </cell>
        </row>
        <row r="3241">
          <cell r="D3241">
            <v>0</v>
          </cell>
          <cell r="K3241">
            <v>0</v>
          </cell>
        </row>
        <row r="3242">
          <cell r="D3242">
            <v>0</v>
          </cell>
          <cell r="K3242">
            <v>0</v>
          </cell>
        </row>
        <row r="3243">
          <cell r="D3243">
            <v>0</v>
          </cell>
          <cell r="K3243">
            <v>0</v>
          </cell>
        </row>
        <row r="3244">
          <cell r="D3244">
            <v>0</v>
          </cell>
          <cell r="K3244">
            <v>0</v>
          </cell>
        </row>
        <row r="3245">
          <cell r="D3245">
            <v>0</v>
          </cell>
          <cell r="K3245">
            <v>0</v>
          </cell>
        </row>
        <row r="3246">
          <cell r="D3246">
            <v>0</v>
          </cell>
          <cell r="K3246">
            <v>0</v>
          </cell>
        </row>
        <row r="3247">
          <cell r="D3247">
            <v>0</v>
          </cell>
          <cell r="K3247">
            <v>0</v>
          </cell>
        </row>
        <row r="3248">
          <cell r="D3248">
            <v>0</v>
          </cell>
          <cell r="K3248">
            <v>0</v>
          </cell>
        </row>
        <row r="3249">
          <cell r="D3249">
            <v>0</v>
          </cell>
          <cell r="K3249">
            <v>0</v>
          </cell>
        </row>
        <row r="3250">
          <cell r="D3250">
            <v>0</v>
          </cell>
          <cell r="K3250">
            <v>0</v>
          </cell>
        </row>
        <row r="3251">
          <cell r="D3251">
            <v>0</v>
          </cell>
          <cell r="K3251">
            <v>0</v>
          </cell>
        </row>
        <row r="3252">
          <cell r="D3252">
            <v>0</v>
          </cell>
          <cell r="K3252">
            <v>0</v>
          </cell>
        </row>
        <row r="3253">
          <cell r="D3253">
            <v>0</v>
          </cell>
          <cell r="K3253">
            <v>0</v>
          </cell>
        </row>
        <row r="3254">
          <cell r="D3254">
            <v>0</v>
          </cell>
          <cell r="K3254">
            <v>0</v>
          </cell>
        </row>
        <row r="3255">
          <cell r="D3255">
            <v>0</v>
          </cell>
          <cell r="K3255">
            <v>0</v>
          </cell>
        </row>
        <row r="3260">
          <cell r="K3260">
            <v>0</v>
          </cell>
        </row>
        <row r="3264">
          <cell r="K3264">
            <v>2599560</v>
          </cell>
        </row>
        <row r="3270">
          <cell r="D3270" t="str">
            <v>AM</v>
          </cell>
        </row>
        <row r="3272">
          <cell r="D3272">
            <v>44980</v>
          </cell>
        </row>
        <row r="3274">
          <cell r="D3274" t="str">
            <v>KO 1120</v>
          </cell>
        </row>
        <row r="3276">
          <cell r="D3276" t="str">
            <v>C</v>
          </cell>
          <cell r="K3276" t="str">
            <v>Amount</v>
          </cell>
        </row>
        <row r="3278">
          <cell r="D3278">
            <v>2</v>
          </cell>
          <cell r="K3278">
            <v>2599560</v>
          </cell>
        </row>
        <row r="3279">
          <cell r="D3279">
            <v>0</v>
          </cell>
          <cell r="K3279">
            <v>0</v>
          </cell>
        </row>
        <row r="3280">
          <cell r="D3280">
            <v>0</v>
          </cell>
          <cell r="K3280">
            <v>0</v>
          </cell>
        </row>
        <row r="3281">
          <cell r="D3281">
            <v>0</v>
          </cell>
          <cell r="K3281">
            <v>0</v>
          </cell>
        </row>
        <row r="3282">
          <cell r="D3282">
            <v>0</v>
          </cell>
          <cell r="K3282">
            <v>0</v>
          </cell>
        </row>
        <row r="3283">
          <cell r="D3283">
            <v>0</v>
          </cell>
          <cell r="K3283">
            <v>0</v>
          </cell>
        </row>
        <row r="3284">
          <cell r="D3284">
            <v>0</v>
          </cell>
          <cell r="K3284">
            <v>0</v>
          </cell>
        </row>
        <row r="3285">
          <cell r="D3285">
            <v>0</v>
          </cell>
          <cell r="K3285">
            <v>0</v>
          </cell>
        </row>
        <row r="3286">
          <cell r="D3286">
            <v>0</v>
          </cell>
          <cell r="K3286">
            <v>0</v>
          </cell>
        </row>
        <row r="3287">
          <cell r="D3287">
            <v>0</v>
          </cell>
          <cell r="K3287">
            <v>0</v>
          </cell>
        </row>
        <row r="3288">
          <cell r="D3288">
            <v>0</v>
          </cell>
          <cell r="K3288">
            <v>0</v>
          </cell>
        </row>
        <row r="3289">
          <cell r="D3289">
            <v>0</v>
          </cell>
          <cell r="K3289">
            <v>0</v>
          </cell>
        </row>
        <row r="3290">
          <cell r="D3290">
            <v>0</v>
          </cell>
          <cell r="K3290">
            <v>0</v>
          </cell>
        </row>
        <row r="3291">
          <cell r="D3291">
            <v>0</v>
          </cell>
          <cell r="K3291">
            <v>0</v>
          </cell>
        </row>
        <row r="3292">
          <cell r="D3292">
            <v>0</v>
          </cell>
          <cell r="K3292">
            <v>0</v>
          </cell>
        </row>
        <row r="3293">
          <cell r="D3293">
            <v>0</v>
          </cell>
          <cell r="K3293">
            <v>0</v>
          </cell>
        </row>
        <row r="3298">
          <cell r="K3298">
            <v>0</v>
          </cell>
        </row>
        <row r="3302">
          <cell r="K3302">
            <v>2599560</v>
          </cell>
        </row>
        <row r="3308">
          <cell r="D3308" t="str">
            <v>AM</v>
          </cell>
        </row>
        <row r="3310">
          <cell r="D3310">
            <v>44980</v>
          </cell>
        </row>
        <row r="3312">
          <cell r="D3312" t="str">
            <v>KO 1121</v>
          </cell>
        </row>
        <row r="3314">
          <cell r="D3314" t="str">
            <v>C</v>
          </cell>
          <cell r="K3314" t="str">
            <v>Amount</v>
          </cell>
        </row>
        <row r="3316">
          <cell r="D3316">
            <v>2</v>
          </cell>
          <cell r="K3316">
            <v>4982400</v>
          </cell>
        </row>
        <row r="3317">
          <cell r="K3317">
            <v>0</v>
          </cell>
        </row>
        <row r="3318">
          <cell r="K3318">
            <v>0</v>
          </cell>
        </row>
        <row r="3319">
          <cell r="K3319">
            <v>0</v>
          </cell>
        </row>
        <row r="3320">
          <cell r="K3320">
            <v>0</v>
          </cell>
        </row>
        <row r="3321">
          <cell r="K3321">
            <v>0</v>
          </cell>
        </row>
        <row r="3322">
          <cell r="K3322">
            <v>0</v>
          </cell>
        </row>
        <row r="3323">
          <cell r="K3323">
            <v>0</v>
          </cell>
        </row>
        <row r="3324">
          <cell r="K3324">
            <v>0</v>
          </cell>
        </row>
        <row r="3325">
          <cell r="K3325">
            <v>0</v>
          </cell>
        </row>
        <row r="3326">
          <cell r="K3326">
            <v>0</v>
          </cell>
        </row>
        <row r="3327">
          <cell r="K3327">
            <v>0</v>
          </cell>
        </row>
        <row r="3328">
          <cell r="K3328">
            <v>0</v>
          </cell>
        </row>
        <row r="3329">
          <cell r="K3329">
            <v>0</v>
          </cell>
        </row>
        <row r="3330">
          <cell r="K3330">
            <v>0</v>
          </cell>
        </row>
        <row r="3331">
          <cell r="K3331">
            <v>0</v>
          </cell>
        </row>
        <row r="3336">
          <cell r="K3336">
            <v>0</v>
          </cell>
        </row>
        <row r="3340">
          <cell r="K3340">
            <v>4982400</v>
          </cell>
        </row>
        <row r="3346">
          <cell r="D3346" t="str">
            <v>AM</v>
          </cell>
        </row>
        <row r="3348">
          <cell r="D3348">
            <v>44980</v>
          </cell>
        </row>
        <row r="3350">
          <cell r="D3350" t="str">
            <v>KO 1121</v>
          </cell>
        </row>
        <row r="3352">
          <cell r="D3352" t="str">
            <v>C</v>
          </cell>
          <cell r="K3352" t="str">
            <v>Amount</v>
          </cell>
        </row>
        <row r="3354">
          <cell r="D3354">
            <v>2</v>
          </cell>
          <cell r="K3354">
            <v>4982400</v>
          </cell>
        </row>
        <row r="3355">
          <cell r="D3355">
            <v>0</v>
          </cell>
          <cell r="K3355">
            <v>0</v>
          </cell>
        </row>
        <row r="3356">
          <cell r="D3356">
            <v>0</v>
          </cell>
          <cell r="K3356">
            <v>0</v>
          </cell>
        </row>
        <row r="3357">
          <cell r="D3357">
            <v>0</v>
          </cell>
          <cell r="K3357">
            <v>0</v>
          </cell>
        </row>
        <row r="3358">
          <cell r="D3358">
            <v>0</v>
          </cell>
          <cell r="K3358">
            <v>0</v>
          </cell>
        </row>
        <row r="3359">
          <cell r="D3359">
            <v>0</v>
          </cell>
          <cell r="K3359">
            <v>0</v>
          </cell>
        </row>
        <row r="3360">
          <cell r="D3360">
            <v>0</v>
          </cell>
          <cell r="K3360">
            <v>0</v>
          </cell>
        </row>
        <row r="3361">
          <cell r="D3361">
            <v>0</v>
          </cell>
          <cell r="K3361">
            <v>0</v>
          </cell>
        </row>
        <row r="3362">
          <cell r="D3362">
            <v>0</v>
          </cell>
          <cell r="K3362">
            <v>0</v>
          </cell>
        </row>
        <row r="3363">
          <cell r="D3363">
            <v>0</v>
          </cell>
          <cell r="K3363">
            <v>0</v>
          </cell>
        </row>
        <row r="3364">
          <cell r="D3364">
            <v>0</v>
          </cell>
          <cell r="K3364">
            <v>0</v>
          </cell>
        </row>
        <row r="3365">
          <cell r="D3365">
            <v>0</v>
          </cell>
          <cell r="K3365">
            <v>0</v>
          </cell>
        </row>
        <row r="3366">
          <cell r="D3366">
            <v>0</v>
          </cell>
          <cell r="K3366">
            <v>0</v>
          </cell>
        </row>
        <row r="3367">
          <cell r="D3367">
            <v>0</v>
          </cell>
          <cell r="K3367">
            <v>0</v>
          </cell>
        </row>
        <row r="3368">
          <cell r="D3368">
            <v>0</v>
          </cell>
          <cell r="K3368">
            <v>0</v>
          </cell>
        </row>
        <row r="3369">
          <cell r="D3369">
            <v>0</v>
          </cell>
          <cell r="K3369">
            <v>0</v>
          </cell>
        </row>
        <row r="3374">
          <cell r="K3374">
            <v>0</v>
          </cell>
        </row>
        <row r="3378">
          <cell r="K3378">
            <v>4982400</v>
          </cell>
        </row>
        <row r="3384">
          <cell r="D3384" t="str">
            <v>AM</v>
          </cell>
        </row>
        <row r="3386">
          <cell r="D3386">
            <v>44980</v>
          </cell>
        </row>
        <row r="3388">
          <cell r="D3388" t="str">
            <v>KO 1121</v>
          </cell>
        </row>
        <row r="3390">
          <cell r="D3390" t="str">
            <v>C</v>
          </cell>
          <cell r="K3390" t="str">
            <v>Amount</v>
          </cell>
        </row>
        <row r="3392">
          <cell r="D3392">
            <v>2</v>
          </cell>
          <cell r="K3392">
            <v>4982400</v>
          </cell>
        </row>
        <row r="3393">
          <cell r="D3393">
            <v>0</v>
          </cell>
          <cell r="K3393">
            <v>0</v>
          </cell>
        </row>
        <row r="3394">
          <cell r="D3394">
            <v>0</v>
          </cell>
          <cell r="K3394">
            <v>0</v>
          </cell>
        </row>
        <row r="3395">
          <cell r="D3395">
            <v>0</v>
          </cell>
          <cell r="K3395">
            <v>0</v>
          </cell>
        </row>
        <row r="3396">
          <cell r="D3396">
            <v>0</v>
          </cell>
          <cell r="K3396">
            <v>0</v>
          </cell>
        </row>
        <row r="3397">
          <cell r="D3397">
            <v>0</v>
          </cell>
          <cell r="K3397">
            <v>0</v>
          </cell>
        </row>
        <row r="3398">
          <cell r="D3398">
            <v>0</v>
          </cell>
          <cell r="K3398">
            <v>0</v>
          </cell>
        </row>
        <row r="3399">
          <cell r="D3399">
            <v>0</v>
          </cell>
          <cell r="K3399">
            <v>0</v>
          </cell>
        </row>
        <row r="3400">
          <cell r="D3400">
            <v>0</v>
          </cell>
          <cell r="K3400">
            <v>0</v>
          </cell>
        </row>
        <row r="3401">
          <cell r="D3401">
            <v>0</v>
          </cell>
          <cell r="K3401">
            <v>0</v>
          </cell>
        </row>
        <row r="3402">
          <cell r="D3402">
            <v>0</v>
          </cell>
          <cell r="K3402">
            <v>0</v>
          </cell>
        </row>
        <row r="3403">
          <cell r="D3403">
            <v>0</v>
          </cell>
          <cell r="K3403">
            <v>0</v>
          </cell>
        </row>
        <row r="3404">
          <cell r="D3404">
            <v>0</v>
          </cell>
          <cell r="K3404">
            <v>0</v>
          </cell>
        </row>
        <row r="3405">
          <cell r="D3405">
            <v>0</v>
          </cell>
          <cell r="K3405">
            <v>0</v>
          </cell>
        </row>
        <row r="3406">
          <cell r="D3406">
            <v>0</v>
          </cell>
          <cell r="K3406">
            <v>0</v>
          </cell>
        </row>
        <row r="3407">
          <cell r="D3407">
            <v>0</v>
          </cell>
          <cell r="K3407">
            <v>0</v>
          </cell>
        </row>
        <row r="3412">
          <cell r="K3412">
            <v>0</v>
          </cell>
        </row>
        <row r="3416">
          <cell r="K3416">
            <v>4982400</v>
          </cell>
        </row>
        <row r="3422">
          <cell r="D3422" t="str">
            <v>AM</v>
          </cell>
        </row>
        <row r="3424">
          <cell r="D3424">
            <v>44980</v>
          </cell>
        </row>
        <row r="3426">
          <cell r="D3426" t="str">
            <v>KO 0725</v>
          </cell>
        </row>
        <row r="3428">
          <cell r="D3428" t="str">
            <v>C</v>
          </cell>
          <cell r="K3428" t="str">
            <v>Amount</v>
          </cell>
        </row>
        <row r="3430">
          <cell r="D3430" t="str">
            <v/>
          </cell>
          <cell r="K3430">
            <v>184680</v>
          </cell>
        </row>
        <row r="3431">
          <cell r="D3431" t="str">
            <v/>
          </cell>
          <cell r="K3431">
            <v>210330</v>
          </cell>
        </row>
        <row r="3432">
          <cell r="D3432" t="str">
            <v/>
          </cell>
          <cell r="K3432">
            <v>541728</v>
          </cell>
        </row>
        <row r="3433">
          <cell r="D3433" t="str">
            <v/>
          </cell>
          <cell r="K3433">
            <v>892620</v>
          </cell>
        </row>
        <row r="3434">
          <cell r="D3434" t="str">
            <v/>
          </cell>
          <cell r="K3434">
            <v>689472</v>
          </cell>
        </row>
        <row r="3435">
          <cell r="D3435" t="str">
            <v/>
          </cell>
          <cell r="K3435">
            <v>63612</v>
          </cell>
        </row>
        <row r="3436">
          <cell r="K3436">
            <v>0</v>
          </cell>
        </row>
        <row r="3437">
          <cell r="K3437">
            <v>0</v>
          </cell>
        </row>
        <row r="3438">
          <cell r="K3438">
            <v>0</v>
          </cell>
        </row>
        <row r="3439">
          <cell r="K3439">
            <v>0</v>
          </cell>
        </row>
        <row r="3440">
          <cell r="K3440">
            <v>0</v>
          </cell>
        </row>
        <row r="3441">
          <cell r="K3441">
            <v>0</v>
          </cell>
        </row>
        <row r="3442">
          <cell r="K3442">
            <v>0</v>
          </cell>
        </row>
        <row r="3443">
          <cell r="K3443">
            <v>0</v>
          </cell>
        </row>
        <row r="3444">
          <cell r="K3444">
            <v>0</v>
          </cell>
        </row>
        <row r="3445">
          <cell r="K3445">
            <v>0</v>
          </cell>
        </row>
        <row r="3450">
          <cell r="K3450">
            <v>0</v>
          </cell>
        </row>
        <row r="3454">
          <cell r="K3454">
            <v>2582442</v>
          </cell>
        </row>
        <row r="3460">
          <cell r="D3460" t="str">
            <v>AM</v>
          </cell>
        </row>
        <row r="3462">
          <cell r="D3462">
            <v>44980</v>
          </cell>
        </row>
        <row r="3464">
          <cell r="D3464" t="str">
            <v>KO 0725</v>
          </cell>
        </row>
        <row r="3466">
          <cell r="D3466" t="str">
            <v>C</v>
          </cell>
          <cell r="K3466" t="str">
            <v>Amount</v>
          </cell>
        </row>
        <row r="3468">
          <cell r="D3468" t="str">
            <v/>
          </cell>
          <cell r="K3468">
            <v>184680</v>
          </cell>
        </row>
        <row r="3469">
          <cell r="D3469" t="str">
            <v/>
          </cell>
          <cell r="K3469">
            <v>210330</v>
          </cell>
        </row>
        <row r="3470">
          <cell r="D3470" t="str">
            <v/>
          </cell>
          <cell r="K3470">
            <v>541728</v>
          </cell>
        </row>
        <row r="3471">
          <cell r="D3471" t="str">
            <v/>
          </cell>
          <cell r="K3471">
            <v>892620</v>
          </cell>
        </row>
        <row r="3472">
          <cell r="D3472" t="str">
            <v/>
          </cell>
          <cell r="K3472">
            <v>689472</v>
          </cell>
        </row>
        <row r="3473">
          <cell r="D3473" t="str">
            <v/>
          </cell>
          <cell r="K3473">
            <v>63612</v>
          </cell>
        </row>
        <row r="3474">
          <cell r="D3474">
            <v>0</v>
          </cell>
          <cell r="K3474">
            <v>0</v>
          </cell>
        </row>
        <row r="3475">
          <cell r="D3475">
            <v>0</v>
          </cell>
          <cell r="K3475">
            <v>0</v>
          </cell>
        </row>
        <row r="3476">
          <cell r="D3476">
            <v>0</v>
          </cell>
          <cell r="K3476">
            <v>0</v>
          </cell>
        </row>
        <row r="3477">
          <cell r="D3477">
            <v>0</v>
          </cell>
          <cell r="K3477">
            <v>0</v>
          </cell>
        </row>
        <row r="3478">
          <cell r="D3478">
            <v>0</v>
          </cell>
          <cell r="K3478">
            <v>0</v>
          </cell>
        </row>
        <row r="3479">
          <cell r="D3479">
            <v>0</v>
          </cell>
          <cell r="K3479">
            <v>0</v>
          </cell>
        </row>
        <row r="3480">
          <cell r="D3480">
            <v>0</v>
          </cell>
          <cell r="K3480">
            <v>0</v>
          </cell>
        </row>
        <row r="3481">
          <cell r="D3481">
            <v>0</v>
          </cell>
          <cell r="K3481">
            <v>0</v>
          </cell>
        </row>
        <row r="3482">
          <cell r="D3482">
            <v>0</v>
          </cell>
          <cell r="K3482">
            <v>0</v>
          </cell>
        </row>
        <row r="3483">
          <cell r="D3483">
            <v>0</v>
          </cell>
          <cell r="K3483">
            <v>0</v>
          </cell>
        </row>
        <row r="3488">
          <cell r="K3488">
            <v>0</v>
          </cell>
        </row>
        <row r="3492">
          <cell r="K3492">
            <v>2582442</v>
          </cell>
        </row>
        <row r="3498">
          <cell r="D3498" t="str">
            <v>AM</v>
          </cell>
        </row>
        <row r="3500">
          <cell r="D3500">
            <v>44980</v>
          </cell>
        </row>
        <row r="3502">
          <cell r="D3502" t="str">
            <v>KO 0725</v>
          </cell>
        </row>
        <row r="3504">
          <cell r="D3504" t="str">
            <v>C</v>
          </cell>
          <cell r="K3504" t="str">
            <v>Amount</v>
          </cell>
        </row>
        <row r="3506">
          <cell r="D3506" t="str">
            <v/>
          </cell>
          <cell r="K3506">
            <v>184680</v>
          </cell>
        </row>
        <row r="3507">
          <cell r="D3507" t="str">
            <v/>
          </cell>
          <cell r="K3507">
            <v>210330</v>
          </cell>
        </row>
        <row r="3508">
          <cell r="D3508" t="str">
            <v/>
          </cell>
          <cell r="K3508">
            <v>541728</v>
          </cell>
        </row>
        <row r="3509">
          <cell r="D3509" t="str">
            <v/>
          </cell>
          <cell r="K3509">
            <v>892620</v>
          </cell>
        </row>
        <row r="3510">
          <cell r="D3510" t="str">
            <v/>
          </cell>
          <cell r="K3510">
            <v>689472</v>
          </cell>
        </row>
        <row r="3511">
          <cell r="D3511" t="str">
            <v/>
          </cell>
          <cell r="K3511">
            <v>63612</v>
          </cell>
        </row>
        <row r="3512">
          <cell r="D3512">
            <v>0</v>
          </cell>
          <cell r="K3512">
            <v>0</v>
          </cell>
        </row>
        <row r="3513">
          <cell r="D3513">
            <v>0</v>
          </cell>
          <cell r="K3513">
            <v>0</v>
          </cell>
        </row>
        <row r="3514">
          <cell r="D3514">
            <v>0</v>
          </cell>
          <cell r="K3514">
            <v>0</v>
          </cell>
        </row>
        <row r="3515">
          <cell r="D3515">
            <v>0</v>
          </cell>
          <cell r="K3515">
            <v>0</v>
          </cell>
        </row>
        <row r="3516">
          <cell r="D3516">
            <v>0</v>
          </cell>
          <cell r="K3516">
            <v>0</v>
          </cell>
        </row>
        <row r="3517">
          <cell r="D3517">
            <v>0</v>
          </cell>
          <cell r="K3517">
            <v>0</v>
          </cell>
        </row>
        <row r="3518">
          <cell r="D3518">
            <v>0</v>
          </cell>
          <cell r="K3518">
            <v>0</v>
          </cell>
        </row>
        <row r="3519">
          <cell r="D3519">
            <v>0</v>
          </cell>
          <cell r="K3519">
            <v>0</v>
          </cell>
        </row>
        <row r="3520">
          <cell r="D3520">
            <v>0</v>
          </cell>
          <cell r="K3520">
            <v>0</v>
          </cell>
        </row>
        <row r="3521">
          <cell r="D3521">
            <v>0</v>
          </cell>
          <cell r="K3521">
            <v>0</v>
          </cell>
        </row>
        <row r="3526">
          <cell r="K3526">
            <v>0</v>
          </cell>
        </row>
        <row r="3530">
          <cell r="K3530">
            <v>2582442</v>
          </cell>
        </row>
        <row r="3536">
          <cell r="D3536" t="str">
            <v>AM</v>
          </cell>
        </row>
        <row r="3538">
          <cell r="D3538">
            <v>44980</v>
          </cell>
        </row>
        <row r="3540">
          <cell r="D3540" t="str">
            <v>KO 1124</v>
          </cell>
        </row>
        <row r="3542">
          <cell r="D3542" t="str">
            <v>C</v>
          </cell>
          <cell r="K3542" t="str">
            <v>Amount</v>
          </cell>
        </row>
        <row r="3544">
          <cell r="D3544" t="str">
            <v/>
          </cell>
          <cell r="K3544">
            <v>70200</v>
          </cell>
        </row>
        <row r="3545">
          <cell r="D3545" t="str">
            <v/>
          </cell>
          <cell r="K3545">
            <v>223560</v>
          </cell>
        </row>
        <row r="3546">
          <cell r="D3546" t="str">
            <v/>
          </cell>
          <cell r="K3546">
            <v>142560</v>
          </cell>
        </row>
        <row r="3547">
          <cell r="D3547" t="str">
            <v/>
          </cell>
          <cell r="K3547">
            <v>401760</v>
          </cell>
        </row>
        <row r="3548">
          <cell r="D3548" t="str">
            <v/>
          </cell>
          <cell r="K3548">
            <v>128250</v>
          </cell>
        </row>
        <row r="3549">
          <cell r="D3549" t="str">
            <v/>
          </cell>
          <cell r="K3549">
            <v>248400</v>
          </cell>
        </row>
        <row r="3550">
          <cell r="D3550" t="str">
            <v/>
          </cell>
          <cell r="K3550">
            <v>106920</v>
          </cell>
        </row>
        <row r="3551">
          <cell r="D3551" t="str">
            <v/>
          </cell>
          <cell r="K3551">
            <v>37260</v>
          </cell>
        </row>
        <row r="3552">
          <cell r="D3552" t="str">
            <v/>
          </cell>
          <cell r="K3552">
            <v>74250</v>
          </cell>
        </row>
        <row r="3553">
          <cell r="D3553" t="str">
            <v/>
          </cell>
          <cell r="K3553">
            <v>288360</v>
          </cell>
        </row>
        <row r="3554">
          <cell r="K3554">
            <v>0</v>
          </cell>
        </row>
        <row r="3555">
          <cell r="K3555">
            <v>0</v>
          </cell>
        </row>
        <row r="3556">
          <cell r="K3556">
            <v>0</v>
          </cell>
        </row>
        <row r="3557">
          <cell r="K3557">
            <v>0</v>
          </cell>
        </row>
        <row r="3558">
          <cell r="K3558">
            <v>0</v>
          </cell>
        </row>
        <row r="3559">
          <cell r="K3559">
            <v>0</v>
          </cell>
        </row>
        <row r="3564">
          <cell r="K3564">
            <v>0</v>
          </cell>
        </row>
        <row r="3568">
          <cell r="K3568">
            <v>1721520</v>
          </cell>
        </row>
        <row r="3574">
          <cell r="D3574" t="str">
            <v>AM</v>
          </cell>
        </row>
        <row r="3576">
          <cell r="D3576">
            <v>44980</v>
          </cell>
        </row>
        <row r="3578">
          <cell r="D3578" t="str">
            <v>KO 1124</v>
          </cell>
        </row>
        <row r="3580">
          <cell r="D3580" t="str">
            <v>C</v>
          </cell>
          <cell r="K3580" t="str">
            <v>Amount</v>
          </cell>
        </row>
        <row r="3582">
          <cell r="D3582" t="str">
            <v/>
          </cell>
          <cell r="K3582">
            <v>70200</v>
          </cell>
        </row>
        <row r="3583">
          <cell r="D3583" t="str">
            <v/>
          </cell>
          <cell r="K3583">
            <v>223560</v>
          </cell>
        </row>
        <row r="3584">
          <cell r="D3584" t="str">
            <v/>
          </cell>
          <cell r="K3584">
            <v>142560</v>
          </cell>
        </row>
        <row r="3585">
          <cell r="D3585" t="str">
            <v/>
          </cell>
          <cell r="K3585">
            <v>401760</v>
          </cell>
        </row>
        <row r="3586">
          <cell r="D3586" t="str">
            <v/>
          </cell>
          <cell r="K3586">
            <v>128250</v>
          </cell>
        </row>
        <row r="3587">
          <cell r="D3587" t="str">
            <v/>
          </cell>
          <cell r="K3587">
            <v>248400</v>
          </cell>
        </row>
        <row r="3588">
          <cell r="D3588" t="str">
            <v/>
          </cell>
          <cell r="K3588">
            <v>106920</v>
          </cell>
        </row>
        <row r="3589">
          <cell r="D3589" t="str">
            <v/>
          </cell>
          <cell r="K3589">
            <v>37260</v>
          </cell>
        </row>
        <row r="3590">
          <cell r="D3590" t="str">
            <v/>
          </cell>
          <cell r="K3590">
            <v>74250</v>
          </cell>
        </row>
        <row r="3591">
          <cell r="D3591" t="str">
            <v/>
          </cell>
          <cell r="K3591">
            <v>288360</v>
          </cell>
        </row>
        <row r="3592">
          <cell r="D3592">
            <v>0</v>
          </cell>
          <cell r="K3592">
            <v>0</v>
          </cell>
        </row>
        <row r="3593">
          <cell r="D3593">
            <v>0</v>
          </cell>
          <cell r="K3593">
            <v>0</v>
          </cell>
        </row>
        <row r="3594">
          <cell r="D3594">
            <v>0</v>
          </cell>
          <cell r="K3594">
            <v>0</v>
          </cell>
        </row>
        <row r="3595">
          <cell r="D3595">
            <v>0</v>
          </cell>
          <cell r="K3595">
            <v>0</v>
          </cell>
        </row>
        <row r="3596">
          <cell r="D3596">
            <v>0</v>
          </cell>
          <cell r="K3596">
            <v>0</v>
          </cell>
        </row>
        <row r="3597">
          <cell r="D3597">
            <v>0</v>
          </cell>
          <cell r="K3597">
            <v>0</v>
          </cell>
        </row>
        <row r="3602">
          <cell r="K3602">
            <v>0</v>
          </cell>
        </row>
        <row r="3606">
          <cell r="K3606">
            <v>1721520</v>
          </cell>
        </row>
        <row r="3612">
          <cell r="D3612" t="str">
            <v>AM</v>
          </cell>
        </row>
        <row r="3614">
          <cell r="D3614">
            <v>44980</v>
          </cell>
        </row>
        <row r="3616">
          <cell r="D3616" t="str">
            <v>KO 1124</v>
          </cell>
        </row>
        <row r="3618">
          <cell r="D3618" t="str">
            <v>C</v>
          </cell>
          <cell r="K3618" t="str">
            <v>Amount</v>
          </cell>
        </row>
        <row r="3620">
          <cell r="D3620" t="str">
            <v/>
          </cell>
          <cell r="K3620">
            <v>70200</v>
          </cell>
        </row>
        <row r="3621">
          <cell r="D3621" t="str">
            <v/>
          </cell>
          <cell r="K3621">
            <v>223560</v>
          </cell>
        </row>
        <row r="3622">
          <cell r="D3622" t="str">
            <v/>
          </cell>
          <cell r="K3622">
            <v>142560</v>
          </cell>
        </row>
        <row r="3623">
          <cell r="D3623" t="str">
            <v/>
          </cell>
          <cell r="K3623">
            <v>401760</v>
          </cell>
        </row>
        <row r="3624">
          <cell r="D3624" t="str">
            <v/>
          </cell>
          <cell r="K3624">
            <v>128250</v>
          </cell>
        </row>
        <row r="3625">
          <cell r="D3625" t="str">
            <v/>
          </cell>
          <cell r="K3625">
            <v>248400</v>
          </cell>
        </row>
        <row r="3626">
          <cell r="D3626" t="str">
            <v/>
          </cell>
          <cell r="K3626">
            <v>106920</v>
          </cell>
        </row>
        <row r="3627">
          <cell r="D3627" t="str">
            <v/>
          </cell>
          <cell r="K3627">
            <v>37260</v>
          </cell>
        </row>
        <row r="3628">
          <cell r="D3628" t="str">
            <v/>
          </cell>
          <cell r="K3628">
            <v>74250</v>
          </cell>
        </row>
        <row r="3629">
          <cell r="D3629" t="str">
            <v/>
          </cell>
          <cell r="K3629">
            <v>288360</v>
          </cell>
        </row>
        <row r="3630">
          <cell r="D3630">
            <v>0</v>
          </cell>
          <cell r="K3630">
            <v>0</v>
          </cell>
        </row>
        <row r="3631">
          <cell r="D3631">
            <v>0</v>
          </cell>
          <cell r="K3631">
            <v>0</v>
          </cell>
        </row>
        <row r="3632">
          <cell r="D3632">
            <v>0</v>
          </cell>
          <cell r="K3632">
            <v>0</v>
          </cell>
        </row>
        <row r="3633">
          <cell r="D3633">
            <v>0</v>
          </cell>
          <cell r="K3633">
            <v>0</v>
          </cell>
        </row>
        <row r="3634">
          <cell r="D3634">
            <v>0</v>
          </cell>
          <cell r="K3634">
            <v>0</v>
          </cell>
        </row>
        <row r="3635">
          <cell r="D3635">
            <v>0</v>
          </cell>
          <cell r="K3635">
            <v>0</v>
          </cell>
        </row>
        <row r="3640">
          <cell r="K3640">
            <v>0</v>
          </cell>
        </row>
        <row r="3644">
          <cell r="K3644">
            <v>1721520</v>
          </cell>
        </row>
        <row r="3650">
          <cell r="D3650" t="str">
            <v>AM</v>
          </cell>
        </row>
        <row r="3652">
          <cell r="D3652">
            <v>44980</v>
          </cell>
        </row>
        <row r="3654">
          <cell r="D3654" t="str">
            <v>KO 1073</v>
          </cell>
        </row>
        <row r="3656">
          <cell r="D3656" t="str">
            <v>C</v>
          </cell>
          <cell r="K3656" t="str">
            <v>Amount</v>
          </cell>
        </row>
        <row r="3658">
          <cell r="D3658" t="str">
            <v/>
          </cell>
          <cell r="K3658">
            <v>1190160</v>
          </cell>
        </row>
        <row r="3659">
          <cell r="D3659" t="str">
            <v/>
          </cell>
          <cell r="K3659">
            <v>1211040</v>
          </cell>
        </row>
        <row r="3660">
          <cell r="D3660" t="str">
            <v/>
          </cell>
          <cell r="K3660">
            <v>1211040</v>
          </cell>
        </row>
        <row r="3661">
          <cell r="D3661" t="str">
            <v/>
          </cell>
          <cell r="K3661">
            <v>610740</v>
          </cell>
        </row>
        <row r="3662">
          <cell r="K3662">
            <v>0</v>
          </cell>
        </row>
        <row r="3663">
          <cell r="K3663">
            <v>0</v>
          </cell>
        </row>
        <row r="3664">
          <cell r="K3664">
            <v>0</v>
          </cell>
        </row>
        <row r="3665">
          <cell r="K3665">
            <v>0</v>
          </cell>
        </row>
        <row r="3666">
          <cell r="K3666">
            <v>0</v>
          </cell>
        </row>
        <row r="3667">
          <cell r="K3667">
            <v>0</v>
          </cell>
        </row>
        <row r="3668">
          <cell r="K3668">
            <v>0</v>
          </cell>
        </row>
        <row r="3669">
          <cell r="K3669">
            <v>0</v>
          </cell>
        </row>
        <row r="3670">
          <cell r="K3670">
            <v>0</v>
          </cell>
        </row>
        <row r="3671">
          <cell r="K3671">
            <v>0</v>
          </cell>
        </row>
        <row r="3672">
          <cell r="K3672">
            <v>0</v>
          </cell>
        </row>
        <row r="3673">
          <cell r="K3673">
            <v>0</v>
          </cell>
        </row>
        <row r="3678">
          <cell r="K3678">
            <v>0</v>
          </cell>
        </row>
        <row r="3682">
          <cell r="K3682">
            <v>4222980</v>
          </cell>
        </row>
        <row r="3688">
          <cell r="D3688" t="str">
            <v>AM</v>
          </cell>
        </row>
        <row r="3690">
          <cell r="D3690">
            <v>44980</v>
          </cell>
        </row>
        <row r="3692">
          <cell r="D3692" t="str">
            <v>KO 1073</v>
          </cell>
        </row>
        <row r="3694">
          <cell r="D3694" t="str">
            <v>C</v>
          </cell>
          <cell r="K3694" t="str">
            <v>Amount</v>
          </cell>
        </row>
        <row r="3696">
          <cell r="D3696" t="str">
            <v/>
          </cell>
          <cell r="K3696">
            <v>1190160</v>
          </cell>
        </row>
        <row r="3697">
          <cell r="D3697" t="str">
            <v/>
          </cell>
          <cell r="K3697">
            <v>1211040</v>
          </cell>
        </row>
        <row r="3698">
          <cell r="D3698" t="str">
            <v/>
          </cell>
          <cell r="K3698">
            <v>1211040</v>
          </cell>
        </row>
        <row r="3699">
          <cell r="D3699" t="str">
            <v/>
          </cell>
          <cell r="K3699">
            <v>610740</v>
          </cell>
        </row>
        <row r="3700">
          <cell r="D3700">
            <v>0</v>
          </cell>
          <cell r="K3700">
            <v>0</v>
          </cell>
        </row>
        <row r="3701">
          <cell r="D3701">
            <v>0</v>
          </cell>
          <cell r="K3701">
            <v>0</v>
          </cell>
        </row>
        <row r="3702">
          <cell r="D3702">
            <v>0</v>
          </cell>
          <cell r="K3702">
            <v>0</v>
          </cell>
        </row>
        <row r="3703">
          <cell r="D3703">
            <v>0</v>
          </cell>
          <cell r="K3703">
            <v>0</v>
          </cell>
        </row>
        <row r="3704">
          <cell r="D3704">
            <v>0</v>
          </cell>
          <cell r="K3704">
            <v>0</v>
          </cell>
        </row>
        <row r="3705">
          <cell r="D3705">
            <v>0</v>
          </cell>
          <cell r="K3705">
            <v>0</v>
          </cell>
        </row>
        <row r="3706">
          <cell r="D3706">
            <v>0</v>
          </cell>
          <cell r="K3706">
            <v>0</v>
          </cell>
        </row>
        <row r="3707">
          <cell r="D3707">
            <v>0</v>
          </cell>
          <cell r="K3707">
            <v>0</v>
          </cell>
        </row>
        <row r="3708">
          <cell r="D3708">
            <v>0</v>
          </cell>
          <cell r="K3708">
            <v>0</v>
          </cell>
        </row>
        <row r="3709">
          <cell r="D3709">
            <v>0</v>
          </cell>
          <cell r="K3709">
            <v>0</v>
          </cell>
        </row>
        <row r="3710">
          <cell r="D3710">
            <v>0</v>
          </cell>
          <cell r="K3710">
            <v>0</v>
          </cell>
        </row>
        <row r="3711">
          <cell r="D3711">
            <v>0</v>
          </cell>
          <cell r="K3711">
            <v>0</v>
          </cell>
        </row>
        <row r="3716">
          <cell r="K3716">
            <v>0</v>
          </cell>
        </row>
        <row r="3720">
          <cell r="K3720">
            <v>4222980</v>
          </cell>
        </row>
        <row r="3726">
          <cell r="D3726" t="str">
            <v>AM</v>
          </cell>
        </row>
        <row r="3728">
          <cell r="D3728">
            <v>44980</v>
          </cell>
        </row>
        <row r="3730">
          <cell r="D3730" t="str">
            <v>KO 1073</v>
          </cell>
        </row>
        <row r="3732">
          <cell r="D3732" t="str">
            <v>C</v>
          </cell>
          <cell r="K3732" t="str">
            <v>Amount</v>
          </cell>
        </row>
        <row r="3734">
          <cell r="D3734" t="str">
            <v/>
          </cell>
          <cell r="K3734">
            <v>1190160</v>
          </cell>
        </row>
        <row r="3735">
          <cell r="D3735" t="str">
            <v/>
          </cell>
          <cell r="K3735">
            <v>1211040</v>
          </cell>
        </row>
        <row r="3736">
          <cell r="D3736" t="str">
            <v/>
          </cell>
          <cell r="K3736">
            <v>1211040</v>
          </cell>
        </row>
        <row r="3737">
          <cell r="D3737" t="str">
            <v/>
          </cell>
          <cell r="K3737">
            <v>610740</v>
          </cell>
        </row>
        <row r="3738">
          <cell r="D3738">
            <v>0</v>
          </cell>
          <cell r="K3738">
            <v>0</v>
          </cell>
        </row>
        <row r="3739">
          <cell r="D3739">
            <v>0</v>
          </cell>
          <cell r="K3739">
            <v>0</v>
          </cell>
        </row>
        <row r="3740">
          <cell r="D3740">
            <v>0</v>
          </cell>
          <cell r="K3740">
            <v>0</v>
          </cell>
        </row>
        <row r="3741">
          <cell r="D3741">
            <v>0</v>
          </cell>
          <cell r="K3741">
            <v>0</v>
          </cell>
        </row>
        <row r="3742">
          <cell r="D3742">
            <v>0</v>
          </cell>
          <cell r="K3742">
            <v>0</v>
          </cell>
        </row>
        <row r="3743">
          <cell r="D3743">
            <v>0</v>
          </cell>
          <cell r="K3743">
            <v>0</v>
          </cell>
        </row>
        <row r="3744">
          <cell r="D3744">
            <v>0</v>
          </cell>
          <cell r="K3744">
            <v>0</v>
          </cell>
        </row>
        <row r="3745">
          <cell r="D3745">
            <v>0</v>
          </cell>
          <cell r="K3745">
            <v>0</v>
          </cell>
        </row>
        <row r="3746">
          <cell r="D3746">
            <v>0</v>
          </cell>
          <cell r="K3746">
            <v>0</v>
          </cell>
        </row>
        <row r="3747">
          <cell r="D3747">
            <v>0</v>
          </cell>
          <cell r="K3747">
            <v>0</v>
          </cell>
        </row>
        <row r="3748">
          <cell r="D3748">
            <v>0</v>
          </cell>
          <cell r="K3748">
            <v>0</v>
          </cell>
        </row>
        <row r="3749">
          <cell r="D3749">
            <v>0</v>
          </cell>
          <cell r="K3749">
            <v>0</v>
          </cell>
        </row>
        <row r="3754">
          <cell r="K3754">
            <v>0</v>
          </cell>
        </row>
        <row r="3758">
          <cell r="K3758">
            <v>4222980</v>
          </cell>
        </row>
        <row r="3764">
          <cell r="D3764" t="str">
            <v>AM</v>
          </cell>
        </row>
        <row r="3766">
          <cell r="D3766">
            <v>44980</v>
          </cell>
        </row>
        <row r="3768">
          <cell r="D3768" t="str">
            <v>KO 1125</v>
          </cell>
        </row>
        <row r="3770">
          <cell r="D3770" t="str">
            <v>C</v>
          </cell>
          <cell r="K3770" t="str">
            <v>Amount</v>
          </cell>
        </row>
        <row r="3772">
          <cell r="D3772">
            <v>1</v>
          </cell>
          <cell r="K3772">
            <v>3381804</v>
          </cell>
        </row>
        <row r="3773">
          <cell r="K3773">
            <v>0</v>
          </cell>
        </row>
        <row r="3774">
          <cell r="K3774">
            <v>0</v>
          </cell>
        </row>
        <row r="3775">
          <cell r="K3775">
            <v>0</v>
          </cell>
        </row>
        <row r="3776">
          <cell r="K3776">
            <v>0</v>
          </cell>
        </row>
        <row r="3777">
          <cell r="K3777">
            <v>0</v>
          </cell>
        </row>
        <row r="3778">
          <cell r="K3778">
            <v>0</v>
          </cell>
        </row>
        <row r="3779">
          <cell r="K3779">
            <v>0</v>
          </cell>
        </row>
        <row r="3780">
          <cell r="K3780">
            <v>0</v>
          </cell>
        </row>
        <row r="3781">
          <cell r="K3781">
            <v>0</v>
          </cell>
        </row>
        <row r="3782">
          <cell r="K3782">
            <v>0</v>
          </cell>
        </row>
        <row r="3783">
          <cell r="K3783">
            <v>0</v>
          </cell>
        </row>
        <row r="3784">
          <cell r="K3784">
            <v>0</v>
          </cell>
        </row>
        <row r="3785">
          <cell r="K3785">
            <v>0</v>
          </cell>
        </row>
        <row r="3786">
          <cell r="K3786">
            <v>0</v>
          </cell>
        </row>
        <row r="3787">
          <cell r="K3787">
            <v>0</v>
          </cell>
        </row>
        <row r="3792">
          <cell r="K3792">
            <v>0</v>
          </cell>
        </row>
        <row r="3796">
          <cell r="K3796">
            <v>3381804</v>
          </cell>
        </row>
        <row r="3802">
          <cell r="D3802" t="str">
            <v>AM</v>
          </cell>
        </row>
        <row r="3804">
          <cell r="D3804">
            <v>44980</v>
          </cell>
        </row>
        <row r="3806">
          <cell r="D3806" t="str">
            <v>KO 1125</v>
          </cell>
        </row>
        <row r="3808">
          <cell r="D3808" t="str">
            <v>C</v>
          </cell>
          <cell r="K3808" t="str">
            <v>Amount</v>
          </cell>
        </row>
        <row r="3810">
          <cell r="D3810">
            <v>1</v>
          </cell>
          <cell r="K3810">
            <v>3381804</v>
          </cell>
        </row>
        <row r="3811">
          <cell r="D3811">
            <v>0</v>
          </cell>
          <cell r="K3811">
            <v>0</v>
          </cell>
        </row>
        <row r="3812">
          <cell r="D3812">
            <v>0</v>
          </cell>
          <cell r="K3812">
            <v>0</v>
          </cell>
        </row>
        <row r="3813">
          <cell r="D3813">
            <v>0</v>
          </cell>
          <cell r="K3813">
            <v>0</v>
          </cell>
        </row>
        <row r="3814">
          <cell r="D3814">
            <v>0</v>
          </cell>
          <cell r="K3814">
            <v>0</v>
          </cell>
        </row>
        <row r="3815">
          <cell r="D3815">
            <v>0</v>
          </cell>
          <cell r="K3815">
            <v>0</v>
          </cell>
        </row>
        <row r="3816">
          <cell r="D3816">
            <v>0</v>
          </cell>
          <cell r="K3816">
            <v>0</v>
          </cell>
        </row>
        <row r="3817">
          <cell r="D3817">
            <v>0</v>
          </cell>
          <cell r="K3817">
            <v>0</v>
          </cell>
        </row>
        <row r="3818">
          <cell r="D3818">
            <v>0</v>
          </cell>
          <cell r="K3818">
            <v>0</v>
          </cell>
        </row>
        <row r="3819">
          <cell r="D3819">
            <v>0</v>
          </cell>
          <cell r="K3819">
            <v>0</v>
          </cell>
        </row>
        <row r="3820">
          <cell r="D3820">
            <v>0</v>
          </cell>
          <cell r="K3820">
            <v>0</v>
          </cell>
        </row>
        <row r="3821">
          <cell r="D3821">
            <v>0</v>
          </cell>
          <cell r="K3821">
            <v>0</v>
          </cell>
        </row>
        <row r="3822">
          <cell r="D3822">
            <v>0</v>
          </cell>
          <cell r="K3822">
            <v>0</v>
          </cell>
        </row>
        <row r="3823">
          <cell r="D3823">
            <v>0</v>
          </cell>
          <cell r="K3823">
            <v>0</v>
          </cell>
        </row>
        <row r="3824">
          <cell r="D3824">
            <v>0</v>
          </cell>
          <cell r="K3824">
            <v>0</v>
          </cell>
        </row>
        <row r="3825">
          <cell r="D3825">
            <v>0</v>
          </cell>
          <cell r="K3825">
            <v>0</v>
          </cell>
        </row>
        <row r="3830">
          <cell r="K3830">
            <v>0</v>
          </cell>
        </row>
        <row r="3834">
          <cell r="K3834">
            <v>3381804</v>
          </cell>
        </row>
        <row r="3840">
          <cell r="D3840" t="str">
            <v>AM</v>
          </cell>
        </row>
        <row r="3842">
          <cell r="D3842">
            <v>44980</v>
          </cell>
        </row>
        <row r="3844">
          <cell r="D3844" t="str">
            <v>KO 1125</v>
          </cell>
        </row>
        <row r="3846">
          <cell r="D3846" t="str">
            <v>C</v>
          </cell>
          <cell r="K3846" t="str">
            <v>Amount</v>
          </cell>
        </row>
        <row r="3848">
          <cell r="D3848">
            <v>1</v>
          </cell>
          <cell r="K3848">
            <v>3381804</v>
          </cell>
        </row>
        <row r="3849">
          <cell r="D3849">
            <v>0</v>
          </cell>
          <cell r="K3849">
            <v>0</v>
          </cell>
        </row>
        <row r="3850">
          <cell r="D3850">
            <v>0</v>
          </cell>
          <cell r="K3850">
            <v>0</v>
          </cell>
        </row>
        <row r="3851">
          <cell r="D3851">
            <v>0</v>
          </cell>
          <cell r="K3851">
            <v>0</v>
          </cell>
        </row>
        <row r="3852">
          <cell r="D3852">
            <v>0</v>
          </cell>
          <cell r="K3852">
            <v>0</v>
          </cell>
        </row>
        <row r="3853">
          <cell r="D3853">
            <v>0</v>
          </cell>
          <cell r="K3853">
            <v>0</v>
          </cell>
        </row>
        <row r="3854">
          <cell r="D3854">
            <v>0</v>
          </cell>
          <cell r="K3854">
            <v>0</v>
          </cell>
        </row>
        <row r="3855">
          <cell r="D3855">
            <v>0</v>
          </cell>
          <cell r="K3855">
            <v>0</v>
          </cell>
        </row>
        <row r="3856">
          <cell r="D3856">
            <v>0</v>
          </cell>
          <cell r="K3856">
            <v>0</v>
          </cell>
        </row>
        <row r="3857">
          <cell r="D3857">
            <v>0</v>
          </cell>
          <cell r="K3857">
            <v>0</v>
          </cell>
        </row>
        <row r="3858">
          <cell r="D3858">
            <v>0</v>
          </cell>
          <cell r="K3858">
            <v>0</v>
          </cell>
        </row>
        <row r="3859">
          <cell r="D3859">
            <v>0</v>
          </cell>
          <cell r="K3859">
            <v>0</v>
          </cell>
        </row>
        <row r="3860">
          <cell r="D3860">
            <v>0</v>
          </cell>
          <cell r="K3860">
            <v>0</v>
          </cell>
        </row>
        <row r="3861">
          <cell r="D3861">
            <v>0</v>
          </cell>
          <cell r="K3861">
            <v>0</v>
          </cell>
        </row>
        <row r="3862">
          <cell r="D3862">
            <v>0</v>
          </cell>
          <cell r="K3862">
            <v>0</v>
          </cell>
        </row>
        <row r="3863">
          <cell r="D3863">
            <v>0</v>
          </cell>
          <cell r="K3863">
            <v>0</v>
          </cell>
        </row>
        <row r="3868">
          <cell r="K3868">
            <v>0</v>
          </cell>
        </row>
        <row r="3872">
          <cell r="K3872">
            <v>3381804</v>
          </cell>
        </row>
        <row r="3878">
          <cell r="D3878" t="str">
            <v>AM</v>
          </cell>
        </row>
        <row r="3880">
          <cell r="D3880">
            <v>44981</v>
          </cell>
        </row>
        <row r="3882">
          <cell r="D3882" t="str">
            <v>KO 1138</v>
          </cell>
        </row>
        <row r="3884">
          <cell r="D3884" t="str">
            <v>C</v>
          </cell>
          <cell r="K3884" t="str">
            <v>Amount</v>
          </cell>
        </row>
        <row r="3886">
          <cell r="D3886">
            <v>1</v>
          </cell>
          <cell r="K3886">
            <v>1599600</v>
          </cell>
        </row>
        <row r="3887">
          <cell r="D3887">
            <v>1</v>
          </cell>
          <cell r="K3887">
            <v>1960800</v>
          </cell>
        </row>
        <row r="3888">
          <cell r="D3888">
            <v>1</v>
          </cell>
          <cell r="K3888">
            <v>731000</v>
          </cell>
        </row>
        <row r="3889">
          <cell r="K3889">
            <v>0</v>
          </cell>
        </row>
        <row r="3890">
          <cell r="K3890">
            <v>0</v>
          </cell>
        </row>
        <row r="3891">
          <cell r="K3891">
            <v>0</v>
          </cell>
        </row>
        <row r="3892">
          <cell r="K3892">
            <v>0</v>
          </cell>
        </row>
        <row r="3893">
          <cell r="K3893">
            <v>0</v>
          </cell>
        </row>
        <row r="3894">
          <cell r="K3894">
            <v>0</v>
          </cell>
        </row>
        <row r="3895">
          <cell r="K3895">
            <v>0</v>
          </cell>
        </row>
        <row r="3896">
          <cell r="K3896">
            <v>0</v>
          </cell>
        </row>
        <row r="3897">
          <cell r="K3897">
            <v>0</v>
          </cell>
        </row>
        <row r="3898">
          <cell r="K3898">
            <v>0</v>
          </cell>
        </row>
        <row r="3899">
          <cell r="K3899">
            <v>0</v>
          </cell>
        </row>
        <row r="3900">
          <cell r="K3900">
            <v>0</v>
          </cell>
        </row>
        <row r="3901">
          <cell r="K3901">
            <v>0</v>
          </cell>
        </row>
        <row r="3906">
          <cell r="K3906">
            <v>0</v>
          </cell>
        </row>
        <row r="3910">
          <cell r="K3910">
            <v>4291400</v>
          </cell>
        </row>
        <row r="3916">
          <cell r="D3916" t="str">
            <v>AM</v>
          </cell>
        </row>
        <row r="3918">
          <cell r="D3918">
            <v>44981</v>
          </cell>
        </row>
        <row r="3920">
          <cell r="D3920" t="str">
            <v>KO 1138</v>
          </cell>
        </row>
        <row r="3922">
          <cell r="D3922" t="str">
            <v>C</v>
          </cell>
          <cell r="K3922" t="str">
            <v>Amount</v>
          </cell>
        </row>
        <row r="3924">
          <cell r="D3924">
            <v>1</v>
          </cell>
          <cell r="K3924">
            <v>1599600</v>
          </cell>
        </row>
        <row r="3925">
          <cell r="D3925">
            <v>1</v>
          </cell>
          <cell r="K3925">
            <v>1960800</v>
          </cell>
        </row>
        <row r="3926">
          <cell r="D3926">
            <v>1</v>
          </cell>
          <cell r="K3926">
            <v>731000</v>
          </cell>
        </row>
        <row r="3927">
          <cell r="D3927">
            <v>0</v>
          </cell>
          <cell r="K3927">
            <v>0</v>
          </cell>
        </row>
        <row r="3928">
          <cell r="D3928">
            <v>0</v>
          </cell>
          <cell r="K3928">
            <v>0</v>
          </cell>
        </row>
        <row r="3929">
          <cell r="D3929">
            <v>0</v>
          </cell>
          <cell r="K3929">
            <v>0</v>
          </cell>
        </row>
        <row r="3930">
          <cell r="D3930">
            <v>0</v>
          </cell>
          <cell r="K3930">
            <v>0</v>
          </cell>
        </row>
        <row r="3931">
          <cell r="D3931">
            <v>0</v>
          </cell>
          <cell r="K3931">
            <v>0</v>
          </cell>
        </row>
        <row r="3932">
          <cell r="D3932">
            <v>0</v>
          </cell>
          <cell r="K3932">
            <v>0</v>
          </cell>
        </row>
        <row r="3933">
          <cell r="D3933">
            <v>0</v>
          </cell>
          <cell r="K3933">
            <v>0</v>
          </cell>
        </row>
        <row r="3934">
          <cell r="D3934">
            <v>0</v>
          </cell>
          <cell r="K3934">
            <v>0</v>
          </cell>
        </row>
        <row r="3935">
          <cell r="D3935">
            <v>0</v>
          </cell>
          <cell r="K3935">
            <v>0</v>
          </cell>
        </row>
        <row r="3936">
          <cell r="D3936">
            <v>0</v>
          </cell>
          <cell r="K3936">
            <v>0</v>
          </cell>
        </row>
        <row r="3937">
          <cell r="D3937">
            <v>0</v>
          </cell>
          <cell r="K3937">
            <v>0</v>
          </cell>
        </row>
        <row r="3938">
          <cell r="D3938">
            <v>0</v>
          </cell>
          <cell r="K3938">
            <v>0</v>
          </cell>
        </row>
        <row r="3939">
          <cell r="D3939">
            <v>0</v>
          </cell>
          <cell r="K3939">
            <v>0</v>
          </cell>
        </row>
        <row r="3944">
          <cell r="K3944">
            <v>0</v>
          </cell>
        </row>
        <row r="3948">
          <cell r="K3948">
            <v>4291400</v>
          </cell>
        </row>
        <row r="3954">
          <cell r="D3954" t="str">
            <v>AM</v>
          </cell>
        </row>
        <row r="3956">
          <cell r="D3956">
            <v>44981</v>
          </cell>
        </row>
        <row r="3958">
          <cell r="D3958" t="str">
            <v>KO 1138</v>
          </cell>
        </row>
        <row r="3960">
          <cell r="D3960" t="str">
            <v>C</v>
          </cell>
          <cell r="K3960" t="str">
            <v>Amount</v>
          </cell>
        </row>
        <row r="3962">
          <cell r="D3962">
            <v>1</v>
          </cell>
          <cell r="K3962">
            <v>1599600</v>
          </cell>
        </row>
        <row r="3963">
          <cell r="D3963">
            <v>1</v>
          </cell>
          <cell r="K3963">
            <v>1960800</v>
          </cell>
        </row>
        <row r="3964">
          <cell r="D3964">
            <v>1</v>
          </cell>
          <cell r="K3964">
            <v>731000</v>
          </cell>
        </row>
        <row r="3965">
          <cell r="D3965">
            <v>0</v>
          </cell>
          <cell r="K3965">
            <v>0</v>
          </cell>
        </row>
        <row r="3966">
          <cell r="D3966">
            <v>0</v>
          </cell>
          <cell r="K3966">
            <v>0</v>
          </cell>
        </row>
        <row r="3967">
          <cell r="D3967">
            <v>0</v>
          </cell>
          <cell r="K3967">
            <v>0</v>
          </cell>
        </row>
        <row r="3968">
          <cell r="D3968">
            <v>0</v>
          </cell>
          <cell r="K3968">
            <v>0</v>
          </cell>
        </row>
        <row r="3969">
          <cell r="D3969">
            <v>0</v>
          </cell>
          <cell r="K3969">
            <v>0</v>
          </cell>
        </row>
        <row r="3970">
          <cell r="D3970">
            <v>0</v>
          </cell>
          <cell r="K3970">
            <v>0</v>
          </cell>
        </row>
        <row r="3971">
          <cell r="D3971">
            <v>0</v>
          </cell>
          <cell r="K3971">
            <v>0</v>
          </cell>
        </row>
        <row r="3972">
          <cell r="D3972">
            <v>0</v>
          </cell>
          <cell r="K3972">
            <v>0</v>
          </cell>
        </row>
        <row r="3973">
          <cell r="D3973">
            <v>0</v>
          </cell>
          <cell r="K3973">
            <v>0</v>
          </cell>
        </row>
        <row r="3974">
          <cell r="D3974">
            <v>0</v>
          </cell>
          <cell r="K3974">
            <v>0</v>
          </cell>
        </row>
        <row r="3975">
          <cell r="D3975">
            <v>0</v>
          </cell>
          <cell r="K3975">
            <v>0</v>
          </cell>
        </row>
        <row r="3976">
          <cell r="D3976">
            <v>0</v>
          </cell>
          <cell r="K3976">
            <v>0</v>
          </cell>
        </row>
        <row r="3977">
          <cell r="D3977">
            <v>0</v>
          </cell>
          <cell r="K3977">
            <v>0</v>
          </cell>
        </row>
        <row r="3982">
          <cell r="K3982">
            <v>0</v>
          </cell>
        </row>
        <row r="3986">
          <cell r="K3986">
            <v>4291400</v>
          </cell>
        </row>
        <row r="3992">
          <cell r="D3992" t="str">
            <v>AM</v>
          </cell>
        </row>
        <row r="3994">
          <cell r="D3994">
            <v>44982</v>
          </cell>
        </row>
        <row r="3996">
          <cell r="D3996" t="str">
            <v>KO 1146</v>
          </cell>
        </row>
        <row r="3998">
          <cell r="D3998" t="str">
            <v>C</v>
          </cell>
          <cell r="K3998" t="str">
            <v>Amount</v>
          </cell>
        </row>
        <row r="4000">
          <cell r="D4000">
            <v>1</v>
          </cell>
          <cell r="K4000">
            <v>774000</v>
          </cell>
        </row>
        <row r="4001">
          <cell r="K4001">
            <v>0</v>
          </cell>
        </row>
        <row r="4002">
          <cell r="K4002">
            <v>0</v>
          </cell>
        </row>
        <row r="4003">
          <cell r="K4003">
            <v>0</v>
          </cell>
        </row>
        <row r="4004">
          <cell r="K4004">
            <v>0</v>
          </cell>
        </row>
        <row r="4005">
          <cell r="K4005">
            <v>0</v>
          </cell>
        </row>
        <row r="4006">
          <cell r="K4006">
            <v>0</v>
          </cell>
        </row>
        <row r="4007">
          <cell r="K4007">
            <v>0</v>
          </cell>
        </row>
        <row r="4008">
          <cell r="K4008">
            <v>0</v>
          </cell>
        </row>
        <row r="4009">
          <cell r="K4009">
            <v>0</v>
          </cell>
        </row>
        <row r="4010">
          <cell r="K4010">
            <v>0</v>
          </cell>
        </row>
        <row r="4011">
          <cell r="K4011">
            <v>0</v>
          </cell>
        </row>
        <row r="4012">
          <cell r="K4012">
            <v>0</v>
          </cell>
        </row>
        <row r="4013">
          <cell r="K4013">
            <v>0</v>
          </cell>
        </row>
        <row r="4014">
          <cell r="K4014">
            <v>0</v>
          </cell>
        </row>
        <row r="4015">
          <cell r="K4015">
            <v>0</v>
          </cell>
        </row>
        <row r="4020">
          <cell r="K4020">
            <v>0</v>
          </cell>
        </row>
        <row r="4024">
          <cell r="K4024">
            <v>774000</v>
          </cell>
        </row>
        <row r="4030">
          <cell r="D4030" t="str">
            <v>AM</v>
          </cell>
        </row>
        <row r="4032">
          <cell r="D4032">
            <v>44982</v>
          </cell>
        </row>
        <row r="4034">
          <cell r="D4034" t="str">
            <v>KO 1146</v>
          </cell>
        </row>
        <row r="4036">
          <cell r="D4036" t="str">
            <v>C</v>
          </cell>
          <cell r="K4036" t="str">
            <v>Amount</v>
          </cell>
        </row>
        <row r="4038">
          <cell r="D4038">
            <v>1</v>
          </cell>
          <cell r="K4038">
            <v>774000</v>
          </cell>
        </row>
        <row r="4039">
          <cell r="D4039">
            <v>0</v>
          </cell>
          <cell r="K4039">
            <v>0</v>
          </cell>
        </row>
        <row r="4040">
          <cell r="D4040">
            <v>0</v>
          </cell>
          <cell r="K4040">
            <v>0</v>
          </cell>
        </row>
        <row r="4041">
          <cell r="D4041">
            <v>0</v>
          </cell>
          <cell r="K4041">
            <v>0</v>
          </cell>
        </row>
        <row r="4042">
          <cell r="D4042">
            <v>0</v>
          </cell>
          <cell r="K4042">
            <v>0</v>
          </cell>
        </row>
        <row r="4043">
          <cell r="D4043">
            <v>0</v>
          </cell>
          <cell r="K4043">
            <v>0</v>
          </cell>
        </row>
        <row r="4044">
          <cell r="D4044">
            <v>0</v>
          </cell>
          <cell r="K4044">
            <v>0</v>
          </cell>
        </row>
        <row r="4045">
          <cell r="D4045">
            <v>0</v>
          </cell>
          <cell r="K4045">
            <v>0</v>
          </cell>
        </row>
        <row r="4046">
          <cell r="D4046">
            <v>0</v>
          </cell>
          <cell r="K4046">
            <v>0</v>
          </cell>
        </row>
        <row r="4047">
          <cell r="D4047">
            <v>0</v>
          </cell>
          <cell r="K4047">
            <v>0</v>
          </cell>
        </row>
        <row r="4048">
          <cell r="D4048">
            <v>0</v>
          </cell>
          <cell r="K4048">
            <v>0</v>
          </cell>
        </row>
        <row r="4049">
          <cell r="D4049">
            <v>0</v>
          </cell>
          <cell r="K4049">
            <v>0</v>
          </cell>
        </row>
        <row r="4050">
          <cell r="D4050">
            <v>0</v>
          </cell>
          <cell r="K4050">
            <v>0</v>
          </cell>
        </row>
        <row r="4051">
          <cell r="D4051">
            <v>0</v>
          </cell>
          <cell r="K4051">
            <v>0</v>
          </cell>
        </row>
        <row r="4052">
          <cell r="D4052">
            <v>0</v>
          </cell>
          <cell r="K4052">
            <v>0</v>
          </cell>
        </row>
        <row r="4053">
          <cell r="D4053">
            <v>0</v>
          </cell>
          <cell r="K4053">
            <v>0</v>
          </cell>
        </row>
        <row r="4058">
          <cell r="K4058">
            <v>0</v>
          </cell>
        </row>
        <row r="4062">
          <cell r="K4062">
            <v>774000</v>
          </cell>
        </row>
        <row r="4068">
          <cell r="D4068" t="str">
            <v>AM</v>
          </cell>
        </row>
        <row r="4070">
          <cell r="D4070">
            <v>44982</v>
          </cell>
        </row>
        <row r="4072">
          <cell r="D4072" t="str">
            <v>KO 1146</v>
          </cell>
        </row>
        <row r="4074">
          <cell r="D4074" t="str">
            <v>C</v>
          </cell>
          <cell r="K4074" t="str">
            <v>Amount</v>
          </cell>
        </row>
        <row r="4076">
          <cell r="D4076">
            <v>1</v>
          </cell>
          <cell r="K4076">
            <v>774000</v>
          </cell>
        </row>
        <row r="4077">
          <cell r="D4077">
            <v>0</v>
          </cell>
          <cell r="K4077">
            <v>0</v>
          </cell>
        </row>
        <row r="4078">
          <cell r="D4078">
            <v>0</v>
          </cell>
          <cell r="K4078">
            <v>0</v>
          </cell>
        </row>
        <row r="4079">
          <cell r="D4079">
            <v>0</v>
          </cell>
          <cell r="K4079">
            <v>0</v>
          </cell>
        </row>
        <row r="4080">
          <cell r="D4080">
            <v>0</v>
          </cell>
          <cell r="K4080">
            <v>0</v>
          </cell>
        </row>
        <row r="4081">
          <cell r="D4081">
            <v>0</v>
          </cell>
          <cell r="K4081">
            <v>0</v>
          </cell>
        </row>
        <row r="4082">
          <cell r="D4082">
            <v>0</v>
          </cell>
          <cell r="K4082">
            <v>0</v>
          </cell>
        </row>
        <row r="4083">
          <cell r="D4083">
            <v>0</v>
          </cell>
          <cell r="K4083">
            <v>0</v>
          </cell>
        </row>
        <row r="4084">
          <cell r="D4084">
            <v>0</v>
          </cell>
          <cell r="K4084">
            <v>0</v>
          </cell>
        </row>
        <row r="4085">
          <cell r="D4085">
            <v>0</v>
          </cell>
          <cell r="K4085">
            <v>0</v>
          </cell>
        </row>
        <row r="4086">
          <cell r="D4086">
            <v>0</v>
          </cell>
          <cell r="K4086">
            <v>0</v>
          </cell>
        </row>
        <row r="4087">
          <cell r="D4087">
            <v>0</v>
          </cell>
          <cell r="K4087">
            <v>0</v>
          </cell>
        </row>
        <row r="4088">
          <cell r="D4088">
            <v>0</v>
          </cell>
          <cell r="K4088">
            <v>0</v>
          </cell>
        </row>
        <row r="4089">
          <cell r="D4089">
            <v>0</v>
          </cell>
          <cell r="K4089">
            <v>0</v>
          </cell>
        </row>
        <row r="4090">
          <cell r="D4090">
            <v>0</v>
          </cell>
          <cell r="K4090">
            <v>0</v>
          </cell>
        </row>
        <row r="4091">
          <cell r="D4091">
            <v>0</v>
          </cell>
          <cell r="K4091">
            <v>0</v>
          </cell>
        </row>
        <row r="4096">
          <cell r="K4096">
            <v>0</v>
          </cell>
        </row>
        <row r="4100">
          <cell r="K4100">
            <v>774000</v>
          </cell>
        </row>
        <row r="4106">
          <cell r="D4106" t="str">
            <v>AM</v>
          </cell>
        </row>
        <row r="4112">
          <cell r="D4112" t="str">
            <v>C</v>
          </cell>
          <cell r="K4112" t="str">
            <v>Amount</v>
          </cell>
        </row>
        <row r="4114">
          <cell r="K4114">
            <v>0</v>
          </cell>
        </row>
        <row r="4115">
          <cell r="K4115">
            <v>0</v>
          </cell>
        </row>
        <row r="4116">
          <cell r="K4116">
            <v>0</v>
          </cell>
        </row>
        <row r="4117">
          <cell r="K4117">
            <v>0</v>
          </cell>
        </row>
        <row r="4118">
          <cell r="K4118">
            <v>0</v>
          </cell>
        </row>
        <row r="4119">
          <cell r="K4119">
            <v>0</v>
          </cell>
        </row>
        <row r="4120">
          <cell r="K4120">
            <v>0</v>
          </cell>
        </row>
        <row r="4121">
          <cell r="K4121">
            <v>0</v>
          </cell>
        </row>
        <row r="4122">
          <cell r="K4122">
            <v>0</v>
          </cell>
        </row>
        <row r="4123">
          <cell r="K4123">
            <v>0</v>
          </cell>
        </row>
        <row r="4124">
          <cell r="K4124">
            <v>0</v>
          </cell>
        </row>
        <row r="4125">
          <cell r="K4125">
            <v>0</v>
          </cell>
        </row>
        <row r="4126">
          <cell r="K4126">
            <v>0</v>
          </cell>
        </row>
        <row r="4127">
          <cell r="K4127">
            <v>0</v>
          </cell>
        </row>
        <row r="4128">
          <cell r="K4128">
            <v>0</v>
          </cell>
        </row>
        <row r="4129">
          <cell r="K4129">
            <v>0</v>
          </cell>
        </row>
        <row r="4134">
          <cell r="K4134">
            <v>0</v>
          </cell>
        </row>
        <row r="4138">
          <cell r="K4138">
            <v>0</v>
          </cell>
        </row>
        <row r="4144">
          <cell r="D4144" t="str">
            <v>AM</v>
          </cell>
        </row>
        <row r="4146">
          <cell r="D4146">
            <v>0</v>
          </cell>
        </row>
        <row r="4148">
          <cell r="D4148">
            <v>0</v>
          </cell>
        </row>
        <row r="4150">
          <cell r="D4150" t="str">
            <v>C</v>
          </cell>
          <cell r="K4150" t="str">
            <v>Amount</v>
          </cell>
        </row>
        <row r="4152">
          <cell r="D4152">
            <v>0</v>
          </cell>
          <cell r="K4152">
            <v>0</v>
          </cell>
        </row>
        <row r="4153">
          <cell r="D4153">
            <v>0</v>
          </cell>
          <cell r="K4153">
            <v>0</v>
          </cell>
        </row>
        <row r="4154">
          <cell r="D4154">
            <v>0</v>
          </cell>
          <cell r="K4154">
            <v>0</v>
          </cell>
        </row>
        <row r="4155">
          <cell r="D4155">
            <v>0</v>
          </cell>
          <cell r="K4155">
            <v>0</v>
          </cell>
        </row>
        <row r="4156">
          <cell r="D4156">
            <v>0</v>
          </cell>
          <cell r="K4156">
            <v>0</v>
          </cell>
        </row>
        <row r="4157">
          <cell r="D4157">
            <v>0</v>
          </cell>
          <cell r="K4157">
            <v>0</v>
          </cell>
        </row>
        <row r="4158">
          <cell r="D4158">
            <v>0</v>
          </cell>
          <cell r="K4158">
            <v>0</v>
          </cell>
        </row>
        <row r="4159">
          <cell r="D4159">
            <v>0</v>
          </cell>
          <cell r="K4159">
            <v>0</v>
          </cell>
        </row>
        <row r="4160">
          <cell r="D4160">
            <v>0</v>
          </cell>
          <cell r="K4160">
            <v>0</v>
          </cell>
        </row>
        <row r="4161">
          <cell r="D4161">
            <v>0</v>
          </cell>
          <cell r="K4161">
            <v>0</v>
          </cell>
        </row>
        <row r="4162">
          <cell r="D4162">
            <v>0</v>
          </cell>
          <cell r="K4162">
            <v>0</v>
          </cell>
        </row>
        <row r="4163">
          <cell r="D4163">
            <v>0</v>
          </cell>
          <cell r="K4163">
            <v>0</v>
          </cell>
        </row>
        <row r="4164">
          <cell r="D4164">
            <v>0</v>
          </cell>
          <cell r="K4164">
            <v>0</v>
          </cell>
        </row>
        <row r="4165">
          <cell r="D4165">
            <v>0</v>
          </cell>
          <cell r="K4165">
            <v>0</v>
          </cell>
        </row>
        <row r="4166">
          <cell r="D4166">
            <v>0</v>
          </cell>
          <cell r="K4166">
            <v>0</v>
          </cell>
        </row>
        <row r="4167">
          <cell r="D4167">
            <v>0</v>
          </cell>
          <cell r="K4167">
            <v>0</v>
          </cell>
        </row>
        <row r="4172">
          <cell r="K4172">
            <v>0</v>
          </cell>
        </row>
        <row r="4176">
          <cell r="K4176">
            <v>0</v>
          </cell>
        </row>
        <row r="4182">
          <cell r="D4182" t="str">
            <v>AM</v>
          </cell>
        </row>
        <row r="4184">
          <cell r="D4184">
            <v>0</v>
          </cell>
        </row>
        <row r="4186">
          <cell r="D4186">
            <v>0</v>
          </cell>
        </row>
        <row r="4188">
          <cell r="D4188" t="str">
            <v>C</v>
          </cell>
          <cell r="K4188" t="str">
            <v>Amount</v>
          </cell>
        </row>
        <row r="4190">
          <cell r="D4190">
            <v>0</v>
          </cell>
          <cell r="K4190">
            <v>0</v>
          </cell>
        </row>
        <row r="4191">
          <cell r="D4191">
            <v>0</v>
          </cell>
          <cell r="K4191">
            <v>0</v>
          </cell>
        </row>
        <row r="4192">
          <cell r="D4192">
            <v>0</v>
          </cell>
          <cell r="K4192">
            <v>0</v>
          </cell>
        </row>
        <row r="4193">
          <cell r="D4193">
            <v>0</v>
          </cell>
          <cell r="K4193">
            <v>0</v>
          </cell>
        </row>
        <row r="4194">
          <cell r="D4194">
            <v>0</v>
          </cell>
          <cell r="K4194">
            <v>0</v>
          </cell>
        </row>
        <row r="4195">
          <cell r="D4195">
            <v>0</v>
          </cell>
          <cell r="K4195">
            <v>0</v>
          </cell>
        </row>
        <row r="4196">
          <cell r="D4196">
            <v>0</v>
          </cell>
          <cell r="K4196">
            <v>0</v>
          </cell>
        </row>
        <row r="4197">
          <cell r="D4197">
            <v>0</v>
          </cell>
          <cell r="K4197">
            <v>0</v>
          </cell>
        </row>
        <row r="4198">
          <cell r="D4198">
            <v>0</v>
          </cell>
          <cell r="K4198">
            <v>0</v>
          </cell>
        </row>
        <row r="4199">
          <cell r="D4199">
            <v>0</v>
          </cell>
          <cell r="K4199">
            <v>0</v>
          </cell>
        </row>
        <row r="4200">
          <cell r="D4200">
            <v>0</v>
          </cell>
          <cell r="K4200">
            <v>0</v>
          </cell>
        </row>
        <row r="4201">
          <cell r="D4201">
            <v>0</v>
          </cell>
          <cell r="K4201">
            <v>0</v>
          </cell>
        </row>
        <row r="4202">
          <cell r="D4202">
            <v>0</v>
          </cell>
          <cell r="K4202">
            <v>0</v>
          </cell>
        </row>
        <row r="4203">
          <cell r="D4203">
            <v>0</v>
          </cell>
          <cell r="K4203">
            <v>0</v>
          </cell>
        </row>
        <row r="4204">
          <cell r="D4204">
            <v>0</v>
          </cell>
          <cell r="K4204">
            <v>0</v>
          </cell>
        </row>
        <row r="4205">
          <cell r="D4205">
            <v>0</v>
          </cell>
          <cell r="K4205">
            <v>0</v>
          </cell>
        </row>
        <row r="4210">
          <cell r="K4210">
            <v>0</v>
          </cell>
        </row>
        <row r="4214">
          <cell r="K4214">
            <v>0</v>
          </cell>
        </row>
        <row r="4220">
          <cell r="D4220" t="str">
            <v>AM</v>
          </cell>
        </row>
        <row r="4226">
          <cell r="D4226" t="str">
            <v>C</v>
          </cell>
          <cell r="K4226" t="str">
            <v>Amount</v>
          </cell>
        </row>
        <row r="4228">
          <cell r="K4228">
            <v>0</v>
          </cell>
        </row>
        <row r="4229">
          <cell r="K4229">
            <v>0</v>
          </cell>
        </row>
        <row r="4230">
          <cell r="K4230">
            <v>0</v>
          </cell>
        </row>
        <row r="4231">
          <cell r="K4231">
            <v>0</v>
          </cell>
        </row>
        <row r="4232">
          <cell r="K4232">
            <v>0</v>
          </cell>
        </row>
        <row r="4233">
          <cell r="K4233">
            <v>0</v>
          </cell>
        </row>
        <row r="4234">
          <cell r="K4234">
            <v>0</v>
          </cell>
        </row>
        <row r="4235">
          <cell r="K4235">
            <v>0</v>
          </cell>
        </row>
        <row r="4236">
          <cell r="K4236">
            <v>0</v>
          </cell>
        </row>
        <row r="4237">
          <cell r="K4237">
            <v>0</v>
          </cell>
        </row>
        <row r="4238">
          <cell r="K4238">
            <v>0</v>
          </cell>
        </row>
        <row r="4239">
          <cell r="K4239">
            <v>0</v>
          </cell>
        </row>
        <row r="4240">
          <cell r="K4240">
            <v>0</v>
          </cell>
        </row>
        <row r="4241">
          <cell r="K4241">
            <v>0</v>
          </cell>
        </row>
        <row r="4242">
          <cell r="K4242">
            <v>0</v>
          </cell>
        </row>
        <row r="4243">
          <cell r="K4243">
            <v>0</v>
          </cell>
        </row>
        <row r="4248">
          <cell r="K4248">
            <v>0</v>
          </cell>
        </row>
        <row r="4252">
          <cell r="K4252">
            <v>0</v>
          </cell>
        </row>
        <row r="4258">
          <cell r="D4258" t="str">
            <v>AM</v>
          </cell>
        </row>
        <row r="4260">
          <cell r="D4260">
            <v>0</v>
          </cell>
        </row>
        <row r="4262">
          <cell r="D4262">
            <v>0</v>
          </cell>
        </row>
        <row r="4264">
          <cell r="D4264" t="str">
            <v>C</v>
          </cell>
          <cell r="K4264" t="str">
            <v>Amount</v>
          </cell>
        </row>
        <row r="4266">
          <cell r="D4266">
            <v>0</v>
          </cell>
          <cell r="K4266">
            <v>0</v>
          </cell>
        </row>
        <row r="4267">
          <cell r="D4267">
            <v>0</v>
          </cell>
          <cell r="K4267">
            <v>0</v>
          </cell>
        </row>
        <row r="4268">
          <cell r="D4268">
            <v>0</v>
          </cell>
          <cell r="K4268">
            <v>0</v>
          </cell>
        </row>
        <row r="4269">
          <cell r="D4269">
            <v>0</v>
          </cell>
          <cell r="K4269">
            <v>0</v>
          </cell>
        </row>
        <row r="4270">
          <cell r="D4270">
            <v>0</v>
          </cell>
          <cell r="K4270">
            <v>0</v>
          </cell>
        </row>
        <row r="4271">
          <cell r="D4271">
            <v>0</v>
          </cell>
          <cell r="K4271">
            <v>0</v>
          </cell>
        </row>
        <row r="4272">
          <cell r="D4272">
            <v>0</v>
          </cell>
          <cell r="K4272">
            <v>0</v>
          </cell>
        </row>
        <row r="4273">
          <cell r="D4273">
            <v>0</v>
          </cell>
          <cell r="K4273">
            <v>0</v>
          </cell>
        </row>
        <row r="4274">
          <cell r="D4274">
            <v>0</v>
          </cell>
          <cell r="K4274">
            <v>0</v>
          </cell>
        </row>
        <row r="4275">
          <cell r="D4275">
            <v>0</v>
          </cell>
          <cell r="K4275">
            <v>0</v>
          </cell>
        </row>
        <row r="4276">
          <cell r="D4276">
            <v>0</v>
          </cell>
          <cell r="K4276">
            <v>0</v>
          </cell>
        </row>
        <row r="4277">
          <cell r="D4277">
            <v>0</v>
          </cell>
          <cell r="K4277">
            <v>0</v>
          </cell>
        </row>
        <row r="4278">
          <cell r="D4278">
            <v>0</v>
          </cell>
          <cell r="K4278">
            <v>0</v>
          </cell>
        </row>
        <row r="4279">
          <cell r="D4279">
            <v>0</v>
          </cell>
          <cell r="K4279">
            <v>0</v>
          </cell>
        </row>
        <row r="4280">
          <cell r="D4280">
            <v>0</v>
          </cell>
          <cell r="K4280">
            <v>0</v>
          </cell>
        </row>
        <row r="4281">
          <cell r="D4281">
            <v>0</v>
          </cell>
          <cell r="K4281">
            <v>0</v>
          </cell>
        </row>
        <row r="4286">
          <cell r="K4286">
            <v>0</v>
          </cell>
        </row>
        <row r="4290">
          <cell r="K4290">
            <v>0</v>
          </cell>
        </row>
        <row r="4296">
          <cell r="D4296" t="str">
            <v>AM</v>
          </cell>
        </row>
        <row r="4298">
          <cell r="D4298">
            <v>0</v>
          </cell>
        </row>
        <row r="4300">
          <cell r="D4300">
            <v>0</v>
          </cell>
        </row>
        <row r="4302">
          <cell r="D4302" t="str">
            <v>C</v>
          </cell>
          <cell r="K4302" t="str">
            <v>Amount</v>
          </cell>
        </row>
        <row r="4304">
          <cell r="D4304">
            <v>0</v>
          </cell>
          <cell r="K4304">
            <v>0</v>
          </cell>
        </row>
        <row r="4305">
          <cell r="D4305">
            <v>0</v>
          </cell>
          <cell r="K4305">
            <v>0</v>
          </cell>
        </row>
        <row r="4306">
          <cell r="D4306">
            <v>0</v>
          </cell>
          <cell r="K4306">
            <v>0</v>
          </cell>
        </row>
        <row r="4307">
          <cell r="D4307">
            <v>0</v>
          </cell>
          <cell r="K4307">
            <v>0</v>
          </cell>
        </row>
        <row r="4308">
          <cell r="D4308">
            <v>0</v>
          </cell>
          <cell r="K4308">
            <v>0</v>
          </cell>
        </row>
        <row r="4309">
          <cell r="D4309">
            <v>0</v>
          </cell>
          <cell r="K4309">
            <v>0</v>
          </cell>
        </row>
        <row r="4310">
          <cell r="D4310">
            <v>0</v>
          </cell>
          <cell r="K4310">
            <v>0</v>
          </cell>
        </row>
        <row r="4311">
          <cell r="D4311">
            <v>0</v>
          </cell>
          <cell r="K4311">
            <v>0</v>
          </cell>
        </row>
        <row r="4312">
          <cell r="D4312">
            <v>0</v>
          </cell>
          <cell r="K4312">
            <v>0</v>
          </cell>
        </row>
        <row r="4313">
          <cell r="D4313">
            <v>0</v>
          </cell>
          <cell r="K4313">
            <v>0</v>
          </cell>
        </row>
        <row r="4314">
          <cell r="D4314">
            <v>0</v>
          </cell>
          <cell r="K4314">
            <v>0</v>
          </cell>
        </row>
        <row r="4315">
          <cell r="D4315">
            <v>0</v>
          </cell>
          <cell r="K4315">
            <v>0</v>
          </cell>
        </row>
        <row r="4316">
          <cell r="D4316">
            <v>0</v>
          </cell>
          <cell r="K4316">
            <v>0</v>
          </cell>
        </row>
        <row r="4317">
          <cell r="D4317">
            <v>0</v>
          </cell>
          <cell r="K4317">
            <v>0</v>
          </cell>
        </row>
        <row r="4318">
          <cell r="D4318">
            <v>0</v>
          </cell>
          <cell r="K4318">
            <v>0</v>
          </cell>
        </row>
        <row r="4319">
          <cell r="D4319">
            <v>0</v>
          </cell>
          <cell r="K4319">
            <v>0</v>
          </cell>
        </row>
        <row r="4324">
          <cell r="K4324">
            <v>0</v>
          </cell>
        </row>
        <row r="4328">
          <cell r="K4328">
            <v>0</v>
          </cell>
        </row>
        <row r="4334">
          <cell r="D4334" t="str">
            <v>AM</v>
          </cell>
        </row>
        <row r="4340">
          <cell r="D4340" t="str">
            <v>C</v>
          </cell>
          <cell r="K4340" t="str">
            <v>Amount</v>
          </cell>
        </row>
        <row r="4342">
          <cell r="K4342">
            <v>0</v>
          </cell>
        </row>
        <row r="4343">
          <cell r="K4343">
            <v>0</v>
          </cell>
        </row>
        <row r="4344">
          <cell r="K4344">
            <v>0</v>
          </cell>
        </row>
        <row r="4345">
          <cell r="K4345">
            <v>0</v>
          </cell>
        </row>
        <row r="4346">
          <cell r="K4346">
            <v>0</v>
          </cell>
        </row>
        <row r="4347">
          <cell r="K4347">
            <v>0</v>
          </cell>
        </row>
        <row r="4348">
          <cell r="K4348">
            <v>0</v>
          </cell>
        </row>
        <row r="4349">
          <cell r="K4349">
            <v>0</v>
          </cell>
        </row>
        <row r="4350">
          <cell r="K4350">
            <v>0</v>
          </cell>
        </row>
        <row r="4351">
          <cell r="K4351">
            <v>0</v>
          </cell>
        </row>
        <row r="4352">
          <cell r="K4352">
            <v>0</v>
          </cell>
        </row>
        <row r="4353">
          <cell r="K4353">
            <v>0</v>
          </cell>
        </row>
        <row r="4354">
          <cell r="K4354">
            <v>0</v>
          </cell>
        </row>
        <row r="4355">
          <cell r="K4355">
            <v>0</v>
          </cell>
        </row>
        <row r="4356">
          <cell r="K4356">
            <v>0</v>
          </cell>
        </row>
        <row r="4357">
          <cell r="K4357">
            <v>0</v>
          </cell>
        </row>
        <row r="4362">
          <cell r="K4362">
            <v>0</v>
          </cell>
        </row>
        <row r="4366">
          <cell r="K4366">
            <v>0</v>
          </cell>
        </row>
        <row r="4372">
          <cell r="D4372" t="str">
            <v>AM</v>
          </cell>
        </row>
        <row r="4374">
          <cell r="D4374">
            <v>0</v>
          </cell>
        </row>
        <row r="4376">
          <cell r="D4376">
            <v>0</v>
          </cell>
        </row>
        <row r="4378">
          <cell r="D4378" t="str">
            <v>C</v>
          </cell>
          <cell r="K4378" t="str">
            <v>Amount</v>
          </cell>
        </row>
        <row r="4380">
          <cell r="D4380">
            <v>0</v>
          </cell>
          <cell r="K4380">
            <v>0</v>
          </cell>
        </row>
        <row r="4381">
          <cell r="D4381">
            <v>0</v>
          </cell>
          <cell r="K4381">
            <v>0</v>
          </cell>
        </row>
        <row r="4382">
          <cell r="D4382">
            <v>0</v>
          </cell>
          <cell r="K4382">
            <v>0</v>
          </cell>
        </row>
        <row r="4383">
          <cell r="D4383">
            <v>0</v>
          </cell>
          <cell r="K4383">
            <v>0</v>
          </cell>
        </row>
        <row r="4384">
          <cell r="D4384">
            <v>0</v>
          </cell>
          <cell r="K4384">
            <v>0</v>
          </cell>
        </row>
        <row r="4385">
          <cell r="D4385">
            <v>0</v>
          </cell>
          <cell r="K4385">
            <v>0</v>
          </cell>
        </row>
        <row r="4386">
          <cell r="D4386">
            <v>0</v>
          </cell>
          <cell r="K4386">
            <v>0</v>
          </cell>
        </row>
        <row r="4387">
          <cell r="D4387">
            <v>0</v>
          </cell>
          <cell r="K4387">
            <v>0</v>
          </cell>
        </row>
        <row r="4388">
          <cell r="D4388">
            <v>0</v>
          </cell>
          <cell r="K4388">
            <v>0</v>
          </cell>
        </row>
        <row r="4389">
          <cell r="D4389">
            <v>0</v>
          </cell>
          <cell r="K4389">
            <v>0</v>
          </cell>
        </row>
        <row r="4390">
          <cell r="D4390">
            <v>0</v>
          </cell>
          <cell r="K4390">
            <v>0</v>
          </cell>
        </row>
        <row r="4391">
          <cell r="D4391">
            <v>0</v>
          </cell>
          <cell r="K4391">
            <v>0</v>
          </cell>
        </row>
        <row r="4392">
          <cell r="D4392">
            <v>0</v>
          </cell>
          <cell r="K4392">
            <v>0</v>
          </cell>
        </row>
        <row r="4393">
          <cell r="D4393">
            <v>0</v>
          </cell>
          <cell r="K4393">
            <v>0</v>
          </cell>
        </row>
        <row r="4394">
          <cell r="D4394">
            <v>0</v>
          </cell>
          <cell r="K4394">
            <v>0</v>
          </cell>
        </row>
        <row r="4395">
          <cell r="D4395">
            <v>0</v>
          </cell>
          <cell r="K4395">
            <v>0</v>
          </cell>
        </row>
        <row r="4400">
          <cell r="K4400">
            <v>0</v>
          </cell>
        </row>
        <row r="4404">
          <cell r="K4404">
            <v>0</v>
          </cell>
        </row>
        <row r="4410">
          <cell r="D4410" t="str">
            <v>AM</v>
          </cell>
        </row>
        <row r="4412">
          <cell r="D4412">
            <v>0</v>
          </cell>
        </row>
        <row r="4414">
          <cell r="D4414">
            <v>0</v>
          </cell>
        </row>
        <row r="4416">
          <cell r="D4416" t="str">
            <v>C</v>
          </cell>
          <cell r="K4416" t="str">
            <v>Amount</v>
          </cell>
        </row>
        <row r="4418">
          <cell r="D4418">
            <v>0</v>
          </cell>
          <cell r="K4418">
            <v>0</v>
          </cell>
        </row>
        <row r="4419">
          <cell r="D4419">
            <v>0</v>
          </cell>
          <cell r="K4419">
            <v>0</v>
          </cell>
        </row>
        <row r="4420">
          <cell r="D4420">
            <v>0</v>
          </cell>
          <cell r="K4420">
            <v>0</v>
          </cell>
        </row>
        <row r="4421">
          <cell r="D4421">
            <v>0</v>
          </cell>
          <cell r="K4421">
            <v>0</v>
          </cell>
        </row>
        <row r="4422">
          <cell r="D4422">
            <v>0</v>
          </cell>
          <cell r="K4422">
            <v>0</v>
          </cell>
        </row>
        <row r="4423">
          <cell r="D4423">
            <v>0</v>
          </cell>
          <cell r="K4423">
            <v>0</v>
          </cell>
        </row>
        <row r="4424">
          <cell r="D4424">
            <v>0</v>
          </cell>
          <cell r="K4424">
            <v>0</v>
          </cell>
        </row>
        <row r="4425">
          <cell r="D4425">
            <v>0</v>
          </cell>
          <cell r="K4425">
            <v>0</v>
          </cell>
        </row>
        <row r="4426">
          <cell r="D4426">
            <v>0</v>
          </cell>
          <cell r="K4426">
            <v>0</v>
          </cell>
        </row>
        <row r="4427">
          <cell r="D4427">
            <v>0</v>
          </cell>
          <cell r="K4427">
            <v>0</v>
          </cell>
        </row>
        <row r="4428">
          <cell r="D4428">
            <v>0</v>
          </cell>
          <cell r="K4428">
            <v>0</v>
          </cell>
        </row>
        <row r="4429">
          <cell r="D4429">
            <v>0</v>
          </cell>
          <cell r="K4429">
            <v>0</v>
          </cell>
        </row>
        <row r="4430">
          <cell r="D4430">
            <v>0</v>
          </cell>
          <cell r="K4430">
            <v>0</v>
          </cell>
        </row>
        <row r="4431">
          <cell r="D4431">
            <v>0</v>
          </cell>
          <cell r="K4431">
            <v>0</v>
          </cell>
        </row>
        <row r="4432">
          <cell r="D4432">
            <v>0</v>
          </cell>
          <cell r="K4432">
            <v>0</v>
          </cell>
        </row>
        <row r="4433">
          <cell r="D4433">
            <v>0</v>
          </cell>
          <cell r="K4433">
            <v>0</v>
          </cell>
        </row>
        <row r="4438">
          <cell r="K4438">
            <v>0</v>
          </cell>
        </row>
        <row r="4442">
          <cell r="K4442">
            <v>0</v>
          </cell>
        </row>
        <row r="4448">
          <cell r="D4448" t="str">
            <v>AM</v>
          </cell>
        </row>
        <row r="4454">
          <cell r="D4454" t="str">
            <v>C</v>
          </cell>
          <cell r="K4454" t="str">
            <v>Amount</v>
          </cell>
        </row>
        <row r="4456">
          <cell r="K4456">
            <v>0</v>
          </cell>
        </row>
        <row r="4457">
          <cell r="K4457">
            <v>0</v>
          </cell>
        </row>
        <row r="4458">
          <cell r="K4458">
            <v>0</v>
          </cell>
        </row>
        <row r="4459">
          <cell r="K4459">
            <v>0</v>
          </cell>
        </row>
        <row r="4460">
          <cell r="K4460">
            <v>0</v>
          </cell>
        </row>
        <row r="4461">
          <cell r="K4461">
            <v>0</v>
          </cell>
        </row>
        <row r="4462">
          <cell r="K4462">
            <v>0</v>
          </cell>
        </row>
        <row r="4463">
          <cell r="K4463">
            <v>0</v>
          </cell>
        </row>
        <row r="4464">
          <cell r="K4464">
            <v>0</v>
          </cell>
        </row>
        <row r="4465">
          <cell r="K4465">
            <v>0</v>
          </cell>
        </row>
        <row r="4466">
          <cell r="K4466">
            <v>0</v>
          </cell>
        </row>
        <row r="4467">
          <cell r="K4467">
            <v>0</v>
          </cell>
        </row>
        <row r="4468">
          <cell r="K4468">
            <v>0</v>
          </cell>
        </row>
        <row r="4469">
          <cell r="K4469">
            <v>0</v>
          </cell>
        </row>
        <row r="4470">
          <cell r="K4470">
            <v>0</v>
          </cell>
        </row>
        <row r="4471">
          <cell r="K4471">
            <v>0</v>
          </cell>
        </row>
        <row r="4476">
          <cell r="K4476">
            <v>0</v>
          </cell>
        </row>
        <row r="4480">
          <cell r="K4480">
            <v>0</v>
          </cell>
        </row>
        <row r="4486">
          <cell r="D4486" t="str">
            <v>AM</v>
          </cell>
        </row>
        <row r="4488">
          <cell r="D4488">
            <v>0</v>
          </cell>
        </row>
        <row r="4490">
          <cell r="D4490">
            <v>0</v>
          </cell>
        </row>
        <row r="4492">
          <cell r="D4492" t="str">
            <v>C</v>
          </cell>
          <cell r="K4492" t="str">
            <v>Amount</v>
          </cell>
        </row>
        <row r="4494">
          <cell r="D4494">
            <v>0</v>
          </cell>
          <cell r="K4494">
            <v>0</v>
          </cell>
        </row>
        <row r="4495">
          <cell r="D4495">
            <v>0</v>
          </cell>
          <cell r="K4495">
            <v>0</v>
          </cell>
        </row>
        <row r="4496">
          <cell r="D4496">
            <v>0</v>
          </cell>
          <cell r="K4496">
            <v>0</v>
          </cell>
        </row>
        <row r="4497">
          <cell r="D4497">
            <v>0</v>
          </cell>
          <cell r="K4497">
            <v>0</v>
          </cell>
        </row>
        <row r="4498">
          <cell r="D4498">
            <v>0</v>
          </cell>
          <cell r="K4498">
            <v>0</v>
          </cell>
        </row>
        <row r="4499">
          <cell r="D4499">
            <v>0</v>
          </cell>
          <cell r="K4499">
            <v>0</v>
          </cell>
        </row>
        <row r="4500">
          <cell r="D4500">
            <v>0</v>
          </cell>
          <cell r="K4500">
            <v>0</v>
          </cell>
        </row>
        <row r="4501">
          <cell r="D4501">
            <v>0</v>
          </cell>
          <cell r="K4501">
            <v>0</v>
          </cell>
        </row>
        <row r="4502">
          <cell r="D4502">
            <v>0</v>
          </cell>
          <cell r="K4502">
            <v>0</v>
          </cell>
        </row>
        <row r="4503">
          <cell r="D4503">
            <v>0</v>
          </cell>
          <cell r="K4503">
            <v>0</v>
          </cell>
        </row>
        <row r="4504">
          <cell r="D4504">
            <v>0</v>
          </cell>
          <cell r="K4504">
            <v>0</v>
          </cell>
        </row>
        <row r="4505">
          <cell r="D4505">
            <v>0</v>
          </cell>
          <cell r="K4505">
            <v>0</v>
          </cell>
        </row>
        <row r="4506">
          <cell r="D4506">
            <v>0</v>
          </cell>
          <cell r="K4506">
            <v>0</v>
          </cell>
        </row>
        <row r="4507">
          <cell r="D4507">
            <v>0</v>
          </cell>
          <cell r="K4507">
            <v>0</v>
          </cell>
        </row>
        <row r="4508">
          <cell r="D4508">
            <v>0</v>
          </cell>
          <cell r="K4508">
            <v>0</v>
          </cell>
        </row>
        <row r="4509">
          <cell r="D4509">
            <v>0</v>
          </cell>
          <cell r="K4509">
            <v>0</v>
          </cell>
        </row>
        <row r="4514">
          <cell r="K4514">
            <v>0</v>
          </cell>
        </row>
        <row r="4518">
          <cell r="K4518">
            <v>0</v>
          </cell>
        </row>
        <row r="4524">
          <cell r="D4524" t="str">
            <v>AM</v>
          </cell>
        </row>
        <row r="4526">
          <cell r="D4526">
            <v>0</v>
          </cell>
        </row>
        <row r="4528">
          <cell r="D4528">
            <v>0</v>
          </cell>
        </row>
        <row r="4530">
          <cell r="D4530" t="str">
            <v>C</v>
          </cell>
          <cell r="K4530" t="str">
            <v>Amount</v>
          </cell>
        </row>
        <row r="4532">
          <cell r="D4532">
            <v>0</v>
          </cell>
          <cell r="K4532">
            <v>0</v>
          </cell>
        </row>
        <row r="4533">
          <cell r="D4533">
            <v>0</v>
          </cell>
          <cell r="K4533">
            <v>0</v>
          </cell>
        </row>
        <row r="4534">
          <cell r="D4534">
            <v>0</v>
          </cell>
          <cell r="K4534">
            <v>0</v>
          </cell>
        </row>
        <row r="4535">
          <cell r="D4535">
            <v>0</v>
          </cell>
          <cell r="K4535">
            <v>0</v>
          </cell>
        </row>
        <row r="4536">
          <cell r="D4536">
            <v>0</v>
          </cell>
          <cell r="K4536">
            <v>0</v>
          </cell>
        </row>
        <row r="4537">
          <cell r="D4537">
            <v>0</v>
          </cell>
          <cell r="K4537">
            <v>0</v>
          </cell>
        </row>
        <row r="4538">
          <cell r="D4538">
            <v>0</v>
          </cell>
          <cell r="K4538">
            <v>0</v>
          </cell>
        </row>
        <row r="4539">
          <cell r="D4539">
            <v>0</v>
          </cell>
          <cell r="K4539">
            <v>0</v>
          </cell>
        </row>
        <row r="4540">
          <cell r="D4540">
            <v>0</v>
          </cell>
          <cell r="K4540">
            <v>0</v>
          </cell>
        </row>
        <row r="4541">
          <cell r="D4541">
            <v>0</v>
          </cell>
          <cell r="K4541">
            <v>0</v>
          </cell>
        </row>
        <row r="4542">
          <cell r="D4542">
            <v>0</v>
          </cell>
          <cell r="K4542">
            <v>0</v>
          </cell>
        </row>
        <row r="4543">
          <cell r="D4543">
            <v>0</v>
          </cell>
          <cell r="K4543">
            <v>0</v>
          </cell>
        </row>
        <row r="4544">
          <cell r="D4544">
            <v>0</v>
          </cell>
          <cell r="K4544">
            <v>0</v>
          </cell>
        </row>
        <row r="4545">
          <cell r="D4545">
            <v>0</v>
          </cell>
          <cell r="K4545">
            <v>0</v>
          </cell>
        </row>
        <row r="4546">
          <cell r="D4546">
            <v>0</v>
          </cell>
          <cell r="K4546">
            <v>0</v>
          </cell>
        </row>
        <row r="4547">
          <cell r="D4547">
            <v>0</v>
          </cell>
          <cell r="K4547">
            <v>0</v>
          </cell>
        </row>
        <row r="4552">
          <cell r="K4552">
            <v>0</v>
          </cell>
        </row>
        <row r="4556">
          <cell r="K4556">
            <v>0</v>
          </cell>
        </row>
        <row r="4562">
          <cell r="D4562" t="str">
            <v>AM</v>
          </cell>
        </row>
        <row r="4568">
          <cell r="D4568" t="str">
            <v>C</v>
          </cell>
          <cell r="K4568" t="str">
            <v>Amount</v>
          </cell>
        </row>
        <row r="4570">
          <cell r="K4570">
            <v>0</v>
          </cell>
        </row>
        <row r="4571">
          <cell r="K4571">
            <v>0</v>
          </cell>
        </row>
        <row r="4572">
          <cell r="K4572">
            <v>0</v>
          </cell>
        </row>
        <row r="4573">
          <cell r="K4573">
            <v>0</v>
          </cell>
        </row>
        <row r="4574">
          <cell r="K4574">
            <v>0</v>
          </cell>
        </row>
        <row r="4575">
          <cell r="K4575">
            <v>0</v>
          </cell>
        </row>
        <row r="4576">
          <cell r="K4576">
            <v>0</v>
          </cell>
        </row>
        <row r="4577">
          <cell r="K4577">
            <v>0</v>
          </cell>
        </row>
        <row r="4578">
          <cell r="K4578">
            <v>0</v>
          </cell>
        </row>
        <row r="4579">
          <cell r="K4579">
            <v>0</v>
          </cell>
        </row>
        <row r="4580">
          <cell r="K4580">
            <v>0</v>
          </cell>
        </row>
        <row r="4581">
          <cell r="K4581">
            <v>0</v>
          </cell>
        </row>
        <row r="4582">
          <cell r="K4582">
            <v>0</v>
          </cell>
        </row>
        <row r="4583">
          <cell r="K4583">
            <v>0</v>
          </cell>
        </row>
        <row r="4584">
          <cell r="K4584">
            <v>0</v>
          </cell>
        </row>
        <row r="4585">
          <cell r="K4585">
            <v>0</v>
          </cell>
        </row>
        <row r="4590">
          <cell r="K4590">
            <v>0</v>
          </cell>
        </row>
        <row r="4594">
          <cell r="K4594">
            <v>0</v>
          </cell>
        </row>
        <row r="4600">
          <cell r="D4600" t="str">
            <v>AM</v>
          </cell>
        </row>
        <row r="4602">
          <cell r="D4602">
            <v>0</v>
          </cell>
        </row>
        <row r="4604">
          <cell r="D4604">
            <v>0</v>
          </cell>
        </row>
        <row r="4606">
          <cell r="D4606" t="str">
            <v>C</v>
          </cell>
          <cell r="K4606" t="str">
            <v>Amount</v>
          </cell>
        </row>
        <row r="4608">
          <cell r="D4608">
            <v>0</v>
          </cell>
          <cell r="K4608">
            <v>0</v>
          </cell>
        </row>
        <row r="4609">
          <cell r="D4609">
            <v>0</v>
          </cell>
          <cell r="K4609">
            <v>0</v>
          </cell>
        </row>
        <row r="4610">
          <cell r="D4610">
            <v>0</v>
          </cell>
          <cell r="K4610">
            <v>0</v>
          </cell>
        </row>
        <row r="4611">
          <cell r="D4611">
            <v>0</v>
          </cell>
          <cell r="K4611">
            <v>0</v>
          </cell>
        </row>
        <row r="4612">
          <cell r="D4612">
            <v>0</v>
          </cell>
          <cell r="K4612">
            <v>0</v>
          </cell>
        </row>
        <row r="4613">
          <cell r="D4613">
            <v>0</v>
          </cell>
          <cell r="K4613">
            <v>0</v>
          </cell>
        </row>
        <row r="4614">
          <cell r="D4614">
            <v>0</v>
          </cell>
          <cell r="K4614">
            <v>0</v>
          </cell>
        </row>
        <row r="4615">
          <cell r="D4615">
            <v>0</v>
          </cell>
          <cell r="K4615">
            <v>0</v>
          </cell>
        </row>
        <row r="4616">
          <cell r="D4616">
            <v>0</v>
          </cell>
          <cell r="K4616">
            <v>0</v>
          </cell>
        </row>
        <row r="4617">
          <cell r="D4617">
            <v>0</v>
          </cell>
          <cell r="K4617">
            <v>0</v>
          </cell>
        </row>
        <row r="4618">
          <cell r="D4618">
            <v>0</v>
          </cell>
          <cell r="K4618">
            <v>0</v>
          </cell>
        </row>
        <row r="4619">
          <cell r="D4619">
            <v>0</v>
          </cell>
          <cell r="K4619">
            <v>0</v>
          </cell>
        </row>
        <row r="4620">
          <cell r="D4620">
            <v>0</v>
          </cell>
          <cell r="K4620">
            <v>0</v>
          </cell>
        </row>
        <row r="4621">
          <cell r="D4621">
            <v>0</v>
          </cell>
          <cell r="K4621">
            <v>0</v>
          </cell>
        </row>
        <row r="4622">
          <cell r="D4622">
            <v>0</v>
          </cell>
          <cell r="K4622">
            <v>0</v>
          </cell>
        </row>
        <row r="4623">
          <cell r="D4623">
            <v>0</v>
          </cell>
          <cell r="K4623">
            <v>0</v>
          </cell>
        </row>
        <row r="4628">
          <cell r="K4628">
            <v>0</v>
          </cell>
        </row>
        <row r="4632">
          <cell r="K4632">
            <v>0</v>
          </cell>
        </row>
        <row r="4638">
          <cell r="D4638" t="str">
            <v>AM</v>
          </cell>
        </row>
        <row r="4640">
          <cell r="D4640">
            <v>0</v>
          </cell>
        </row>
        <row r="4642">
          <cell r="D4642">
            <v>0</v>
          </cell>
        </row>
        <row r="4644">
          <cell r="D4644" t="str">
            <v>C</v>
          </cell>
          <cell r="K4644" t="str">
            <v>Amount</v>
          </cell>
        </row>
        <row r="4646">
          <cell r="D4646">
            <v>0</v>
          </cell>
          <cell r="K4646">
            <v>0</v>
          </cell>
        </row>
        <row r="4647">
          <cell r="D4647">
            <v>0</v>
          </cell>
          <cell r="K4647">
            <v>0</v>
          </cell>
        </row>
        <row r="4648">
          <cell r="D4648">
            <v>0</v>
          </cell>
          <cell r="K4648">
            <v>0</v>
          </cell>
        </row>
        <row r="4649">
          <cell r="D4649">
            <v>0</v>
          </cell>
          <cell r="K4649">
            <v>0</v>
          </cell>
        </row>
        <row r="4650">
          <cell r="D4650">
            <v>0</v>
          </cell>
          <cell r="K4650">
            <v>0</v>
          </cell>
        </row>
        <row r="4651">
          <cell r="D4651">
            <v>0</v>
          </cell>
          <cell r="K4651">
            <v>0</v>
          </cell>
        </row>
        <row r="4652">
          <cell r="D4652">
            <v>0</v>
          </cell>
          <cell r="K4652">
            <v>0</v>
          </cell>
        </row>
        <row r="4653">
          <cell r="D4653">
            <v>0</v>
          </cell>
          <cell r="K4653">
            <v>0</v>
          </cell>
        </row>
        <row r="4654">
          <cell r="D4654">
            <v>0</v>
          </cell>
          <cell r="K4654">
            <v>0</v>
          </cell>
        </row>
        <row r="4655">
          <cell r="D4655">
            <v>0</v>
          </cell>
          <cell r="K4655">
            <v>0</v>
          </cell>
        </row>
        <row r="4656">
          <cell r="D4656">
            <v>0</v>
          </cell>
          <cell r="K4656">
            <v>0</v>
          </cell>
        </row>
        <row r="4657">
          <cell r="D4657">
            <v>0</v>
          </cell>
          <cell r="K4657">
            <v>0</v>
          </cell>
        </row>
        <row r="4658">
          <cell r="D4658">
            <v>0</v>
          </cell>
          <cell r="K4658">
            <v>0</v>
          </cell>
        </row>
        <row r="4659">
          <cell r="D4659">
            <v>0</v>
          </cell>
          <cell r="K4659">
            <v>0</v>
          </cell>
        </row>
        <row r="4660">
          <cell r="D4660">
            <v>0</v>
          </cell>
          <cell r="K4660">
            <v>0</v>
          </cell>
        </row>
        <row r="4661">
          <cell r="D4661">
            <v>0</v>
          </cell>
          <cell r="K4661">
            <v>0</v>
          </cell>
        </row>
        <row r="4666">
          <cell r="K4666">
            <v>0</v>
          </cell>
        </row>
        <row r="4670">
          <cell r="K4670">
            <v>0</v>
          </cell>
        </row>
        <row r="4676">
          <cell r="D4676" t="str">
            <v>AM</v>
          </cell>
        </row>
        <row r="4682">
          <cell r="D4682" t="str">
            <v>C</v>
          </cell>
          <cell r="K4682" t="str">
            <v>Amount</v>
          </cell>
        </row>
        <row r="4684">
          <cell r="K4684">
            <v>0</v>
          </cell>
        </row>
        <row r="4685">
          <cell r="K4685">
            <v>0</v>
          </cell>
        </row>
        <row r="4686">
          <cell r="K4686">
            <v>0</v>
          </cell>
        </row>
        <row r="4687">
          <cell r="K4687">
            <v>0</v>
          </cell>
        </row>
        <row r="4688">
          <cell r="K4688">
            <v>0</v>
          </cell>
        </row>
        <row r="4689">
          <cell r="K4689">
            <v>0</v>
          </cell>
        </row>
        <row r="4690">
          <cell r="K4690">
            <v>0</v>
          </cell>
        </row>
        <row r="4691">
          <cell r="K4691">
            <v>0</v>
          </cell>
        </row>
        <row r="4692">
          <cell r="K4692">
            <v>0</v>
          </cell>
        </row>
        <row r="4693">
          <cell r="K4693">
            <v>0</v>
          </cell>
        </row>
        <row r="4694">
          <cell r="K4694">
            <v>0</v>
          </cell>
        </row>
        <row r="4695">
          <cell r="K4695">
            <v>0</v>
          </cell>
        </row>
        <row r="4696">
          <cell r="K4696">
            <v>0</v>
          </cell>
        </row>
        <row r="4697">
          <cell r="K4697">
            <v>0</v>
          </cell>
        </row>
        <row r="4698">
          <cell r="K4698">
            <v>0</v>
          </cell>
        </row>
        <row r="4699">
          <cell r="K4699">
            <v>0</v>
          </cell>
        </row>
        <row r="4704">
          <cell r="K4704">
            <v>0</v>
          </cell>
        </row>
        <row r="4708">
          <cell r="K4708">
            <v>0</v>
          </cell>
        </row>
        <row r="4714">
          <cell r="D4714" t="str">
            <v>AM</v>
          </cell>
        </row>
        <row r="4716">
          <cell r="D4716">
            <v>0</v>
          </cell>
        </row>
        <row r="4718">
          <cell r="D4718">
            <v>0</v>
          </cell>
        </row>
        <row r="4720">
          <cell r="D4720" t="str">
            <v>C</v>
          </cell>
          <cell r="K4720" t="str">
            <v>Amount</v>
          </cell>
        </row>
        <row r="4722">
          <cell r="D4722">
            <v>0</v>
          </cell>
          <cell r="K4722">
            <v>0</v>
          </cell>
        </row>
        <row r="4723">
          <cell r="D4723">
            <v>0</v>
          </cell>
          <cell r="K4723">
            <v>0</v>
          </cell>
        </row>
        <row r="4724">
          <cell r="D4724">
            <v>0</v>
          </cell>
          <cell r="K4724">
            <v>0</v>
          </cell>
        </row>
        <row r="4725">
          <cell r="D4725">
            <v>0</v>
          </cell>
          <cell r="K4725">
            <v>0</v>
          </cell>
        </row>
        <row r="4726">
          <cell r="D4726">
            <v>0</v>
          </cell>
          <cell r="K4726">
            <v>0</v>
          </cell>
        </row>
        <row r="4727">
          <cell r="D4727">
            <v>0</v>
          </cell>
          <cell r="K4727">
            <v>0</v>
          </cell>
        </row>
        <row r="4728">
          <cell r="D4728">
            <v>0</v>
          </cell>
          <cell r="K4728">
            <v>0</v>
          </cell>
        </row>
        <row r="4729">
          <cell r="D4729">
            <v>0</v>
          </cell>
          <cell r="K4729">
            <v>0</v>
          </cell>
        </row>
        <row r="4730">
          <cell r="D4730">
            <v>0</v>
          </cell>
          <cell r="K4730">
            <v>0</v>
          </cell>
        </row>
        <row r="4731">
          <cell r="D4731">
            <v>0</v>
          </cell>
          <cell r="K4731">
            <v>0</v>
          </cell>
        </row>
        <row r="4732">
          <cell r="D4732">
            <v>0</v>
          </cell>
          <cell r="K4732">
            <v>0</v>
          </cell>
        </row>
        <row r="4733">
          <cell r="D4733">
            <v>0</v>
          </cell>
          <cell r="K4733">
            <v>0</v>
          </cell>
        </row>
        <row r="4734">
          <cell r="D4734">
            <v>0</v>
          </cell>
          <cell r="K4734">
            <v>0</v>
          </cell>
        </row>
        <row r="4735">
          <cell r="D4735">
            <v>0</v>
          </cell>
          <cell r="K4735">
            <v>0</v>
          </cell>
        </row>
        <row r="4736">
          <cell r="D4736">
            <v>0</v>
          </cell>
          <cell r="K4736">
            <v>0</v>
          </cell>
        </row>
        <row r="4737">
          <cell r="D4737">
            <v>0</v>
          </cell>
          <cell r="K4737">
            <v>0</v>
          </cell>
        </row>
        <row r="4742">
          <cell r="K4742">
            <v>0</v>
          </cell>
        </row>
        <row r="4746">
          <cell r="K4746">
            <v>0</v>
          </cell>
        </row>
        <row r="4752">
          <cell r="D4752" t="str">
            <v>AM</v>
          </cell>
        </row>
        <row r="4754">
          <cell r="D4754">
            <v>0</v>
          </cell>
        </row>
        <row r="4756">
          <cell r="D4756">
            <v>0</v>
          </cell>
        </row>
        <row r="4758">
          <cell r="D4758" t="str">
            <v>C</v>
          </cell>
          <cell r="K4758" t="str">
            <v>Amount</v>
          </cell>
        </row>
        <row r="4760">
          <cell r="D4760">
            <v>0</v>
          </cell>
          <cell r="K4760">
            <v>0</v>
          </cell>
        </row>
        <row r="4761">
          <cell r="D4761">
            <v>0</v>
          </cell>
          <cell r="K4761">
            <v>0</v>
          </cell>
        </row>
        <row r="4762">
          <cell r="D4762">
            <v>0</v>
          </cell>
          <cell r="K4762">
            <v>0</v>
          </cell>
        </row>
        <row r="4763">
          <cell r="D4763">
            <v>0</v>
          </cell>
          <cell r="K4763">
            <v>0</v>
          </cell>
        </row>
        <row r="4764">
          <cell r="D4764">
            <v>0</v>
          </cell>
          <cell r="K4764">
            <v>0</v>
          </cell>
        </row>
        <row r="4765">
          <cell r="D4765">
            <v>0</v>
          </cell>
          <cell r="K4765">
            <v>0</v>
          </cell>
        </row>
        <row r="4766">
          <cell r="D4766">
            <v>0</v>
          </cell>
          <cell r="K4766">
            <v>0</v>
          </cell>
        </row>
        <row r="4767">
          <cell r="D4767">
            <v>0</v>
          </cell>
          <cell r="K4767">
            <v>0</v>
          </cell>
        </row>
        <row r="4768">
          <cell r="D4768">
            <v>0</v>
          </cell>
          <cell r="K4768">
            <v>0</v>
          </cell>
        </row>
        <row r="4769">
          <cell r="D4769">
            <v>0</v>
          </cell>
          <cell r="K4769">
            <v>0</v>
          </cell>
        </row>
        <row r="4770">
          <cell r="D4770">
            <v>0</v>
          </cell>
          <cell r="K4770">
            <v>0</v>
          </cell>
        </row>
        <row r="4771">
          <cell r="D4771">
            <v>0</v>
          </cell>
          <cell r="K4771">
            <v>0</v>
          </cell>
        </row>
        <row r="4772">
          <cell r="D4772">
            <v>0</v>
          </cell>
          <cell r="K4772">
            <v>0</v>
          </cell>
        </row>
        <row r="4773">
          <cell r="D4773">
            <v>0</v>
          </cell>
          <cell r="K4773">
            <v>0</v>
          </cell>
        </row>
        <row r="4774">
          <cell r="D4774">
            <v>0</v>
          </cell>
          <cell r="K4774">
            <v>0</v>
          </cell>
        </row>
        <row r="4775">
          <cell r="D4775">
            <v>0</v>
          </cell>
          <cell r="K4775">
            <v>0</v>
          </cell>
        </row>
        <row r="4780">
          <cell r="K4780">
            <v>0</v>
          </cell>
        </row>
        <row r="4784">
          <cell r="K4784">
            <v>0</v>
          </cell>
        </row>
        <row r="4790">
          <cell r="D4790" t="str">
            <v>AM</v>
          </cell>
        </row>
        <row r="4796">
          <cell r="D4796" t="str">
            <v>C</v>
          </cell>
          <cell r="K4796" t="str">
            <v>Amount</v>
          </cell>
        </row>
        <row r="4798">
          <cell r="K4798">
            <v>0</v>
          </cell>
        </row>
        <row r="4799">
          <cell r="K4799">
            <v>0</v>
          </cell>
        </row>
        <row r="4800">
          <cell r="K4800">
            <v>0</v>
          </cell>
        </row>
        <row r="4801">
          <cell r="K4801">
            <v>0</v>
          </cell>
        </row>
        <row r="4802">
          <cell r="K4802">
            <v>0</v>
          </cell>
        </row>
        <row r="4803">
          <cell r="K4803">
            <v>0</v>
          </cell>
        </row>
        <row r="4804">
          <cell r="K4804">
            <v>0</v>
          </cell>
        </row>
        <row r="4805">
          <cell r="K4805">
            <v>0</v>
          </cell>
        </row>
        <row r="4806">
          <cell r="K4806">
            <v>0</v>
          </cell>
        </row>
        <row r="4807">
          <cell r="K4807">
            <v>0</v>
          </cell>
        </row>
        <row r="4808">
          <cell r="K4808">
            <v>0</v>
          </cell>
        </row>
        <row r="4809">
          <cell r="K4809">
            <v>0</v>
          </cell>
        </row>
        <row r="4810">
          <cell r="K4810">
            <v>0</v>
          </cell>
        </row>
        <row r="4811">
          <cell r="K4811">
            <v>0</v>
          </cell>
        </row>
        <row r="4812">
          <cell r="K4812">
            <v>0</v>
          </cell>
        </row>
        <row r="4813">
          <cell r="K4813">
            <v>0</v>
          </cell>
        </row>
        <row r="4818">
          <cell r="K4818">
            <v>0</v>
          </cell>
        </row>
        <row r="4822">
          <cell r="K4822">
            <v>0</v>
          </cell>
        </row>
        <row r="4828">
          <cell r="D4828" t="str">
            <v>AM</v>
          </cell>
        </row>
        <row r="4830">
          <cell r="D4830">
            <v>0</v>
          </cell>
        </row>
        <row r="4832">
          <cell r="D4832">
            <v>0</v>
          </cell>
        </row>
        <row r="4834">
          <cell r="D4834" t="str">
            <v>C</v>
          </cell>
          <cell r="K4834" t="str">
            <v>Amount</v>
          </cell>
        </row>
        <row r="4836">
          <cell r="D4836">
            <v>0</v>
          </cell>
          <cell r="K4836">
            <v>0</v>
          </cell>
        </row>
        <row r="4837">
          <cell r="D4837">
            <v>0</v>
          </cell>
          <cell r="K4837">
            <v>0</v>
          </cell>
        </row>
        <row r="4838">
          <cell r="D4838">
            <v>0</v>
          </cell>
          <cell r="K4838">
            <v>0</v>
          </cell>
        </row>
        <row r="4839">
          <cell r="D4839">
            <v>0</v>
          </cell>
          <cell r="K4839">
            <v>0</v>
          </cell>
        </row>
        <row r="4840">
          <cell r="D4840">
            <v>0</v>
          </cell>
          <cell r="K4840">
            <v>0</v>
          </cell>
        </row>
        <row r="4841">
          <cell r="D4841">
            <v>0</v>
          </cell>
          <cell r="K4841">
            <v>0</v>
          </cell>
        </row>
        <row r="4842">
          <cell r="D4842">
            <v>0</v>
          </cell>
          <cell r="K4842">
            <v>0</v>
          </cell>
        </row>
        <row r="4843">
          <cell r="D4843">
            <v>0</v>
          </cell>
          <cell r="K4843">
            <v>0</v>
          </cell>
        </row>
        <row r="4844">
          <cell r="D4844">
            <v>0</v>
          </cell>
          <cell r="K4844">
            <v>0</v>
          </cell>
        </row>
        <row r="4845">
          <cell r="D4845">
            <v>0</v>
          </cell>
          <cell r="K4845">
            <v>0</v>
          </cell>
        </row>
        <row r="4846">
          <cell r="D4846">
            <v>0</v>
          </cell>
          <cell r="K4846">
            <v>0</v>
          </cell>
        </row>
        <row r="4847">
          <cell r="D4847">
            <v>0</v>
          </cell>
          <cell r="K4847">
            <v>0</v>
          </cell>
        </row>
        <row r="4848">
          <cell r="D4848">
            <v>0</v>
          </cell>
          <cell r="K4848">
            <v>0</v>
          </cell>
        </row>
        <row r="4849">
          <cell r="D4849">
            <v>0</v>
          </cell>
          <cell r="K4849">
            <v>0</v>
          </cell>
        </row>
        <row r="4850">
          <cell r="D4850">
            <v>0</v>
          </cell>
          <cell r="K4850">
            <v>0</v>
          </cell>
        </row>
        <row r="4851">
          <cell r="D4851">
            <v>0</v>
          </cell>
          <cell r="K4851">
            <v>0</v>
          </cell>
        </row>
        <row r="4856">
          <cell r="K4856">
            <v>0</v>
          </cell>
        </row>
        <row r="4860">
          <cell r="K4860">
            <v>0</v>
          </cell>
        </row>
        <row r="4866">
          <cell r="D4866" t="str">
            <v>AM</v>
          </cell>
        </row>
        <row r="4868">
          <cell r="D4868">
            <v>0</v>
          </cell>
        </row>
        <row r="4870">
          <cell r="D4870">
            <v>0</v>
          </cell>
        </row>
        <row r="4872">
          <cell r="D4872" t="str">
            <v>C</v>
          </cell>
          <cell r="K4872" t="str">
            <v>Amount</v>
          </cell>
        </row>
        <row r="4874">
          <cell r="D4874">
            <v>0</v>
          </cell>
          <cell r="K4874">
            <v>0</v>
          </cell>
        </row>
        <row r="4875">
          <cell r="D4875">
            <v>0</v>
          </cell>
          <cell r="K4875">
            <v>0</v>
          </cell>
        </row>
        <row r="4876">
          <cell r="D4876">
            <v>0</v>
          </cell>
          <cell r="K4876">
            <v>0</v>
          </cell>
        </row>
        <row r="4877">
          <cell r="D4877">
            <v>0</v>
          </cell>
          <cell r="K4877">
            <v>0</v>
          </cell>
        </row>
        <row r="4878">
          <cell r="D4878">
            <v>0</v>
          </cell>
          <cell r="K4878">
            <v>0</v>
          </cell>
        </row>
        <row r="4879">
          <cell r="D4879">
            <v>0</v>
          </cell>
          <cell r="K4879">
            <v>0</v>
          </cell>
        </row>
        <row r="4880">
          <cell r="D4880">
            <v>0</v>
          </cell>
          <cell r="K4880">
            <v>0</v>
          </cell>
        </row>
        <row r="4881">
          <cell r="D4881">
            <v>0</v>
          </cell>
          <cell r="K4881">
            <v>0</v>
          </cell>
        </row>
        <row r="4882">
          <cell r="D4882">
            <v>0</v>
          </cell>
          <cell r="K4882">
            <v>0</v>
          </cell>
        </row>
        <row r="4883">
          <cell r="D4883">
            <v>0</v>
          </cell>
          <cell r="K4883">
            <v>0</v>
          </cell>
        </row>
        <row r="4884">
          <cell r="D4884">
            <v>0</v>
          </cell>
          <cell r="K4884">
            <v>0</v>
          </cell>
        </row>
        <row r="4885">
          <cell r="D4885">
            <v>0</v>
          </cell>
          <cell r="K4885">
            <v>0</v>
          </cell>
        </row>
        <row r="4886">
          <cell r="D4886">
            <v>0</v>
          </cell>
          <cell r="K4886">
            <v>0</v>
          </cell>
        </row>
        <row r="4887">
          <cell r="D4887">
            <v>0</v>
          </cell>
          <cell r="K4887">
            <v>0</v>
          </cell>
        </row>
        <row r="4888">
          <cell r="D4888">
            <v>0</v>
          </cell>
          <cell r="K4888">
            <v>0</v>
          </cell>
        </row>
        <row r="4889">
          <cell r="D4889">
            <v>0</v>
          </cell>
          <cell r="K4889">
            <v>0</v>
          </cell>
        </row>
        <row r="4894">
          <cell r="K4894">
            <v>0</v>
          </cell>
        </row>
        <row r="4898">
          <cell r="K4898">
            <v>0</v>
          </cell>
        </row>
        <row r="4904">
          <cell r="D4904" t="str">
            <v>AM</v>
          </cell>
        </row>
        <row r="4910">
          <cell r="D4910" t="str">
            <v>C</v>
          </cell>
          <cell r="K4910" t="str">
            <v>Amount</v>
          </cell>
        </row>
        <row r="4912">
          <cell r="K4912">
            <v>0</v>
          </cell>
        </row>
        <row r="4913">
          <cell r="K4913">
            <v>0</v>
          </cell>
        </row>
        <row r="4914">
          <cell r="K4914">
            <v>0</v>
          </cell>
        </row>
        <row r="4915">
          <cell r="K4915">
            <v>0</v>
          </cell>
        </row>
        <row r="4916">
          <cell r="K4916">
            <v>0</v>
          </cell>
        </row>
        <row r="4917">
          <cell r="K4917">
            <v>0</v>
          </cell>
        </row>
        <row r="4918">
          <cell r="K4918">
            <v>0</v>
          </cell>
        </row>
        <row r="4919">
          <cell r="K4919">
            <v>0</v>
          </cell>
        </row>
        <row r="4920">
          <cell r="K4920">
            <v>0</v>
          </cell>
        </row>
        <row r="4921">
          <cell r="K4921">
            <v>0</v>
          </cell>
        </row>
        <row r="4922">
          <cell r="K4922">
            <v>0</v>
          </cell>
        </row>
        <row r="4923">
          <cell r="K4923">
            <v>0</v>
          </cell>
        </row>
        <row r="4924">
          <cell r="K4924">
            <v>0</v>
          </cell>
        </row>
        <row r="4925">
          <cell r="K4925">
            <v>0</v>
          </cell>
        </row>
        <row r="4926">
          <cell r="K4926">
            <v>0</v>
          </cell>
        </row>
        <row r="4927">
          <cell r="K4927">
            <v>0</v>
          </cell>
        </row>
        <row r="4932">
          <cell r="K4932">
            <v>0</v>
          </cell>
        </row>
        <row r="4936">
          <cell r="K4936">
            <v>0</v>
          </cell>
        </row>
        <row r="4942">
          <cell r="D4942" t="str">
            <v>AM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  <cell r="K4948" t="str">
            <v>Amount</v>
          </cell>
        </row>
        <row r="4950">
          <cell r="D4950">
            <v>0</v>
          </cell>
          <cell r="K4950">
            <v>0</v>
          </cell>
        </row>
        <row r="4951">
          <cell r="D4951">
            <v>0</v>
          </cell>
          <cell r="K4951">
            <v>0</v>
          </cell>
        </row>
        <row r="4952">
          <cell r="D4952">
            <v>0</v>
          </cell>
          <cell r="K4952">
            <v>0</v>
          </cell>
        </row>
        <row r="4953">
          <cell r="D4953">
            <v>0</v>
          </cell>
          <cell r="K4953">
            <v>0</v>
          </cell>
        </row>
        <row r="4954">
          <cell r="D4954">
            <v>0</v>
          </cell>
          <cell r="K4954">
            <v>0</v>
          </cell>
        </row>
        <row r="4955">
          <cell r="D4955">
            <v>0</v>
          </cell>
          <cell r="K4955">
            <v>0</v>
          </cell>
        </row>
        <row r="4956">
          <cell r="D4956">
            <v>0</v>
          </cell>
          <cell r="K4956">
            <v>0</v>
          </cell>
        </row>
        <row r="4957">
          <cell r="D4957">
            <v>0</v>
          </cell>
          <cell r="K4957">
            <v>0</v>
          </cell>
        </row>
        <row r="4958">
          <cell r="D4958">
            <v>0</v>
          </cell>
          <cell r="K4958">
            <v>0</v>
          </cell>
        </row>
        <row r="4959">
          <cell r="D4959">
            <v>0</v>
          </cell>
          <cell r="K4959">
            <v>0</v>
          </cell>
        </row>
        <row r="4960">
          <cell r="D4960">
            <v>0</v>
          </cell>
          <cell r="K4960">
            <v>0</v>
          </cell>
        </row>
        <row r="4961">
          <cell r="D4961">
            <v>0</v>
          </cell>
          <cell r="K4961">
            <v>0</v>
          </cell>
        </row>
        <row r="4962">
          <cell r="D4962">
            <v>0</v>
          </cell>
          <cell r="K4962">
            <v>0</v>
          </cell>
        </row>
        <row r="4963">
          <cell r="D4963">
            <v>0</v>
          </cell>
          <cell r="K4963">
            <v>0</v>
          </cell>
        </row>
        <row r="4964">
          <cell r="D4964">
            <v>0</v>
          </cell>
          <cell r="K4964">
            <v>0</v>
          </cell>
        </row>
        <row r="4965">
          <cell r="D4965">
            <v>0</v>
          </cell>
          <cell r="K4965">
            <v>0</v>
          </cell>
        </row>
        <row r="4970">
          <cell r="K4970">
            <v>0</v>
          </cell>
        </row>
        <row r="4974">
          <cell r="K4974">
            <v>0</v>
          </cell>
        </row>
        <row r="4980">
          <cell r="D4980" t="str">
            <v>AM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  <cell r="K4986" t="str">
            <v>Amount</v>
          </cell>
        </row>
        <row r="4988">
          <cell r="D4988">
            <v>0</v>
          </cell>
          <cell r="K4988">
            <v>0</v>
          </cell>
        </row>
        <row r="4989">
          <cell r="D4989">
            <v>0</v>
          </cell>
          <cell r="K4989">
            <v>0</v>
          </cell>
        </row>
        <row r="4990">
          <cell r="D4990">
            <v>0</v>
          </cell>
          <cell r="K4990">
            <v>0</v>
          </cell>
        </row>
        <row r="4991">
          <cell r="D4991">
            <v>0</v>
          </cell>
          <cell r="K4991">
            <v>0</v>
          </cell>
        </row>
        <row r="4992">
          <cell r="D4992">
            <v>0</v>
          </cell>
          <cell r="K4992">
            <v>0</v>
          </cell>
        </row>
        <row r="4993">
          <cell r="D4993">
            <v>0</v>
          </cell>
          <cell r="K4993">
            <v>0</v>
          </cell>
        </row>
        <row r="4994">
          <cell r="D4994">
            <v>0</v>
          </cell>
          <cell r="K4994">
            <v>0</v>
          </cell>
        </row>
        <row r="4995">
          <cell r="D4995">
            <v>0</v>
          </cell>
          <cell r="K4995">
            <v>0</v>
          </cell>
        </row>
        <row r="4996">
          <cell r="D4996">
            <v>0</v>
          </cell>
          <cell r="K4996">
            <v>0</v>
          </cell>
        </row>
        <row r="4997">
          <cell r="D4997">
            <v>0</v>
          </cell>
          <cell r="K4997">
            <v>0</v>
          </cell>
        </row>
        <row r="4998">
          <cell r="D4998">
            <v>0</v>
          </cell>
          <cell r="K4998">
            <v>0</v>
          </cell>
        </row>
        <row r="4999">
          <cell r="D4999">
            <v>0</v>
          </cell>
          <cell r="K4999">
            <v>0</v>
          </cell>
        </row>
        <row r="5000">
          <cell r="D5000">
            <v>0</v>
          </cell>
          <cell r="K5000">
            <v>0</v>
          </cell>
        </row>
        <row r="5001">
          <cell r="D5001">
            <v>0</v>
          </cell>
          <cell r="K5001">
            <v>0</v>
          </cell>
        </row>
        <row r="5002">
          <cell r="D5002">
            <v>0</v>
          </cell>
          <cell r="K5002">
            <v>0</v>
          </cell>
        </row>
        <row r="5003">
          <cell r="D5003">
            <v>0</v>
          </cell>
          <cell r="K5003">
            <v>0</v>
          </cell>
        </row>
        <row r="5008">
          <cell r="K5008">
            <v>0</v>
          </cell>
        </row>
        <row r="5012">
          <cell r="K5012">
            <v>0</v>
          </cell>
        </row>
        <row r="5018">
          <cell r="D5018" t="str">
            <v>AM</v>
          </cell>
        </row>
        <row r="5024">
          <cell r="D5024" t="str">
            <v>C</v>
          </cell>
          <cell r="K5024" t="str">
            <v>Amount</v>
          </cell>
        </row>
        <row r="5026">
          <cell r="K5026">
            <v>0</v>
          </cell>
        </row>
        <row r="5027">
          <cell r="K5027">
            <v>0</v>
          </cell>
        </row>
        <row r="5028">
          <cell r="K5028">
            <v>0</v>
          </cell>
        </row>
        <row r="5029">
          <cell r="K5029">
            <v>0</v>
          </cell>
        </row>
        <row r="5030">
          <cell r="K5030">
            <v>0</v>
          </cell>
        </row>
        <row r="5031">
          <cell r="K5031">
            <v>0</v>
          </cell>
        </row>
        <row r="5032">
          <cell r="K5032">
            <v>0</v>
          </cell>
        </row>
        <row r="5033">
          <cell r="K5033">
            <v>0</v>
          </cell>
        </row>
        <row r="5034">
          <cell r="K5034">
            <v>0</v>
          </cell>
        </row>
        <row r="5035">
          <cell r="K5035">
            <v>0</v>
          </cell>
        </row>
        <row r="5036">
          <cell r="K5036">
            <v>0</v>
          </cell>
        </row>
        <row r="5037">
          <cell r="K5037">
            <v>0</v>
          </cell>
        </row>
        <row r="5038">
          <cell r="K5038">
            <v>0</v>
          </cell>
        </row>
        <row r="5039">
          <cell r="K5039">
            <v>0</v>
          </cell>
        </row>
        <row r="5040">
          <cell r="K5040">
            <v>0</v>
          </cell>
        </row>
        <row r="5041">
          <cell r="K5041">
            <v>0</v>
          </cell>
        </row>
        <row r="5046">
          <cell r="K5046">
            <v>0</v>
          </cell>
        </row>
        <row r="5050">
          <cell r="K5050">
            <v>0</v>
          </cell>
        </row>
        <row r="5056">
          <cell r="D5056" t="str">
            <v>AM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  <cell r="K5062" t="str">
            <v>Amount</v>
          </cell>
        </row>
        <row r="5064">
          <cell r="D5064">
            <v>0</v>
          </cell>
          <cell r="K5064">
            <v>0</v>
          </cell>
        </row>
        <row r="5065">
          <cell r="D5065">
            <v>0</v>
          </cell>
          <cell r="K5065">
            <v>0</v>
          </cell>
        </row>
        <row r="5066">
          <cell r="D5066">
            <v>0</v>
          </cell>
          <cell r="K5066">
            <v>0</v>
          </cell>
        </row>
        <row r="5067">
          <cell r="D5067">
            <v>0</v>
          </cell>
          <cell r="K5067">
            <v>0</v>
          </cell>
        </row>
        <row r="5068">
          <cell r="D5068">
            <v>0</v>
          </cell>
          <cell r="K5068">
            <v>0</v>
          </cell>
        </row>
        <row r="5069">
          <cell r="D5069">
            <v>0</v>
          </cell>
          <cell r="K5069">
            <v>0</v>
          </cell>
        </row>
        <row r="5070">
          <cell r="D5070">
            <v>0</v>
          </cell>
          <cell r="K5070">
            <v>0</v>
          </cell>
        </row>
        <row r="5071">
          <cell r="D5071">
            <v>0</v>
          </cell>
          <cell r="K5071">
            <v>0</v>
          </cell>
        </row>
        <row r="5072">
          <cell r="D5072">
            <v>0</v>
          </cell>
          <cell r="K5072">
            <v>0</v>
          </cell>
        </row>
        <row r="5073">
          <cell r="D5073">
            <v>0</v>
          </cell>
          <cell r="K5073">
            <v>0</v>
          </cell>
        </row>
        <row r="5074">
          <cell r="D5074">
            <v>0</v>
          </cell>
          <cell r="K5074">
            <v>0</v>
          </cell>
        </row>
        <row r="5075">
          <cell r="D5075">
            <v>0</v>
          </cell>
          <cell r="K5075">
            <v>0</v>
          </cell>
        </row>
        <row r="5076">
          <cell r="D5076">
            <v>0</v>
          </cell>
          <cell r="K5076">
            <v>0</v>
          </cell>
        </row>
        <row r="5077">
          <cell r="D5077">
            <v>0</v>
          </cell>
          <cell r="K5077">
            <v>0</v>
          </cell>
        </row>
        <row r="5078">
          <cell r="D5078">
            <v>0</v>
          </cell>
          <cell r="K5078">
            <v>0</v>
          </cell>
        </row>
        <row r="5079">
          <cell r="D5079">
            <v>0</v>
          </cell>
          <cell r="K5079">
            <v>0</v>
          </cell>
        </row>
        <row r="5084">
          <cell r="K5084">
            <v>0</v>
          </cell>
        </row>
        <row r="5088">
          <cell r="K5088">
            <v>0</v>
          </cell>
        </row>
        <row r="5094">
          <cell r="D5094" t="str">
            <v>AM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  <cell r="K5100" t="str">
            <v>Amount</v>
          </cell>
        </row>
        <row r="5102">
          <cell r="D5102">
            <v>0</v>
          </cell>
          <cell r="K5102">
            <v>0</v>
          </cell>
        </row>
        <row r="5103">
          <cell r="D5103">
            <v>0</v>
          </cell>
          <cell r="K5103">
            <v>0</v>
          </cell>
        </row>
        <row r="5104">
          <cell r="D5104">
            <v>0</v>
          </cell>
          <cell r="K5104">
            <v>0</v>
          </cell>
        </row>
        <row r="5105">
          <cell r="D5105">
            <v>0</v>
          </cell>
          <cell r="K5105">
            <v>0</v>
          </cell>
        </row>
        <row r="5106">
          <cell r="D5106">
            <v>0</v>
          </cell>
          <cell r="K5106">
            <v>0</v>
          </cell>
        </row>
        <row r="5107">
          <cell r="D5107">
            <v>0</v>
          </cell>
          <cell r="K5107">
            <v>0</v>
          </cell>
        </row>
        <row r="5108">
          <cell r="D5108">
            <v>0</v>
          </cell>
          <cell r="K5108">
            <v>0</v>
          </cell>
        </row>
        <row r="5109">
          <cell r="D5109">
            <v>0</v>
          </cell>
          <cell r="K5109">
            <v>0</v>
          </cell>
        </row>
        <row r="5110">
          <cell r="D5110">
            <v>0</v>
          </cell>
          <cell r="K5110">
            <v>0</v>
          </cell>
        </row>
        <row r="5111">
          <cell r="D5111">
            <v>0</v>
          </cell>
          <cell r="K5111">
            <v>0</v>
          </cell>
        </row>
        <row r="5112">
          <cell r="D5112">
            <v>0</v>
          </cell>
          <cell r="K5112">
            <v>0</v>
          </cell>
        </row>
        <row r="5113">
          <cell r="D5113">
            <v>0</v>
          </cell>
          <cell r="K5113">
            <v>0</v>
          </cell>
        </row>
        <row r="5114">
          <cell r="D5114">
            <v>0</v>
          </cell>
          <cell r="K5114">
            <v>0</v>
          </cell>
        </row>
        <row r="5115">
          <cell r="D5115">
            <v>0</v>
          </cell>
          <cell r="K5115">
            <v>0</v>
          </cell>
        </row>
        <row r="5116">
          <cell r="D5116">
            <v>0</v>
          </cell>
          <cell r="K5116">
            <v>0</v>
          </cell>
        </row>
        <row r="5117">
          <cell r="D5117">
            <v>0</v>
          </cell>
          <cell r="K5117">
            <v>0</v>
          </cell>
        </row>
        <row r="5122">
          <cell r="K5122">
            <v>0</v>
          </cell>
        </row>
        <row r="5126">
          <cell r="K5126">
            <v>0</v>
          </cell>
        </row>
        <row r="5132">
          <cell r="D5132" t="str">
            <v>AM</v>
          </cell>
        </row>
        <row r="5138">
          <cell r="D5138" t="str">
            <v>C</v>
          </cell>
          <cell r="K5138" t="str">
            <v>Amount</v>
          </cell>
        </row>
        <row r="5140">
          <cell r="K5140">
            <v>0</v>
          </cell>
        </row>
        <row r="5141">
          <cell r="K5141">
            <v>0</v>
          </cell>
        </row>
        <row r="5142">
          <cell r="K5142">
            <v>0</v>
          </cell>
        </row>
        <row r="5143">
          <cell r="K5143">
            <v>0</v>
          </cell>
        </row>
        <row r="5144">
          <cell r="K5144">
            <v>0</v>
          </cell>
        </row>
        <row r="5145">
          <cell r="K5145">
            <v>0</v>
          </cell>
        </row>
        <row r="5146">
          <cell r="K5146">
            <v>0</v>
          </cell>
        </row>
        <row r="5147">
          <cell r="K5147">
            <v>0</v>
          </cell>
        </row>
        <row r="5148">
          <cell r="K5148">
            <v>0</v>
          </cell>
        </row>
        <row r="5149">
          <cell r="K5149">
            <v>0</v>
          </cell>
        </row>
        <row r="5150">
          <cell r="K5150">
            <v>0</v>
          </cell>
        </row>
        <row r="5151">
          <cell r="K5151">
            <v>0</v>
          </cell>
        </row>
        <row r="5152">
          <cell r="K5152">
            <v>0</v>
          </cell>
        </row>
        <row r="5153">
          <cell r="K5153">
            <v>0</v>
          </cell>
        </row>
        <row r="5154">
          <cell r="K5154">
            <v>0</v>
          </cell>
        </row>
        <row r="5155">
          <cell r="K5155">
            <v>0</v>
          </cell>
        </row>
        <row r="5160">
          <cell r="K5160">
            <v>0</v>
          </cell>
        </row>
        <row r="5164">
          <cell r="K5164">
            <v>0</v>
          </cell>
        </row>
        <row r="5170">
          <cell r="D5170" t="str">
            <v>AM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  <cell r="K5176" t="str">
            <v>Amount</v>
          </cell>
        </row>
        <row r="5178">
          <cell r="D5178">
            <v>0</v>
          </cell>
          <cell r="K5178">
            <v>0</v>
          </cell>
        </row>
        <row r="5179">
          <cell r="D5179">
            <v>0</v>
          </cell>
          <cell r="K5179">
            <v>0</v>
          </cell>
        </row>
        <row r="5180">
          <cell r="D5180">
            <v>0</v>
          </cell>
          <cell r="K5180">
            <v>0</v>
          </cell>
        </row>
        <row r="5181">
          <cell r="D5181">
            <v>0</v>
          </cell>
          <cell r="K5181">
            <v>0</v>
          </cell>
        </row>
        <row r="5182">
          <cell r="D5182">
            <v>0</v>
          </cell>
          <cell r="K5182">
            <v>0</v>
          </cell>
        </row>
        <row r="5183">
          <cell r="D5183">
            <v>0</v>
          </cell>
          <cell r="K5183">
            <v>0</v>
          </cell>
        </row>
        <row r="5184">
          <cell r="D5184">
            <v>0</v>
          </cell>
          <cell r="K5184">
            <v>0</v>
          </cell>
        </row>
        <row r="5185">
          <cell r="D5185">
            <v>0</v>
          </cell>
          <cell r="K5185">
            <v>0</v>
          </cell>
        </row>
        <row r="5186">
          <cell r="D5186">
            <v>0</v>
          </cell>
          <cell r="K5186">
            <v>0</v>
          </cell>
        </row>
        <row r="5187">
          <cell r="D5187">
            <v>0</v>
          </cell>
          <cell r="K5187">
            <v>0</v>
          </cell>
        </row>
        <row r="5188">
          <cell r="D5188">
            <v>0</v>
          </cell>
          <cell r="K5188">
            <v>0</v>
          </cell>
        </row>
        <row r="5189">
          <cell r="D5189">
            <v>0</v>
          </cell>
          <cell r="K5189">
            <v>0</v>
          </cell>
        </row>
        <row r="5190">
          <cell r="D5190">
            <v>0</v>
          </cell>
          <cell r="K5190">
            <v>0</v>
          </cell>
        </row>
        <row r="5191">
          <cell r="D5191">
            <v>0</v>
          </cell>
          <cell r="K5191">
            <v>0</v>
          </cell>
        </row>
        <row r="5192">
          <cell r="D5192">
            <v>0</v>
          </cell>
          <cell r="K5192">
            <v>0</v>
          </cell>
        </row>
        <row r="5193">
          <cell r="D5193">
            <v>0</v>
          </cell>
          <cell r="K5193">
            <v>0</v>
          </cell>
        </row>
        <row r="5198">
          <cell r="K5198">
            <v>0</v>
          </cell>
        </row>
        <row r="5202">
          <cell r="K5202">
            <v>0</v>
          </cell>
        </row>
        <row r="5208">
          <cell r="D5208" t="str">
            <v>AM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  <cell r="K5214" t="str">
            <v>Amount</v>
          </cell>
        </row>
        <row r="5216">
          <cell r="D5216">
            <v>0</v>
          </cell>
          <cell r="K5216">
            <v>0</v>
          </cell>
        </row>
        <row r="5217">
          <cell r="D5217">
            <v>0</v>
          </cell>
          <cell r="K5217">
            <v>0</v>
          </cell>
        </row>
        <row r="5218">
          <cell r="D5218">
            <v>0</v>
          </cell>
          <cell r="K5218">
            <v>0</v>
          </cell>
        </row>
        <row r="5219">
          <cell r="D5219">
            <v>0</v>
          </cell>
          <cell r="K5219">
            <v>0</v>
          </cell>
        </row>
        <row r="5220">
          <cell r="D5220">
            <v>0</v>
          </cell>
          <cell r="K5220">
            <v>0</v>
          </cell>
        </row>
        <row r="5221">
          <cell r="D5221">
            <v>0</v>
          </cell>
          <cell r="K5221">
            <v>0</v>
          </cell>
        </row>
        <row r="5222">
          <cell r="D5222">
            <v>0</v>
          </cell>
          <cell r="K5222">
            <v>0</v>
          </cell>
        </row>
        <row r="5223">
          <cell r="D5223">
            <v>0</v>
          </cell>
          <cell r="K5223">
            <v>0</v>
          </cell>
        </row>
        <row r="5224">
          <cell r="D5224">
            <v>0</v>
          </cell>
          <cell r="K5224">
            <v>0</v>
          </cell>
        </row>
        <row r="5225">
          <cell r="D5225">
            <v>0</v>
          </cell>
          <cell r="K5225">
            <v>0</v>
          </cell>
        </row>
        <row r="5226">
          <cell r="D5226">
            <v>0</v>
          </cell>
          <cell r="K5226">
            <v>0</v>
          </cell>
        </row>
        <row r="5227">
          <cell r="D5227">
            <v>0</v>
          </cell>
          <cell r="K5227">
            <v>0</v>
          </cell>
        </row>
        <row r="5228">
          <cell r="D5228">
            <v>0</v>
          </cell>
          <cell r="K5228">
            <v>0</v>
          </cell>
        </row>
        <row r="5229">
          <cell r="D5229">
            <v>0</v>
          </cell>
          <cell r="K5229">
            <v>0</v>
          </cell>
        </row>
        <row r="5230">
          <cell r="D5230">
            <v>0</v>
          </cell>
          <cell r="K5230">
            <v>0</v>
          </cell>
        </row>
        <row r="5231">
          <cell r="D5231">
            <v>0</v>
          </cell>
          <cell r="K5231">
            <v>0</v>
          </cell>
        </row>
        <row r="5236">
          <cell r="K5236">
            <v>0</v>
          </cell>
        </row>
        <row r="5240">
          <cell r="K5240">
            <v>0</v>
          </cell>
        </row>
        <row r="5246">
          <cell r="D5246" t="str">
            <v>AM</v>
          </cell>
        </row>
        <row r="5252">
          <cell r="D5252" t="str">
            <v>C</v>
          </cell>
          <cell r="K5252" t="str">
            <v>Amount</v>
          </cell>
        </row>
        <row r="5254">
          <cell r="K5254">
            <v>0</v>
          </cell>
        </row>
        <row r="5255">
          <cell r="K5255">
            <v>0</v>
          </cell>
        </row>
        <row r="5256">
          <cell r="K5256">
            <v>0</v>
          </cell>
        </row>
        <row r="5257">
          <cell r="K5257">
            <v>0</v>
          </cell>
        </row>
        <row r="5258">
          <cell r="K5258">
            <v>0</v>
          </cell>
        </row>
        <row r="5259">
          <cell r="K5259">
            <v>0</v>
          </cell>
        </row>
        <row r="5260">
          <cell r="K5260">
            <v>0</v>
          </cell>
        </row>
        <row r="5261">
          <cell r="K5261">
            <v>0</v>
          </cell>
        </row>
        <row r="5262">
          <cell r="K5262">
            <v>0</v>
          </cell>
        </row>
        <row r="5263">
          <cell r="K5263">
            <v>0</v>
          </cell>
        </row>
        <row r="5264">
          <cell r="K5264">
            <v>0</v>
          </cell>
        </row>
        <row r="5265">
          <cell r="K5265">
            <v>0</v>
          </cell>
        </row>
        <row r="5266">
          <cell r="K5266">
            <v>0</v>
          </cell>
        </row>
        <row r="5267">
          <cell r="K5267">
            <v>0</v>
          </cell>
        </row>
        <row r="5268">
          <cell r="K5268">
            <v>0</v>
          </cell>
        </row>
        <row r="5269">
          <cell r="K5269">
            <v>0</v>
          </cell>
        </row>
        <row r="5274">
          <cell r="K5274">
            <v>0</v>
          </cell>
        </row>
        <row r="5278">
          <cell r="K5278">
            <v>0</v>
          </cell>
        </row>
        <row r="5284">
          <cell r="D5284" t="str">
            <v>AM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  <cell r="K5290" t="str">
            <v>Amount</v>
          </cell>
        </row>
        <row r="5292">
          <cell r="D5292">
            <v>0</v>
          </cell>
          <cell r="K5292">
            <v>0</v>
          </cell>
        </row>
        <row r="5293">
          <cell r="D5293">
            <v>0</v>
          </cell>
          <cell r="K5293">
            <v>0</v>
          </cell>
        </row>
        <row r="5294">
          <cell r="D5294">
            <v>0</v>
          </cell>
          <cell r="K5294">
            <v>0</v>
          </cell>
        </row>
        <row r="5295">
          <cell r="D5295">
            <v>0</v>
          </cell>
          <cell r="K5295">
            <v>0</v>
          </cell>
        </row>
        <row r="5296">
          <cell r="D5296">
            <v>0</v>
          </cell>
          <cell r="K5296">
            <v>0</v>
          </cell>
        </row>
        <row r="5297">
          <cell r="D5297">
            <v>0</v>
          </cell>
          <cell r="K5297">
            <v>0</v>
          </cell>
        </row>
        <row r="5298">
          <cell r="D5298">
            <v>0</v>
          </cell>
          <cell r="K5298">
            <v>0</v>
          </cell>
        </row>
        <row r="5299">
          <cell r="D5299">
            <v>0</v>
          </cell>
          <cell r="K5299">
            <v>0</v>
          </cell>
        </row>
        <row r="5300">
          <cell r="D5300">
            <v>0</v>
          </cell>
          <cell r="K5300">
            <v>0</v>
          </cell>
        </row>
        <row r="5301">
          <cell r="D5301">
            <v>0</v>
          </cell>
          <cell r="K5301">
            <v>0</v>
          </cell>
        </row>
        <row r="5302">
          <cell r="D5302">
            <v>0</v>
          </cell>
          <cell r="K5302">
            <v>0</v>
          </cell>
        </row>
        <row r="5303">
          <cell r="D5303">
            <v>0</v>
          </cell>
          <cell r="K5303">
            <v>0</v>
          </cell>
        </row>
        <row r="5304">
          <cell r="D5304">
            <v>0</v>
          </cell>
          <cell r="K5304">
            <v>0</v>
          </cell>
        </row>
        <row r="5305">
          <cell r="D5305">
            <v>0</v>
          </cell>
          <cell r="K5305">
            <v>0</v>
          </cell>
        </row>
        <row r="5306">
          <cell r="D5306">
            <v>0</v>
          </cell>
          <cell r="K5306">
            <v>0</v>
          </cell>
        </row>
        <row r="5307">
          <cell r="D5307">
            <v>0</v>
          </cell>
          <cell r="K5307">
            <v>0</v>
          </cell>
        </row>
        <row r="5312">
          <cell r="K5312">
            <v>0</v>
          </cell>
        </row>
        <row r="5316">
          <cell r="K5316">
            <v>0</v>
          </cell>
        </row>
        <row r="5322">
          <cell r="D5322" t="str">
            <v>AM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  <cell r="K5328" t="str">
            <v>Amount</v>
          </cell>
        </row>
        <row r="5330">
          <cell r="D5330">
            <v>0</v>
          </cell>
          <cell r="K5330">
            <v>0</v>
          </cell>
        </row>
        <row r="5331">
          <cell r="D5331">
            <v>0</v>
          </cell>
          <cell r="K5331">
            <v>0</v>
          </cell>
        </row>
        <row r="5332">
          <cell r="D5332">
            <v>0</v>
          </cell>
          <cell r="K5332">
            <v>0</v>
          </cell>
        </row>
        <row r="5333">
          <cell r="D5333">
            <v>0</v>
          </cell>
          <cell r="K5333">
            <v>0</v>
          </cell>
        </row>
        <row r="5334">
          <cell r="D5334">
            <v>0</v>
          </cell>
          <cell r="K5334">
            <v>0</v>
          </cell>
        </row>
        <row r="5335">
          <cell r="D5335">
            <v>0</v>
          </cell>
          <cell r="K5335">
            <v>0</v>
          </cell>
        </row>
        <row r="5336">
          <cell r="D5336">
            <v>0</v>
          </cell>
          <cell r="K5336">
            <v>0</v>
          </cell>
        </row>
        <row r="5337">
          <cell r="D5337">
            <v>0</v>
          </cell>
          <cell r="K5337">
            <v>0</v>
          </cell>
        </row>
        <row r="5338">
          <cell r="D5338">
            <v>0</v>
          </cell>
          <cell r="K5338">
            <v>0</v>
          </cell>
        </row>
        <row r="5339">
          <cell r="D5339">
            <v>0</v>
          </cell>
          <cell r="K5339">
            <v>0</v>
          </cell>
        </row>
        <row r="5340">
          <cell r="D5340">
            <v>0</v>
          </cell>
          <cell r="K5340">
            <v>0</v>
          </cell>
        </row>
        <row r="5341">
          <cell r="D5341">
            <v>0</v>
          </cell>
          <cell r="K5341">
            <v>0</v>
          </cell>
        </row>
        <row r="5342">
          <cell r="D5342">
            <v>0</v>
          </cell>
          <cell r="K5342">
            <v>0</v>
          </cell>
        </row>
        <row r="5343">
          <cell r="D5343">
            <v>0</v>
          </cell>
          <cell r="K5343">
            <v>0</v>
          </cell>
        </row>
        <row r="5344">
          <cell r="D5344">
            <v>0</v>
          </cell>
          <cell r="K5344">
            <v>0</v>
          </cell>
        </row>
        <row r="5345">
          <cell r="D5345">
            <v>0</v>
          </cell>
          <cell r="K5345">
            <v>0</v>
          </cell>
        </row>
        <row r="5350">
          <cell r="K5350">
            <v>0</v>
          </cell>
        </row>
        <row r="5354">
          <cell r="K5354">
            <v>0</v>
          </cell>
        </row>
        <row r="5360">
          <cell r="D5360" t="str">
            <v>AM</v>
          </cell>
        </row>
        <row r="5366">
          <cell r="D5366" t="str">
            <v>C</v>
          </cell>
          <cell r="K5366" t="str">
            <v>Amount</v>
          </cell>
        </row>
        <row r="5368">
          <cell r="K5368">
            <v>0</v>
          </cell>
        </row>
        <row r="5369">
          <cell r="K5369">
            <v>0</v>
          </cell>
        </row>
        <row r="5370">
          <cell r="K5370">
            <v>0</v>
          </cell>
        </row>
        <row r="5371">
          <cell r="K5371">
            <v>0</v>
          </cell>
        </row>
        <row r="5372">
          <cell r="K5372">
            <v>0</v>
          </cell>
        </row>
        <row r="5373">
          <cell r="K5373">
            <v>0</v>
          </cell>
        </row>
        <row r="5374">
          <cell r="K5374">
            <v>0</v>
          </cell>
        </row>
        <row r="5375">
          <cell r="K5375">
            <v>0</v>
          </cell>
        </row>
        <row r="5376">
          <cell r="K5376">
            <v>0</v>
          </cell>
        </row>
        <row r="5377">
          <cell r="K5377">
            <v>0</v>
          </cell>
        </row>
        <row r="5378">
          <cell r="K5378">
            <v>0</v>
          </cell>
        </row>
        <row r="5379">
          <cell r="K5379">
            <v>0</v>
          </cell>
        </row>
        <row r="5380">
          <cell r="K5380">
            <v>0</v>
          </cell>
        </row>
        <row r="5381">
          <cell r="K5381">
            <v>0</v>
          </cell>
        </row>
        <row r="5382">
          <cell r="K5382">
            <v>0</v>
          </cell>
        </row>
        <row r="5383">
          <cell r="K5383">
            <v>0</v>
          </cell>
        </row>
        <row r="5388">
          <cell r="K5388">
            <v>0</v>
          </cell>
        </row>
        <row r="5392">
          <cell r="K5392">
            <v>0</v>
          </cell>
        </row>
        <row r="5398">
          <cell r="D5398" t="str">
            <v>AM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  <cell r="K5404" t="str">
            <v>Amount</v>
          </cell>
        </row>
        <row r="5406">
          <cell r="D5406">
            <v>0</v>
          </cell>
          <cell r="K5406">
            <v>0</v>
          </cell>
        </row>
        <row r="5407">
          <cell r="D5407">
            <v>0</v>
          </cell>
          <cell r="K5407">
            <v>0</v>
          </cell>
        </row>
        <row r="5408">
          <cell r="D5408">
            <v>0</v>
          </cell>
          <cell r="K5408">
            <v>0</v>
          </cell>
        </row>
        <row r="5409">
          <cell r="D5409">
            <v>0</v>
          </cell>
          <cell r="K5409">
            <v>0</v>
          </cell>
        </row>
        <row r="5410">
          <cell r="D5410">
            <v>0</v>
          </cell>
          <cell r="K5410">
            <v>0</v>
          </cell>
        </row>
        <row r="5411">
          <cell r="D5411">
            <v>0</v>
          </cell>
          <cell r="K5411">
            <v>0</v>
          </cell>
        </row>
        <row r="5412">
          <cell r="D5412">
            <v>0</v>
          </cell>
          <cell r="K5412">
            <v>0</v>
          </cell>
        </row>
        <row r="5413">
          <cell r="D5413">
            <v>0</v>
          </cell>
          <cell r="K5413">
            <v>0</v>
          </cell>
        </row>
        <row r="5414">
          <cell r="D5414">
            <v>0</v>
          </cell>
          <cell r="K5414">
            <v>0</v>
          </cell>
        </row>
        <row r="5415">
          <cell r="D5415">
            <v>0</v>
          </cell>
          <cell r="K5415">
            <v>0</v>
          </cell>
        </row>
        <row r="5416">
          <cell r="D5416">
            <v>0</v>
          </cell>
          <cell r="K5416">
            <v>0</v>
          </cell>
        </row>
        <row r="5417">
          <cell r="D5417">
            <v>0</v>
          </cell>
          <cell r="K5417">
            <v>0</v>
          </cell>
        </row>
        <row r="5418">
          <cell r="D5418">
            <v>0</v>
          </cell>
          <cell r="K5418">
            <v>0</v>
          </cell>
        </row>
        <row r="5419">
          <cell r="D5419">
            <v>0</v>
          </cell>
          <cell r="K5419">
            <v>0</v>
          </cell>
        </row>
        <row r="5420">
          <cell r="D5420">
            <v>0</v>
          </cell>
          <cell r="K5420">
            <v>0</v>
          </cell>
        </row>
        <row r="5421">
          <cell r="D5421">
            <v>0</v>
          </cell>
          <cell r="K5421">
            <v>0</v>
          </cell>
        </row>
        <row r="5426">
          <cell r="K5426">
            <v>0</v>
          </cell>
        </row>
        <row r="5430">
          <cell r="K5430">
            <v>0</v>
          </cell>
        </row>
        <row r="5436">
          <cell r="D5436" t="str">
            <v>AM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  <cell r="K5442" t="str">
            <v>Amount</v>
          </cell>
        </row>
        <row r="5444">
          <cell r="D5444">
            <v>0</v>
          </cell>
          <cell r="K5444">
            <v>0</v>
          </cell>
        </row>
        <row r="5445">
          <cell r="D5445">
            <v>0</v>
          </cell>
          <cell r="K5445">
            <v>0</v>
          </cell>
        </row>
        <row r="5446">
          <cell r="D5446">
            <v>0</v>
          </cell>
          <cell r="K5446">
            <v>0</v>
          </cell>
        </row>
        <row r="5447">
          <cell r="D5447">
            <v>0</v>
          </cell>
          <cell r="K5447">
            <v>0</v>
          </cell>
        </row>
        <row r="5448">
          <cell r="D5448">
            <v>0</v>
          </cell>
          <cell r="K5448">
            <v>0</v>
          </cell>
        </row>
        <row r="5449">
          <cell r="D5449">
            <v>0</v>
          </cell>
          <cell r="K5449">
            <v>0</v>
          </cell>
        </row>
        <row r="5450">
          <cell r="D5450">
            <v>0</v>
          </cell>
          <cell r="K5450">
            <v>0</v>
          </cell>
        </row>
        <row r="5451">
          <cell r="D5451">
            <v>0</v>
          </cell>
          <cell r="K5451">
            <v>0</v>
          </cell>
        </row>
        <row r="5452">
          <cell r="D5452">
            <v>0</v>
          </cell>
          <cell r="K5452">
            <v>0</v>
          </cell>
        </row>
        <row r="5453">
          <cell r="D5453">
            <v>0</v>
          </cell>
          <cell r="K5453">
            <v>0</v>
          </cell>
        </row>
        <row r="5454">
          <cell r="D5454">
            <v>0</v>
          </cell>
          <cell r="K5454">
            <v>0</v>
          </cell>
        </row>
        <row r="5455">
          <cell r="D5455">
            <v>0</v>
          </cell>
          <cell r="K5455">
            <v>0</v>
          </cell>
        </row>
        <row r="5456">
          <cell r="D5456">
            <v>0</v>
          </cell>
          <cell r="K5456">
            <v>0</v>
          </cell>
        </row>
        <row r="5457">
          <cell r="D5457">
            <v>0</v>
          </cell>
          <cell r="K5457">
            <v>0</v>
          </cell>
        </row>
        <row r="5458">
          <cell r="D5458">
            <v>0</v>
          </cell>
          <cell r="K5458">
            <v>0</v>
          </cell>
        </row>
        <row r="5459">
          <cell r="D5459">
            <v>0</v>
          </cell>
          <cell r="K5459">
            <v>0</v>
          </cell>
        </row>
        <row r="5464">
          <cell r="K5464">
            <v>0</v>
          </cell>
        </row>
        <row r="5468">
          <cell r="K5468">
            <v>0</v>
          </cell>
        </row>
        <row r="5474">
          <cell r="D5474" t="str">
            <v>AM</v>
          </cell>
        </row>
        <row r="5480">
          <cell r="D5480" t="str">
            <v>C</v>
          </cell>
          <cell r="K5480" t="str">
            <v>Amount</v>
          </cell>
        </row>
        <row r="5482">
          <cell r="K5482">
            <v>0</v>
          </cell>
        </row>
        <row r="5483">
          <cell r="K5483">
            <v>0</v>
          </cell>
        </row>
        <row r="5484">
          <cell r="K5484">
            <v>0</v>
          </cell>
        </row>
        <row r="5485">
          <cell r="K5485">
            <v>0</v>
          </cell>
        </row>
        <row r="5486">
          <cell r="K5486">
            <v>0</v>
          </cell>
        </row>
        <row r="5487">
          <cell r="K5487">
            <v>0</v>
          </cell>
        </row>
        <row r="5488">
          <cell r="K5488">
            <v>0</v>
          </cell>
        </row>
        <row r="5489">
          <cell r="K5489">
            <v>0</v>
          </cell>
        </row>
        <row r="5490">
          <cell r="K5490">
            <v>0</v>
          </cell>
        </row>
        <row r="5491">
          <cell r="K5491">
            <v>0</v>
          </cell>
        </row>
        <row r="5492">
          <cell r="K5492">
            <v>0</v>
          </cell>
        </row>
        <row r="5493">
          <cell r="K5493">
            <v>0</v>
          </cell>
        </row>
        <row r="5494">
          <cell r="K5494">
            <v>0</v>
          </cell>
        </row>
        <row r="5495">
          <cell r="K5495">
            <v>0</v>
          </cell>
        </row>
        <row r="5496">
          <cell r="K5496">
            <v>0</v>
          </cell>
        </row>
        <row r="5497">
          <cell r="K5497">
            <v>0</v>
          </cell>
        </row>
        <row r="5502">
          <cell r="K5502">
            <v>0</v>
          </cell>
        </row>
        <row r="5506">
          <cell r="K5506">
            <v>0</v>
          </cell>
        </row>
        <row r="5512">
          <cell r="D5512" t="str">
            <v>AM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  <cell r="K5518" t="str">
            <v>Amount</v>
          </cell>
        </row>
        <row r="5520">
          <cell r="D5520">
            <v>0</v>
          </cell>
          <cell r="K5520">
            <v>0</v>
          </cell>
        </row>
        <row r="5521">
          <cell r="D5521">
            <v>0</v>
          </cell>
          <cell r="K5521">
            <v>0</v>
          </cell>
        </row>
        <row r="5522">
          <cell r="D5522">
            <v>0</v>
          </cell>
          <cell r="K5522">
            <v>0</v>
          </cell>
        </row>
        <row r="5523">
          <cell r="D5523">
            <v>0</v>
          </cell>
          <cell r="K5523">
            <v>0</v>
          </cell>
        </row>
        <row r="5524">
          <cell r="D5524">
            <v>0</v>
          </cell>
          <cell r="K5524">
            <v>0</v>
          </cell>
        </row>
        <row r="5525">
          <cell r="D5525">
            <v>0</v>
          </cell>
          <cell r="K5525">
            <v>0</v>
          </cell>
        </row>
        <row r="5526">
          <cell r="D5526">
            <v>0</v>
          </cell>
          <cell r="K5526">
            <v>0</v>
          </cell>
        </row>
        <row r="5527">
          <cell r="D5527">
            <v>0</v>
          </cell>
          <cell r="K5527">
            <v>0</v>
          </cell>
        </row>
        <row r="5528">
          <cell r="D5528">
            <v>0</v>
          </cell>
          <cell r="K5528">
            <v>0</v>
          </cell>
        </row>
        <row r="5529">
          <cell r="D5529">
            <v>0</v>
          </cell>
          <cell r="K5529">
            <v>0</v>
          </cell>
        </row>
        <row r="5530">
          <cell r="D5530">
            <v>0</v>
          </cell>
          <cell r="K5530">
            <v>0</v>
          </cell>
        </row>
        <row r="5531">
          <cell r="D5531">
            <v>0</v>
          </cell>
          <cell r="K5531">
            <v>0</v>
          </cell>
        </row>
        <row r="5532">
          <cell r="D5532">
            <v>0</v>
          </cell>
          <cell r="K5532">
            <v>0</v>
          </cell>
        </row>
        <row r="5533">
          <cell r="D5533">
            <v>0</v>
          </cell>
          <cell r="K5533">
            <v>0</v>
          </cell>
        </row>
        <row r="5534">
          <cell r="D5534">
            <v>0</v>
          </cell>
          <cell r="K5534">
            <v>0</v>
          </cell>
        </row>
        <row r="5535">
          <cell r="D5535">
            <v>0</v>
          </cell>
          <cell r="K5535">
            <v>0</v>
          </cell>
        </row>
        <row r="5540">
          <cell r="K5540">
            <v>0</v>
          </cell>
        </row>
        <row r="5544">
          <cell r="K5544">
            <v>0</v>
          </cell>
        </row>
        <row r="5550">
          <cell r="D5550" t="str">
            <v>AM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  <cell r="K5556" t="str">
            <v>Amount</v>
          </cell>
        </row>
        <row r="5558">
          <cell r="D5558">
            <v>0</v>
          </cell>
          <cell r="K5558">
            <v>0</v>
          </cell>
        </row>
        <row r="5559">
          <cell r="D5559">
            <v>0</v>
          </cell>
          <cell r="K5559">
            <v>0</v>
          </cell>
        </row>
        <row r="5560">
          <cell r="D5560">
            <v>0</v>
          </cell>
          <cell r="K5560">
            <v>0</v>
          </cell>
        </row>
        <row r="5561">
          <cell r="D5561">
            <v>0</v>
          </cell>
          <cell r="K5561">
            <v>0</v>
          </cell>
        </row>
        <row r="5562">
          <cell r="D5562">
            <v>0</v>
          </cell>
          <cell r="K5562">
            <v>0</v>
          </cell>
        </row>
        <row r="5563">
          <cell r="D5563">
            <v>0</v>
          </cell>
          <cell r="K5563">
            <v>0</v>
          </cell>
        </row>
        <row r="5564">
          <cell r="D5564">
            <v>0</v>
          </cell>
          <cell r="K5564">
            <v>0</v>
          </cell>
        </row>
        <row r="5565">
          <cell r="D5565">
            <v>0</v>
          </cell>
          <cell r="K5565">
            <v>0</v>
          </cell>
        </row>
        <row r="5566">
          <cell r="D5566">
            <v>0</v>
          </cell>
          <cell r="K5566">
            <v>0</v>
          </cell>
        </row>
        <row r="5567">
          <cell r="D5567">
            <v>0</v>
          </cell>
          <cell r="K5567">
            <v>0</v>
          </cell>
        </row>
        <row r="5568">
          <cell r="D5568">
            <v>0</v>
          </cell>
          <cell r="K5568">
            <v>0</v>
          </cell>
        </row>
        <row r="5569">
          <cell r="D5569">
            <v>0</v>
          </cell>
          <cell r="K5569">
            <v>0</v>
          </cell>
        </row>
        <row r="5570">
          <cell r="D5570">
            <v>0</v>
          </cell>
          <cell r="K5570">
            <v>0</v>
          </cell>
        </row>
        <row r="5571">
          <cell r="D5571">
            <v>0</v>
          </cell>
          <cell r="K5571">
            <v>0</v>
          </cell>
        </row>
        <row r="5572">
          <cell r="D5572">
            <v>0</v>
          </cell>
          <cell r="K5572">
            <v>0</v>
          </cell>
        </row>
        <row r="5573">
          <cell r="D5573">
            <v>0</v>
          </cell>
          <cell r="K5573">
            <v>0</v>
          </cell>
        </row>
        <row r="5578">
          <cell r="K5578">
            <v>0</v>
          </cell>
        </row>
        <row r="5582">
          <cell r="K5582">
            <v>0</v>
          </cell>
        </row>
        <row r="5588">
          <cell r="D5588" t="str">
            <v>AM</v>
          </cell>
        </row>
        <row r="5594">
          <cell r="D5594" t="str">
            <v>C</v>
          </cell>
          <cell r="K5594" t="str">
            <v>Amount</v>
          </cell>
        </row>
        <row r="5596">
          <cell r="K5596">
            <v>0</v>
          </cell>
        </row>
        <row r="5597">
          <cell r="K5597">
            <v>0</v>
          </cell>
        </row>
        <row r="5598">
          <cell r="K5598">
            <v>0</v>
          </cell>
        </row>
        <row r="5599">
          <cell r="K5599">
            <v>0</v>
          </cell>
        </row>
        <row r="5600">
          <cell r="K5600">
            <v>0</v>
          </cell>
        </row>
        <row r="5601">
          <cell r="K5601">
            <v>0</v>
          </cell>
        </row>
        <row r="5602">
          <cell r="K5602">
            <v>0</v>
          </cell>
        </row>
        <row r="5603">
          <cell r="K5603">
            <v>0</v>
          </cell>
        </row>
        <row r="5604">
          <cell r="K5604">
            <v>0</v>
          </cell>
        </row>
        <row r="5605">
          <cell r="K5605">
            <v>0</v>
          </cell>
        </row>
        <row r="5606">
          <cell r="K5606">
            <v>0</v>
          </cell>
        </row>
        <row r="5607">
          <cell r="K5607">
            <v>0</v>
          </cell>
        </row>
        <row r="5608">
          <cell r="K5608">
            <v>0</v>
          </cell>
        </row>
        <row r="5609">
          <cell r="K5609">
            <v>0</v>
          </cell>
        </row>
        <row r="5610">
          <cell r="K5610">
            <v>0</v>
          </cell>
        </row>
        <row r="5611">
          <cell r="K5611">
            <v>0</v>
          </cell>
        </row>
        <row r="5616">
          <cell r="K5616">
            <v>0</v>
          </cell>
        </row>
        <row r="5620">
          <cell r="K5620">
            <v>0</v>
          </cell>
        </row>
        <row r="5626">
          <cell r="D5626" t="str">
            <v>AM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  <cell r="K5632" t="str">
            <v>Amount</v>
          </cell>
        </row>
        <row r="5634">
          <cell r="D5634">
            <v>0</v>
          </cell>
          <cell r="K5634">
            <v>0</v>
          </cell>
        </row>
        <row r="5635">
          <cell r="D5635">
            <v>0</v>
          </cell>
          <cell r="K5635">
            <v>0</v>
          </cell>
        </row>
        <row r="5636">
          <cell r="D5636">
            <v>0</v>
          </cell>
          <cell r="K5636">
            <v>0</v>
          </cell>
        </row>
        <row r="5637">
          <cell r="D5637">
            <v>0</v>
          </cell>
          <cell r="K5637">
            <v>0</v>
          </cell>
        </row>
        <row r="5638">
          <cell r="D5638">
            <v>0</v>
          </cell>
          <cell r="K5638">
            <v>0</v>
          </cell>
        </row>
        <row r="5639">
          <cell r="D5639">
            <v>0</v>
          </cell>
          <cell r="K5639">
            <v>0</v>
          </cell>
        </row>
        <row r="5640">
          <cell r="D5640">
            <v>0</v>
          </cell>
          <cell r="K5640">
            <v>0</v>
          </cell>
        </row>
        <row r="5641">
          <cell r="D5641">
            <v>0</v>
          </cell>
          <cell r="K5641">
            <v>0</v>
          </cell>
        </row>
        <row r="5642">
          <cell r="D5642">
            <v>0</v>
          </cell>
          <cell r="K5642">
            <v>0</v>
          </cell>
        </row>
        <row r="5643">
          <cell r="D5643">
            <v>0</v>
          </cell>
          <cell r="K5643">
            <v>0</v>
          </cell>
        </row>
        <row r="5644">
          <cell r="D5644">
            <v>0</v>
          </cell>
          <cell r="K5644">
            <v>0</v>
          </cell>
        </row>
        <row r="5645">
          <cell r="D5645">
            <v>0</v>
          </cell>
          <cell r="K5645">
            <v>0</v>
          </cell>
        </row>
        <row r="5646">
          <cell r="D5646">
            <v>0</v>
          </cell>
          <cell r="K5646">
            <v>0</v>
          </cell>
        </row>
        <row r="5647">
          <cell r="D5647">
            <v>0</v>
          </cell>
          <cell r="K5647">
            <v>0</v>
          </cell>
        </row>
        <row r="5648">
          <cell r="D5648">
            <v>0</v>
          </cell>
          <cell r="K5648">
            <v>0</v>
          </cell>
        </row>
        <row r="5649">
          <cell r="D5649">
            <v>0</v>
          </cell>
          <cell r="K5649">
            <v>0</v>
          </cell>
        </row>
        <row r="5654">
          <cell r="K5654">
            <v>0</v>
          </cell>
        </row>
        <row r="5658">
          <cell r="K5658">
            <v>0</v>
          </cell>
        </row>
        <row r="5664">
          <cell r="D5664" t="str">
            <v>AM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  <cell r="K5670" t="str">
            <v>Amount</v>
          </cell>
        </row>
        <row r="5672">
          <cell r="D5672">
            <v>0</v>
          </cell>
          <cell r="K5672">
            <v>0</v>
          </cell>
        </row>
        <row r="5673">
          <cell r="D5673">
            <v>0</v>
          </cell>
          <cell r="K5673">
            <v>0</v>
          </cell>
        </row>
        <row r="5674">
          <cell r="D5674">
            <v>0</v>
          </cell>
          <cell r="K5674">
            <v>0</v>
          </cell>
        </row>
        <row r="5675">
          <cell r="D5675">
            <v>0</v>
          </cell>
          <cell r="K5675">
            <v>0</v>
          </cell>
        </row>
        <row r="5676">
          <cell r="D5676">
            <v>0</v>
          </cell>
          <cell r="K5676">
            <v>0</v>
          </cell>
        </row>
        <row r="5677">
          <cell r="D5677">
            <v>0</v>
          </cell>
          <cell r="K5677">
            <v>0</v>
          </cell>
        </row>
        <row r="5678">
          <cell r="D5678">
            <v>0</v>
          </cell>
          <cell r="K5678">
            <v>0</v>
          </cell>
        </row>
        <row r="5679">
          <cell r="D5679">
            <v>0</v>
          </cell>
          <cell r="K5679">
            <v>0</v>
          </cell>
        </row>
        <row r="5680">
          <cell r="D5680">
            <v>0</v>
          </cell>
          <cell r="K5680">
            <v>0</v>
          </cell>
        </row>
        <row r="5681">
          <cell r="D5681">
            <v>0</v>
          </cell>
          <cell r="K5681">
            <v>0</v>
          </cell>
        </row>
        <row r="5682">
          <cell r="D5682">
            <v>0</v>
          </cell>
          <cell r="K5682">
            <v>0</v>
          </cell>
        </row>
        <row r="5683">
          <cell r="D5683">
            <v>0</v>
          </cell>
          <cell r="K5683">
            <v>0</v>
          </cell>
        </row>
        <row r="5684">
          <cell r="D5684">
            <v>0</v>
          </cell>
          <cell r="K5684">
            <v>0</v>
          </cell>
        </row>
        <row r="5685">
          <cell r="D5685">
            <v>0</v>
          </cell>
          <cell r="K5685">
            <v>0</v>
          </cell>
        </row>
        <row r="5686">
          <cell r="D5686">
            <v>0</v>
          </cell>
          <cell r="K5686">
            <v>0</v>
          </cell>
        </row>
        <row r="5687">
          <cell r="D5687">
            <v>0</v>
          </cell>
          <cell r="K5687">
            <v>0</v>
          </cell>
        </row>
        <row r="5692">
          <cell r="K5692">
            <v>0</v>
          </cell>
        </row>
        <row r="5696">
          <cell r="K5696">
            <v>0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2%20FEB\KELUA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82.651901041667" createdVersion="5" refreshedVersion="5" minRefreshableVersion="3" recordCount="210">
  <cacheSource type="worksheet">
    <worksheetSource name="Table1" r:id="rId2"/>
  </cacheSource>
  <cacheFields count="29">
    <cacheField name="//" numFmtId="0">
      <sharedItems containsMixedTypes="1" containsNumber="1" containsInteger="1" minValue="3" maxValue="179" count="37">
        <n v="3"/>
        <s v=""/>
        <n v="6"/>
        <n v="9"/>
        <n v="15"/>
        <n v="23"/>
        <n v="26"/>
        <n v="32"/>
        <n v="41"/>
        <n v="48"/>
        <n v="50"/>
        <n v="52"/>
        <n v="54"/>
        <n v="56"/>
        <n v="58"/>
        <n v="60"/>
        <n v="71"/>
        <n v="81"/>
        <n v="84"/>
        <n v="87"/>
        <n v="89"/>
        <n v="93"/>
        <n v="108"/>
        <n v="120"/>
        <n v="124"/>
        <n v="126"/>
        <n v="131"/>
        <n v="136"/>
        <n v="144"/>
        <n v="146"/>
        <n v="148"/>
        <n v="150"/>
        <n v="157"/>
        <n v="168"/>
        <n v="173"/>
        <n v="175"/>
        <n v="179"/>
      </sharedItems>
    </cacheField>
    <cacheField name="h_No. Invoice :" numFmtId="0">
      <sharedItems containsMixedTypes="1" containsNumber="1" containsInteger="1" minValue="23020001" maxValue="23020036"/>
    </cacheField>
    <cacheField name="Tgl Invoice :" numFmtId="164">
      <sharedItems containsNonDate="0" containsDate="1" containsString="0" containsBlank="1" minDate="2023-02-02T00:00:00" maxDate="2023-02-26T00:00:00"/>
    </cacheField>
    <cacheField name="h_Kode Sales :_1" numFmtId="0">
      <sharedItems containsBlank="1"/>
    </cacheField>
    <cacheField name="h_Kode Sales :_2" numFmtId="0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 containsBlank="1"/>
    </cacheField>
    <cacheField name="Qty" numFmtId="0">
      <sharedItems containsString="0" containsBlank="1" containsNumber="1" containsInteger="1" minValue="1" maxValue="432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00" maxValue="522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28215" maxValue="27405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179"/>
    </cacheField>
    <cacheField name="h_jumlahbarang" numFmtId="0">
      <sharedItems containsMixedTypes="1" containsNumber="1" containsInteger="1" minValue="1" maxValue="14"/>
    </cacheField>
    <cacheField name="h_hargasebelumdiskon" numFmtId="43">
      <sharedItems containsMixedTypes="1" containsNumber="1" containsInteger="1" minValue="33000" maxValue="31320000"/>
    </cacheField>
    <cacheField name="h_diskon" numFmtId="43">
      <sharedItems containsMixedTypes="1" containsNumber="1" minValue="0" maxValue="3915000"/>
    </cacheField>
    <cacheField name="h_hargasetelahdiskon" numFmtId="43">
      <sharedItems containsMixedTypes="1" containsNumber="1" containsInteger="1" minValue="28215" maxValue="27405000"/>
    </cacheField>
    <cacheField name="Total Invoice" numFmtId="43">
      <sharedItems containsMixedTypes="1" containsNumber="1" containsInteger="1" minValue="500000" maxValue="88676700"/>
    </cacheField>
    <cacheField name="KETERANGAN" numFmtId="43">
      <sharedItems containsNonDate="0" containsString="0" containsBlank="1"/>
    </cacheField>
    <cacheField name="H_A1" numFmtId="43">
      <sharedItems count="122">
        <s v="GUNTING JOYKO SC-828 SGLSN6100"/>
        <s v="GUNTING JOYKO SC-838 SGLSN7700"/>
        <s v=""/>
        <s v="BINDER CLIP KENKO NO. 260GRS180000"/>
        <s v="BINDER CLIP KENKO NO. 200GRS120000"/>
        <s v="CORRECTION FLUID KENKO KE-01LS54300"/>
        <s v="STAPLER KENKO HD-50LS228000"/>
        <s v="STAPLER KENKO HD-10LS93000"/>
        <s v="STAPLER KENKO HD-10DLS117600"/>
        <s v="ISI STAPLER (STAPLES) KENKO 1210 PREMIUM (23/10)BOX4200"/>
        <s v="LABEL HARGA JOYKO LB-2RL (1 LINE PUTIH)PCS2050"/>
        <s v="CRAYON / OIL PASTEL PUTAR JOYKO TWCR-12MINI (PENDEK)PCS18600"/>
        <s v="CRAYON / OIL PASTEL JOYKO OP-12CR ROUND (MINI)PCS9000"/>
        <s v="PENSIL WARNA KENKO CP-12F CLASSIC (PANJANG)LSN124200"/>
        <s v="MESIN LABEL HARGA KENKO MX-5500 (8 DIGITS, 1 LINE)PCS45000"/>
        <s v="DATE STAMP KENKO D-4 (Cap Tanggal 4 Mm)LSN74400"/>
        <s v="JANGKA (MATH SET) JOYKO MS-55LSN88200"/>
        <s v="JANGKA (MATH SET) JOYKO MS-25LSN88200"/>
        <s v="TAPE CUTTER JOYKO TD-102LSN11100"/>
        <s v="STAPLER LONG REACH JOYKO HD-35LAPCS58000"/>
        <s v="GEL PEN KENKO HI-TECH-H 0.28 MM HITAMLSN39000"/>
        <s v="PAPER CLIP WARNA JOYKO C-3100LSN37200"/>
        <s v="GARISAN BESI (STAINLESS STEEL) KENKO 100 CM / 1 MLSN522000"/>
        <s v="PUSH PIN KENKO PN-30 TRANSPARANLSN33000"/>
        <s v="STAMP PAD KENKO NO. 0LSN59400"/>
        <s v="STAMP PLATE NUMBER KENKO N-38 (Cap Nomer)LSN84000"/>
        <s v="DATE STAMP KENKO D-3 (Cap Tanggal 5 Mm)LSN77400"/>
        <s v="PENSIL WARNA KENKO CP-12HALF CLASSIC (PENDEK)SET6600"/>
        <s v="DESK SET KENKO K-8312 ORGANIZERPCS29000"/>
        <s v="PUNCH JOYKO 30LSN139200"/>
        <s v="PUNCH KENKO NO. 85PCS48500"/>
        <s v="ISI CUTTER 18 MM KENKO L-150 (BESAR)LSN64800"/>
        <s v="Stabillo Highlighter JK HL MIX BIRU/ HIJAUPCS3700"/>
        <s v="GEL PEN KENKO K-1 HITAMLSN39600"/>
        <s v="BINDER CLIP KENKO NO. 111GRS49200"/>
        <s v="PENSIL WARNA JOYKO CP-12PB (PANJANG)PCS10600"/>
        <s v="LEM CAIR 35 ML KENKO LG-35LSN19800"/>
        <s v="HIGHLIGHTER / STABILLO JOYKO HL-MIX (5 WARNA)PCS3700"/>
        <s v="ISI PENSIL 2B 0.5 MM JOYKO PL-05GRS176400"/>
        <s v="CORRECTION TAPE JOYKO CT-522LSN57600"/>
        <s v="BINDER NOTE JOYKO A5 (CAMPUS/CLASSIC) MIXPCS15800"/>
        <s v="LABEL HARGA JOYKO LB-2RL (1 LINE PUTIH)SLOP20500"/>
        <s v="CORRECTION FLUID JOYKO JK-101LSN36000"/>
        <s v="CORRECTION FLUID KENKO KE-108LSN47100"/>
        <s v="CORRECTION FLUID KENKO KE-01LSN54300"/>
        <s v="PAPER TRIGONAL CLIP KENKO NO. 1PCS1700"/>
        <s v="PAPER TRIGONAL CLIP KENKO NO. 3PCS1600"/>
        <s v="PAPER JUMBO CLIP KENKO NO. 5PCS4300"/>
        <s v="LEM STICK KENKO 8 GR (KECIL) isi 30 pcBOX66000"/>
        <s v="LEM STICK KENKO 15 GR (TANGGUNG) isi 20 pcBOX72000"/>
        <s v="CORRECTION FLUID KENKO KE-301LSN53400"/>
        <s v="CORRECTION FLUID KENKO KE-107MLSN55800"/>
        <s v="STAPLER KENKO HD-10LSN93000"/>
        <s v="STAPLER KENKO HD-50LSN228000"/>
        <s v="CUTTER 18 MM KENKO L-500 (BESAR)LSN147600"/>
        <s v="GEL PEN KENKO HI-TECH-H 0.28 MM BIRULSN39000"/>
        <s v="TAPE DISPENSER POLAR BEAR MN-305 @12pcBOX100000"/>
        <s v="CRAYON / OIL PASTEL KENKO 12W GARDENLSN144000"/>
        <s v="CRAYON / OIL PASTEL KENKO 18W GARDENLSN258000"/>
        <s v="PAPER JUMBO CLIP KENKO NO. 5PAK43000"/>
        <s v="KUAS SET JOYKO BR-1SET8800"/>
        <s v="CORRECTION FLUID JOYKO CF-S225LSN34200"/>
        <s v="CORRECTION FLUID JOYKO CF-S221BOX70800"/>
        <s v="CORRECTION FLUID JOYKO CF-S224BOX70800"/>
        <s v="PENSIL JOYKO 2B P-88GRS104400"/>
        <s v="PENCIL CASE JOYKO PC-0719 FANCY MIXPCS4800"/>
        <s v="PENCIL CASE JOYKO PC-0719 PASTEL POLOS MIXPCS4800"/>
        <s v="PENSIL WARNA JOYKO CP-100 (12W PANJANG)PCS9600"/>
        <s v="PENSIL WARNA JOYKO CP-S12 MINI (PENDEK)PCS6700"/>
        <s v="PENSIL WARNA JOYKO CP-24PB (PANJANG)PCS21200"/>
        <s v="STAMP PAD JOYKO NO. 0PCS4900"/>
        <s v="STAMP PAD JOYKO NO. 1PCS5800"/>
        <s v="JANGKA (MATH SET) JOYKO MS-402PCS12000"/>
        <s v="JANGKA (MATH SET) JOYKO MS-75LSN89400"/>
        <s v="LEM STICK JOYKO 15 GR GS-104 TG (ANIMAL KINGDOM) isi 24 pcPCS2450"/>
        <s v="LEM STICK JOYKO 8 GR GS-09 isi 12 pcPCS2100"/>
        <s v="ISI PENSIL 2B 2.0 MM JOYKO PL-10LSN19800"/>
        <s v="ISI PENSIL 2B 2.0 MM JOYKO PL-11LSN37200"/>
        <s v="STAPLER GUNTACKER JOYKO GT-701PCS97000"/>
        <s v="BINDER NOTE JOYKO A5 (CAMPUS/CLASSIC)PCS15800"/>
        <s v="CORRECTION FLUID JOYKO JK-01LSN36000"/>
        <s v="MESIN LABEL HARGA JOYKO MX-5500M (8 DIGITS, 1 LINE)PCS40500"/>
        <s v="GEL PEN SET JOYKO GPC-309S DIAMOND ARTPCS16800"/>
        <s v="ISI CUTTER 9 MM KENKO A-100 (KECIL)LSN32400"/>
        <s v="CORRECTION TAPE KENKO CT-1505FC (15M X 5MM)LSN69600"/>
        <s v="CORRECTION TAPE KENKO CT-310SL (12M x 5MM)LSN84000"/>
        <s v="CORRECTION TAPE KENKO CT-905 (12M x 5MM)LSN62400"/>
        <s v="CORRECTION TAPE KENKO CT-309 (12M x 5MM)LSN81600"/>
        <s v="GEL PEN KENKO HI-TECH-H 0.28 MMLSN39000"/>
        <s v="GEL PEN KENKO K-1LSN39600"/>
        <s v="BINDER CLIP JOYKO 155GRS67800"/>
        <s v="BINDER CLIP JOYKO 280GRS507600"/>
        <s v="PENSIL KENKO 2B-6019 ANTIBACTERIALGRS102000"/>
        <s v="GUNTING KENKO SC-828LSN56400"/>
        <s v="GUNTING KENKO SC-838NLSN79800"/>
        <s v="CRAYON / OIL PASTEL JOYKO OP-36S PP CASE SEA WORLDPCS41500"/>
        <s v="CORRECTION TAPE KENKO CT-909 (12M x 5MM)LSN60000"/>
        <s v="STAND PEN SPIRAL KENKO STP-100SGLSN54000"/>
        <s v="STAND PEN SPIRAL KENKO STP-300SGLSN49200"/>
        <s v="PENSIL WARNA KENKO CP-12HALF CLASSIC (PENDEK)LSN79200"/>
        <s v="STAPLER KENKO HD-10MPLSN67200"/>
        <s v="GEL PEN KENKO HI-TECH-H 0.28 MM FUN COLORLSN39000"/>
        <s v="CRAYON / OIL PASTEL PUTAR JOYKO TWCR-24MINI (PENDEK)LSN446400"/>
        <s v="LOOSE LEAF JOYART B5-2670 (50S)PAK5700"/>
        <s v="CRAYON / OIL PASTEL JOYKO OP-18S PP CASE SEA WORLDLSN276000"/>
        <s v="PAPER CLIP WARNA KENKO 3100LSN41400"/>
        <s v="STIP / PENGHAPUS KENKO ERB-40SQ HITAMPAK27500"/>
        <s v="CORRECTION TAPE JOYKO CT-540LSN68400"/>
        <s v="CORRECTION TAPE JOYKO CT-545LSN69600"/>
        <s v="CORRECTION TAPE KENKO CT-809 (8M x 5MM)LSN54000"/>
        <s v="PAPER TRIGONAL CLIP KENKO NO. 1PAK1700"/>
        <s v="LS228000" u="1"/>
        <s v="LEM STICK KENKO 8 GR (KECIL) isi 30 pcDUS66000" u="1"/>
        <s v="LS54300" u="1"/>
        <s v="PUSH PIN KENKO PN-30 WARNALSN33000" u="1"/>
        <s v="BOX4200" u="1"/>
        <s v="LS117600" u="1"/>
        <s v="CRAYON / OIL PASTEL KENKO 12W GARDENLSN258000" u="1"/>
        <s v="LS93000" u="1"/>
        <s v="ISI PENSIL 2B 0.5 MM JOYKO PL-05GRS146400" u="1"/>
        <s v="GUNTING JOYKO SC-838 SGPCS7700" u="1"/>
        <s v="KUAS SET JOYKO BR-1SET88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0">
  <r>
    <x v="0"/>
    <n v="23020001"/>
    <d v="2023-02-02T00:00:00"/>
    <s v="ko"/>
    <s v="0855"/>
    <s v="centraal"/>
    <s v="AM 23020001"/>
    <s v="KO 0855"/>
    <s v="CV TRINITY CENTRAAL PURWOKERTO"/>
    <n v="144"/>
    <s v="LSN"/>
    <n v="1"/>
    <s v="GUNJK826SG"/>
    <e v="#N/A"/>
    <s v="GUNTING JOYKO SC-828 SG"/>
    <n v="6100"/>
    <n v="0.13"/>
    <m/>
    <n v="764208"/>
    <s v="NOVI / CONDRO"/>
    <m/>
    <n v="3"/>
    <n v="2"/>
    <n v="878400"/>
    <n v="114192"/>
    <n v="764208"/>
    <n v="1728864"/>
    <m/>
    <x v="0"/>
  </r>
  <r>
    <x v="1"/>
    <s v=""/>
    <m/>
    <m/>
    <m/>
    <m/>
    <s v=""/>
    <s v=" "/>
    <s v=""/>
    <n v="144"/>
    <s v="LSN"/>
    <n v="1"/>
    <s v="GUNJK838SG"/>
    <e v="#N/A"/>
    <s v="GUNTING JOYKO SC-838 SG"/>
    <n v="7700"/>
    <n v="0.13"/>
    <m/>
    <n v="964656"/>
    <m/>
    <m/>
    <n v="3"/>
    <n v="2"/>
    <n v="1108800"/>
    <n v="144144"/>
    <n v="964656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"/>
    <n v="23020002"/>
    <d v="2023-02-03T00:00:00"/>
    <s v="ko"/>
    <s v="0832"/>
    <s v="bendan"/>
    <s v="AM 23020002"/>
    <s v="KO 0832"/>
    <s v="HARNOYO (BENDAN) PEKALONGAN"/>
    <n v="15"/>
    <s v="GRS"/>
    <n v="3"/>
    <s v="CLIKEN260"/>
    <s v="BINDER CLIP KENKO NO. 260"/>
    <s v="BINDER CLIP KENKO NO. 260"/>
    <n v="180000"/>
    <n v="0.14000000000000001"/>
    <m/>
    <n v="2322000"/>
    <s v="NOVI / YO"/>
    <m/>
    <n v="6"/>
    <n v="2"/>
    <n v="2700000"/>
    <n v="378000.00000000006"/>
    <n v="2322000"/>
    <n v="3354000"/>
    <m/>
    <x v="3"/>
  </r>
  <r>
    <x v="1"/>
    <s v=""/>
    <m/>
    <m/>
    <m/>
    <m/>
    <s v=""/>
    <s v=" "/>
    <s v=""/>
    <n v="10"/>
    <s v="GRS"/>
    <n v="1"/>
    <s v="CLIKEN200"/>
    <s v="BINDER CLIP KENKO NO. 200"/>
    <s v="BINDER CLIP KENKO NO. 200"/>
    <n v="120000"/>
    <n v="0.14000000000000001"/>
    <m/>
    <n v="1032000"/>
    <m/>
    <m/>
    <n v="6"/>
    <n v="2"/>
    <n v="1200000"/>
    <n v="168000.00000000003"/>
    <n v="1032000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"/>
    <n v="23020003"/>
    <d v="2023-02-03T00:00:00"/>
    <s v="ko"/>
    <s v="0834"/>
    <s v="ANUGERAH"/>
    <s v="AM 23020003"/>
    <s v="KO 0834"/>
    <s v="CV PELITA JAYA (ANUGERAH SEJAHTERA) PURWOKERTO"/>
    <n v="360"/>
    <s v="LS"/>
    <m/>
    <s v="TIPKENKE01"/>
    <s v="CORRECTION FLUID KENKO KE-01"/>
    <s v="CORRECTION FLUID KENKO KE-01"/>
    <n v="54300"/>
    <n v="0.13500000000000001"/>
    <m/>
    <n v="16909020"/>
    <s v="NOVI / YO"/>
    <m/>
    <n v="9"/>
    <n v="5"/>
    <n v="19548000"/>
    <n v="2638980"/>
    <n v="16909020"/>
    <n v="29956680"/>
    <m/>
    <x v="5"/>
  </r>
  <r>
    <x v="1"/>
    <s v=""/>
    <m/>
    <m/>
    <m/>
    <m/>
    <s v=""/>
    <s v=" "/>
    <s v=""/>
    <n v="10"/>
    <s v="LS"/>
    <m/>
    <s v="STAKENHD50"/>
    <s v="STAPLER KENKO HD-50"/>
    <s v="STAPLER KENKO HD-50"/>
    <n v="228000"/>
    <n v="0.13500000000000001"/>
    <m/>
    <n v="1972200"/>
    <m/>
    <m/>
    <n v="9"/>
    <n v="5"/>
    <n v="2280000"/>
    <n v="307800"/>
    <n v="1972200"/>
    <s v=""/>
    <m/>
    <x v="6"/>
  </r>
  <r>
    <x v="1"/>
    <s v=""/>
    <m/>
    <m/>
    <m/>
    <m/>
    <s v=""/>
    <s v=" "/>
    <s v=""/>
    <n v="60"/>
    <s v="LS"/>
    <m/>
    <s v="STAKENHD10"/>
    <s v="STAPLER KENKO HD-10"/>
    <s v="STAPLER KENKO HD-10"/>
    <n v="93000"/>
    <n v="0.13500000000000001"/>
    <m/>
    <n v="4826700"/>
    <m/>
    <m/>
    <n v="9"/>
    <n v="5"/>
    <n v="5580000"/>
    <n v="753300"/>
    <n v="4826700"/>
    <s v=""/>
    <m/>
    <x v="7"/>
  </r>
  <r>
    <x v="1"/>
    <s v=""/>
    <m/>
    <m/>
    <m/>
    <m/>
    <s v=""/>
    <s v=" "/>
    <s v=""/>
    <n v="40"/>
    <s v="LS"/>
    <m/>
    <s v="STAKENHD10D"/>
    <s v="STAPLER KENKO HD-10D"/>
    <s v="STAPLER KENKO HD-10D"/>
    <n v="117600"/>
    <n v="0.13500000000000001"/>
    <m/>
    <n v="4068960"/>
    <m/>
    <m/>
    <n v="9"/>
    <n v="5"/>
    <n v="4704000"/>
    <n v="635040"/>
    <n v="4068960"/>
    <s v=""/>
    <m/>
    <x v="8"/>
  </r>
  <r>
    <x v="1"/>
    <s v=""/>
    <m/>
    <m/>
    <m/>
    <m/>
    <s v=""/>
    <s v=" "/>
    <s v=""/>
    <n v="600"/>
    <s v="BOX"/>
    <m/>
    <s v="ISIKEN1210"/>
    <s v="ISI STAPLER (STAPLES) KENKO 1210 PREMIUM (23/10)"/>
    <s v="ISI STAPLER (STAPLES) KENKO 1210 PREMIUM (23/10)"/>
    <n v="4200"/>
    <n v="0.13500000000000001"/>
    <m/>
    <n v="2179800"/>
    <m/>
    <m/>
    <n v="9"/>
    <n v="5"/>
    <n v="2520000"/>
    <n v="340200"/>
    <n v="2179800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4"/>
    <n v="23020004"/>
    <d v="2023-02-04T00:00:00"/>
    <s v="ko"/>
    <s v="0862"/>
    <s v="centraal"/>
    <s v="AM 23020004"/>
    <s v="KO 0862"/>
    <s v="CV TRINITY CENTRAAL PURWOKERTO"/>
    <n v="1000"/>
    <s v="PCS"/>
    <n v="1"/>
    <s v="ISIJK1LINEPUTIH"/>
    <e v="#N/A"/>
    <s v="LABEL HARGA JOYKO LB-2RL (1 LINE PUTIH)"/>
    <n v="2050"/>
    <n v="0.13"/>
    <m/>
    <n v="1783500"/>
    <s v="NOVI / CONDRO"/>
    <m/>
    <n v="15"/>
    <n v="7"/>
    <n v="2050000"/>
    <n v="266500"/>
    <n v="1783500"/>
    <n v="15180108"/>
    <m/>
    <x v="10"/>
  </r>
  <r>
    <x v="1"/>
    <s v=""/>
    <m/>
    <m/>
    <m/>
    <m/>
    <s v=""/>
    <s v=" "/>
    <s v=""/>
    <n v="288"/>
    <s v="PCS"/>
    <n v="2"/>
    <s v="opjktwcr12mini"/>
    <s v="CRAYON / OIL PASTEL PUTAR JOYKO TWCR-12MINI (PENDEK)"/>
    <s v="CRAYON / OIL PASTEL PUTAR JOYKO TWCR-12MINI (PENDEK)"/>
    <n v="18600"/>
    <n v="0.13"/>
    <m/>
    <n v="4660416"/>
    <m/>
    <m/>
    <n v="15"/>
    <n v="7"/>
    <n v="5356800"/>
    <n v="696384"/>
    <n v="4660416"/>
    <s v=""/>
    <m/>
    <x v="11"/>
  </r>
  <r>
    <x v="1"/>
    <s v=""/>
    <m/>
    <m/>
    <m/>
    <m/>
    <s v=""/>
    <s v=" "/>
    <s v=""/>
    <n v="288"/>
    <s v="PCS"/>
    <n v="2"/>
    <s v="CRAYJK12WCR"/>
    <s v="CRAYON / OIL PASTEL JOYKO OP-12CR ROUND (MINI)"/>
    <s v="CRAYON / OIL PASTEL JOYKO OP-12CR ROUND (MINI)"/>
    <n v="9000"/>
    <n v="0.13"/>
    <m/>
    <n v="2255040"/>
    <m/>
    <m/>
    <n v="15"/>
    <n v="7"/>
    <n v="2592000"/>
    <n v="336960"/>
    <n v="2255040"/>
    <s v=""/>
    <m/>
    <x v="12"/>
  </r>
  <r>
    <x v="1"/>
    <s v=""/>
    <m/>
    <m/>
    <m/>
    <m/>
    <s v=""/>
    <s v=" "/>
    <s v=""/>
    <n v="48"/>
    <s v="LSN"/>
    <n v="2"/>
    <s v="PWKEN12WPANJANG"/>
    <s v="PENSIL WARNA KENKO CP-12F CLASSIC (PANJANG)"/>
    <s v="PENSIL WARNA KENKO CP-12F CLASSIC (PANJANG)"/>
    <n v="124200"/>
    <n v="0.13"/>
    <m/>
    <n v="5186592"/>
    <m/>
    <m/>
    <n v="15"/>
    <n v="7"/>
    <n v="5961600"/>
    <n v="775008"/>
    <n v="5186592"/>
    <s v=""/>
    <m/>
    <x v="13"/>
  </r>
  <r>
    <x v="1"/>
    <s v=""/>
    <m/>
    <m/>
    <m/>
    <m/>
    <s v=""/>
    <s v=" "/>
    <s v=""/>
    <n v="15"/>
    <s v="PCS"/>
    <m/>
    <s v="MESKENMX5500"/>
    <s v="MESIN LABEL HARGA KENKO MX-5500 (8 DIGITS, 1 LINE)"/>
    <s v="MESIN LABEL HARGA KENKO MX-5500 (8 DIGITS, 1 LINE)"/>
    <n v="45000"/>
    <n v="0.13"/>
    <m/>
    <n v="587250"/>
    <m/>
    <m/>
    <n v="15"/>
    <n v="7"/>
    <n v="675000"/>
    <n v="87750"/>
    <n v="587250"/>
    <s v=""/>
    <m/>
    <x v="14"/>
  </r>
  <r>
    <x v="1"/>
    <s v=""/>
    <m/>
    <m/>
    <m/>
    <m/>
    <s v=""/>
    <s v=" "/>
    <s v=""/>
    <n v="5"/>
    <s v="LSN"/>
    <m/>
    <s v="STAKEND4"/>
    <s v="DATE STAMP KENKO D-4 (Cap Tanggal 4 Mm)"/>
    <s v="DATE STAMP KENKO D-4 (Cap Tanggal 4 Mm)"/>
    <n v="74400"/>
    <n v="0.13"/>
    <m/>
    <n v="323640"/>
    <m/>
    <m/>
    <n v="15"/>
    <n v="7"/>
    <n v="372000"/>
    <n v="48360"/>
    <n v="323640"/>
    <s v=""/>
    <m/>
    <x v="15"/>
  </r>
  <r>
    <x v="1"/>
    <s v=""/>
    <m/>
    <m/>
    <m/>
    <m/>
    <s v=""/>
    <s v=" "/>
    <s v=""/>
    <n v="5"/>
    <s v="LSN"/>
    <m/>
    <s v="JANJKMS55"/>
    <s v="JANGKA (MATH SET) JOYKO MS-55"/>
    <s v="JANGKA (MATH SET) JOYKO MS-55"/>
    <n v="88200"/>
    <n v="0.13"/>
    <m/>
    <n v="383670"/>
    <m/>
    <m/>
    <n v="15"/>
    <n v="7"/>
    <n v="441000"/>
    <n v="57330"/>
    <n v="383670"/>
    <s v=""/>
    <m/>
    <x v="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5"/>
    <n v="23020005"/>
    <d v="2023-02-04T00:00:00"/>
    <s v="ko"/>
    <s v="0863"/>
    <s v="ANUGERAH"/>
    <s v="AM 23020005"/>
    <s v="KO 0863"/>
    <s v="CV PELITA JAYA (ANUGERAH SEJAHTERA) PURWOKERTO"/>
    <n v="48"/>
    <s v="LSN"/>
    <n v="2"/>
    <s v="JANJKMS55"/>
    <s v="JANGKA (MATH SET) JOYKO MS-55"/>
    <s v="JANGKA (MATH SET) JOYKO MS-55"/>
    <n v="88200"/>
    <n v="0.13500000000000001"/>
    <m/>
    <n v="3662064"/>
    <s v="NOVI / CONDRO"/>
    <m/>
    <n v="23"/>
    <n v="2"/>
    <n v="4233600"/>
    <n v="571536"/>
    <n v="3662064"/>
    <n v="5493096"/>
    <m/>
    <x v="16"/>
  </r>
  <r>
    <x v="1"/>
    <s v=""/>
    <m/>
    <m/>
    <m/>
    <m/>
    <s v=""/>
    <s v=" "/>
    <s v=""/>
    <n v="24"/>
    <s v="LSN"/>
    <n v="1"/>
    <s v="JANJKMS25"/>
    <s v="JANGKA (MATH SET) JOYKO MS-25"/>
    <s v="JANGKA (MATH SET) JOYKO MS-25"/>
    <n v="88200"/>
    <n v="0.13500000000000001"/>
    <m/>
    <n v="1831032"/>
    <m/>
    <m/>
    <n v="23"/>
    <n v="2"/>
    <n v="2116800"/>
    <n v="285768"/>
    <n v="1831032"/>
    <s v=""/>
    <m/>
    <x v="1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6"/>
    <n v="23020006"/>
    <d v="2023-02-06T00:00:00"/>
    <s v="G"/>
    <s v="0793"/>
    <s v="REJOAGUNG"/>
    <s v="AM 23020006"/>
    <s v="G 0793"/>
    <s v="LILY JULIAWATI (REJO AGUNG) JOMBANG"/>
    <n v="24"/>
    <s v="LSN"/>
    <n v="1"/>
    <s v="JANJKMS25"/>
    <s v="JANGKA (MATH SET) JOYKO MS-25"/>
    <s v="JANGKA (MATH SET) JOYKO MS-25"/>
    <n v="88200"/>
    <n v="0.125"/>
    <m/>
    <n v="1852200"/>
    <s v="NOVI / CONDRO"/>
    <m/>
    <n v="26"/>
    <n v="5"/>
    <n v="2116800"/>
    <n v="264600"/>
    <n v="1852200"/>
    <n v="9840600"/>
    <m/>
    <x v="17"/>
  </r>
  <r>
    <x v="1"/>
    <s v=""/>
    <m/>
    <m/>
    <m/>
    <m/>
    <s v=""/>
    <s v=" "/>
    <s v=""/>
    <n v="48"/>
    <s v="LSN"/>
    <n v="2"/>
    <s v="ISOJKTD102"/>
    <s v="TAPE CUTTER JOYKO TD-102"/>
    <s v="TAPE CUTTER JOYKO TD-102"/>
    <n v="11100"/>
    <n v="0.125"/>
    <m/>
    <n v="466200"/>
    <m/>
    <m/>
    <n v="26"/>
    <n v="5"/>
    <n v="532800"/>
    <n v="66600"/>
    <n v="466200"/>
    <s v=""/>
    <m/>
    <x v="18"/>
  </r>
  <r>
    <x v="1"/>
    <s v=""/>
    <m/>
    <m/>
    <m/>
    <m/>
    <s v=""/>
    <s v=" "/>
    <s v=""/>
    <n v="36"/>
    <s v="PCS"/>
    <n v="1"/>
    <s v="STAJKHD35LA"/>
    <s v="STAPLER LONG REACH JOYKO HD-35LA"/>
    <s v="STAPLER LONG REACH JOYKO HD-35LA"/>
    <n v="58000"/>
    <n v="0.125"/>
    <m/>
    <n v="1827000"/>
    <m/>
    <m/>
    <n v="26"/>
    <n v="5"/>
    <n v="2088000"/>
    <n v="261000"/>
    <n v="1827000"/>
    <s v=""/>
    <m/>
    <x v="19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26"/>
    <n v="5"/>
    <n v="5616000"/>
    <n v="702000"/>
    <n v="4914000"/>
    <s v=""/>
    <m/>
    <x v="20"/>
  </r>
  <r>
    <x v="1"/>
    <s v=""/>
    <m/>
    <m/>
    <m/>
    <m/>
    <s v=""/>
    <s v=" "/>
    <s v=""/>
    <n v="24"/>
    <s v="LSN"/>
    <n v="1"/>
    <s v="CLIJK3100"/>
    <s v="PAPER CLIP WARNA JOYKO C-3100"/>
    <s v="PAPER CLIP WARNA JOYKO C-3100"/>
    <n v="37200"/>
    <n v="0.125"/>
    <m/>
    <n v="781200"/>
    <m/>
    <m/>
    <n v="26"/>
    <n v="5"/>
    <n v="892800"/>
    <n v="111600"/>
    <n v="781200"/>
    <s v=""/>
    <m/>
    <x v="2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7"/>
    <n v="23020007"/>
    <d v="2023-02-04T00:00:00"/>
    <s v="ko"/>
    <s v="2887"/>
    <s v="RAINBOW"/>
    <s v="AM 23020007"/>
    <s v="KO 2887"/>
    <s v="CV RAINBOW NUSANTARA SIDOARJO"/>
    <n v="3"/>
    <s v="LSN"/>
    <m/>
    <s v="GARKEN100CM"/>
    <s v="GARISAN BESI (STAINLESS STEEL) KENKO 100 CM / 1 M"/>
    <s v="GARISAN BESI (STAINLESS STEEL) KENKO 100 CM / 1 M"/>
    <n v="522000"/>
    <n v="0.14499999999999999"/>
    <m/>
    <n v="1338930"/>
    <s v="NOVI / CONDRO"/>
    <m/>
    <n v="32"/>
    <n v="8"/>
    <n v="1566000"/>
    <n v="227069.99999999997"/>
    <n v="1338930"/>
    <n v="3501396"/>
    <m/>
    <x v="22"/>
  </r>
  <r>
    <x v="1"/>
    <s v=""/>
    <m/>
    <m/>
    <m/>
    <m/>
    <s v=""/>
    <s v=" "/>
    <s v=""/>
    <n v="1"/>
    <s v="LSN"/>
    <m/>
    <s v="PINKENPN30BUTEK"/>
    <s v="PUSH PIN KENKO PN-30 TRANSPARAN"/>
    <s v="PUSH PIN KENKO PN-30 TRANSPARAN"/>
    <n v="33000"/>
    <n v="0.14499999999999999"/>
    <m/>
    <n v="28215"/>
    <m/>
    <m/>
    <n v="32"/>
    <n v="8"/>
    <n v="33000"/>
    <n v="4785"/>
    <n v="28215"/>
    <s v=""/>
    <m/>
    <x v="23"/>
  </r>
  <r>
    <x v="1"/>
    <s v=""/>
    <m/>
    <m/>
    <m/>
    <m/>
    <s v=""/>
    <s v=" "/>
    <s v=""/>
    <n v="10"/>
    <s v="LSN"/>
    <m/>
    <s v="STAKENNO0"/>
    <s v="STAMP PAD KENKO NO. 0"/>
    <s v="STAMP PAD KENKO NO. 0"/>
    <n v="59400"/>
    <n v="0.14499999999999999"/>
    <m/>
    <n v="507870"/>
    <m/>
    <m/>
    <n v="32"/>
    <n v="8"/>
    <n v="594000"/>
    <n v="86130"/>
    <n v="507870"/>
    <s v=""/>
    <m/>
    <x v="24"/>
  </r>
  <r>
    <x v="1"/>
    <s v=""/>
    <m/>
    <m/>
    <m/>
    <m/>
    <s v=""/>
    <s v=" "/>
    <s v=""/>
    <n v="8"/>
    <s v="LSN"/>
    <m/>
    <s v="STAKENN38"/>
    <s v="STAMP PLATE NUMBER KENKO N-38 (Cap Nomer)"/>
    <s v="STAMP PLATE NUMBER KENKO N-38 (Cap Nomer)"/>
    <n v="84000"/>
    <n v="0.14499999999999999"/>
    <m/>
    <n v="574560"/>
    <m/>
    <m/>
    <n v="32"/>
    <n v="8"/>
    <n v="672000"/>
    <n v="97440"/>
    <n v="574560"/>
    <s v=""/>
    <m/>
    <x v="25"/>
  </r>
  <r>
    <x v="1"/>
    <s v=""/>
    <m/>
    <m/>
    <m/>
    <m/>
    <s v=""/>
    <s v=" "/>
    <s v=""/>
    <n v="1"/>
    <s v="LSN"/>
    <m/>
    <s v="STAKEND3"/>
    <s v="DATE STAMP KENKO D-3 (Cap Tanggal 5 Mm)"/>
    <s v="DATE STAMP KENKO D-3 (Cap Tanggal 5 Mm)"/>
    <n v="77400"/>
    <n v="0.14499999999999999"/>
    <m/>
    <n v="66177"/>
    <m/>
    <m/>
    <n v="32"/>
    <n v="8"/>
    <n v="77400"/>
    <n v="11223"/>
    <n v="66177"/>
    <s v=""/>
    <m/>
    <x v="26"/>
  </r>
  <r>
    <x v="1"/>
    <s v=""/>
    <m/>
    <m/>
    <m/>
    <m/>
    <s v=""/>
    <s v=" "/>
    <m/>
    <n v="5"/>
    <s v="LSN"/>
    <m/>
    <s v="STAKEND4"/>
    <s v="DATE STAMP KENKO D-4 (Cap Tanggal 4 Mm)"/>
    <s v="DATE STAMP KENKO D-4 (Cap Tanggal 4 Mm)"/>
    <n v="74400"/>
    <n v="0.14499999999999999"/>
    <m/>
    <n v="318060"/>
    <m/>
    <m/>
    <n v="32"/>
    <n v="8"/>
    <n v="372000"/>
    <n v="53939.999999999993"/>
    <n v="318060"/>
    <s v=""/>
    <m/>
    <x v="15"/>
  </r>
  <r>
    <x v="1"/>
    <s v=""/>
    <m/>
    <m/>
    <m/>
    <m/>
    <s v=""/>
    <s v=" "/>
    <s v=""/>
    <n v="48"/>
    <s v="SET"/>
    <m/>
    <s v="PWKEN12WCP12HALF"/>
    <e v="#N/A"/>
    <s v="PENSIL WARNA KENKO CP-12HALF CLASSIC (PENDEK)"/>
    <n v="6600"/>
    <n v="0.14499999999999999"/>
    <m/>
    <n v="270864"/>
    <m/>
    <m/>
    <n v="32"/>
    <n v="8"/>
    <n v="316800"/>
    <n v="45936"/>
    <n v="270864"/>
    <s v=""/>
    <m/>
    <x v="27"/>
  </r>
  <r>
    <x v="1"/>
    <s v=""/>
    <m/>
    <m/>
    <s v=""/>
    <m/>
    <s v=""/>
    <s v=" "/>
    <s v=""/>
    <n v="16"/>
    <s v="PCS"/>
    <m/>
    <s v="DESKEN8312"/>
    <s v="DESK SET KENKO K-8312 ORGANIZER"/>
    <s v="DESK SET KENKO K-8312 ORGANIZER"/>
    <n v="29000"/>
    <n v="0.14499999999999999"/>
    <m/>
    <n v="396720"/>
    <m/>
    <m/>
    <n v="32"/>
    <n v="8"/>
    <n v="464000"/>
    <n v="67280"/>
    <n v="396720"/>
    <s v=""/>
    <m/>
    <x v="2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8"/>
    <n v="23020008"/>
    <d v="2023-02-06T00:00:00"/>
    <s v="ko"/>
    <s v="0841"/>
    <s v="wisuda"/>
    <s v="AM 23020008"/>
    <s v="KO 0841"/>
    <s v="CV  WISUDA PURWOKERTO"/>
    <n v="1"/>
    <s v="LSN"/>
    <m/>
    <s v="punjk30"/>
    <s v="PUNCH JOYKO 30"/>
    <s v="PUNCH JOYKO 30"/>
    <n v="139200"/>
    <n v="0.1"/>
    <m/>
    <n v="125280"/>
    <s v="RISMA / CONDRO"/>
    <m/>
    <n v="41"/>
    <n v="6"/>
    <n v="139200"/>
    <n v="13920"/>
    <n v="125280"/>
    <n v="3178800"/>
    <m/>
    <x v="29"/>
  </r>
  <r>
    <x v="1"/>
    <s v=""/>
    <m/>
    <m/>
    <m/>
    <m/>
    <s v=""/>
    <s v=" "/>
    <s v=""/>
    <n v="12"/>
    <s v="PCS"/>
    <m/>
    <s v="PUNKENNO85"/>
    <s v="PUNCH KENKO NO. 85"/>
    <s v="PUNCH KENKO NO. 85"/>
    <n v="48500"/>
    <n v="0.1"/>
    <m/>
    <n v="523800"/>
    <m/>
    <m/>
    <n v="41"/>
    <n v="6"/>
    <n v="582000"/>
    <n v="58200"/>
    <n v="523800"/>
    <s v=""/>
    <m/>
    <x v="30"/>
  </r>
  <r>
    <x v="1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41"/>
    <n v="6"/>
    <n v="648000"/>
    <n v="64800"/>
    <n v="583200"/>
    <s v=""/>
    <m/>
    <x v="31"/>
  </r>
  <r>
    <x v="1"/>
    <s v=""/>
    <m/>
    <m/>
    <m/>
    <m/>
    <s v=""/>
    <s v=" "/>
    <s v=""/>
    <n v="100"/>
    <s v="PCS"/>
    <m/>
    <s v="STAJK"/>
    <e v="#N/A"/>
    <s v="Stabillo Highlighter JK HL MIX BIRU/ HIJAU"/>
    <n v="3700"/>
    <n v="0.1"/>
    <m/>
    <n v="333000"/>
    <m/>
    <m/>
    <n v="41"/>
    <n v="6"/>
    <n v="370000"/>
    <n v="37000"/>
    <n v="333000"/>
    <s v=""/>
    <m/>
    <x v="32"/>
  </r>
  <r>
    <x v="1"/>
    <s v=""/>
    <m/>
    <m/>
    <m/>
    <m/>
    <s v=""/>
    <s v=" "/>
    <s v=""/>
    <n v="8"/>
    <s v="LSN"/>
    <m/>
    <s v="PENKENK1HITAM"/>
    <s v="GEL PEN KENKO K-1 HITAM"/>
    <s v="GEL PEN KENKO K-1 HITAM"/>
    <n v="39600"/>
    <n v="0.1"/>
    <m/>
    <n v="285120"/>
    <m/>
    <m/>
    <n v="41"/>
    <n v="6"/>
    <n v="316800"/>
    <n v="31680"/>
    <n v="285120"/>
    <s v=""/>
    <m/>
    <x v="33"/>
  </r>
  <r>
    <x v="1"/>
    <s v=""/>
    <m/>
    <m/>
    <m/>
    <m/>
    <s v=""/>
    <s v=" "/>
    <s v=""/>
    <n v="30"/>
    <s v="GRS"/>
    <n v="1"/>
    <s v="CLIKEN111"/>
    <s v="BINDER CLIP KENKO NO. 111"/>
    <s v="BINDER CLIP KENKO NO. 111"/>
    <n v="49200"/>
    <n v="0.1"/>
    <m/>
    <n v="1328400"/>
    <m/>
    <m/>
    <n v="41"/>
    <n v="6"/>
    <n v="1476000"/>
    <n v="147600"/>
    <n v="1328400"/>
    <s v=""/>
    <m/>
    <x v="3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9"/>
    <n v="23020009"/>
    <d v="2023-02-06T00:00:00"/>
    <s v="ko"/>
    <s v="0843"/>
    <s v="centraal"/>
    <s v="AM 23020009"/>
    <s v="KO 0843"/>
    <s v="CV TRINITY CENTRAAL PURWOKERTO"/>
    <n v="144"/>
    <s v="LSN"/>
    <n v="1"/>
    <s v="PENKENHITECH028HITAM"/>
    <s v="GEL PEN KENKO HI-TECH-H 0.28 MM HITAM"/>
    <s v="GEL PEN KENKO HI-TECH-H 0.28 MM HITAM"/>
    <n v="39000"/>
    <n v="0.13"/>
    <m/>
    <n v="4885920"/>
    <s v="NOVI / CONDRO"/>
    <m/>
    <n v="48"/>
    <n v="1"/>
    <n v="5616000"/>
    <n v="730080"/>
    <n v="4885920"/>
    <n v="488592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0"/>
    <n v="23020010"/>
    <d v="2023-02-06T00:00:00"/>
    <s v="ko"/>
    <s v="0844"/>
    <s v="ARMADA"/>
    <s v="AM 23020010"/>
    <s v="KO 0844"/>
    <s v="SANTOSO BUDIONO (  ARMADA  ) PURWOKERTO"/>
    <n v="144"/>
    <s v="LSN"/>
    <n v="1"/>
    <s v="PENKENHITECH028HITAM"/>
    <s v="GEL PEN KENKO HI-TECH-H 0.28 MM HITAM"/>
    <s v="GEL PEN KENKO HI-TECH-H 0.28 MM HITAM"/>
    <n v="39000"/>
    <n v="0.13500000000000001"/>
    <m/>
    <n v="4857840"/>
    <s v="NOVI / CONDRO"/>
    <m/>
    <n v="50"/>
    <n v="1"/>
    <n v="5616000"/>
    <n v="758160"/>
    <n v="4857840"/>
    <n v="485784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1"/>
    <n v="23020011"/>
    <d v="2023-02-06T00:00:00"/>
    <s v="ko"/>
    <s v="0847"/>
    <s v="ANUGERAH"/>
    <s v="AM 23020011"/>
    <s v="KO 0847"/>
    <s v="CV PELITA JAYA (ANUGERAH SEJAHTERA) PURWOKERTO"/>
    <n v="720"/>
    <s v="LSN"/>
    <n v="5"/>
    <s v="PENKENHITECH028HITAM"/>
    <s v="GEL PEN KENKO HI-TECH-H 0.28 MM HITAM"/>
    <s v="GEL PEN KENKO HI-TECH-H 0.28 MM HITAM"/>
    <n v="39000"/>
    <n v="0.13500000000000001"/>
    <m/>
    <n v="24289200"/>
    <s v="NOVI / CONDRO"/>
    <m/>
    <n v="52"/>
    <n v="1"/>
    <n v="28080000"/>
    <n v="3790800.0000000005"/>
    <n v="24289200"/>
    <n v="2428920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2"/>
    <n v="23020012"/>
    <d v="2023-02-07T00:00:00"/>
    <s v="ko"/>
    <s v="0707"/>
    <s v="LANCAR"/>
    <s v="AM 23020012"/>
    <s v="KO 0707"/>
    <s v="SOEYANTO LOPULUSI ( LANCAR ) MALANG"/>
    <n v="144"/>
    <s v="PCS"/>
    <n v="1"/>
    <s v="PWJKCP12PB"/>
    <e v="#N/A"/>
    <s v="PENSIL WARNA JOYKO CP-12PB (PANJANG)"/>
    <n v="10600"/>
    <n v="0.125"/>
    <m/>
    <n v="1335600"/>
    <s v="NOVI / CONDRO"/>
    <m/>
    <n v="54"/>
    <n v="1"/>
    <n v="1526400"/>
    <n v="190800"/>
    <n v="1335600"/>
    <n v="1335600"/>
    <m/>
    <x v="3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3"/>
    <n v="23020013"/>
    <d v="2023-02-07T00:00:00"/>
    <s v="ko"/>
    <s v="0872"/>
    <s v="ANUGERAH"/>
    <s v="AM 23020013"/>
    <s v="KO 0872"/>
    <s v="CV PELITA JAYA (ANUGERAH SEJAHTERA) PURWOKERTO"/>
    <n v="1000"/>
    <s v="PCS"/>
    <n v="1"/>
    <s v="LABJK1LINEPUTIH"/>
    <s v="LABEL HARGA JOYKO LB-2RL (1 LINE PUTIH)"/>
    <s v="LABEL HARGA JOYKO LB-2RL (1 LINE PUTIH)"/>
    <n v="2050"/>
    <n v="0.13500000000000001"/>
    <m/>
    <n v="1773250"/>
    <s v="NOVI / CONDRO"/>
    <m/>
    <n v="56"/>
    <n v="1"/>
    <n v="2050000"/>
    <n v="276750"/>
    <n v="1773250"/>
    <n v="1773250"/>
    <m/>
    <x v="1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4"/>
    <n v="23020014"/>
    <d v="2023-02-07T00:00:00"/>
    <s v="ko"/>
    <s v="0873"/>
    <s v="centraal"/>
    <s v="AM 23020014"/>
    <s v="KO 0873"/>
    <s v="CV TRINITY CENTRAAL PURWOKERTO"/>
    <n v="40"/>
    <s v="LSN"/>
    <n v="1"/>
    <s v="LEMKENLG35"/>
    <s v="LEM CAIR 35 ML KENKO LG-35"/>
    <s v="LEM CAIR 35 ML KENKO LG-35"/>
    <n v="19800"/>
    <n v="0.13"/>
    <m/>
    <n v="689040"/>
    <s v="NOVI / CONDRO"/>
    <m/>
    <n v="58"/>
    <n v="1"/>
    <n v="792000"/>
    <n v="102960"/>
    <n v="689040"/>
    <n v="689040"/>
    <m/>
    <x v="3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5"/>
    <n v="23020015"/>
    <d v="2023-02-08T00:00:00"/>
    <s v="G"/>
    <s v="0877"/>
    <s v="REJOAGUNG"/>
    <s v="AM 23020015"/>
    <s v="G 0877"/>
    <s v="LILY JULIAWATI (REJO AGUNG) JOMBANG"/>
    <n v="24"/>
    <s v="LSN"/>
    <n v="1"/>
    <s v="JANJKMS55"/>
    <s v="JANGKA (MATH SET) JOYKO MS-55"/>
    <s v="JANGKA (MATH SET) JOYKO MS-55"/>
    <n v="88200"/>
    <n v="0.125"/>
    <m/>
    <n v="1852200"/>
    <s v="NOVI / CONDRO"/>
    <m/>
    <n v="60"/>
    <n v="10"/>
    <n v="2116800"/>
    <n v="264600"/>
    <n v="1852200"/>
    <n v="48816950"/>
    <m/>
    <x v="16"/>
  </r>
  <r>
    <x v="1"/>
    <s v=""/>
    <m/>
    <m/>
    <m/>
    <m/>
    <s v=""/>
    <s v=" "/>
    <s v=""/>
    <n v="720"/>
    <s v="PCS"/>
    <n v="1"/>
    <s v="STAJKHLMIX5WARNA"/>
    <s v="HIGHLIGHTER / STABILLO JOYKO HL-MIX (5 WARNA)"/>
    <s v="HIGHLIGHTER / STABILLO JOYKO HL-MIX (5 WARNA)"/>
    <n v="3700"/>
    <n v="0.125"/>
    <m/>
    <n v="2331000"/>
    <m/>
    <m/>
    <n v="60"/>
    <n v="10"/>
    <n v="2664000"/>
    <n v="333000"/>
    <n v="2331000"/>
    <s v=""/>
    <m/>
    <x v="37"/>
  </r>
  <r>
    <x v="1"/>
    <s v=""/>
    <m/>
    <m/>
    <m/>
    <m/>
    <s v=""/>
    <s v=" "/>
    <s v=""/>
    <n v="12"/>
    <s v="GRS"/>
    <n v="1"/>
    <s v="ISIJKPL05"/>
    <s v="ISI PENSIL 2B 0.5 MM JOYKO PL-05"/>
    <s v="ISI PENSIL 2B 0.5 MM JOYKO PL-05"/>
    <n v="176400"/>
    <n v="0.125"/>
    <m/>
    <n v="1852200"/>
    <m/>
    <m/>
    <n v="60"/>
    <n v="10"/>
    <n v="2116800"/>
    <n v="264600"/>
    <n v="1852200"/>
    <s v=""/>
    <m/>
    <x v="38"/>
  </r>
  <r>
    <x v="1"/>
    <s v=""/>
    <m/>
    <m/>
    <m/>
    <m/>
    <s v=""/>
    <s v=" "/>
    <s v=""/>
    <n v="420"/>
    <s v="LSN"/>
    <n v="7"/>
    <s v="TIPJKCT522"/>
    <s v="CORRECTION TAPE JOYKO CT-522"/>
    <s v="CORRECTION TAPE JOYKO CT-522"/>
    <n v="57600"/>
    <n v="0.125"/>
    <m/>
    <n v="21168000"/>
    <m/>
    <m/>
    <n v="60"/>
    <n v="10"/>
    <n v="24192000"/>
    <n v="3024000"/>
    <n v="21168000"/>
    <s v=""/>
    <m/>
    <x v="39"/>
  </r>
  <r>
    <x v="1"/>
    <s v=""/>
    <m/>
    <m/>
    <m/>
    <m/>
    <s v=""/>
    <s v=" "/>
    <s v=""/>
    <n v="288"/>
    <s v="PCS"/>
    <n v="4"/>
    <s v="BNJKA5CAMPUSMIX"/>
    <e v="#N/A"/>
    <s v="BINDER NOTE JOYKO A5 (CAMPUS/CLASSIC) MIX"/>
    <n v="15800"/>
    <n v="0.125"/>
    <m/>
    <n v="3981600"/>
    <m/>
    <m/>
    <n v="60"/>
    <n v="10"/>
    <n v="4550400"/>
    <n v="568800"/>
    <n v="3981600"/>
    <s v=""/>
    <m/>
    <x v="40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60"/>
    <n v="10"/>
    <n v="5616000"/>
    <n v="702000"/>
    <n v="4914000"/>
    <s v=""/>
    <m/>
    <x v="20"/>
  </r>
  <r>
    <x v="1"/>
    <s v=""/>
    <m/>
    <m/>
    <m/>
    <m/>
    <s v=""/>
    <s v=" "/>
    <s v=""/>
    <n v="100"/>
    <s v="SLOP"/>
    <n v="1"/>
    <s v="LABJK1LINEPUTIH"/>
    <s v="LABEL HARGA JOYKO LB-2RL (1 LINE PUTIH)"/>
    <s v="LABEL HARGA JOYKO LB-2RL (1 LINE PUTIH)"/>
    <n v="20500"/>
    <n v="0.125"/>
    <m/>
    <n v="1793750"/>
    <m/>
    <m/>
    <n v="60"/>
    <n v="10"/>
    <n v="2050000"/>
    <n v="256250"/>
    <n v="1793750"/>
    <s v=""/>
    <m/>
    <x v="41"/>
  </r>
  <r>
    <x v="1"/>
    <s v=""/>
    <m/>
    <m/>
    <m/>
    <m/>
    <s v=""/>
    <s v=" "/>
    <s v=""/>
    <n v="144"/>
    <s v="LSN"/>
    <n v="3"/>
    <s v="TIPJKJK101"/>
    <s v="CORRECTION FLUID JOYKO JK-101"/>
    <s v="CORRECTION FLUID JOYKO JK-101"/>
    <n v="36000"/>
    <n v="0.125"/>
    <m/>
    <n v="4536000"/>
    <m/>
    <m/>
    <n v="60"/>
    <n v="10"/>
    <n v="5184000"/>
    <n v="648000"/>
    <n v="4536000"/>
    <s v=""/>
    <m/>
    <x v="42"/>
  </r>
  <r>
    <x v="1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60"/>
    <n v="10"/>
    <n v="3391200"/>
    <n v="423900"/>
    <n v="2967300"/>
    <s v=""/>
    <m/>
    <x v="43"/>
  </r>
  <r>
    <x v="1"/>
    <s v=""/>
    <m/>
    <m/>
    <m/>
    <m/>
    <s v=""/>
    <s v=" "/>
    <s v=""/>
    <n v="72"/>
    <s v="LSN"/>
    <n v="1"/>
    <s v="TIPKENKE01"/>
    <s v="CORRECTION FLUID KENKO KE-01"/>
    <s v="CORRECTION FLUID KENKO KE-01"/>
    <n v="54300"/>
    <n v="0.125"/>
    <m/>
    <n v="3420900"/>
    <m/>
    <m/>
    <n v="60"/>
    <n v="10"/>
    <n v="3909600"/>
    <n v="488700"/>
    <n v="3420900"/>
    <s v=""/>
    <m/>
    <x v="4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6"/>
    <n v="23020016"/>
    <d v="2023-02-09T00:00:00"/>
    <s v="ko"/>
    <s v="0908"/>
    <s v="ANUGERAH"/>
    <s v="AM 23020016"/>
    <s v="KO 0908"/>
    <s v="CV PELITA JAYA (ANUGERAH SEJAHTERA) PURWOKERTO"/>
    <n v="1000"/>
    <s v="PCS"/>
    <n v="2"/>
    <s v="CLIKEN1"/>
    <s v="PAPER TRIGONAL CLIP KENKO NO. 1"/>
    <s v="PAPER TRIGONAL CLIP KENKO NO. 1"/>
    <n v="1700"/>
    <n v="0.13500000000000001"/>
    <m/>
    <n v="1470500"/>
    <s v="NOVI / CONDRO"/>
    <m/>
    <n v="71"/>
    <n v="9"/>
    <n v="1700000"/>
    <n v="229500.00000000003"/>
    <n v="1470500"/>
    <n v="19021696"/>
    <m/>
    <x v="45"/>
  </r>
  <r>
    <x v="1"/>
    <s v=""/>
    <m/>
    <m/>
    <m/>
    <m/>
    <s v=""/>
    <s v=" "/>
    <s v=""/>
    <n v="1000"/>
    <s v="PCS"/>
    <n v="2"/>
    <s v="CLIKEN3"/>
    <s v="PAPER TRIGONAL CLIP KENKO NO. 3"/>
    <s v="PAPER TRIGONAL CLIP KENKO NO. 3"/>
    <n v="1600"/>
    <n v="0.13500000000000001"/>
    <m/>
    <n v="1384000"/>
    <m/>
    <m/>
    <n v="71"/>
    <n v="9"/>
    <n v="1600000"/>
    <n v="216000"/>
    <n v="1384000"/>
    <s v=""/>
    <m/>
    <x v="46"/>
  </r>
  <r>
    <x v="1"/>
    <s v=""/>
    <m/>
    <m/>
    <m/>
    <m/>
    <s v=""/>
    <s v=" "/>
    <s v=""/>
    <n v="400"/>
    <s v="PCS"/>
    <n v="2"/>
    <s v="CLIKEN5"/>
    <s v="PAPER JUMBO CLIP KENKO NO. 5"/>
    <s v="PAPER JUMBO CLIP KENKO NO. 5"/>
    <n v="4300"/>
    <n v="0.13500000000000001"/>
    <m/>
    <n v="1487800"/>
    <m/>
    <m/>
    <n v="71"/>
    <n v="9"/>
    <n v="1720000"/>
    <n v="232200.00000000003"/>
    <n v="1487800"/>
    <s v=""/>
    <m/>
    <x v="47"/>
  </r>
  <r>
    <x v="1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71"/>
    <n v="9"/>
    <n v="2376000"/>
    <n v="320760"/>
    <n v="2055240"/>
    <s v=""/>
    <m/>
    <x v="48"/>
  </r>
  <r>
    <x v="1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3500000000000001"/>
    <m/>
    <n v="2242080"/>
    <m/>
    <m/>
    <n v="71"/>
    <n v="9"/>
    <n v="2592000"/>
    <n v="349920"/>
    <n v="2242080"/>
    <s v=""/>
    <m/>
    <x v="49"/>
  </r>
  <r>
    <x v="1"/>
    <s v=""/>
    <m/>
    <m/>
    <m/>
    <m/>
    <s v=""/>
    <s v=" "/>
    <s v=""/>
    <n v="72"/>
    <s v="LSN"/>
    <n v="1"/>
    <s v="TIPKENKE301"/>
    <s v="CORRECTION FLUID KENKO KE-301"/>
    <s v="CORRECTION FLUID KENKO KE-301"/>
    <n v="53400"/>
    <n v="0.13500000000000001"/>
    <m/>
    <n v="3325752"/>
    <m/>
    <m/>
    <n v="71"/>
    <n v="9"/>
    <n v="3844800"/>
    <n v="519048.00000000006"/>
    <n v="3325752"/>
    <s v=""/>
    <m/>
    <x v="50"/>
  </r>
  <r>
    <x v="1"/>
    <s v=""/>
    <m/>
    <m/>
    <m/>
    <m/>
    <s v=""/>
    <s v=" "/>
    <s v=""/>
    <n v="72"/>
    <s v="LSN"/>
    <n v="1"/>
    <s v="TIPKENKE107"/>
    <s v="CORRECTION FLUID KENKO KE-107M"/>
    <s v="CORRECTION FLUID KENKO KE-107M"/>
    <n v="55800"/>
    <n v="0.13500000000000001"/>
    <m/>
    <n v="3475224"/>
    <m/>
    <m/>
    <n v="71"/>
    <n v="9"/>
    <n v="4017600"/>
    <n v="542376"/>
    <n v="3475224"/>
    <s v=""/>
    <m/>
    <x v="51"/>
  </r>
  <r>
    <x v="1"/>
    <s v=""/>
    <m/>
    <m/>
    <m/>
    <m/>
    <s v=""/>
    <s v=" "/>
    <s v=""/>
    <n v="20"/>
    <s v="LSN"/>
    <n v="1"/>
    <s v="STAKENHD10"/>
    <s v="STAPLER KENKO HD-10"/>
    <s v="STAPLER KENKO HD-10"/>
    <n v="93000"/>
    <n v="0.13500000000000001"/>
    <m/>
    <n v="1608900"/>
    <m/>
    <m/>
    <n v="71"/>
    <n v="9"/>
    <n v="1860000"/>
    <n v="251100.00000000003"/>
    <n v="1608900"/>
    <s v=""/>
    <m/>
    <x v="52"/>
  </r>
  <r>
    <x v="1"/>
    <s v=""/>
    <m/>
    <m/>
    <m/>
    <m/>
    <s v=""/>
    <s v=" "/>
    <s v=""/>
    <n v="10"/>
    <s v="LSN"/>
    <n v="1"/>
    <s v="STAKENHD50"/>
    <s v="STAPLER KENKO HD-50"/>
    <s v="STAPLER KENKO HD-50"/>
    <n v="228000"/>
    <n v="0.13500000000000001"/>
    <m/>
    <n v="1972200"/>
    <m/>
    <m/>
    <n v="71"/>
    <n v="9"/>
    <n v="2280000"/>
    <n v="307800"/>
    <n v="1972200"/>
    <s v=""/>
    <m/>
    <x v="5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7"/>
    <n v="23020017"/>
    <d v="2023-02-09T00:00:00"/>
    <s v="ko"/>
    <s v="0910"/>
    <s v="bendan"/>
    <s v="AM 23020017"/>
    <s v="KO 0910"/>
    <s v="HARNOYO (BENDAN) PEKALONGAN"/>
    <n v="20"/>
    <s v="LSN"/>
    <n v="1"/>
    <s v="CUTKENL500"/>
    <s v="CUTTER 18 MM KENKO L-500 (BESAR)"/>
    <s v="CUTTER 18 MM KENKO L-500 (BESAR)"/>
    <n v="147600"/>
    <n v="0.14000000000000001"/>
    <m/>
    <n v="2538720"/>
    <s v="NOVI / CONDRO"/>
    <m/>
    <n v="81"/>
    <n v="1"/>
    <n v="2952000"/>
    <n v="413280.00000000006"/>
    <n v="2538720"/>
    <n v="2538720"/>
    <m/>
    <x v="5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8"/>
    <n v="23020018"/>
    <d v="2023-02-11T00:00:00"/>
    <s v="ko"/>
    <s v="0716"/>
    <s v="LANCAR"/>
    <s v="AM 23020018"/>
    <s v="KO 0716"/>
    <s v="SOEYANTO LOPULUSI ( LANCAR ) MALANG"/>
    <n v="432"/>
    <s v="LSN"/>
    <n v="3"/>
    <s v="PENKENHITECH028HITAM"/>
    <s v="GEL PEN KENKO HI-TECH-H 0.28 MM HITAM"/>
    <s v="GEL PEN KENKO HI-TECH-H 0.28 MM HITAM"/>
    <n v="39000"/>
    <n v="0.125"/>
    <m/>
    <n v="14742000"/>
    <s v="NOVI / CONDRO"/>
    <m/>
    <n v="84"/>
    <n v="2"/>
    <n v="16848000"/>
    <n v="2106000"/>
    <n v="14742000"/>
    <n v="19656000"/>
    <m/>
    <x v="20"/>
  </r>
  <r>
    <x v="1"/>
    <s v=""/>
    <m/>
    <m/>
    <m/>
    <m/>
    <s v=""/>
    <s v=" "/>
    <s v=""/>
    <n v="144"/>
    <s v="LSN"/>
    <n v="1"/>
    <s v="PENKENHITECH028BIRU"/>
    <s v="GEL PEN KENKO HI-TECH-H 0.28 MM BIRU"/>
    <s v="GEL PEN KENKO HI-TECH-H 0.28 MM BIRU"/>
    <n v="39000"/>
    <n v="0.125"/>
    <m/>
    <n v="4914000"/>
    <m/>
    <m/>
    <n v="84"/>
    <n v="2"/>
    <n v="5616000"/>
    <n v="702000"/>
    <n v="4914000"/>
    <s v=""/>
    <m/>
    <x v="5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9"/>
    <n v="23020019"/>
    <d v="2023-02-11T00:00:00"/>
    <s v="G"/>
    <s v="0918"/>
    <s v="UTAMA"/>
    <s v="AM 23020019"/>
    <s v="G 0918"/>
    <s v="CV UTAMA PUTRA TULUNG AGUNG"/>
    <n v="5"/>
    <s v="BOX"/>
    <m/>
    <s v="ISOPOLARMN305"/>
    <s v="TAPE DISPENSER POLAR BEAR MN-305 @12pc"/>
    <s v="TAPE DISPENSER POLAR BEAR MN-305 @12pc"/>
    <n v="100000"/>
    <m/>
    <m/>
    <n v="500000"/>
    <s v="NOVI / CONDRO"/>
    <m/>
    <n v="87"/>
    <n v="1"/>
    <n v="500000"/>
    <n v="0"/>
    <n v="500000"/>
    <n v="500000"/>
    <m/>
    <x v="5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0"/>
    <n v="23020020"/>
    <d v="2023-02-13T00:00:00"/>
    <s v="ko"/>
    <s v="0887"/>
    <s v="centraal"/>
    <s v="AM 23020020"/>
    <s v="KO 0887"/>
    <s v="CV TRINITY CENTRAAL PURWOKERTO"/>
    <n v="12"/>
    <s v="LSN"/>
    <n v="1"/>
    <s v="OPKEN12WGARDEN"/>
    <s v="CRAYON / OIL PASTEL KENKO 12W GARDEN"/>
    <s v="CRAYON / OIL PASTEL KENKO 12W GARDEN"/>
    <n v="144000"/>
    <n v="0.13"/>
    <m/>
    <n v="1503360"/>
    <s v="NOVI / CONDRO"/>
    <m/>
    <n v="89"/>
    <n v="3"/>
    <n v="1728000"/>
    <n v="224640"/>
    <n v="1503360"/>
    <n v="3598320"/>
    <m/>
    <x v="57"/>
  </r>
  <r>
    <x v="1"/>
    <s v=""/>
    <m/>
    <m/>
    <m/>
    <m/>
    <s v=""/>
    <s v=" "/>
    <s v=""/>
    <n v="6"/>
    <s v="LSN"/>
    <n v="1"/>
    <s v="OPKEN18WGARDEN"/>
    <s v="CRAYON / OIL PASTEL KENKO 18W GARDEN"/>
    <s v="CRAYON / OIL PASTEL KENKO 18W GARDEN"/>
    <n v="258000"/>
    <n v="0.13"/>
    <m/>
    <n v="1346760"/>
    <m/>
    <m/>
    <n v="89"/>
    <n v="3"/>
    <n v="1548000"/>
    <n v="201240"/>
    <n v="1346760"/>
    <s v=""/>
    <m/>
    <x v="58"/>
  </r>
  <r>
    <x v="1"/>
    <s v=""/>
    <m/>
    <m/>
    <m/>
    <m/>
    <s v=""/>
    <s v=" "/>
    <s v=""/>
    <n v="20"/>
    <s v="PAK"/>
    <n v="1"/>
    <s v="CLIKEN5"/>
    <s v="PAPER JUMBO CLIP KENKO NO. 5"/>
    <s v="PAPER JUMBO CLIP KENKO NO. 5"/>
    <n v="43000"/>
    <n v="0.13"/>
    <m/>
    <n v="748200"/>
    <m/>
    <m/>
    <n v="89"/>
    <n v="3"/>
    <n v="860000"/>
    <n v="111800"/>
    <n v="748200"/>
    <s v=""/>
    <m/>
    <x v="5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1"/>
    <n v="23020021"/>
    <d v="2023-02-13T00:00:00"/>
    <s v="G"/>
    <s v="0890"/>
    <s v="REJOAGUNG"/>
    <s v="AM 23020021"/>
    <s v="G 0890"/>
    <s v="LILY JULIAWATI (REJO AGUNG) JOMBANG"/>
    <n v="480"/>
    <s v="SET"/>
    <n v="2"/>
    <s v="KUAJKBR1"/>
    <s v="KUAS SET JOYKO BR-1"/>
    <s v="KUAS SET JOYKO BR-1"/>
    <n v="8800"/>
    <n v="0.125"/>
    <m/>
    <n v="3696000"/>
    <s v="NOVI / CONDRO"/>
    <m/>
    <n v="93"/>
    <n v="14"/>
    <n v="4224000"/>
    <n v="528000"/>
    <n v="3696000"/>
    <n v="88676700"/>
    <m/>
    <x v="60"/>
  </r>
  <r>
    <x v="1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93"/>
    <n v="14"/>
    <n v="2462400"/>
    <n v="307800"/>
    <n v="2154600"/>
    <s v=""/>
    <m/>
    <x v="61"/>
  </r>
  <r>
    <x v="1"/>
    <s v=""/>
    <m/>
    <m/>
    <m/>
    <m/>
    <s v=""/>
    <s v=" "/>
    <s v=""/>
    <n v="120"/>
    <s v="BOX"/>
    <n v="5"/>
    <s v="TIPJKCFS221"/>
    <s v="CORRECTION FLUID JOYKO CF-S221"/>
    <s v="CORRECTION FLUID JOYKO CF-S221"/>
    <n v="70800"/>
    <n v="0.125"/>
    <m/>
    <n v="7434000"/>
    <m/>
    <m/>
    <n v="93"/>
    <n v="14"/>
    <n v="8496000"/>
    <n v="1062000"/>
    <n v="7434000"/>
    <s v=""/>
    <m/>
    <x v="62"/>
  </r>
  <r>
    <x v="1"/>
    <s v=""/>
    <m/>
    <m/>
    <m/>
    <m/>
    <s v=""/>
    <s v=" "/>
    <s v=""/>
    <n v="120"/>
    <s v="BOX"/>
    <n v="5"/>
    <s v="TIPJKCFS224"/>
    <s v="CORRECTION FLUID JOYKO CF-S224"/>
    <s v="CORRECTION FLUID JOYKO CF-S224"/>
    <n v="70800"/>
    <n v="0.125"/>
    <m/>
    <n v="7434000"/>
    <m/>
    <m/>
    <n v="93"/>
    <n v="14"/>
    <n v="8496000"/>
    <n v="1062000"/>
    <n v="7434000"/>
    <s v=""/>
    <m/>
    <x v="63"/>
  </r>
  <r>
    <x v="1"/>
    <s v=""/>
    <m/>
    <m/>
    <m/>
    <m/>
    <s v=""/>
    <s v=" "/>
    <s v=""/>
    <n v="300"/>
    <s v="GRS"/>
    <n v="10"/>
    <s v="PENJKP88"/>
    <s v="PENSIL JOYKO 2B P-88"/>
    <s v="PENSIL JOYKO 2B P-88"/>
    <n v="104400"/>
    <n v="0.125"/>
    <m/>
    <n v="27405000"/>
    <m/>
    <m/>
    <n v="93"/>
    <n v="14"/>
    <n v="31320000"/>
    <n v="3915000"/>
    <n v="27405000"/>
    <s v=""/>
    <m/>
    <x v="64"/>
  </r>
  <r>
    <x v="1"/>
    <s v=""/>
    <m/>
    <m/>
    <m/>
    <m/>
    <s v=""/>
    <s v=" "/>
    <s v=""/>
    <n v="864"/>
    <s v="PCS"/>
    <n v="3"/>
    <s v="PCJKPC0719FANCYMIC"/>
    <e v="#N/A"/>
    <s v="PENCIL CASE JOYKO PC-0719 FANCY MIX"/>
    <n v="4800"/>
    <n v="0.125"/>
    <m/>
    <n v="3628800"/>
    <m/>
    <m/>
    <n v="93"/>
    <n v="14"/>
    <n v="4147200"/>
    <n v="518400"/>
    <n v="3628800"/>
    <s v=""/>
    <m/>
    <x v="65"/>
  </r>
  <r>
    <x v="1"/>
    <s v=""/>
    <m/>
    <m/>
    <m/>
    <m/>
    <s v=""/>
    <s v=" "/>
    <s v=""/>
    <n v="576"/>
    <s v="PCS"/>
    <n v="2"/>
    <s v="PCJKPC0719PASTELPOLOSMIX"/>
    <e v="#N/A"/>
    <s v="PENCIL CASE JOYKO PC-0719 PASTEL POLOS MIX"/>
    <n v="4800"/>
    <n v="0.125"/>
    <m/>
    <n v="2419200"/>
    <m/>
    <m/>
    <n v="93"/>
    <n v="14"/>
    <n v="2764800"/>
    <n v="345600"/>
    <n v="2419200"/>
    <s v=""/>
    <m/>
    <x v="66"/>
  </r>
  <r>
    <x v="1"/>
    <s v=""/>
    <m/>
    <m/>
    <m/>
    <m/>
    <s v=""/>
    <s v=" "/>
    <s v=""/>
    <n v="720"/>
    <s v="PCS"/>
    <n v="5"/>
    <s v="PWJK12WCP100"/>
    <s v="PENSIL WARNA JOYKO CP-100 (12W PANJANG)"/>
    <s v="PENSIL WARNA JOYKO CP-100 (12W PANJANG)"/>
    <n v="9600"/>
    <n v="0.125"/>
    <m/>
    <n v="6048000"/>
    <m/>
    <m/>
    <n v="93"/>
    <n v="14"/>
    <n v="6912000"/>
    <n v="864000"/>
    <n v="6048000"/>
    <s v=""/>
    <m/>
    <x v="67"/>
  </r>
  <r>
    <x v="1"/>
    <s v=""/>
    <m/>
    <m/>
    <m/>
    <m/>
    <s v=""/>
    <s v=" "/>
    <s v=""/>
    <n v="576"/>
    <s v="PCS"/>
    <n v="2"/>
    <s v="PWJK12WPENDEK"/>
    <s v="PENSIL WARNA JOYKO CP-S12 MINI (PENDEK)"/>
    <s v="PENSIL WARNA JOYKO CP-S12 MINI (PENDEK)"/>
    <n v="6700"/>
    <n v="0.125"/>
    <m/>
    <n v="3376800"/>
    <m/>
    <m/>
    <n v="93"/>
    <n v="14"/>
    <n v="3859200"/>
    <n v="482400"/>
    <n v="3376800"/>
    <s v=""/>
    <m/>
    <x v="68"/>
  </r>
  <r>
    <x v="1"/>
    <s v=""/>
    <m/>
    <m/>
    <m/>
    <m/>
    <s v=""/>
    <s v=" "/>
    <s v=""/>
    <n v="1440"/>
    <s v="PCS"/>
    <n v="10"/>
    <s v="PWJK12WPANJANG"/>
    <s v="PENSIL WARNA JOYKO CP-12PB (PANJANG)"/>
    <s v="PENSIL WARNA JOYKO CP-12PB (PANJANG)"/>
    <n v="10600"/>
    <n v="0.125"/>
    <m/>
    <n v="13356000"/>
    <m/>
    <m/>
    <n v="93"/>
    <n v="14"/>
    <n v="15264000"/>
    <n v="1908000"/>
    <n v="13356000"/>
    <s v=""/>
    <m/>
    <x v="35"/>
  </r>
  <r>
    <x v="1"/>
    <s v=""/>
    <m/>
    <m/>
    <m/>
    <m/>
    <s v=""/>
    <s v=" "/>
    <s v=""/>
    <n v="360"/>
    <s v="PCS"/>
    <n v="5"/>
    <s v="PWJK24WPANJANG"/>
    <s v="PENSIL WARNA JOYKO CP-24PB (PANJANG)"/>
    <s v="PENSIL WARNA JOYKO CP-24PB (PANJANG)"/>
    <n v="21200"/>
    <n v="0.125"/>
    <m/>
    <n v="6678000"/>
    <m/>
    <m/>
    <n v="93"/>
    <n v="14"/>
    <n v="7632000"/>
    <n v="954000"/>
    <n v="6678000"/>
    <s v=""/>
    <m/>
    <x v="69"/>
  </r>
  <r>
    <x v="1"/>
    <s v=""/>
    <m/>
    <m/>
    <m/>
    <m/>
    <s v=""/>
    <s v=" "/>
    <s v=""/>
    <n v="216"/>
    <s v="PCS"/>
    <n v="1"/>
    <s v="STAJKNO0"/>
    <s v="STAMP PAD JOYKO NO. 0"/>
    <s v="STAMP PAD JOYKO NO. 0"/>
    <n v="4900"/>
    <n v="0.125"/>
    <m/>
    <n v="926100"/>
    <m/>
    <m/>
    <n v="93"/>
    <n v="14"/>
    <n v="1058400"/>
    <n v="132300"/>
    <n v="926100"/>
    <s v=""/>
    <m/>
    <x v="70"/>
  </r>
  <r>
    <x v="1"/>
    <s v=""/>
    <m/>
    <m/>
    <m/>
    <m/>
    <s v=""/>
    <s v=" "/>
    <s v=""/>
    <n v="216"/>
    <s v="PCS"/>
    <n v="1"/>
    <s v="STAJKNO1"/>
    <s v="STAMP PAD JOYKO NO. 1"/>
    <s v="STAMP PAD JOYKO NO. 1"/>
    <n v="5800"/>
    <n v="0.125"/>
    <m/>
    <n v="1096200"/>
    <m/>
    <m/>
    <n v="93"/>
    <n v="14"/>
    <n v="1252800"/>
    <n v="156600"/>
    <n v="1096200"/>
    <s v=""/>
    <m/>
    <x v="71"/>
  </r>
  <r>
    <x v="1"/>
    <s v=""/>
    <m/>
    <m/>
    <m/>
    <m/>
    <s v=""/>
    <s v=" "/>
    <s v=""/>
    <n v="288"/>
    <s v="PCS"/>
    <n v="1"/>
    <s v="JANJKMS402"/>
    <s v="JANGKA (MATH SET) JOYKO MS-402"/>
    <s v="JANGKA (MATH SET) JOYKO MS-402"/>
    <n v="12000"/>
    <n v="0.125"/>
    <m/>
    <n v="3024000"/>
    <m/>
    <m/>
    <n v="93"/>
    <n v="14"/>
    <n v="3456000"/>
    <n v="432000"/>
    <n v="3024000"/>
    <s v=""/>
    <m/>
    <x v="7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2"/>
    <n v="23020022"/>
    <d v="2023-02-13T00:00:00"/>
    <s v="G"/>
    <s v="0891"/>
    <s v="REJOAGUNG"/>
    <s v="AM 23020022"/>
    <s v="G 0891"/>
    <s v="LILY JULIAWATI (REJO AGUNG) JOMBANG"/>
    <n v="24"/>
    <s v="LSN"/>
    <n v="1"/>
    <s v="JANJKMS75"/>
    <s v="JANGKA (MATH SET) JOYKO MS-75"/>
    <s v="JANGKA (MATH SET) JOYKO MS-75"/>
    <n v="89400"/>
    <n v="0.125"/>
    <m/>
    <n v="1877400"/>
    <s v="NOVI / CONDRO"/>
    <m/>
    <n v="108"/>
    <n v="11"/>
    <n v="2145600"/>
    <n v="268200"/>
    <n v="1877400"/>
    <n v="52427550"/>
    <m/>
    <x v="73"/>
  </r>
  <r>
    <x v="1"/>
    <s v=""/>
    <m/>
    <m/>
    <m/>
    <m/>
    <s v=""/>
    <s v=" "/>
    <s v=""/>
    <n v="4320"/>
    <s v="PCS"/>
    <n v="5"/>
    <s v="LEMJKGS104"/>
    <s v="LEM STICK JOYKO 15 GR GS-104 TG (ANIMAL KINGDOM) isi 24 pc"/>
    <s v="LEM STICK JOYKO 15 GR GS-104 TG (ANIMAL KINGDOM) isi 24 pc"/>
    <n v="2450"/>
    <n v="0.125"/>
    <m/>
    <n v="9261000"/>
    <m/>
    <m/>
    <n v="108"/>
    <n v="11"/>
    <n v="10584000"/>
    <n v="1323000"/>
    <n v="9261000"/>
    <s v=""/>
    <m/>
    <x v="74"/>
  </r>
  <r>
    <x v="1"/>
    <s v=""/>
    <m/>
    <m/>
    <m/>
    <m/>
    <s v=""/>
    <s v=" "/>
    <s v=""/>
    <n v="768"/>
    <s v="PCS"/>
    <n v="1"/>
    <s v="LEMJKGS09"/>
    <e v="#N/A"/>
    <s v="LEM STICK JOYKO 8 GR GS-09 isi 12 pc"/>
    <n v="2100"/>
    <n v="0.125"/>
    <m/>
    <n v="1411200"/>
    <m/>
    <m/>
    <n v="108"/>
    <n v="11"/>
    <n v="1612800"/>
    <n v="201600"/>
    <n v="1411200"/>
    <s v=""/>
    <m/>
    <x v="75"/>
  </r>
  <r>
    <x v="1"/>
    <s v=""/>
    <m/>
    <m/>
    <m/>
    <m/>
    <s v=""/>
    <s v=" "/>
    <s v=""/>
    <n v="48"/>
    <s v="GRS"/>
    <n v="4"/>
    <s v="ISIJKPL05"/>
    <s v="ISI PENSIL 2B 0.5 MM JOYKO PL-05"/>
    <s v="ISI PENSIL 2B 0.5 MM JOYKO PL-05"/>
    <n v="176400"/>
    <n v="0.125"/>
    <m/>
    <n v="7408800"/>
    <m/>
    <m/>
    <n v="108"/>
    <n v="11"/>
    <n v="8467200"/>
    <n v="1058400"/>
    <n v="7408800"/>
    <s v=""/>
    <m/>
    <x v="38"/>
  </r>
  <r>
    <x v="1"/>
    <s v=""/>
    <m/>
    <m/>
    <m/>
    <m/>
    <s v=""/>
    <s v=" "/>
    <s v=""/>
    <n v="288"/>
    <s v="LSN"/>
    <n v="2"/>
    <s v="ISIJKPL10"/>
    <s v="ISI PENSIL 2B 2.0 MM JOYKO PL-10"/>
    <s v="ISI PENSIL 2B 2.0 MM JOYKO PL-10"/>
    <n v="19800"/>
    <n v="0.125"/>
    <m/>
    <n v="4989600"/>
    <m/>
    <m/>
    <n v="108"/>
    <n v="11"/>
    <n v="5702400"/>
    <n v="712800"/>
    <n v="4989600"/>
    <s v=""/>
    <m/>
    <x v="76"/>
  </r>
  <r>
    <x v="1"/>
    <s v=""/>
    <m/>
    <m/>
    <m/>
    <m/>
    <s v=""/>
    <s v=" "/>
    <s v=""/>
    <n v="144"/>
    <s v="LSN"/>
    <n v="2"/>
    <s v="ISIJKPL11"/>
    <s v="ISI PENSIL 2B 2.0 MM JOYKO PL-11"/>
    <s v="ISI PENSIL 2B 2.0 MM JOYKO PL-11"/>
    <n v="37200"/>
    <n v="0.125"/>
    <m/>
    <n v="4687200"/>
    <m/>
    <m/>
    <n v="108"/>
    <n v="11"/>
    <n v="5356800"/>
    <n v="669600"/>
    <n v="4687200"/>
    <s v=""/>
    <m/>
    <x v="77"/>
  </r>
  <r>
    <x v="1"/>
    <s v=""/>
    <m/>
    <m/>
    <m/>
    <m/>
    <s v=""/>
    <s v=" "/>
    <s v=""/>
    <n v="24"/>
    <s v="PCS"/>
    <n v="1"/>
    <s v="GTJKGT701"/>
    <e v="#N/A"/>
    <s v="STAPLER GUNTACKER JOYKO GT-701"/>
    <n v="97000"/>
    <n v="0.125"/>
    <m/>
    <n v="2037000"/>
    <m/>
    <m/>
    <n v="108"/>
    <n v="11"/>
    <n v="2328000"/>
    <n v="291000"/>
    <n v="2037000"/>
    <s v=""/>
    <m/>
    <x v="78"/>
  </r>
  <r>
    <x v="1"/>
    <s v=""/>
    <m/>
    <m/>
    <m/>
    <m/>
    <s v=""/>
    <s v=" "/>
    <s v=""/>
    <n v="72"/>
    <s v="PCS"/>
    <n v="1"/>
    <s v="BNKA5M480TSFS514"/>
    <s v="BINDER NOTE JOYKO A5 (CAMPUS/CLASSIC)"/>
    <s v="BINDER NOTE JOYKO A5 (CAMPUS/CLASSIC)"/>
    <n v="15800"/>
    <n v="0.125"/>
    <m/>
    <n v="995400"/>
    <m/>
    <m/>
    <n v="108"/>
    <n v="11"/>
    <n v="1137600"/>
    <n v="142200"/>
    <n v="995400"/>
    <s v=""/>
    <m/>
    <x v="79"/>
  </r>
  <r>
    <x v="1"/>
    <s v=""/>
    <m/>
    <m/>
    <m/>
    <m/>
    <s v=""/>
    <s v=" "/>
    <s v=""/>
    <n v="336"/>
    <s v="LSN"/>
    <n v="7"/>
    <s v="TIPJKJK01"/>
    <e v="#N/A"/>
    <s v="CORRECTION FLUID JOYKO JK-01"/>
    <n v="36000"/>
    <n v="0.125"/>
    <m/>
    <n v="10584000"/>
    <m/>
    <m/>
    <n v="108"/>
    <n v="11"/>
    <n v="12096000"/>
    <n v="1512000"/>
    <n v="10584000"/>
    <s v=""/>
    <m/>
    <x v="80"/>
  </r>
  <r>
    <x v="1"/>
    <s v=""/>
    <m/>
    <m/>
    <m/>
    <m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108"/>
    <n v="11"/>
    <n v="810000"/>
    <n v="101250"/>
    <n v="708750"/>
    <s v=""/>
    <m/>
    <x v="81"/>
  </r>
  <r>
    <x v="1"/>
    <s v=""/>
    <m/>
    <m/>
    <m/>
    <m/>
    <s v=""/>
    <s v=" "/>
    <s v=""/>
    <n v="576"/>
    <s v="PCS"/>
    <n v="3"/>
    <s v="PENJKGPC309"/>
    <e v="#N/A"/>
    <s v="GEL PEN SET JOYKO GPC-309S DIAMOND ART"/>
    <n v="16800"/>
    <n v="0.125"/>
    <m/>
    <n v="8467200"/>
    <m/>
    <m/>
    <n v="108"/>
    <n v="11"/>
    <n v="9676800"/>
    <n v="1209600"/>
    <n v="8467200"/>
    <s v=""/>
    <m/>
    <x v="8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3"/>
    <n v="23020023"/>
    <d v="2023-02-13T00:00:00"/>
    <s v="G"/>
    <s v="0892"/>
    <s v="REJOAGUNG"/>
    <s v="AM 23020023"/>
    <s v="G 0892"/>
    <s v="LILY JULIAWATI (REJO AGUNG) JOMBANG"/>
    <n v="36"/>
    <s v="LSN"/>
    <n v="1"/>
    <s v="TIPKENKE107"/>
    <s v="CORRECTION FLUID KENKO KE-107M"/>
    <s v="CORRECTION FLUID KENKO KE-107M"/>
    <n v="55800"/>
    <n v="0.125"/>
    <m/>
    <n v="1757700"/>
    <s v="NOVI / CONDRO"/>
    <m/>
    <n v="120"/>
    <n v="3"/>
    <n v="2008800"/>
    <n v="251100"/>
    <n v="1757700"/>
    <n v="6870150"/>
    <m/>
    <x v="51"/>
  </r>
  <r>
    <x v="1"/>
    <s v=""/>
    <m/>
    <m/>
    <m/>
    <m/>
    <s v=""/>
    <s v=" "/>
    <s v=""/>
    <n v="36"/>
    <s v="LSN"/>
    <n v="1"/>
    <s v="TIPKENKE01"/>
    <s v="CORRECTION FLUID KENKO KE-01"/>
    <s v="CORRECTION FLUID KENKO KE-01"/>
    <n v="54300"/>
    <n v="0.125"/>
    <m/>
    <n v="1710450"/>
    <m/>
    <m/>
    <n v="120"/>
    <n v="3"/>
    <n v="1954800"/>
    <n v="244350"/>
    <n v="1710450"/>
    <s v=""/>
    <m/>
    <x v="44"/>
  </r>
  <r>
    <x v="1"/>
    <s v=""/>
    <m/>
    <m/>
    <m/>
    <m/>
    <s v=""/>
    <s v=" "/>
    <s v=""/>
    <n v="120"/>
    <s v="LSN"/>
    <n v="1"/>
    <s v="ISIKENKECIL"/>
    <e v="#N/A"/>
    <s v="ISI CUTTER 9 MM KENKO A-100 (KECIL)"/>
    <n v="32400"/>
    <n v="0.125"/>
    <m/>
    <n v="3402000"/>
    <m/>
    <m/>
    <n v="120"/>
    <n v="3"/>
    <n v="3888000"/>
    <n v="486000"/>
    <n v="3402000"/>
    <s v=""/>
    <m/>
    <x v="8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4"/>
    <n v="23020024"/>
    <d v="2023-02-15T00:00:00"/>
    <s v="ko"/>
    <s v="1054"/>
    <s v="centraal"/>
    <s v="AM 23020024"/>
    <s v="KO 1054"/>
    <s v="CV TRINITY CENTRAAL PURWOKERTO"/>
    <n v="20"/>
    <s v="PCS"/>
    <n v="1"/>
    <s v="MESJKMX5500M"/>
    <s v="MESIN LABEL HARGA JOYKO MX-5500M (8 DIGITS, 1 LINE)"/>
    <s v="MESIN LABEL HARGA JOYKO MX-5500M (8 DIGITS, 1 LINE)"/>
    <n v="40500"/>
    <n v="0.13"/>
    <m/>
    <n v="704700"/>
    <s v="NOVI / CONDRO"/>
    <m/>
    <n v="124"/>
    <n v="1"/>
    <n v="810000"/>
    <n v="105300"/>
    <n v="704700"/>
    <n v="704700"/>
    <m/>
    <x v="8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5"/>
    <n v="23020025"/>
    <d v="2023-02-16T00:00:00"/>
    <s v="ko"/>
    <s v="1065"/>
    <s v="centraal"/>
    <s v="AM 23020025"/>
    <s v="KO 1065"/>
    <s v="CV TRINITY CENTRAAL PURWOKERTO"/>
    <n v="15"/>
    <s v="LSN"/>
    <m/>
    <s v="TIPKENCT1505FC"/>
    <s v="CORRECTION TAPE KENKO CT-1505FC (15M X 5MM)"/>
    <s v="CORRECTION TAPE KENKO CT-1505FC (15M X 5MM)"/>
    <n v="69600"/>
    <n v="0.13"/>
    <m/>
    <n v="908280"/>
    <s v="NOVI / CONDRO"/>
    <m/>
    <n v="126"/>
    <n v="4"/>
    <n v="1044000"/>
    <n v="135720"/>
    <n v="908280"/>
    <n v="3557952"/>
    <m/>
    <x v="84"/>
  </r>
  <r>
    <x v="1"/>
    <s v=""/>
    <m/>
    <m/>
    <m/>
    <m/>
    <s v=""/>
    <s v=" "/>
    <s v=""/>
    <n v="15"/>
    <s v="LSN"/>
    <m/>
    <s v="TIPKENCT310SL"/>
    <s v="CORRECTION TAPE KENKO CT-310SL (12M x 5MM)"/>
    <s v="CORRECTION TAPE KENKO CT-310SL (12M x 5MM)"/>
    <n v="84000"/>
    <n v="0.13"/>
    <m/>
    <n v="1096200"/>
    <m/>
    <m/>
    <n v="126"/>
    <n v="4"/>
    <n v="1260000"/>
    <n v="163800"/>
    <n v="1096200"/>
    <s v=""/>
    <m/>
    <x v="85"/>
  </r>
  <r>
    <x v="1"/>
    <s v=""/>
    <m/>
    <m/>
    <m/>
    <m/>
    <s v=""/>
    <s v=" "/>
    <s v=""/>
    <n v="9"/>
    <s v="LSN"/>
    <m/>
    <s v="TIPKENCT905"/>
    <s v="CORRECTION TAPE KENKO CT-905 (12M x 5MM)"/>
    <s v="CORRECTION TAPE KENKO CT-905 (12M x 5MM)"/>
    <n v="62400"/>
    <n v="0.13"/>
    <m/>
    <n v="488592"/>
    <m/>
    <m/>
    <n v="126"/>
    <n v="4"/>
    <n v="561600"/>
    <n v="73008"/>
    <n v="488592"/>
    <s v=""/>
    <m/>
    <x v="86"/>
  </r>
  <r>
    <x v="1"/>
    <s v=""/>
    <m/>
    <m/>
    <m/>
    <m/>
    <s v=""/>
    <s v=" "/>
    <s v=""/>
    <n v="15"/>
    <s v="LSN"/>
    <m/>
    <s v="TIPKENCT309"/>
    <s v="CORRECTION TAPE KENKO CT-309 (12M x 5MM)"/>
    <s v="CORRECTION TAPE KENKO CT-309 (12M x 5MM)"/>
    <n v="81600"/>
    <n v="0.13"/>
    <m/>
    <n v="1064880"/>
    <m/>
    <m/>
    <n v="126"/>
    <n v="4"/>
    <n v="1224000"/>
    <n v="159120"/>
    <n v="1064880"/>
    <s v=""/>
    <m/>
    <x v="8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6"/>
    <n v="23020026"/>
    <d v="2023-02-21T00:00:00"/>
    <s v="ko"/>
    <s v="1103"/>
    <s v="wisuda"/>
    <s v="AM 23020026"/>
    <s v="KO 1103"/>
    <s v="CV  WISUDA PURWOKERTO"/>
    <n v="12"/>
    <s v="LSN"/>
    <m/>
    <s v="PENKENHITECH028"/>
    <e v="#N/A"/>
    <s v="GEL PEN KENKO HI-TECH-H 0.28 MM"/>
    <n v="39000"/>
    <n v="0.1"/>
    <m/>
    <n v="421200"/>
    <s v="NOVI / YO"/>
    <m/>
    <n v="131"/>
    <n v="4"/>
    <n v="468000"/>
    <n v="46800"/>
    <n v="421200"/>
    <n v="3154680"/>
    <m/>
    <x v="88"/>
  </r>
  <r>
    <x v="1"/>
    <s v=""/>
    <m/>
    <m/>
    <m/>
    <m/>
    <s v=""/>
    <s v=" "/>
    <s v=""/>
    <n v="4"/>
    <s v="LSN"/>
    <m/>
    <s v="PENKENK1"/>
    <s v="GEL PEN KENKO K-1"/>
    <s v="GEL PEN KENKO K-1"/>
    <n v="39600"/>
    <n v="0.1"/>
    <m/>
    <n v="142560"/>
    <m/>
    <m/>
    <n v="131"/>
    <n v="4"/>
    <n v="158400"/>
    <n v="15840"/>
    <n v="142560"/>
    <s v=""/>
    <m/>
    <x v="89"/>
  </r>
  <r>
    <x v="1"/>
    <s v=""/>
    <m/>
    <m/>
    <m/>
    <m/>
    <s v=""/>
    <s v=" "/>
    <s v=""/>
    <n v="20"/>
    <s v="GRS"/>
    <n v="1"/>
    <s v="CLIJK155"/>
    <s v="BINDER CLIP JOYKO 155"/>
    <s v="BINDER CLIP JOYKO 155"/>
    <n v="67800"/>
    <n v="0.1"/>
    <m/>
    <n v="1220400"/>
    <m/>
    <m/>
    <n v="131"/>
    <n v="4"/>
    <n v="1356000"/>
    <n v="135600"/>
    <n v="1220400"/>
    <s v=""/>
    <m/>
    <x v="90"/>
  </r>
  <r>
    <x v="1"/>
    <s v=""/>
    <m/>
    <m/>
    <m/>
    <m/>
    <s v=""/>
    <s v=" "/>
    <s v=""/>
    <n v="3"/>
    <s v="GRS"/>
    <n v="1"/>
    <s v="CLIJK280"/>
    <s v="BINDER CLIP JOYKO 280"/>
    <s v="BINDER CLIP JOYKO 280"/>
    <n v="507600"/>
    <n v="0.1"/>
    <m/>
    <n v="1370520"/>
    <m/>
    <m/>
    <n v="131"/>
    <n v="4"/>
    <n v="1522800"/>
    <n v="152280"/>
    <n v="1370520"/>
    <s v=""/>
    <m/>
    <x v="9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7"/>
    <n v="23020027"/>
    <d v="2023-02-21T00:00:00"/>
    <s v="ko"/>
    <s v="1106"/>
    <s v="DWIJAYA"/>
    <s v="AM 23020027"/>
    <s v="KO 1106"/>
    <s v="CV DWI JAYA YOGYAKARTA"/>
    <n v="3"/>
    <s v="LSN"/>
    <m/>
    <s v="CORRECTION TAPE KENKO CT-1505FC (15M X 5MM)"/>
    <e v="#N/A"/>
    <s v="CORRECTION TAPE KENKO CT-1505FC (15M X 5MM)"/>
    <n v="69600"/>
    <n v="0.1"/>
    <m/>
    <n v="187920"/>
    <s v="NOVI / YO"/>
    <m/>
    <n v="136"/>
    <n v="7"/>
    <n v="208800"/>
    <n v="20880"/>
    <n v="187920"/>
    <n v="1962360"/>
    <m/>
    <x v="84"/>
  </r>
  <r>
    <x v="1"/>
    <s v=""/>
    <m/>
    <m/>
    <m/>
    <m/>
    <s v=""/>
    <s v=" "/>
    <s v=""/>
    <n v="2"/>
    <s v="GRS"/>
    <m/>
    <s v="PENSIL KENKO 2B-6019 ANTIBACTERIAL"/>
    <e v="#N/A"/>
    <s v="PENSIL KENKO 2B-6019 ANTIBACTERIAL"/>
    <n v="102000"/>
    <n v="0.1"/>
    <m/>
    <n v="183600"/>
    <m/>
    <m/>
    <n v="136"/>
    <n v="7"/>
    <n v="204000"/>
    <n v="20400"/>
    <n v="183600"/>
    <s v=""/>
    <m/>
    <x v="92"/>
  </r>
  <r>
    <x v="1"/>
    <s v=""/>
    <m/>
    <m/>
    <m/>
    <m/>
    <s v=""/>
    <s v=" "/>
    <s v=""/>
    <n v="3"/>
    <s v="BOX"/>
    <m/>
    <s v="LEM STICK KENKO 15 GR (TANGGUNG) isi 20 pc"/>
    <e v="#N/A"/>
    <s v="LEM STICK KENKO 15 GR (TANGGUNG) isi 20 pc"/>
    <n v="72000"/>
    <n v="0.1"/>
    <m/>
    <n v="194400"/>
    <m/>
    <m/>
    <n v="136"/>
    <n v="7"/>
    <n v="216000"/>
    <n v="21600"/>
    <n v="194400"/>
    <s v=""/>
    <m/>
    <x v="49"/>
  </r>
  <r>
    <x v="1"/>
    <s v=""/>
    <m/>
    <m/>
    <m/>
    <m/>
    <s v=""/>
    <s v=" "/>
    <s v=""/>
    <n v="4"/>
    <s v="LSN"/>
    <m/>
    <s v="STAPLER KENKO HD-10"/>
    <e v="#N/A"/>
    <s v="STAPLER KENKO HD-10"/>
    <n v="93000"/>
    <n v="0.1"/>
    <m/>
    <n v="334800"/>
    <m/>
    <m/>
    <n v="136"/>
    <n v="7"/>
    <n v="372000"/>
    <n v="37200"/>
    <n v="334800"/>
    <s v=""/>
    <m/>
    <x v="52"/>
  </r>
  <r>
    <x v="1"/>
    <s v=""/>
    <m/>
    <m/>
    <m/>
    <m/>
    <s v=""/>
    <s v=" "/>
    <s v=""/>
    <n v="12"/>
    <s v="LSN"/>
    <m/>
    <s v="GEL PEN KENKO K-1"/>
    <e v="#N/A"/>
    <s v="GEL PEN KENKO K-1"/>
    <n v="39600"/>
    <n v="0.1"/>
    <m/>
    <n v="427680"/>
    <m/>
    <m/>
    <n v="136"/>
    <n v="7"/>
    <n v="475200"/>
    <n v="47520"/>
    <n v="427680"/>
    <s v=""/>
    <m/>
    <x v="89"/>
  </r>
  <r>
    <x v="1"/>
    <s v=""/>
    <m/>
    <m/>
    <m/>
    <m/>
    <s v=""/>
    <s v=" "/>
    <s v=""/>
    <n v="4"/>
    <s v="LSN"/>
    <m/>
    <s v="GUNTING KENKO SC-828"/>
    <e v="#N/A"/>
    <s v="GUNTING KENKO SC-828"/>
    <n v="56400"/>
    <n v="0.1"/>
    <m/>
    <n v="203040"/>
    <m/>
    <m/>
    <n v="136"/>
    <n v="7"/>
    <n v="225600"/>
    <n v="22560"/>
    <n v="203040"/>
    <s v=""/>
    <m/>
    <x v="93"/>
  </r>
  <r>
    <x v="1"/>
    <s v=""/>
    <m/>
    <m/>
    <m/>
    <m/>
    <s v=""/>
    <s v=" "/>
    <s v=""/>
    <n v="6"/>
    <s v="LSN"/>
    <m/>
    <s v="GUNTING KENKO SC-838N"/>
    <e v="#N/A"/>
    <s v="GUNTING KENKO SC-838N"/>
    <n v="79800"/>
    <n v="0.1"/>
    <m/>
    <n v="430920"/>
    <m/>
    <m/>
    <n v="136"/>
    <n v="7"/>
    <n v="478800"/>
    <n v="47880"/>
    <n v="430920"/>
    <s v=""/>
    <m/>
    <x v="9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8"/>
    <n v="23020028"/>
    <d v="2023-02-17T00:00:00"/>
    <s v="ko"/>
    <s v="0943"/>
    <s v="centraal"/>
    <s v="AM 23020028"/>
    <s v="KO 0943"/>
    <s v="CV TRINITY CENTRAAL PURWOKERTO"/>
    <n v="16"/>
    <s v="BOX"/>
    <m/>
    <s v="LEMKEN8GR"/>
    <s v="LEM STICK KENKO 8 GR (KECIL) isi 30 pc"/>
    <s v="LEM STICK KENKO 8 GR (KECIL) isi 30 pc"/>
    <n v="66000"/>
    <n v="0.13"/>
    <m/>
    <n v="918720"/>
    <s v="NOVI / CONDRO"/>
    <m/>
    <n v="144"/>
    <n v="1"/>
    <n v="1056000"/>
    <n v="137280"/>
    <n v="918720"/>
    <n v="918720"/>
    <m/>
    <x v="4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9"/>
    <n v="23020029"/>
    <d v="2023-02-23T00:00:00"/>
    <s v="ko"/>
    <s v="1120"/>
    <s v="centraal"/>
    <s v="AM 23020029"/>
    <s v="KO 1120"/>
    <s v="CV TRINITY CENTRAAL PURWOKERTO"/>
    <n v="72"/>
    <s v="PCS"/>
    <n v="2"/>
    <s v="OPJKOP36S"/>
    <e v="#N/A"/>
    <s v="CRAYON / OIL PASTEL JOYKO OP-36S PP CASE SEA WORLD"/>
    <n v="41500"/>
    <n v="0.13"/>
    <m/>
    <n v="2599560"/>
    <s v="NOVI / CONDRO"/>
    <m/>
    <n v="146"/>
    <n v="1"/>
    <n v="2988000"/>
    <n v="388440"/>
    <n v="2599560"/>
    <n v="2599560"/>
    <m/>
    <x v="9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0"/>
    <n v="23020030"/>
    <d v="2023-02-23T00:00:00"/>
    <s v="ko"/>
    <s v="1121"/>
    <s v="ANUGERAH"/>
    <s v="AM 23020030"/>
    <s v="KO 1121"/>
    <s v="CV PELITA JAYA (ANUGERAH SEJAHTERA) PURWOKERTO"/>
    <n v="96"/>
    <s v="LSN"/>
    <n v="2"/>
    <s v="TIPKENCT909"/>
    <s v="CORRECTION TAPE KENKO CT-909 (12M x 5MM)"/>
    <s v="CORRECTION TAPE KENKO CT-909 (12M x 5MM)"/>
    <n v="60000"/>
    <n v="0.13500000000000001"/>
    <m/>
    <n v="4982400"/>
    <s v="NOVI / CONDRO"/>
    <m/>
    <n v="148"/>
    <n v="1"/>
    <n v="5760000"/>
    <n v="777600"/>
    <n v="4982400"/>
    <n v="4982400"/>
    <m/>
    <x v="9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1"/>
    <n v="23020031"/>
    <d v="2023-02-23T00:00:00"/>
    <s v="ko"/>
    <s v="0725"/>
    <s v="RAINBOW"/>
    <s v="AM 23020031"/>
    <s v="KO 0725"/>
    <s v="CV RAINBOW NUSANTARA SIDOARJO"/>
    <n v="4"/>
    <s v="LSN"/>
    <m/>
    <s v="PENKENSTP100SG"/>
    <s v="STAND PEN SPIRAL KENKO STP-100SG"/>
    <s v="STAND PEN SPIRAL KENKO STP-100SG"/>
    <n v="54000"/>
    <n v="0.14499999999999999"/>
    <m/>
    <n v="184680"/>
    <s v="NOVI / CONDRO"/>
    <m/>
    <n v="150"/>
    <n v="6"/>
    <n v="216000"/>
    <n v="31319.999999999996"/>
    <n v="184680"/>
    <n v="2582442"/>
    <m/>
    <x v="97"/>
  </r>
  <r>
    <x v="1"/>
    <s v=""/>
    <m/>
    <m/>
    <m/>
    <m/>
    <s v=""/>
    <s v=" "/>
    <s v=""/>
    <n v="5"/>
    <s v="LSN"/>
    <m/>
    <s v="PENKENSTP300SG"/>
    <s v="STAND PEN SPIRAL KENKO STP-300SG"/>
    <s v="STAND PEN SPIRAL KENKO STP-300SG"/>
    <n v="49200"/>
    <n v="0.14499999999999999"/>
    <m/>
    <n v="210330"/>
    <m/>
    <m/>
    <n v="150"/>
    <n v="6"/>
    <n v="246000"/>
    <n v="35670"/>
    <n v="210330"/>
    <s v=""/>
    <m/>
    <x v="98"/>
  </r>
  <r>
    <x v="1"/>
    <s v=""/>
    <m/>
    <m/>
    <m/>
    <m/>
    <s v=""/>
    <s v=" "/>
    <s v=""/>
    <n v="8"/>
    <s v="LSN"/>
    <m/>
    <s v="PWKEN12WCP12HALF"/>
    <e v="#N/A"/>
    <s v="PENSIL WARNA KENKO CP-12HALF CLASSIC (PENDEK)"/>
    <n v="79200"/>
    <n v="0.14499999999999999"/>
    <m/>
    <n v="541728"/>
    <m/>
    <m/>
    <n v="150"/>
    <n v="6"/>
    <n v="633600"/>
    <n v="91872"/>
    <n v="541728"/>
    <s v=""/>
    <m/>
    <x v="99"/>
  </r>
  <r>
    <x v="1"/>
    <s v=""/>
    <m/>
    <m/>
    <m/>
    <m/>
    <s v=""/>
    <s v=" "/>
    <s v=""/>
    <n v="2"/>
    <s v="LSN"/>
    <m/>
    <s v="GARKEN100CM"/>
    <s v="GARISAN BESI (STAINLESS STEEL) KENKO 100 CM / 1 M"/>
    <s v="GARISAN BESI (STAINLESS STEEL) KENKO 100 CM / 1 M"/>
    <n v="522000"/>
    <n v="0.14499999999999999"/>
    <m/>
    <n v="892620"/>
    <m/>
    <m/>
    <n v="150"/>
    <n v="6"/>
    <n v="1044000"/>
    <n v="151380"/>
    <n v="892620"/>
    <s v=""/>
    <m/>
    <x v="22"/>
  </r>
  <r>
    <x v="1"/>
    <s v=""/>
    <m/>
    <m/>
    <m/>
    <m/>
    <s v=""/>
    <s v=" "/>
    <s v=""/>
    <n v="12"/>
    <s v="LSN"/>
    <m/>
    <s v="STAKENHD10MP"/>
    <e v="#N/A"/>
    <s v="STAPLER KENKO HD-10MP"/>
    <n v="67200"/>
    <n v="0.14499999999999999"/>
    <m/>
    <n v="689472"/>
    <m/>
    <m/>
    <n v="150"/>
    <n v="6"/>
    <n v="806400"/>
    <n v="116927.99999999999"/>
    <n v="689472"/>
    <s v=""/>
    <m/>
    <x v="100"/>
  </r>
  <r>
    <x v="1"/>
    <s v=""/>
    <m/>
    <m/>
    <m/>
    <m/>
    <s v=""/>
    <s v=" "/>
    <s v=""/>
    <n v="1"/>
    <s v="LSN"/>
    <m/>
    <s v="STAKEND4"/>
    <s v="DATE STAMP KENKO D-4 (Cap Tanggal 4 Mm)"/>
    <s v="DATE STAMP KENKO D-4 (Cap Tanggal 4 Mm)"/>
    <n v="74400"/>
    <n v="0.14499999999999999"/>
    <m/>
    <n v="63612"/>
    <m/>
    <m/>
    <n v="150"/>
    <n v="6"/>
    <n v="74400"/>
    <n v="10788"/>
    <n v="63612"/>
    <s v=""/>
    <m/>
    <x v="1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2"/>
    <n v="23020032"/>
    <d v="2023-02-23T00:00:00"/>
    <s v="ko"/>
    <s v="1124"/>
    <s v="NIRMALA"/>
    <s v="AM 23020032"/>
    <s v="KO 1124"/>
    <s v="CV SINAR CAHAYA NIRMALA BREBES"/>
    <n v="2"/>
    <s v="LSN"/>
    <m/>
    <s v="penkenhitech028funcolorhitam"/>
    <s v="GEL PEN KENKO HI-TECH-H 0.28 MM FUN COLOR HITAM"/>
    <s v="GEL PEN KENKO HI-TECH-H 0.28 MM FUN COLOR"/>
    <n v="39000"/>
    <n v="0.1"/>
    <m/>
    <n v="70200"/>
    <s v="NOVI / CONDRO"/>
    <m/>
    <n v="157"/>
    <n v="10"/>
    <n v="78000"/>
    <n v="7800"/>
    <n v="70200"/>
    <n v="1721520"/>
    <m/>
    <x v="101"/>
  </r>
  <r>
    <x v="1"/>
    <s v=""/>
    <m/>
    <m/>
    <m/>
    <m/>
    <s v=""/>
    <s v=" "/>
    <s v=""/>
    <n v="2"/>
    <s v="LSN"/>
    <m/>
    <s v="PWKEN12WPANJANG"/>
    <s v="PENSIL WARNA KENKO CP-12F CLASSIC (PANJANG)"/>
    <s v="PENSIL WARNA KENKO CP-12F CLASSIC (PANJANG)"/>
    <n v="124200"/>
    <n v="0.1"/>
    <m/>
    <n v="223560"/>
    <m/>
    <m/>
    <n v="157"/>
    <n v="10"/>
    <n v="248400"/>
    <n v="24840"/>
    <n v="223560"/>
    <s v=""/>
    <m/>
    <x v="13"/>
  </r>
  <r>
    <x v="1"/>
    <s v=""/>
    <m/>
    <m/>
    <m/>
    <m/>
    <s v=""/>
    <s v=" "/>
    <s v=""/>
    <n v="2"/>
    <s v="LSN"/>
    <m/>
    <s v="PWKEN12WPENDEK"/>
    <s v="PENSIL WARNA KENKO CP-12HALF CLASSIC (PENDEK)"/>
    <s v="PENSIL WARNA KENKO CP-12HALF CLASSIC (PENDEK)"/>
    <n v="79200"/>
    <n v="0.1"/>
    <m/>
    <n v="142560"/>
    <m/>
    <m/>
    <n v="157"/>
    <n v="10"/>
    <n v="158400"/>
    <n v="15840"/>
    <n v="142560"/>
    <s v=""/>
    <m/>
    <x v="99"/>
  </r>
  <r>
    <x v="1"/>
    <s v=""/>
    <m/>
    <m/>
    <m/>
    <m/>
    <s v=""/>
    <s v=" "/>
    <s v=""/>
    <n v="1"/>
    <s v="LSN"/>
    <m/>
    <s v="CRJK24WPENDEK"/>
    <e v="#N/A"/>
    <s v="CRAYON / OIL PASTEL PUTAR JOYKO TWCR-24MINI (PENDEK)"/>
    <n v="446400"/>
    <n v="0.1"/>
    <m/>
    <n v="401760"/>
    <m/>
    <m/>
    <n v="157"/>
    <n v="10"/>
    <n v="446400"/>
    <n v="44640"/>
    <n v="401760"/>
    <s v=""/>
    <m/>
    <x v="102"/>
  </r>
  <r>
    <x v="1"/>
    <s v=""/>
    <m/>
    <m/>
    <m/>
    <m/>
    <s v=""/>
    <s v=" "/>
    <s v=""/>
    <n v="25"/>
    <s v="PAK"/>
    <m/>
    <s v="LLJAB550"/>
    <e v="#N/A"/>
    <s v="LOOSE LEAF JOYART B5-2670 (50S)"/>
    <n v="5700"/>
    <n v="0.1"/>
    <m/>
    <n v="128250"/>
    <m/>
    <m/>
    <n v="157"/>
    <n v="10"/>
    <n v="142500"/>
    <n v="14250"/>
    <n v="128250"/>
    <s v=""/>
    <m/>
    <x v="103"/>
  </r>
  <r>
    <x v="1"/>
    <s v=""/>
    <m/>
    <m/>
    <m/>
    <m/>
    <s v=""/>
    <s v=" "/>
    <s v=""/>
    <n v="1"/>
    <s v="LSN"/>
    <m/>
    <s v="OPJKOP18S"/>
    <s v="CRAYON / OIL PASTEL JOYKO OP-18S PP CASE SEA WORLD"/>
    <s v="CRAYON / OIL PASTEL JOYKO OP-18S PP CASE SEA WORLD"/>
    <n v="276000"/>
    <n v="0.1"/>
    <m/>
    <n v="248400"/>
    <m/>
    <m/>
    <n v="157"/>
    <n v="10"/>
    <n v="276000"/>
    <n v="27600"/>
    <n v="248400"/>
    <s v=""/>
    <m/>
    <x v="104"/>
  </r>
  <r>
    <x v="1"/>
    <s v=""/>
    <m/>
    <m/>
    <m/>
    <m/>
    <s v=""/>
    <s v=" "/>
    <s v=""/>
    <n v="3"/>
    <s v="LSN"/>
    <m/>
    <s v="PENKENK1HITAM"/>
    <s v="GEL PEN KENKO K-1 HITAM"/>
    <s v="GEL PEN KENKO K-1 HITAM"/>
    <n v="39600"/>
    <n v="0.1"/>
    <m/>
    <n v="106920"/>
    <m/>
    <m/>
    <n v="157"/>
    <n v="10"/>
    <n v="118800"/>
    <n v="11880"/>
    <n v="106920"/>
    <s v=""/>
    <m/>
    <x v="33"/>
  </r>
  <r>
    <x v="1"/>
    <s v=""/>
    <m/>
    <m/>
    <m/>
    <m/>
    <s v=""/>
    <s v=" "/>
    <s v=""/>
    <n v="1"/>
    <s v="LSN"/>
    <m/>
    <s v="CLIKEN3100"/>
    <s v="PAPER CLIP WARNA KENKO 3100"/>
    <s v="PAPER CLIP WARNA KENKO 3100"/>
    <n v="41400"/>
    <n v="0.1"/>
    <m/>
    <n v="37260"/>
    <m/>
    <m/>
    <n v="157"/>
    <n v="10"/>
    <n v="41400"/>
    <n v="4140"/>
    <n v="37260"/>
    <s v=""/>
    <m/>
    <x v="105"/>
  </r>
  <r>
    <x v="1"/>
    <s v=""/>
    <m/>
    <m/>
    <m/>
    <m/>
    <s v=""/>
    <s v=" "/>
    <s v=""/>
    <n v="3"/>
    <s v="PAK"/>
    <m/>
    <s v="STIKEN40HITAM"/>
    <s v="STIP / PENGHAPUS KENKO ERB-40SQ HITAM"/>
    <s v="STIP / PENGHAPUS KENKO ERB-40SQ HITAM"/>
    <n v="27500"/>
    <n v="0.1"/>
    <m/>
    <n v="74250"/>
    <m/>
    <m/>
    <n v="157"/>
    <n v="10"/>
    <n v="82500"/>
    <n v="8250"/>
    <n v="74250"/>
    <s v=""/>
    <m/>
    <x v="106"/>
  </r>
  <r>
    <x v="1"/>
    <s v=""/>
    <m/>
    <m/>
    <m/>
    <m/>
    <s v=""/>
    <s v=" "/>
    <s v=""/>
    <n v="6"/>
    <s v="LSN"/>
    <m/>
    <s v="TIPKENKE301"/>
    <s v="CORRECTION FLUID KENKO KE-301"/>
    <s v="CORRECTION FLUID KENKO KE-301"/>
    <n v="53400"/>
    <n v="0.1"/>
    <m/>
    <n v="288360"/>
    <m/>
    <m/>
    <n v="157"/>
    <n v="10"/>
    <n v="320400"/>
    <n v="32040"/>
    <n v="288360"/>
    <s v=""/>
    <m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3"/>
    <n v="23020033"/>
    <d v="2023-02-23T00:00:00"/>
    <s v="ko"/>
    <s v="1073"/>
    <s v="centraal"/>
    <s v="AM 23020033"/>
    <s v="KO 1073"/>
    <s v="CV TRINITY CENTRAAL PURWOKERTO"/>
    <n v="20"/>
    <s v="LSN"/>
    <m/>
    <s v="TIPJKCT540"/>
    <s v="CORRECTION TAPE JOYKO CT-540"/>
    <s v="CORRECTION TAPE JOYKO CT-540"/>
    <n v="68400"/>
    <n v="0.13"/>
    <m/>
    <n v="1190160"/>
    <s v="NOVI / CONDRO"/>
    <m/>
    <n v="168"/>
    <n v="4"/>
    <n v="1368000"/>
    <n v="177840"/>
    <n v="1190160"/>
    <n v="4222980"/>
    <m/>
    <x v="107"/>
  </r>
  <r>
    <x v="1"/>
    <s v=""/>
    <m/>
    <m/>
    <m/>
    <m/>
    <s v=""/>
    <s v=" "/>
    <s v=""/>
    <n v="20"/>
    <s v="LSN"/>
    <m/>
    <s v="TIPJKCT545"/>
    <s v="CORRECTION TAPE JOYKO CT-545"/>
    <s v="CORRECTION TAPE JOYKO CT-545"/>
    <n v="69600"/>
    <n v="0.13"/>
    <m/>
    <n v="1211040"/>
    <m/>
    <m/>
    <n v="168"/>
    <n v="4"/>
    <n v="1392000"/>
    <n v="180960"/>
    <n v="1211040"/>
    <s v=""/>
    <m/>
    <x v="108"/>
  </r>
  <r>
    <x v="1"/>
    <s v=""/>
    <m/>
    <m/>
    <m/>
    <m/>
    <s v=""/>
    <s v=" "/>
    <s v=""/>
    <n v="20"/>
    <s v="LSN"/>
    <m/>
    <s v="TIPKENCT1505FC"/>
    <s v="CORRECTION TAPE KENKO CT-1505FC (15M X 5MM)"/>
    <s v="CORRECTION TAPE KENKO CT-1505FC (15M X 5MM)"/>
    <n v="69600"/>
    <n v="0.13"/>
    <m/>
    <n v="1211040"/>
    <m/>
    <m/>
    <n v="168"/>
    <n v="4"/>
    <n v="1392000"/>
    <n v="180960"/>
    <n v="1211040"/>
    <s v=""/>
    <m/>
    <x v="84"/>
  </r>
  <r>
    <x v="1"/>
    <s v=""/>
    <m/>
    <m/>
    <m/>
    <m/>
    <s v=""/>
    <s v=" "/>
    <s v=""/>
    <n v="13"/>
    <s v="LSN"/>
    <m/>
    <s v="TIPKENCT809"/>
    <s v="CORRECTION TAPE KENKO CT-809 (8M x 5MM)"/>
    <s v="CORRECTION TAPE KENKO CT-809 (8M x 5MM)"/>
    <n v="54000"/>
    <n v="0.13"/>
    <m/>
    <n v="610740"/>
    <m/>
    <m/>
    <n v="168"/>
    <n v="4"/>
    <n v="702000"/>
    <n v="91260"/>
    <n v="610740"/>
    <s v=""/>
    <m/>
    <x v="10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4"/>
    <n v="23020034"/>
    <d v="2023-02-23T00:00:00"/>
    <s v="ko"/>
    <s v="1125"/>
    <s v="ARMADA"/>
    <s v="AM 23020034"/>
    <s v="KO 1125"/>
    <s v="SANTOSO BUDIONO (  ARMADA  ) PURWOKERTO"/>
    <n v="72"/>
    <s v="LSN"/>
    <n v="1"/>
    <s v="TIPKENKE01"/>
    <s v="CORRECTION FLUID KENKO KE-01"/>
    <s v="CORRECTION FLUID KENKO KE-01"/>
    <n v="54300"/>
    <n v="0.13500000000000001"/>
    <m/>
    <n v="3381804"/>
    <s v="NOVI / CONDRO"/>
    <m/>
    <n v="173"/>
    <n v="1"/>
    <n v="3909600"/>
    <n v="527796"/>
    <n v="3381804"/>
    <n v="3381804"/>
    <m/>
    <x v="4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5"/>
    <n v="23020035"/>
    <d v="2023-02-24T00:00:00"/>
    <s v="ko"/>
    <s v="1138"/>
    <s v="bendan"/>
    <s v="AM 23020035"/>
    <s v="KO 1138"/>
    <s v="HARNOYO (BENDAN) PEKALONGAN"/>
    <n v="20"/>
    <s v="LSN"/>
    <n v="1"/>
    <s v="STAKENHD10"/>
    <s v="STAPLER KENKO HD-10"/>
    <s v="STAPLER KENKO HD-10"/>
    <n v="93000"/>
    <n v="0.14000000000000001"/>
    <m/>
    <n v="1599600"/>
    <s v="NOVI / CONDRO"/>
    <m/>
    <n v="175"/>
    <n v="3"/>
    <n v="1860000"/>
    <n v="260400.00000000003"/>
    <n v="1599600"/>
    <n v="4291400"/>
    <m/>
    <x v="52"/>
  </r>
  <r>
    <x v="1"/>
    <s v=""/>
    <m/>
    <m/>
    <m/>
    <m/>
    <s v=""/>
    <s v=" "/>
    <s v=""/>
    <n v="10"/>
    <s v="LSN"/>
    <n v="1"/>
    <s v="STAKENHD50"/>
    <s v="STAPLER KENKO HD-50"/>
    <s v="STAPLER KENKO HD-50"/>
    <n v="228000"/>
    <n v="0.14000000000000001"/>
    <m/>
    <n v="1960800"/>
    <m/>
    <m/>
    <n v="175"/>
    <n v="3"/>
    <n v="2280000"/>
    <n v="319200.00000000006"/>
    <n v="1960800"/>
    <s v=""/>
    <m/>
    <x v="53"/>
  </r>
  <r>
    <x v="1"/>
    <s v=""/>
    <m/>
    <m/>
    <m/>
    <m/>
    <s v=""/>
    <s v=" "/>
    <s v=""/>
    <n v="500"/>
    <s v="PAK"/>
    <n v="1"/>
    <s v="CLIKEN1"/>
    <s v="PAPER TRIGONAL CLIP KENKO NO. 1"/>
    <s v="PAPER TRIGONAL CLIP KENKO NO. 1"/>
    <n v="1700"/>
    <n v="0.14000000000000001"/>
    <m/>
    <n v="731000"/>
    <m/>
    <m/>
    <n v="175"/>
    <n v="3"/>
    <n v="850000"/>
    <n v="119000.00000000001"/>
    <n v="731000"/>
    <s v=""/>
    <m/>
    <x v="11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6"/>
    <n v="23020036"/>
    <d v="2023-02-25T00:00:00"/>
    <s v="ko"/>
    <s v="1146"/>
    <s v="bendan"/>
    <s v="AM 23020036"/>
    <s v="KO 1146"/>
    <s v="HARNOYO (BENDAN) PEKALONGAN"/>
    <n v="5"/>
    <s v="GRS"/>
    <n v="1"/>
    <s v="CLIKEN260"/>
    <s v="BINDER CLIP KENKO NO. 260"/>
    <s v="BINDER CLIP KENKO NO. 260"/>
    <n v="180000"/>
    <n v="0.14000000000000001"/>
    <m/>
    <n v="774000"/>
    <s v="NOVI / CONDRO"/>
    <m/>
    <n v="179"/>
    <n v="1"/>
    <n v="900000"/>
    <n v="126000.00000000001"/>
    <n v="774000"/>
    <n v="774000"/>
    <m/>
    <x v="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40" firstHeaderRow="1" firstDataRow="1" firstDataCol="1"/>
  <pivotFields count="29">
    <pivotField axis="axisRow" showAll="0" sortType="ascending">
      <items count="38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13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122">
        <item x="2"/>
        <item x="90"/>
        <item x="91"/>
        <item x="34"/>
        <item x="4"/>
        <item x="3"/>
        <item x="40"/>
        <item x="79"/>
        <item m="1" x="115"/>
        <item x="62"/>
        <item x="63"/>
        <item x="61"/>
        <item x="80"/>
        <item x="42"/>
        <item x="5"/>
        <item x="44"/>
        <item x="51"/>
        <item x="43"/>
        <item x="50"/>
        <item x="39"/>
        <item x="107"/>
        <item x="108"/>
        <item x="84"/>
        <item x="87"/>
        <item x="85"/>
        <item x="109"/>
        <item x="86"/>
        <item x="96"/>
        <item x="12"/>
        <item x="104"/>
        <item x="95"/>
        <item x="57"/>
        <item m="1" x="117"/>
        <item x="58"/>
        <item x="11"/>
        <item x="102"/>
        <item x="54"/>
        <item x="26"/>
        <item x="15"/>
        <item x="28"/>
        <item x="22"/>
        <item x="55"/>
        <item x="101"/>
        <item x="20"/>
        <item x="88"/>
        <item x="33"/>
        <item x="89"/>
        <item x="82"/>
        <item x="0"/>
        <item x="1"/>
        <item m="1" x="120"/>
        <item x="93"/>
        <item x="94"/>
        <item x="37"/>
        <item x="31"/>
        <item x="83"/>
        <item m="1" x="119"/>
        <item x="38"/>
        <item x="76"/>
        <item x="77"/>
        <item x="9"/>
        <item x="17"/>
        <item x="72"/>
        <item x="16"/>
        <item x="73"/>
        <item x="60"/>
        <item m="1" x="121"/>
        <item x="10"/>
        <item x="41"/>
        <item x="36"/>
        <item x="74"/>
        <item x="75"/>
        <item x="49"/>
        <item x="48"/>
        <item m="1" x="112"/>
        <item x="103"/>
        <item m="1" x="116"/>
        <item m="1" x="111"/>
        <item m="1" x="113"/>
        <item m="1" x="118"/>
        <item x="81"/>
        <item x="14"/>
        <item x="21"/>
        <item x="105"/>
        <item x="59"/>
        <item x="47"/>
        <item x="110"/>
        <item x="45"/>
        <item x="46"/>
        <item x="65"/>
        <item x="66"/>
        <item x="64"/>
        <item x="92"/>
        <item x="67"/>
        <item x="35"/>
        <item x="69"/>
        <item x="68"/>
        <item x="13"/>
        <item x="99"/>
        <item x="27"/>
        <item x="29"/>
        <item x="30"/>
        <item x="23"/>
        <item m="1" x="114"/>
        <item x="32"/>
        <item x="70"/>
        <item x="71"/>
        <item x="24"/>
        <item x="25"/>
        <item x="97"/>
        <item x="98"/>
        <item x="78"/>
        <item x="8"/>
        <item x="7"/>
        <item x="52"/>
        <item x="100"/>
        <item x="6"/>
        <item x="53"/>
        <item x="19"/>
        <item x="106"/>
        <item x="18"/>
        <item x="56"/>
      </items>
    </pivotField>
  </pivotFields>
  <rowFields count="1">
    <field x="28"/>
  </rowFields>
  <rowItems count="1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1"/>
    </i>
    <i>
      <x v="52"/>
    </i>
    <i>
      <x v="53"/>
    </i>
    <i>
      <x v="54"/>
    </i>
    <i>
      <x v="55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7"/>
    </i>
    <i>
      <x v="68"/>
    </i>
    <i>
      <x v="69"/>
    </i>
    <i>
      <x v="70"/>
    </i>
    <i>
      <x v="71"/>
    </i>
    <i>
      <x v="72"/>
    </i>
    <i>
      <x v="73"/>
    </i>
    <i>
      <x v="75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C213" totalsRowCount="1" headerRowDxfId="94" dataDxfId="93">
  <autoFilter ref="A2:AC212"/>
  <tableColumns count="29">
    <tableColumn id="16" name="//" dataDxfId="92" totalsRowDxfId="28">
      <calculatedColumnFormula>IF(Table1[No. Invoice :]="","",ROW())</calculatedColumnFormula>
    </tableColumn>
    <tableColumn id="18" name="h_No. Invoice :" dataDxfId="91" totalsRowDxfId="27">
      <calculatedColumnFormula>IF(Table1[h_Kode Sales :_1]="","",B$1+COUNT(B$2:B2))</calculatedColumnFormula>
    </tableColumn>
    <tableColumn id="2" name="Tgl Invoice :" dataDxfId="90" totalsRowDxfId="26"/>
    <tableColumn id="17" name="h_Kode Sales :_1" dataDxfId="89" totalsRowDxfId="25"/>
    <tableColumn id="19" name="h_Kode Sales :_2" dataDxfId="88" totalsRowDxfId="24"/>
    <tableColumn id="20" name="h_toko" dataDxfId="87" totalsRowDxfId="23"/>
    <tableColumn id="1" name="No. Invoice :" dataDxfId="86" totalsRowDxfId="22">
      <calculatedColumnFormula>IF(Table1[[#This Row],[h_No. Invoice :]]="","",CONCATENATE("AM"," ",Table1[[#This Row],[h_No. Invoice :]]))</calculatedColumnFormula>
    </tableColumn>
    <tableColumn id="3" name="Kode Sales :" dataDxfId="85" totalsRowDxfId="21">
      <calculatedColumnFormula>CONCATENATE(UPPER(Table1[[#This Row],[h_Kode Sales :_1]])," ",Table1[[#This Row],[h_Kode Sales :_2]])</calculatedColumnFormula>
    </tableColumn>
    <tableColumn id="4" name="Toko" dataDxfId="84" totalsRowDxfId="20">
      <calculatedColumnFormula>IF(Table1[[#This Row],[h_toko]]="","",INDEX(Table2[e],IF(Table1[[#This Row],[h_toko]]="","",MATCH(Table1[[#This Row],[h_toko]],Table2[a],0)),))</calculatedColumnFormula>
    </tableColumn>
    <tableColumn id="5" name="Qty" dataDxfId="83" totalsRowDxfId="19"/>
    <tableColumn id="6" name="Unit" dataDxfId="82" totalsRowDxfId="18"/>
    <tableColumn id="7" name="C" dataDxfId="81" totalsRowDxfId="17"/>
    <tableColumn id="8" name="h_Item Description" dataDxfId="80" totalsRowDxfId="16"/>
    <tableColumn id="10" name="Column1" dataDxfId="79" totalsRowDxfId="15">
      <calculatedColumnFormula>IF(Table1[[#This Row],[h_Item Description]]="","",INDEX([1]!db[NB PAJAK],MATCH(Table1[[#This Row],[h_Item Description]],[1]!db[kode],0)))</calculatedColumnFormula>
    </tableColumn>
    <tableColumn id="9" name="Item Description" dataDxfId="78" totalsRowDxfId="14"/>
    <tableColumn id="11" name="Unit Price" dataDxfId="77" totalsRowDxfId="13"/>
    <tableColumn id="12" name="Disc 1" dataDxfId="76" totalsRowDxfId="12"/>
    <tableColumn id="13" name="Disc 2" dataDxfId="75" totalsRowDxfId="11"/>
    <tableColumn id="23" name="Amount" dataDxfId="74" totalsRowDxfId="10">
      <calculatedColumnFormula>Table1[[#This Row],[h_hargasetelahdiskon]]</calculatedColumnFormula>
    </tableColumn>
    <tableColumn id="14" name="pembuat nota :" dataDxfId="73" totalsRowDxfId="9"/>
    <tableColumn id="15" name="edited :" dataDxfId="72" totalsRowDxfId="8"/>
    <tableColumn id="21" name="h_id" dataDxfId="71" totalsRowDxfId="7">
      <calculatedColumnFormula>IF(Table1[[#This Row],[Item Description]]="","",IF(Table1[[#This Row],[//]]="",INDIRECT(ADDRESS(ROW()-1,COLUMN())),Table1[[#This Row],[//]]))</calculatedColumnFormula>
    </tableColumn>
    <tableColumn id="22" name="h_jumlahbarang" dataDxfId="70" totalsRowDxfId="6">
      <calculatedColumnFormula>IF(Table1[[#This Row],[h_id]]="","",COUNTIF(Table1[h_id],Table1[[#This Row],[h_id]]))</calculatedColumnFormula>
    </tableColumn>
    <tableColumn id="24" name="h_hargasebelumdiskon" dataDxfId="69" totalsRowDxfId="5">
      <calculatedColumnFormula>IF(Table1[Item Description]="","",Table1[[#This Row],[Qty]]*Table1[[#This Row],[Unit Price]])</calculatedColumnFormula>
    </tableColumn>
    <tableColumn id="25" name="h_diskon" dataDxfId="68" totalsRowDxfId="4">
      <calculatedColumnFormula>IF(Table1[Item Description]="","",Table1[[#This Row],[h_hargasebelumdiskon]]*Table1[[#This Row],[Disc 1]])</calculatedColumnFormula>
    </tableColumn>
    <tableColumn id="26" name="h_hargasetelahdiskon" dataDxfId="67" totalsRowDxfId="3">
      <calculatedColumnFormula>IF(Table1[Item Description]="","",Table1[[#This Row],[h_hargasebelumdiskon]]-Table1[[#This Row],[h_diskon]])</calculatedColumnFormula>
    </tableColumn>
    <tableColumn id="27" name="Total Invoice" dataDxfId="66" totalsRowDxfId="2">
      <calculatedColumnFormula>IF(Table1[//]="","",SUMIF(Table1[h_id],Table1[h_id],Table1[h_hargasetelahdiskon]))</calculatedColumnFormula>
    </tableColumn>
    <tableColumn id="28" name="KETERANGAN" dataDxfId="65" totalsRowDxfId="1"/>
    <tableColumn id="29" name="H_A1" dataDxfId="64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2:O56" totalsRowCount="1">
  <autoFilter ref="D2:O55"/>
  <tableColumns count="12">
    <tableColumn id="1" name="//" totalsRowLabel="Total" dataDxfId="62">
      <calculatedColumnFormula>IF(ROW()-2&lt;=jNota,A3,"")</calculatedColumnFormula>
    </tableColumn>
    <tableColumn id="2" name="No. Invoice :" dataDxfId="61">
      <calculatedColumnFormula>IF(pajak[[#This Row],[//]]="","",INDEX(Table1[No. Invoice :],pajak[//]-offset))</calculatedColumnFormula>
    </tableColumn>
    <tableColumn id="3" name="Tgl Invoice :" dataDxfId="60">
      <calculatedColumnFormula>IF(pajak[[#This Row],[//]]="","",INDEX(Table1[Tgl Invoice :],pajak[//]-offset))</calculatedColumnFormula>
    </tableColumn>
    <tableColumn id="4" name="Kode Sales :" dataDxfId="59">
      <calculatedColumnFormula>IF(pajak[[#This Row],[//]]="","",INDEX(Table1[Kode Sales :],pajak[//]-offset))</calculatedColumnFormula>
    </tableColumn>
    <tableColumn id="5" name="Toko" dataDxfId="58">
      <calculatedColumnFormula>IF(pajak[[#This Row],[//]]="","",INDEX(Table1[Toko],pajak[//]-offset))</calculatedColumnFormula>
    </tableColumn>
    <tableColumn id="6" name="Total" totalsRowFunction="sum" dataDxfId="57" totalsRowDxfId="56">
      <calculatedColumnFormula>IF(pajak[[#This Row],[//]]="","",SUMIF(Table1[h_id],pajak[[#This Row],[//]],Table1[h_hargasebelumdiskon]))</calculatedColumnFormula>
    </tableColumn>
    <tableColumn id="7" name="Diskon" totalsRowFunction="sum" dataDxfId="55" totalsRowDxfId="54">
      <calculatedColumnFormula>IF(pajak[[#This Row],[//]]="","",SUMIF(Table1[h_id],pajak[[#This Row],[//]],Table1[h_diskon]))</calculatedColumnFormula>
    </tableColumn>
    <tableColumn id="8" name="Sub Total" totalsRowFunction="sum" dataDxfId="53" totalsRowDxfId="52">
      <calculatedColumnFormula>IF(pajak[[#This Row],[//]]="","",SUMIF(Table1[h_id],pajak[[#This Row],[//]],Table1[h_hargasetelahdiskon]))</calculatedColumnFormula>
    </tableColumn>
    <tableColumn id="9" name="PPN 11%" totalsRowFunction="sum" dataDxfId="51" totalsRowDxfId="50">
      <calculatedColumnFormula>IF(pajak[//]="","",pajak[[#This Row],[Sub Total]]/1.11*11%)</calculatedColumnFormula>
    </tableColumn>
    <tableColumn id="10" name="Total Invoice" totalsRowFunction="sum" dataDxfId="49" totalsRowDxfId="48">
      <calculatedColumnFormula>pajak[[#This Row],[Sub Total]]</calculatedColumnFormula>
    </tableColumn>
    <tableColumn id="14" name="pembuat nota" dataDxfId="47">
      <calculatedColumnFormula>IF(pajak[[#This Row],[//]]="","",INDEX(Table1[pembuat nota :],pajak[//]-offset))</calculatedColumnFormula>
    </tableColumn>
    <tableColumn id="15" name="edited" dataDxfId="46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55" totalsRowShown="0">
  <autoFilter ref="R2:T55"/>
  <tableColumns count="3">
    <tableColumn id="1" name="cek_ppn" dataDxfId="45">
      <calculatedColumnFormula>IF(pajak[[#This Row],[Kode Sales :]]="","",MATCH(pajak[[#This Row],[Kode Sales :]],[2]Invoice!$D:$D,0))</calculatedColumnFormula>
    </tableColumn>
    <tableColumn id="2" name="cek_rekap(share)" dataDxfId="44">
      <calculatedColumnFormula>Table4[[#This Row],[cek_ppn]]+28</calculatedColumnFormula>
    </tableColumn>
    <tableColumn id="3" name="cek_rekap(network)" dataDxfId="43">
      <calculatedColumnFormula>IF(INDEX([2]Invoice!$K:$K,Table4[[#This Row],[cek_rekap(share)]])=pajak[[#This Row],[Total Invoice]],"-",FALSE)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P139" totalsRowShown="0">
  <autoFilter ref="E1:P139"/>
  <tableColumns count="12">
    <tableColumn id="1" name="//NOTA" dataDxfId="41">
      <calculatedColumnFormula>MATCH(A2,Table1[H_A1],0)</calculatedColumnFormula>
    </tableColumn>
    <tableColumn id="7" name="//DB" dataDxfId="40">
      <calculatedColumnFormula>MATCH(Table5[[#This Row],[NAMA]],[1]!db[NB PAJAK],0)</calculatedColumnFormula>
    </tableColumn>
    <tableColumn id="2" name="NAMA" dataDxfId="39">
      <calculatedColumnFormula>INDEX(Table1[Item Description],Table5[[#This Row],[//NOTA]])</calculatedColumnFormula>
    </tableColumn>
    <tableColumn id="3" name="QTY" dataDxfId="38">
      <calculatedColumnFormula>SUMIF(Table1[H_A1],Sheet5!A2,Table1[Qty])</calculatedColumnFormula>
    </tableColumn>
    <tableColumn id="4" name="UNIT" dataDxfId="37">
      <calculatedColumnFormula>INDEX(Table1[Unit],Table5[[#This Row],[//NOTA]])</calculatedColumnFormula>
    </tableColumn>
    <tableColumn id="5" name="C" dataDxfId="36">
      <calculatedColumnFormula>SUMIF(Table1[H_A1],Sheet5!A2,Table1[C])</calculatedColumnFormula>
    </tableColumn>
    <tableColumn id="6" name="Unit Price" dataDxfId="35">
      <calculatedColumnFormula>INDEX(Table1[Unit Price],Table5[[#This Row],[//NOTA]])</calculatedColumnFormula>
    </tableColumn>
    <tableColumn id="8" name="a1" dataDxfId="34">
      <calculatedColumnFormula>IF(Table5[[#This Row],[a2]]="","",Table5[[#This Row],[QTY]]*12)</calculatedColumnFormula>
    </tableColumn>
    <tableColumn id="9" name="a2" dataDxfId="33">
      <calculatedColumnFormula>IF(Table5[[#This Row],[UNIT]]="grs","LSN",IF(Table5[[#This Row],[UNIT]]="LSN","PCS",""))</calculatedColumnFormula>
    </tableColumn>
    <tableColumn id="10" name="b1" dataDxfId="32">
      <calculatedColumnFormula>IF(Table5[[#This Row],[a2]]="LSN",Table5[[#This Row],[a1]]*12,"")</calculatedColumnFormula>
    </tableColumn>
    <tableColumn id="11" name="b2" dataDxfId="31">
      <calculatedColumnFormula>IF(Table5[[#This Row],[b1]]="","","PCS")</calculatedColumnFormula>
    </tableColumn>
    <tableColumn id="12" name="c1" dataDxfId="30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8" totalsRowShown="0">
  <autoFilter ref="A2:E18"/>
  <tableColumns count="5">
    <tableColumn id="1" name="a"/>
    <tableColumn id="2" name="b"/>
    <tableColumn id="3" name="c"/>
    <tableColumn id="4" name="d"/>
    <tableColumn id="5" name="e" dataDxfId="29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13"/>
  <sheetViews>
    <sheetView topLeftCell="D153" zoomScale="85" zoomScaleNormal="85" workbookViewId="0">
      <selection activeCell="U179" sqref="U179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4" width="14.28515625" style="92" customWidth="1"/>
    <col min="25" max="25" width="13.28515625" style="93" customWidth="1"/>
    <col min="26" max="26" width="14.28515625" style="93" customWidth="1"/>
    <col min="27" max="27" width="25.5703125" style="93" customWidth="1"/>
    <col min="28" max="28" width="59.28515625" style="92" bestFit="1" customWidth="1"/>
    <col min="29" max="16384" width="9.140625" style="92"/>
  </cols>
  <sheetData>
    <row r="1" spans="1:29" x14ac:dyDescent="0.25">
      <c r="B1" s="92">
        <v>23020001</v>
      </c>
      <c r="H1" s="92"/>
      <c r="P1" s="93"/>
      <c r="Q1" s="94"/>
      <c r="S1" s="93"/>
      <c r="T1" s="92"/>
      <c r="X1" s="93"/>
      <c r="AA1" s="92"/>
    </row>
    <row r="2" spans="1:29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89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48</v>
      </c>
      <c r="Z2" s="93" t="s">
        <v>49</v>
      </c>
      <c r="AA2" s="92" t="s">
        <v>53</v>
      </c>
      <c r="AB2" s="92" t="s">
        <v>95</v>
      </c>
      <c r="AC2" s="92" t="s">
        <v>112</v>
      </c>
    </row>
    <row r="3" spans="1:29" x14ac:dyDescent="0.25">
      <c r="A3" s="95">
        <f>IF(Table1[No. Invoice :]="","",ROW())</f>
        <v>3</v>
      </c>
      <c r="B3" s="196">
        <f>IF(Table1[h_Kode Sales :_1]="","",B$1+COUNT(B$2:B2))</f>
        <v>23020001</v>
      </c>
      <c r="C3" s="98">
        <v>44959</v>
      </c>
      <c r="D3" s="92" t="s">
        <v>90</v>
      </c>
      <c r="E3" s="97" t="s">
        <v>121</v>
      </c>
      <c r="F3" s="92" t="s">
        <v>91</v>
      </c>
      <c r="G3" s="95" t="str">
        <f>IF(Table1[[#This Row],[h_No. Invoice :]]="","",CONCATENATE("AM"," ",Table1[[#This Row],[h_No. Invoice :]]))</f>
        <v>AM 23020001</v>
      </c>
      <c r="H3" s="96" t="str">
        <f>CONCATENATE(UPPER(Table1[[#This Row],[h_Kode Sales :_1]])," ",Table1[[#This Row],[h_Kode Sales :_2]])</f>
        <v>KO 0855</v>
      </c>
      <c r="I3" s="95" t="str">
        <f>IF(Table1[[#This Row],[h_toko]]="","",INDEX(Table2[e],IF(Table1[[#This Row],[h_toko]]="","",MATCH(Table1[[#This Row],[h_toko]],Table2[a],0)),))</f>
        <v>CV TRINITY CENTRAAL PURWOKERTO</v>
      </c>
      <c r="J3" s="92">
        <v>144</v>
      </c>
      <c r="K3" s="92" t="s">
        <v>92</v>
      </c>
      <c r="L3" s="92">
        <v>1</v>
      </c>
      <c r="M3" s="92" t="s">
        <v>122</v>
      </c>
      <c r="N3" s="196" t="e">
        <f>IF(Table1[[#This Row],[h_Item Description]]="","",INDEX([1]!db[NB PAJAK],MATCH(Table1[[#This Row],[h_Item Description]],[1]!db[kode],0)))</f>
        <v>#N/A</v>
      </c>
      <c r="O3" s="92" t="s">
        <v>124</v>
      </c>
      <c r="P3" s="93">
        <v>6100</v>
      </c>
      <c r="Q3" s="94">
        <v>0.13</v>
      </c>
      <c r="S3" s="199">
        <f>Table1[[#This Row],[h_hargasetelahdiskon]]</f>
        <v>764208</v>
      </c>
      <c r="T3" s="93" t="s">
        <v>93</v>
      </c>
      <c r="V3" s="95">
        <f ca="1">IF(Table1[[#This Row],[Item Description]]="","",IF(Table1[[#This Row],[//]]="",INDIRECT(ADDRESS(ROW()-1,COLUMN())),Table1[[#This Row],[//]]))</f>
        <v>3</v>
      </c>
      <c r="W3" s="95">
        <f ca="1">IF(Table1[[#This Row],[h_id]]="","",COUNTIF(Table1[h_id],Table1[[#This Row],[h_id]]))</f>
        <v>2</v>
      </c>
      <c r="X3" s="93">
        <f>IF(Table1[Item Description]="","",Table1[[#This Row],[Qty]]*Table1[[#This Row],[Unit Price]])</f>
        <v>878400</v>
      </c>
      <c r="Y3" s="93">
        <f>IF(Table1[Item Description]="","",Table1[[#This Row],[h_hargasebelumdiskon]]*Table1[[#This Row],[Disc 1]])</f>
        <v>114192</v>
      </c>
      <c r="Z3" s="93">
        <f>IF(Table1[Item Description]="","",Table1[[#This Row],[h_hargasebelumdiskon]]-Table1[[#This Row],[h_diskon]])</f>
        <v>764208</v>
      </c>
      <c r="AA3" s="93">
        <f ca="1">IF(Table1[//]="","",SUMIF(Table1[h_id],Table1[h_id],Table1[h_hargasetelahdiskon]))</f>
        <v>1728864</v>
      </c>
      <c r="AB3" s="93"/>
      <c r="AC3" s="93" t="str">
        <f>Table1[[#This Row],[Item Description]]&amp;Table1[[#This Row],[Unit]]&amp;Table1[[#This Row],[Unit Price]]</f>
        <v>GUNTING JOYKO SC-828 SGLSN6100</v>
      </c>
    </row>
    <row r="4" spans="1:29" x14ac:dyDescent="0.25">
      <c r="A4" s="95" t="str">
        <f>IF(Table1[No. Invoice :]="","",ROW())</f>
        <v/>
      </c>
      <c r="B4" s="196" t="str">
        <f>IF(Table1[h_Kode Sales :_1]="","",B$1+COUNT(B$2:B3))</f>
        <v/>
      </c>
      <c r="D4" s="197"/>
      <c r="E4" s="198"/>
      <c r="F4" s="197"/>
      <c r="G4" s="95" t="str">
        <f>IF(Table1[[#This Row],[h_No. Invoice :]]="","",CONCATENATE("AM"," ",Table1[[#This Row],[h_No. Invoice :]]))</f>
        <v/>
      </c>
      <c r="H4" s="96" t="str">
        <f>CONCATENATE(UPPER(Table1[[#This Row],[h_Kode Sales :_1]])," ",Table1[[#This Row],[h_Kode Sales :_2]])</f>
        <v xml:space="preserve"> </v>
      </c>
      <c r="I4" s="95" t="str">
        <f>IF(Table1[[#This Row],[h_toko]]="","",INDEX(Table2[e],IF(Table1[[#This Row],[h_toko]]="","",MATCH(Table1[[#This Row],[h_toko]],Table2[a],0)),))</f>
        <v/>
      </c>
      <c r="J4" s="92">
        <v>144</v>
      </c>
      <c r="K4" s="92" t="s">
        <v>92</v>
      </c>
      <c r="L4" s="92">
        <v>1</v>
      </c>
      <c r="M4" s="92" t="s">
        <v>123</v>
      </c>
      <c r="N4" s="196" t="e">
        <f>IF(Table1[[#This Row],[h_Item Description]]="","",INDEX([1]!db[NB PAJAK],MATCH(Table1[[#This Row],[h_Item Description]],[1]!db[kode],0)))</f>
        <v>#N/A</v>
      </c>
      <c r="O4" s="92" t="s">
        <v>125</v>
      </c>
      <c r="P4" s="93">
        <v>7700</v>
      </c>
      <c r="Q4" s="94">
        <v>0.13</v>
      </c>
      <c r="S4" s="199">
        <f>Table1[[#This Row],[h_hargasetelahdiskon]]</f>
        <v>964656</v>
      </c>
      <c r="V4" s="95">
        <f ca="1">IF(Table1[[#This Row],[Item Description]]="","",IF(Table1[[#This Row],[//]]="",INDIRECT(ADDRESS(ROW()-1,COLUMN())),Table1[[#This Row],[//]]))</f>
        <v>3</v>
      </c>
      <c r="W4" s="95">
        <f ca="1">IF(Table1[[#This Row],[h_id]]="","",COUNTIF(Table1[h_id],Table1[[#This Row],[h_id]]))</f>
        <v>2</v>
      </c>
      <c r="X4" s="93">
        <f>IF(Table1[Item Description]="","",Table1[[#This Row],[Qty]]*Table1[[#This Row],[Unit Price]])</f>
        <v>1108800</v>
      </c>
      <c r="Y4" s="93">
        <f>IF(Table1[Item Description]="","",Table1[[#This Row],[h_hargasebelumdiskon]]*Table1[[#This Row],[Disc 1]])</f>
        <v>144144</v>
      </c>
      <c r="Z4" s="93">
        <f>IF(Table1[Item Description]="","",Table1[[#This Row],[h_hargasebelumdiskon]]-Table1[[#This Row],[h_diskon]])</f>
        <v>964656</v>
      </c>
      <c r="AA4" s="93" t="str">
        <f>IF(Table1[//]="","",SUMIF(Table1[h_id],Table1[h_id],Table1[h_hargasetelahdiskon]))</f>
        <v/>
      </c>
      <c r="AB4" s="93"/>
      <c r="AC4" s="93" t="str">
        <f>Table1[[#This Row],[Item Description]]&amp;Table1[[#This Row],[Unit]]&amp;Table1[[#This Row],[Unit Price]]</f>
        <v>GUNTING JOYKO SC-838 SGLSN7700</v>
      </c>
    </row>
    <row r="5" spans="1:29" x14ac:dyDescent="0.25">
      <c r="A5" s="95" t="str">
        <f>IF(Table1[No. Invoice :]="","",ROW())</f>
        <v/>
      </c>
      <c r="B5" s="196" t="str">
        <f>IF(Table1[h_Kode Sales :_1]="","",B$1+COUNT(B$2:B4))</f>
        <v/>
      </c>
      <c r="D5" s="197"/>
      <c r="E5" s="198"/>
      <c r="F5" s="197"/>
      <c r="G5" s="95" t="str">
        <f>IF(Table1[[#This Row],[h_No. Invoice :]]="","",CONCATENATE("AM"," ",Table1[[#This Row],[h_No. Invoice :]]))</f>
        <v/>
      </c>
      <c r="H5" s="96" t="str">
        <f>CONCATENATE(UPPER(Table1[[#This Row],[h_Kode Sales :_1]])," ",Table1[[#This Row],[h_Kode Sales :_2]])</f>
        <v xml:space="preserve"> </v>
      </c>
      <c r="I5" s="95" t="str">
        <f>IF(Table1[[#This Row],[h_toko]]="","",INDEX(Table2[e],IF(Table1[[#This Row],[h_toko]]="","",MATCH(Table1[[#This Row],[h_toko]],Table2[a],0)),))</f>
        <v/>
      </c>
      <c r="N5" s="196" t="str">
        <f>IF(Table1[[#This Row],[h_Item Description]]="","",INDEX([1]!db[NB PAJAK],MATCH(Table1[[#This Row],[h_Item Description]],[1]!db[kode],0)))</f>
        <v/>
      </c>
      <c r="P5" s="93"/>
      <c r="Q5" s="94"/>
      <c r="S5" s="199" t="str">
        <f>Table1[[#This Row],[h_hargasetelahdiskon]]</f>
        <v/>
      </c>
      <c r="V5" s="95" t="str">
        <f ca="1">IF(Table1[[#This Row],[Item Description]]="","",IF(Table1[[#This Row],[//]]="",INDIRECT(ADDRESS(ROW()-1,COLUMN())),Table1[[#This Row],[//]]))</f>
        <v/>
      </c>
      <c r="W5" s="95" t="str">
        <f ca="1">IF(Table1[[#This Row],[h_id]]="","",COUNTIF(Table1[h_id],Table1[[#This Row],[h_id]]))</f>
        <v/>
      </c>
      <c r="X5" s="93" t="str">
        <f>IF(Table1[Item Description]="","",Table1[[#This Row],[Qty]]*Table1[[#This Row],[Unit Price]])</f>
        <v/>
      </c>
      <c r="Y5" s="93" t="str">
        <f>IF(Table1[Item Description]="","",Table1[[#This Row],[h_hargasebelumdiskon]]*Table1[[#This Row],[Disc 1]])</f>
        <v/>
      </c>
      <c r="Z5" s="93" t="str">
        <f>IF(Table1[Item Description]="","",Table1[[#This Row],[h_hargasebelumdiskon]]-Table1[[#This Row],[h_diskon]])</f>
        <v/>
      </c>
      <c r="AA5" s="93" t="str">
        <f>IF(Table1[//]="","",SUMIF(Table1[h_id],Table1[h_id],Table1[h_hargasetelahdiskon]))</f>
        <v/>
      </c>
      <c r="AB5" s="93"/>
      <c r="AC5" s="93" t="str">
        <f>Table1[[#This Row],[Item Description]]&amp;Table1[[#This Row],[Unit]]&amp;Table1[[#This Row],[Unit Price]]</f>
        <v/>
      </c>
    </row>
    <row r="6" spans="1:29" x14ac:dyDescent="0.25">
      <c r="A6" s="95">
        <f>IF(Table1[No. Invoice :]="","",ROW())</f>
        <v>6</v>
      </c>
      <c r="B6" s="196">
        <f>IF(Table1[h_Kode Sales :_1]="","",B$1+COUNT(B$2:B4))</f>
        <v>23020002</v>
      </c>
      <c r="C6" s="98">
        <v>44960</v>
      </c>
      <c r="D6" s="92" t="s">
        <v>90</v>
      </c>
      <c r="E6" s="97" t="s">
        <v>127</v>
      </c>
      <c r="F6" s="92" t="s">
        <v>128</v>
      </c>
      <c r="G6" s="95" t="str">
        <f>IF(Table1[[#This Row],[h_No. Invoice :]]="","",CONCATENATE("AM"," ",Table1[[#This Row],[h_No. Invoice :]]))</f>
        <v>AM 23020002</v>
      </c>
      <c r="H6" s="96" t="str">
        <f>CONCATENATE(UPPER(Table1[[#This Row],[h_Kode Sales :_1]])," ",Table1[[#This Row],[h_Kode Sales :_2]])</f>
        <v>KO 0832</v>
      </c>
      <c r="I6" s="95" t="str">
        <f>IF(Table1[[#This Row],[h_toko]]="","",INDEX(Table2[e],IF(Table1[[#This Row],[h_toko]]="","",MATCH(Table1[[#This Row],[h_toko]],Table2[a],0)),))</f>
        <v>HARNOYO (BENDAN) PEKALONGAN</v>
      </c>
      <c r="J6" s="92">
        <v>15</v>
      </c>
      <c r="K6" s="92" t="s">
        <v>131</v>
      </c>
      <c r="L6" s="92">
        <v>3</v>
      </c>
      <c r="M6" s="92" t="s">
        <v>173</v>
      </c>
      <c r="N6" s="196" t="str">
        <f>IF(Table1[[#This Row],[h_Item Description]]="","",INDEX([1]!db[NB PAJAK],MATCH(Table1[[#This Row],[h_Item Description]],[1]!db[kode],0)))</f>
        <v>BINDER CLIP KENKO NO. 260</v>
      </c>
      <c r="O6" s="92" t="s">
        <v>129</v>
      </c>
      <c r="P6" s="93">
        <v>180000</v>
      </c>
      <c r="Q6" s="94">
        <v>0.14000000000000001</v>
      </c>
      <c r="S6" s="199">
        <f>Table1[[#This Row],[h_hargasetelahdiskon]]</f>
        <v>2322000</v>
      </c>
      <c r="T6" s="93" t="s">
        <v>132</v>
      </c>
      <c r="V6" s="95">
        <f ca="1">IF(Table1[[#This Row],[Item Description]]="","",IF(Table1[[#This Row],[//]]="",INDIRECT(ADDRESS(ROW()-1,COLUMN())),Table1[[#This Row],[//]]))</f>
        <v>6</v>
      </c>
      <c r="W6" s="95">
        <f ca="1">IF(Table1[[#This Row],[h_id]]="","",COUNTIF(Table1[h_id],Table1[[#This Row],[h_id]]))</f>
        <v>2</v>
      </c>
      <c r="X6" s="93">
        <f>IF(Table1[Item Description]="","",Table1[[#This Row],[Qty]]*Table1[[#This Row],[Unit Price]])</f>
        <v>2700000</v>
      </c>
      <c r="Y6" s="93">
        <f>IF(Table1[Item Description]="","",Table1[[#This Row],[h_hargasebelumdiskon]]*Table1[[#This Row],[Disc 1]])</f>
        <v>378000.00000000006</v>
      </c>
      <c r="Z6" s="93">
        <f>IF(Table1[Item Description]="","",Table1[[#This Row],[h_hargasebelumdiskon]]-Table1[[#This Row],[h_diskon]])</f>
        <v>2322000</v>
      </c>
      <c r="AA6" s="93">
        <f ca="1">IF(Table1[//]="","",SUMIF(Table1[h_id],Table1[h_id],Table1[h_hargasetelahdiskon]))</f>
        <v>3354000</v>
      </c>
      <c r="AB6" s="93"/>
      <c r="AC6" s="93" t="str">
        <f>Table1[[#This Row],[Item Description]]&amp;Table1[[#This Row],[Unit]]&amp;Table1[[#This Row],[Unit Price]]</f>
        <v>BINDER CLIP KENKO NO. 260GRS180000</v>
      </c>
    </row>
    <row r="7" spans="1:29" x14ac:dyDescent="0.25">
      <c r="A7" s="95" t="str">
        <f>IF(Table1[No. Invoice :]="","",ROW())</f>
        <v/>
      </c>
      <c r="B7" s="196" t="str">
        <f>IF(Table1[h_Kode Sales :_1]="","",B$1+COUNT(B$2:B6))</f>
        <v/>
      </c>
      <c r="D7" s="197"/>
      <c r="E7" s="198"/>
      <c r="F7" s="197"/>
      <c r="G7" s="95" t="str">
        <f>IF(Table1[[#This Row],[h_No. Invoice :]]="","",CONCATENATE("AM"," ",Table1[[#This Row],[h_No. Invoice :]]))</f>
        <v/>
      </c>
      <c r="H7" s="96" t="str">
        <f>CONCATENATE(UPPER(Table1[[#This Row],[h_Kode Sales :_1]])," ",Table1[[#This Row],[h_Kode Sales :_2]])</f>
        <v xml:space="preserve"> </v>
      </c>
      <c r="I7" s="95" t="str">
        <f>IF(Table1[[#This Row],[h_toko]]="","",INDEX(Table2[e],IF(Table1[[#This Row],[h_toko]]="","",MATCH(Table1[[#This Row],[h_toko]],Table2[a],0)),))</f>
        <v/>
      </c>
      <c r="J7" s="92">
        <v>10</v>
      </c>
      <c r="K7" s="92" t="s">
        <v>131</v>
      </c>
      <c r="L7" s="92">
        <v>1</v>
      </c>
      <c r="M7" s="92" t="s">
        <v>174</v>
      </c>
      <c r="N7" s="196" t="str">
        <f>IF(Table1[[#This Row],[h_Item Description]]="","",INDEX([1]!db[NB PAJAK],MATCH(Table1[[#This Row],[h_Item Description]],[1]!db[kode],0)))</f>
        <v>BINDER CLIP KENKO NO. 200</v>
      </c>
      <c r="O7" s="92" t="s">
        <v>130</v>
      </c>
      <c r="P7" s="93">
        <v>120000</v>
      </c>
      <c r="Q7" s="94">
        <v>0.14000000000000001</v>
      </c>
      <c r="S7" s="199">
        <f>Table1[[#This Row],[h_hargasetelahdiskon]]</f>
        <v>1032000</v>
      </c>
      <c r="V7" s="95">
        <f ca="1">IF(Table1[[#This Row],[Item Description]]="","",IF(Table1[[#This Row],[//]]="",INDIRECT(ADDRESS(ROW()-1,COLUMN())),Table1[[#This Row],[//]]))</f>
        <v>6</v>
      </c>
      <c r="W7" s="95">
        <f ca="1">IF(Table1[[#This Row],[h_id]]="","",COUNTIF(Table1[h_id],Table1[[#This Row],[h_id]]))</f>
        <v>2</v>
      </c>
      <c r="X7" s="93">
        <f>IF(Table1[Item Description]="","",Table1[[#This Row],[Qty]]*Table1[[#This Row],[Unit Price]])</f>
        <v>1200000</v>
      </c>
      <c r="Y7" s="93">
        <f>IF(Table1[Item Description]="","",Table1[[#This Row],[h_hargasebelumdiskon]]*Table1[[#This Row],[Disc 1]])</f>
        <v>168000.00000000003</v>
      </c>
      <c r="Z7" s="93">
        <f>IF(Table1[Item Description]="","",Table1[[#This Row],[h_hargasebelumdiskon]]-Table1[[#This Row],[h_diskon]])</f>
        <v>1032000</v>
      </c>
      <c r="AA7" s="93" t="str">
        <f>IF(Table1[//]="","",SUMIF(Table1[h_id],Table1[h_id],Table1[h_hargasetelahdiskon]))</f>
        <v/>
      </c>
      <c r="AB7" s="93"/>
      <c r="AC7" s="93" t="str">
        <f>Table1[[#This Row],[Item Description]]&amp;Table1[[#This Row],[Unit]]&amp;Table1[[#This Row],[Unit Price]]</f>
        <v>BINDER CLIP KENKO NO. 200GRS120000</v>
      </c>
    </row>
    <row r="8" spans="1:29" x14ac:dyDescent="0.25">
      <c r="A8" s="95" t="str">
        <f>IF(Table1[No. Invoice :]="","",ROW())</f>
        <v/>
      </c>
      <c r="B8" s="196" t="str">
        <f>IF(Table1[h_Kode Sales :_1]="","",B$1+COUNT(B$2:B7))</f>
        <v/>
      </c>
      <c r="D8" s="197"/>
      <c r="E8" s="198"/>
      <c r="F8" s="197"/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M8" s="197"/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 ca="1">IF(Table1[[#This Row],[Item Description]]="","",IF(Table1[[#This Row],[//]]="",INDIRECT(ADDRESS(ROW()-1,COLUMN())),Table1[[#This Row],[//]]))</f>
        <v/>
      </c>
      <c r="W8" s="95" t="str">
        <f ca="1"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IF(Table1[Item Description]="","",Table1[[#This Row],[h_hargasebelumdiskon]]*Table1[[#This Row],[Disc 1]])</f>
        <v/>
      </c>
      <c r="Z8" s="93" t="str">
        <f>IF(Table1[Item Description]="","",Table1[[#This Row],[h_hargasebelumdiskon]]-Table1[[#This Row],[h_diskon]])</f>
        <v/>
      </c>
      <c r="AA8" s="93" t="str">
        <f>IF(Table1[//]="","",SUMIF(Table1[h_id],Table1[h_id],Table1[h_hargasetelahdiskon]))</f>
        <v/>
      </c>
      <c r="AB8" s="93"/>
      <c r="AC8" s="93" t="str">
        <f>Table1[[#This Row],[Item Description]]&amp;Table1[[#This Row],[Unit]]&amp;Table1[[#This Row],[Unit Price]]</f>
        <v/>
      </c>
    </row>
    <row r="9" spans="1:29" x14ac:dyDescent="0.25">
      <c r="A9" s="95">
        <f>IF(Table1[No. Invoice :]="","",ROW())</f>
        <v>9</v>
      </c>
      <c r="B9" s="196">
        <f>IF(Table1[h_Kode Sales :_1]="","",B$1+COUNT(B$2:B8))</f>
        <v>23020003</v>
      </c>
      <c r="C9" s="98">
        <v>44960</v>
      </c>
      <c r="D9" s="92" t="s">
        <v>142</v>
      </c>
      <c r="E9" s="97" t="s">
        <v>143</v>
      </c>
      <c r="F9" s="92" t="s">
        <v>94</v>
      </c>
      <c r="G9" s="95" t="str">
        <f>IF(Table1[[#This Row],[h_No. Invoice :]]="","",CONCATENATE("AM"," ",Table1[[#This Row],[h_No. Invoice :]]))</f>
        <v>AM 23020003</v>
      </c>
      <c r="H9" s="96" t="str">
        <f>CONCATENATE(UPPER(Table1[[#This Row],[h_Kode Sales :_1]])," ",Table1[[#This Row],[h_Kode Sales :_2]])</f>
        <v>KO 0834</v>
      </c>
      <c r="I9" s="95" t="str">
        <f>IF(Table1[[#This Row],[h_toko]]="","",INDEX(Table2[e],IF(Table1[[#This Row],[h_toko]]="","",MATCH(Table1[[#This Row],[h_toko]],Table2[a],0)),))</f>
        <v>CV PELITA JAYA (ANUGERAH SEJAHTERA) PURWOKERTO</v>
      </c>
      <c r="J9" s="92">
        <v>360</v>
      </c>
      <c r="K9" s="92" t="s">
        <v>140</v>
      </c>
      <c r="M9" s="92" t="s">
        <v>175</v>
      </c>
      <c r="N9" s="196" t="str">
        <f>IF(Table1[[#This Row],[h_Item Description]]="","",INDEX([1]!db[NB PAJAK],MATCH(Table1[[#This Row],[h_Item Description]],[1]!db[kode],0)))</f>
        <v>CORRECTION FLUID KENKO KE-01</v>
      </c>
      <c r="O9" s="92" t="s">
        <v>135</v>
      </c>
      <c r="P9" s="93">
        <v>54300</v>
      </c>
      <c r="Q9" s="94">
        <v>0.13500000000000001</v>
      </c>
      <c r="S9" s="199">
        <f>Table1[[#This Row],[h_hargasetelahdiskon]]</f>
        <v>16909020</v>
      </c>
      <c r="T9" s="93" t="s">
        <v>132</v>
      </c>
      <c r="V9" s="95">
        <f ca="1">IF(Table1[[#This Row],[Item Description]]="","",IF(Table1[[#This Row],[//]]="",INDIRECT(ADDRESS(ROW()-1,COLUMN())),Table1[[#This Row],[//]]))</f>
        <v>9</v>
      </c>
      <c r="W9" s="95">
        <f ca="1">IF(Table1[[#This Row],[h_id]]="","",COUNTIF(Table1[h_id],Table1[[#This Row],[h_id]]))</f>
        <v>5</v>
      </c>
      <c r="X9" s="93">
        <f>IF(Table1[Item Description]="","",Table1[[#This Row],[Qty]]*Table1[[#This Row],[Unit Price]])</f>
        <v>19548000</v>
      </c>
      <c r="Y9" s="93">
        <f>IF(Table1[Item Description]="","",Table1[[#This Row],[h_hargasebelumdiskon]]*Table1[[#This Row],[Disc 1]])</f>
        <v>2638980</v>
      </c>
      <c r="Z9" s="93">
        <f>IF(Table1[Item Description]="","",Table1[[#This Row],[h_hargasebelumdiskon]]-Table1[[#This Row],[h_diskon]])</f>
        <v>16909020</v>
      </c>
      <c r="AA9" s="93">
        <f ca="1">IF(Table1[//]="","",SUMIF(Table1[h_id],Table1[h_id],Table1[h_hargasetelahdiskon]))</f>
        <v>29956680</v>
      </c>
      <c r="AB9" s="93"/>
      <c r="AC9" s="93" t="str">
        <f>Table1[[#This Row],[Item Description]]&amp;Table1[[#This Row],[Unit]]&amp;Table1[[#This Row],[Unit Price]]</f>
        <v>CORRECTION FLUID KENKO KE-01LS54300</v>
      </c>
    </row>
    <row r="10" spans="1:29" x14ac:dyDescent="0.25">
      <c r="A10" s="95" t="str">
        <f>IF(Table1[No. Invoice :]="","",ROW())</f>
        <v/>
      </c>
      <c r="B10" s="196" t="str">
        <f>IF(Table1[h_Kode Sales :_1]="","",B$1+COUNT(B$2:B9))</f>
        <v/>
      </c>
      <c r="D10" s="197"/>
      <c r="E10" s="198"/>
      <c r="F10" s="197"/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10</v>
      </c>
      <c r="K10" s="92" t="s">
        <v>140</v>
      </c>
      <c r="M10" s="92" t="s">
        <v>176</v>
      </c>
      <c r="N10" s="196" t="str">
        <f>IF(Table1[[#This Row],[h_Item Description]]="","",INDEX([1]!db[NB PAJAK],MATCH(Table1[[#This Row],[h_Item Description]],[1]!db[kode],0)))</f>
        <v>STAPLER KENKO HD-50</v>
      </c>
      <c r="O10" s="92" t="s">
        <v>136</v>
      </c>
      <c r="P10" s="93">
        <v>228000</v>
      </c>
      <c r="Q10" s="94">
        <v>0.13500000000000001</v>
      </c>
      <c r="S10" s="199">
        <f>Table1[[#This Row],[h_hargasetelahdiskon]]</f>
        <v>1972200</v>
      </c>
      <c r="V10" s="95">
        <f ca="1">IF(Table1[[#This Row],[Item Description]]="","",IF(Table1[[#This Row],[//]]="",INDIRECT(ADDRESS(ROW()-1,COLUMN())),Table1[[#This Row],[//]]))</f>
        <v>9</v>
      </c>
      <c r="W10" s="95">
        <f ca="1">IF(Table1[[#This Row],[h_id]]="","",COUNTIF(Table1[h_id],Table1[[#This Row],[h_id]]))</f>
        <v>5</v>
      </c>
      <c r="X10" s="93">
        <f>IF(Table1[Item Description]="","",Table1[[#This Row],[Qty]]*Table1[[#This Row],[Unit Price]])</f>
        <v>2280000</v>
      </c>
      <c r="Y10" s="93">
        <f>IF(Table1[Item Description]="","",Table1[[#This Row],[h_hargasebelumdiskon]]*Table1[[#This Row],[Disc 1]])</f>
        <v>307800</v>
      </c>
      <c r="Z10" s="93">
        <f>IF(Table1[Item Description]="","",Table1[[#This Row],[h_hargasebelumdiskon]]-Table1[[#This Row],[h_diskon]])</f>
        <v>1972200</v>
      </c>
      <c r="AA10" s="93" t="str">
        <f>IF(Table1[//]="","",SUMIF(Table1[h_id],Table1[h_id],Table1[h_hargasetelahdiskon]))</f>
        <v/>
      </c>
      <c r="AB10" s="93"/>
      <c r="AC10" s="93" t="str">
        <f>Table1[[#This Row],[Item Description]]&amp;Table1[[#This Row],[Unit]]&amp;Table1[[#This Row],[Unit Price]]</f>
        <v>STAPLER KENKO HD-50LS228000</v>
      </c>
    </row>
    <row r="11" spans="1:29" x14ac:dyDescent="0.25">
      <c r="A11" s="95" t="str">
        <f>IF(Table1[No. Invoice :]="","",ROW())</f>
        <v/>
      </c>
      <c r="B11" s="196" t="str">
        <f>IF(Table1[h_Kode Sales :_1]="","",B$1+COUNT(B$2:B10))</f>
        <v/>
      </c>
      <c r="D11" s="197"/>
      <c r="E11" s="198"/>
      <c r="F11" s="197"/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J11" s="92">
        <v>60</v>
      </c>
      <c r="K11" s="92" t="s">
        <v>140</v>
      </c>
      <c r="M11" s="92" t="s">
        <v>177</v>
      </c>
      <c r="N11" s="196" t="str">
        <f>IF(Table1[[#This Row],[h_Item Description]]="","",INDEX([1]!db[NB PAJAK],MATCH(Table1[[#This Row],[h_Item Description]],[1]!db[kode],0)))</f>
        <v>STAPLER KENKO HD-10</v>
      </c>
      <c r="O11" s="92" t="s">
        <v>137</v>
      </c>
      <c r="P11" s="93">
        <v>93000</v>
      </c>
      <c r="Q11" s="94">
        <v>0.13500000000000001</v>
      </c>
      <c r="S11" s="199">
        <f>Table1[[#This Row],[h_hargasetelahdiskon]]</f>
        <v>4826700</v>
      </c>
      <c r="V11" s="95">
        <f ca="1">IF(Table1[[#This Row],[Item Description]]="","",IF(Table1[[#This Row],[//]]="",INDIRECT(ADDRESS(ROW()-1,COLUMN())),Table1[[#This Row],[//]]))</f>
        <v>9</v>
      </c>
      <c r="W11" s="95">
        <f ca="1">IF(Table1[[#This Row],[h_id]]="","",COUNTIF(Table1[h_id],Table1[[#This Row],[h_id]]))</f>
        <v>5</v>
      </c>
      <c r="X11" s="93">
        <f>IF(Table1[Item Description]="","",Table1[[#This Row],[Qty]]*Table1[[#This Row],[Unit Price]])</f>
        <v>5580000</v>
      </c>
      <c r="Y11" s="93">
        <f>IF(Table1[Item Description]="","",Table1[[#This Row],[h_hargasebelumdiskon]]*Table1[[#This Row],[Disc 1]])</f>
        <v>753300</v>
      </c>
      <c r="Z11" s="93">
        <f>IF(Table1[Item Description]="","",Table1[[#This Row],[h_hargasebelumdiskon]]-Table1[[#This Row],[h_diskon]])</f>
        <v>4826700</v>
      </c>
      <c r="AA11" s="93" t="str">
        <f>IF(Table1[//]="","",SUMIF(Table1[h_id],Table1[h_id],Table1[h_hargasetelahdiskon]))</f>
        <v/>
      </c>
      <c r="AB11" s="93"/>
      <c r="AC11" s="93" t="str">
        <f>Table1[[#This Row],[Item Description]]&amp;Table1[[#This Row],[Unit]]&amp;Table1[[#This Row],[Unit Price]]</f>
        <v>STAPLER KENKO HD-10LS93000</v>
      </c>
    </row>
    <row r="12" spans="1:29" x14ac:dyDescent="0.25">
      <c r="A12" s="95" t="str">
        <f>IF(Table1[No. Invoice :]="","",ROW())</f>
        <v/>
      </c>
      <c r="B12" s="196" t="str">
        <f>IF(Table1[h_Kode Sales :_1]="","",B$1+COUNT(B$2:B11))</f>
        <v/>
      </c>
      <c r="D12" s="197"/>
      <c r="E12" s="198"/>
      <c r="F12" s="197"/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40</v>
      </c>
      <c r="K12" s="92" t="s">
        <v>140</v>
      </c>
      <c r="M12" s="92" t="s">
        <v>178</v>
      </c>
      <c r="N12" s="196" t="str">
        <f>IF(Table1[[#This Row],[h_Item Description]]="","",INDEX([1]!db[NB PAJAK],MATCH(Table1[[#This Row],[h_Item Description]],[1]!db[kode],0)))</f>
        <v>STAPLER KENKO HD-10D</v>
      </c>
      <c r="O12" s="92" t="s">
        <v>138</v>
      </c>
      <c r="P12" s="93">
        <v>117600</v>
      </c>
      <c r="Q12" s="94">
        <v>0.13500000000000001</v>
      </c>
      <c r="S12" s="199">
        <f>Table1[[#This Row],[h_hargasetelahdiskon]]</f>
        <v>4068960</v>
      </c>
      <c r="V12" s="95">
        <f ca="1">IF(Table1[[#This Row],[Item Description]]="","",IF(Table1[[#This Row],[//]]="",INDIRECT(ADDRESS(ROW()-1,COLUMN())),Table1[[#This Row],[//]]))</f>
        <v>9</v>
      </c>
      <c r="W12" s="95">
        <f ca="1">IF(Table1[[#This Row],[h_id]]="","",COUNTIF(Table1[h_id],Table1[[#This Row],[h_id]]))</f>
        <v>5</v>
      </c>
      <c r="X12" s="93">
        <f>IF(Table1[Item Description]="","",Table1[[#This Row],[Qty]]*Table1[[#This Row],[Unit Price]])</f>
        <v>4704000</v>
      </c>
      <c r="Y12" s="93">
        <f>IF(Table1[Item Description]="","",Table1[[#This Row],[h_hargasebelumdiskon]]*Table1[[#This Row],[Disc 1]])</f>
        <v>635040</v>
      </c>
      <c r="Z12" s="93">
        <f>IF(Table1[Item Description]="","",Table1[[#This Row],[h_hargasebelumdiskon]]-Table1[[#This Row],[h_diskon]])</f>
        <v>4068960</v>
      </c>
      <c r="AA12" s="93" t="str">
        <f>IF(Table1[//]="","",SUMIF(Table1[h_id],Table1[h_id],Table1[h_hargasetelahdiskon]))</f>
        <v/>
      </c>
      <c r="AB12" s="93"/>
      <c r="AC12" s="93" t="str">
        <f>Table1[[#This Row],[Item Description]]&amp;Table1[[#This Row],[Unit]]&amp;Table1[[#This Row],[Unit Price]]</f>
        <v>STAPLER KENKO HD-10DLS117600</v>
      </c>
    </row>
    <row r="13" spans="1:29" x14ac:dyDescent="0.25">
      <c r="A13" s="95" t="str">
        <f>IF(Table1[No. Invoice :]="","",ROW())</f>
        <v/>
      </c>
      <c r="B13" s="196" t="str">
        <f>IF(Table1[h_Kode Sales :_1]="","",B$1+COUNT(B$2:B12))</f>
        <v/>
      </c>
      <c r="D13" s="197"/>
      <c r="E13" s="198"/>
      <c r="F13" s="197"/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v>600</v>
      </c>
      <c r="K13" s="92" t="s">
        <v>141</v>
      </c>
      <c r="M13" s="92" t="s">
        <v>179</v>
      </c>
      <c r="N13" s="196" t="str">
        <f>IF(Table1[[#This Row],[h_Item Description]]="","",INDEX([1]!db[NB PAJAK],MATCH(Table1[[#This Row],[h_Item Description]],[1]!db[kode],0)))</f>
        <v>ISI STAPLER (STAPLES) KENKO 1210 PREMIUM (23/10)</v>
      </c>
      <c r="O13" s="92" t="s">
        <v>139</v>
      </c>
      <c r="P13" s="93">
        <v>4200</v>
      </c>
      <c r="Q13" s="94">
        <v>0.13500000000000001</v>
      </c>
      <c r="S13" s="199">
        <f>Table1[[#This Row],[h_hargasetelahdiskon]]</f>
        <v>2179800</v>
      </c>
      <c r="V13" s="95">
        <f ca="1">IF(Table1[[#This Row],[Item Description]]="","",IF(Table1[[#This Row],[//]]="",INDIRECT(ADDRESS(ROW()-1,COLUMN())),Table1[[#This Row],[//]]))</f>
        <v>9</v>
      </c>
      <c r="W13" s="95">
        <f ca="1">IF(Table1[[#This Row],[h_id]]="","",COUNTIF(Table1[h_id],Table1[[#This Row],[h_id]]))</f>
        <v>5</v>
      </c>
      <c r="X13" s="93">
        <f>IF(Table1[Item Description]="","",Table1[[#This Row],[Qty]]*Table1[[#This Row],[Unit Price]])</f>
        <v>2520000</v>
      </c>
      <c r="Y13" s="93">
        <f>IF(Table1[Item Description]="","",Table1[[#This Row],[h_hargasebelumdiskon]]*Table1[[#This Row],[Disc 1]])</f>
        <v>340200</v>
      </c>
      <c r="Z13" s="93">
        <f>IF(Table1[Item Description]="","",Table1[[#This Row],[h_hargasebelumdiskon]]-Table1[[#This Row],[h_diskon]])</f>
        <v>2179800</v>
      </c>
      <c r="AA13" s="93" t="str">
        <f>IF(Table1[//]="","",SUMIF(Table1[h_id],Table1[h_id],Table1[h_hargasetelahdiskon]))</f>
        <v/>
      </c>
      <c r="AB13" s="93"/>
      <c r="AC13" s="93" t="str">
        <f>Table1[[#This Row],[Item Description]]&amp;Table1[[#This Row],[Unit]]&amp;Table1[[#This Row],[Unit Price]]</f>
        <v>ISI STAPLER (STAPLES) KENKO 1210 PREMIUM (23/10)BOX4200</v>
      </c>
    </row>
    <row r="14" spans="1:29" x14ac:dyDescent="0.25">
      <c r="A14" s="95" t="str">
        <f>IF(Table1[No. Invoice :]="","",ROW())</f>
        <v/>
      </c>
      <c r="B14" s="196" t="str">
        <f>IF(Table1[h_Kode Sales :_1]="","",B$1+COUNT(B$2:B13))</f>
        <v/>
      </c>
      <c r="D14" s="197"/>
      <c r="E14" s="198"/>
      <c r="F14" s="197"/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M14" s="197"/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 ca="1">IF(Table1[[#This Row],[Item Description]]="","",IF(Table1[[#This Row],[//]]="",INDIRECT(ADDRESS(ROW()-1,COLUMN())),Table1[[#This Row],[//]]))</f>
        <v/>
      </c>
      <c r="W14" s="95" t="str">
        <f ca="1"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IF(Table1[Item Description]="","",Table1[[#This Row],[h_hargasebelumdiskon]]*Table1[[#This Row],[Disc 1]])</f>
        <v/>
      </c>
      <c r="Z14" s="93" t="str">
        <f>IF(Table1[Item Description]="","",Table1[[#This Row],[h_hargasebelumdiskon]]-Table1[[#This Row],[h_diskon]])</f>
        <v/>
      </c>
      <c r="AA14" s="93" t="str">
        <f>IF(Table1[//]="","",SUMIF(Table1[h_id],Table1[h_id],Table1[h_hargasetelahdiskon]))</f>
        <v/>
      </c>
      <c r="AB14" s="93"/>
      <c r="AC14" s="93" t="str">
        <f>Table1[[#This Row],[Item Description]]&amp;Table1[[#This Row],[Unit]]&amp;Table1[[#This Row],[Unit Price]]</f>
        <v/>
      </c>
    </row>
    <row r="15" spans="1:29" x14ac:dyDescent="0.25">
      <c r="A15" s="95">
        <f>IF(Table1[No. Invoice :]="","",ROW())</f>
        <v>15</v>
      </c>
      <c r="B15" s="196">
        <f>IF(Table1[h_Kode Sales :_1]="","",B$1+COUNT(B$2:B14))</f>
        <v>23020004</v>
      </c>
      <c r="C15" s="98">
        <v>44961</v>
      </c>
      <c r="D15" s="92" t="s">
        <v>142</v>
      </c>
      <c r="E15" s="97" t="s">
        <v>149</v>
      </c>
      <c r="F15" s="92" t="s">
        <v>91</v>
      </c>
      <c r="G15" s="95" t="str">
        <f>IF(Table1[[#This Row],[h_No. Invoice :]]="","",CONCATENATE("AM"," ",Table1[[#This Row],[h_No. Invoice :]]))</f>
        <v>AM 23020004</v>
      </c>
      <c r="H15" s="96" t="str">
        <f>CONCATENATE(UPPER(Table1[[#This Row],[h_Kode Sales :_1]])," ",Table1[[#This Row],[h_Kode Sales :_2]])</f>
        <v>KO 0862</v>
      </c>
      <c r="I15" s="95" t="str">
        <f>IF(Table1[[#This Row],[h_toko]]="","",INDEX(Table2[e],IF(Table1[[#This Row],[h_toko]]="","",MATCH(Table1[[#This Row],[h_toko]],Table2[a],0)),))</f>
        <v>CV TRINITY CENTRAAL PURWOKERTO</v>
      </c>
      <c r="J15" s="92">
        <v>1000</v>
      </c>
      <c r="K15" s="92" t="s">
        <v>150</v>
      </c>
      <c r="L15" s="92">
        <v>1</v>
      </c>
      <c r="M15" s="92" t="s">
        <v>151</v>
      </c>
      <c r="N15" s="196" t="e">
        <f>IF(Table1[[#This Row],[h_Item Description]]="","",INDEX([1]!db[NB PAJAK],MATCH(Table1[[#This Row],[h_Item Description]],[1]!db[kode],0)))</f>
        <v>#N/A</v>
      </c>
      <c r="O15" s="92" t="s">
        <v>159</v>
      </c>
      <c r="P15" s="93">
        <v>2050</v>
      </c>
      <c r="Q15" s="94">
        <v>0.13</v>
      </c>
      <c r="S15" s="199">
        <f>Table1[[#This Row],[h_hargasetelahdiskon]]</f>
        <v>1783500</v>
      </c>
      <c r="T15" s="93" t="s">
        <v>93</v>
      </c>
      <c r="V15" s="95">
        <f ca="1">IF(Table1[[#This Row],[Item Description]]="","",IF(Table1[[#This Row],[//]]="",INDIRECT(ADDRESS(ROW()-1,COLUMN())),Table1[[#This Row],[//]]))</f>
        <v>15</v>
      </c>
      <c r="W15" s="95">
        <f ca="1">IF(Table1[[#This Row],[h_id]]="","",COUNTIF(Table1[h_id],Table1[[#This Row],[h_id]]))</f>
        <v>7</v>
      </c>
      <c r="X15" s="93">
        <f>IF(Table1[Item Description]="","",Table1[[#This Row],[Qty]]*Table1[[#This Row],[Unit Price]])</f>
        <v>2050000</v>
      </c>
      <c r="Y15" s="93">
        <f>IF(Table1[Item Description]="","",Table1[[#This Row],[h_hargasebelumdiskon]]*Table1[[#This Row],[Disc 1]])</f>
        <v>266500</v>
      </c>
      <c r="Z15" s="93">
        <f>IF(Table1[Item Description]="","",Table1[[#This Row],[h_hargasebelumdiskon]]-Table1[[#This Row],[h_diskon]])</f>
        <v>1783500</v>
      </c>
      <c r="AA15" s="93">
        <f ca="1">IF(Table1[//]="","",SUMIF(Table1[h_id],Table1[h_id],Table1[h_hargasetelahdiskon]))</f>
        <v>15180108</v>
      </c>
      <c r="AB15" s="93"/>
      <c r="AC15" s="93" t="str">
        <f>Table1[[#This Row],[Item Description]]&amp;Table1[[#This Row],[Unit]]&amp;Table1[[#This Row],[Unit Price]]</f>
        <v>LABEL HARGA JOYKO LB-2RL (1 LINE PUTIH)PCS2050</v>
      </c>
    </row>
    <row r="16" spans="1:29" x14ac:dyDescent="0.25">
      <c r="A16" s="95" t="str">
        <f>IF(Table1[No. Invoice :]="","",ROW())</f>
        <v/>
      </c>
      <c r="B16" s="196" t="str">
        <f>IF(Table1[h_Kode Sales :_1]="","",B$1+COUNT(B$2:B15))</f>
        <v/>
      </c>
      <c r="D16" s="197"/>
      <c r="E16" s="198"/>
      <c r="F16" s="197"/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288</v>
      </c>
      <c r="K16" s="92" t="s">
        <v>150</v>
      </c>
      <c r="L16" s="92">
        <v>2</v>
      </c>
      <c r="M16" s="92" t="s">
        <v>156</v>
      </c>
      <c r="N16" s="196" t="str">
        <f>IF(Table1[[#This Row],[h_Item Description]]="","",INDEX([1]!db[NB PAJAK],MATCH(Table1[[#This Row],[h_Item Description]],[1]!db[kode],0)))</f>
        <v>CRAYON / OIL PASTEL PUTAR JOYKO TWCR-12MINI (PENDEK)</v>
      </c>
      <c r="O16" s="92" t="s">
        <v>155</v>
      </c>
      <c r="P16" s="93">
        <v>18600</v>
      </c>
      <c r="Q16" s="94">
        <v>0.13</v>
      </c>
      <c r="S16" s="199">
        <f>Table1[[#This Row],[h_hargasetelahdiskon]]</f>
        <v>4660416</v>
      </c>
      <c r="V16" s="95">
        <f ca="1">IF(Table1[[#This Row],[Item Description]]="","",IF(Table1[[#This Row],[//]]="",INDIRECT(ADDRESS(ROW()-1,COLUMN())),Table1[[#This Row],[//]]))</f>
        <v>15</v>
      </c>
      <c r="W16" s="95">
        <f ca="1">IF(Table1[[#This Row],[h_id]]="","",COUNTIF(Table1[h_id],Table1[[#This Row],[h_id]]))</f>
        <v>7</v>
      </c>
      <c r="X16" s="93">
        <f>IF(Table1[Item Description]="","",Table1[[#This Row],[Qty]]*Table1[[#This Row],[Unit Price]])</f>
        <v>5356800</v>
      </c>
      <c r="Y16" s="93">
        <f>IF(Table1[Item Description]="","",Table1[[#This Row],[h_hargasebelumdiskon]]*Table1[[#This Row],[Disc 1]])</f>
        <v>696384</v>
      </c>
      <c r="Z16" s="93">
        <f>IF(Table1[Item Description]="","",Table1[[#This Row],[h_hargasebelumdiskon]]-Table1[[#This Row],[h_diskon]])</f>
        <v>4660416</v>
      </c>
      <c r="AA16" s="93" t="str">
        <f>IF(Table1[//]="","",SUMIF(Table1[h_id],Table1[h_id],Table1[h_hargasetelahdiskon]))</f>
        <v/>
      </c>
      <c r="AB16" s="93"/>
      <c r="AC16" s="93" t="str">
        <f>Table1[[#This Row],[Item Description]]&amp;Table1[[#This Row],[Unit]]&amp;Table1[[#This Row],[Unit Price]]</f>
        <v>CRAYON / OIL PASTEL PUTAR JOYKO TWCR-12MINI (PENDEK)PCS18600</v>
      </c>
    </row>
    <row r="17" spans="1:29" x14ac:dyDescent="0.25">
      <c r="A17" s="95" t="str">
        <f>IF(Table1[No. Invoice :]="","",ROW())</f>
        <v/>
      </c>
      <c r="B17" s="196" t="str">
        <f>IF(Table1[h_Kode Sales :_1]="","",B$1+COUNT(B$2:B16))</f>
        <v/>
      </c>
      <c r="D17" s="197"/>
      <c r="E17" s="198"/>
      <c r="F17" s="197"/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J17" s="92">
        <v>288</v>
      </c>
      <c r="K17" s="92" t="s">
        <v>150</v>
      </c>
      <c r="L17" s="92">
        <v>2</v>
      </c>
      <c r="M17" s="92" t="s">
        <v>152</v>
      </c>
      <c r="N17" s="196" t="str">
        <f>IF(Table1[[#This Row],[h_Item Description]]="","",INDEX([1]!db[NB PAJAK],MATCH(Table1[[#This Row],[h_Item Description]],[1]!db[kode],0)))</f>
        <v>CRAYON / OIL PASTEL JOYKO OP-12CR ROUND (MINI)</v>
      </c>
      <c r="O17" s="92" t="s">
        <v>160</v>
      </c>
      <c r="P17" s="93">
        <v>9000</v>
      </c>
      <c r="Q17" s="94">
        <v>0.13</v>
      </c>
      <c r="S17" s="199">
        <f>Table1[[#This Row],[h_hargasetelahdiskon]]</f>
        <v>2255040</v>
      </c>
      <c r="V17" s="95">
        <f ca="1">IF(Table1[[#This Row],[Item Description]]="","",IF(Table1[[#This Row],[//]]="",INDIRECT(ADDRESS(ROW()-1,COLUMN())),Table1[[#This Row],[//]]))</f>
        <v>15</v>
      </c>
      <c r="W17" s="95">
        <f ca="1">IF(Table1[[#This Row],[h_id]]="","",COUNTIF(Table1[h_id],Table1[[#This Row],[h_id]]))</f>
        <v>7</v>
      </c>
      <c r="X17" s="93">
        <f>IF(Table1[Item Description]="","",Table1[[#This Row],[Qty]]*Table1[[#This Row],[Unit Price]])</f>
        <v>2592000</v>
      </c>
      <c r="Y17" s="93">
        <f>IF(Table1[Item Description]="","",Table1[[#This Row],[h_hargasebelumdiskon]]*Table1[[#This Row],[Disc 1]])</f>
        <v>336960</v>
      </c>
      <c r="Z17" s="93">
        <f>IF(Table1[Item Description]="","",Table1[[#This Row],[h_hargasebelumdiskon]]-Table1[[#This Row],[h_diskon]])</f>
        <v>2255040</v>
      </c>
      <c r="AA17" s="93" t="str">
        <f>IF(Table1[//]="","",SUMIF(Table1[h_id],Table1[h_id],Table1[h_hargasetelahdiskon]))</f>
        <v/>
      </c>
      <c r="AB17" s="93"/>
      <c r="AC17" s="93" t="str">
        <f>Table1[[#This Row],[Item Description]]&amp;Table1[[#This Row],[Unit]]&amp;Table1[[#This Row],[Unit Price]]</f>
        <v>CRAYON / OIL PASTEL JOYKO OP-12CR ROUND (MINI)PCS9000</v>
      </c>
    </row>
    <row r="18" spans="1:29" x14ac:dyDescent="0.25">
      <c r="A18" s="95" t="str">
        <f>IF(Table1[No. Invoice :]="","",ROW())</f>
        <v/>
      </c>
      <c r="B18" s="196" t="str">
        <f>IF(Table1[h_Kode Sales :_1]="","",B$1+COUNT(B$2:B17))</f>
        <v/>
      </c>
      <c r="D18" s="197"/>
      <c r="E18" s="198"/>
      <c r="F18" s="197"/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J18" s="92">
        <v>48</v>
      </c>
      <c r="K18" s="92" t="s">
        <v>92</v>
      </c>
      <c r="L18" s="92">
        <v>2</v>
      </c>
      <c r="M18" s="92" t="s">
        <v>157</v>
      </c>
      <c r="N18" s="196" t="str">
        <f>IF(Table1[[#This Row],[h_Item Description]]="","",INDEX([1]!db[NB PAJAK],MATCH(Table1[[#This Row],[h_Item Description]],[1]!db[kode],0)))</f>
        <v>PENSIL WARNA KENKO CP-12F CLASSIC (PANJANG)</v>
      </c>
      <c r="O18" s="92" t="s">
        <v>161</v>
      </c>
      <c r="P18" s="93">
        <v>124200</v>
      </c>
      <c r="Q18" s="94">
        <v>0.13</v>
      </c>
      <c r="S18" s="199">
        <f>Table1[[#This Row],[h_hargasetelahdiskon]]</f>
        <v>5186592</v>
      </c>
      <c r="V18" s="95">
        <f ca="1">IF(Table1[[#This Row],[Item Description]]="","",IF(Table1[[#This Row],[//]]="",INDIRECT(ADDRESS(ROW()-1,COLUMN())),Table1[[#This Row],[//]]))</f>
        <v>15</v>
      </c>
      <c r="W18" s="95">
        <f ca="1">IF(Table1[[#This Row],[h_id]]="","",COUNTIF(Table1[h_id],Table1[[#This Row],[h_id]]))</f>
        <v>7</v>
      </c>
      <c r="X18" s="93">
        <f>IF(Table1[Item Description]="","",Table1[[#This Row],[Qty]]*Table1[[#This Row],[Unit Price]])</f>
        <v>5961600</v>
      </c>
      <c r="Y18" s="93">
        <f>IF(Table1[Item Description]="","",Table1[[#This Row],[h_hargasebelumdiskon]]*Table1[[#This Row],[Disc 1]])</f>
        <v>775008</v>
      </c>
      <c r="Z18" s="93">
        <f>IF(Table1[Item Description]="","",Table1[[#This Row],[h_hargasebelumdiskon]]-Table1[[#This Row],[h_diskon]])</f>
        <v>5186592</v>
      </c>
      <c r="AA18" s="93" t="str">
        <f>IF(Table1[//]="","",SUMIF(Table1[h_id],Table1[h_id],Table1[h_hargasetelahdiskon]))</f>
        <v/>
      </c>
      <c r="AB18" s="93"/>
      <c r="AC18" s="93" t="str">
        <f>Table1[[#This Row],[Item Description]]&amp;Table1[[#This Row],[Unit]]&amp;Table1[[#This Row],[Unit Price]]</f>
        <v>PENSIL WARNA KENKO CP-12F CLASSIC (PANJANG)LSN124200</v>
      </c>
    </row>
    <row r="19" spans="1:29" x14ac:dyDescent="0.25">
      <c r="A19" s="95" t="str">
        <f>IF(Table1[No. Invoice :]="","",ROW())</f>
        <v/>
      </c>
      <c r="B19" s="196" t="str">
        <f>IF(Table1[h_Kode Sales :_1]="","",B$1+COUNT(B$2:B18))</f>
        <v/>
      </c>
      <c r="D19" s="197"/>
      <c r="E19" s="198"/>
      <c r="F19" s="197"/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J19" s="92">
        <v>15</v>
      </c>
      <c r="K19" s="92" t="s">
        <v>150</v>
      </c>
      <c r="M19" s="92" t="s">
        <v>153</v>
      </c>
      <c r="N19" s="196" t="str">
        <f>IF(Table1[[#This Row],[h_Item Description]]="","",INDEX([1]!db[NB PAJAK],MATCH(Table1[[#This Row],[h_Item Description]],[1]!db[kode],0)))</f>
        <v>MESIN LABEL HARGA KENKO MX-5500 (8 DIGITS, 1 LINE)</v>
      </c>
      <c r="O19" s="92" t="s">
        <v>162</v>
      </c>
      <c r="P19" s="93">
        <v>45000</v>
      </c>
      <c r="Q19" s="94">
        <v>0.13</v>
      </c>
      <c r="S19" s="199">
        <f>Table1[[#This Row],[h_hargasetelahdiskon]]</f>
        <v>587250</v>
      </c>
      <c r="V19" s="95">
        <f ca="1">IF(Table1[[#This Row],[Item Description]]="","",IF(Table1[[#This Row],[//]]="",INDIRECT(ADDRESS(ROW()-1,COLUMN())),Table1[[#This Row],[//]]))</f>
        <v>15</v>
      </c>
      <c r="W19" s="95">
        <f ca="1">IF(Table1[[#This Row],[h_id]]="","",COUNTIF(Table1[h_id],Table1[[#This Row],[h_id]]))</f>
        <v>7</v>
      </c>
      <c r="X19" s="93">
        <f>IF(Table1[Item Description]="","",Table1[[#This Row],[Qty]]*Table1[[#This Row],[Unit Price]])</f>
        <v>675000</v>
      </c>
      <c r="Y19" s="93">
        <f>IF(Table1[Item Description]="","",Table1[[#This Row],[h_hargasebelumdiskon]]*Table1[[#This Row],[Disc 1]])</f>
        <v>87750</v>
      </c>
      <c r="Z19" s="93">
        <f>IF(Table1[Item Description]="","",Table1[[#This Row],[h_hargasebelumdiskon]]-Table1[[#This Row],[h_diskon]])</f>
        <v>587250</v>
      </c>
      <c r="AA19" s="93" t="str">
        <f>IF(Table1[//]="","",SUMIF(Table1[h_id],Table1[h_id],Table1[h_hargasetelahdiskon]))</f>
        <v/>
      </c>
      <c r="AB19" s="93"/>
      <c r="AC19" s="93" t="str">
        <f>Table1[[#This Row],[Item Description]]&amp;Table1[[#This Row],[Unit]]&amp;Table1[[#This Row],[Unit Price]]</f>
        <v>MESIN LABEL HARGA KENKO MX-5500 (8 DIGITS, 1 LINE)PCS45000</v>
      </c>
    </row>
    <row r="20" spans="1:29" x14ac:dyDescent="0.25">
      <c r="A20" s="95" t="str">
        <f>IF(Table1[No. Invoice :]="","",ROW())</f>
        <v/>
      </c>
      <c r="B20" s="196" t="str">
        <f>IF(Table1[h_Kode Sales :_1]="","",B$1+COUNT(B$2:B19))</f>
        <v/>
      </c>
      <c r="D20" s="197"/>
      <c r="E20" s="198"/>
      <c r="F20" s="197"/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J20" s="92">
        <v>5</v>
      </c>
      <c r="K20" s="92" t="s">
        <v>92</v>
      </c>
      <c r="M20" s="92" t="s">
        <v>154</v>
      </c>
      <c r="N20" s="196" t="str">
        <f>IF(Table1[[#This Row],[h_Item Description]]="","",INDEX([1]!db[NB PAJAK],MATCH(Table1[[#This Row],[h_Item Description]],[1]!db[kode],0)))</f>
        <v>DATE STAMP KENKO D-4 (Cap Tanggal 4 Mm)</v>
      </c>
      <c r="O20" s="92" t="s">
        <v>163</v>
      </c>
      <c r="P20" s="93">
        <v>74400</v>
      </c>
      <c r="Q20" s="94">
        <v>0.13</v>
      </c>
      <c r="S20" s="199">
        <f>Table1[[#This Row],[h_hargasetelahdiskon]]</f>
        <v>323640</v>
      </c>
      <c r="V20" s="95">
        <f ca="1">IF(Table1[[#This Row],[Item Description]]="","",IF(Table1[[#This Row],[//]]="",INDIRECT(ADDRESS(ROW()-1,COLUMN())),Table1[[#This Row],[//]]))</f>
        <v>15</v>
      </c>
      <c r="W20" s="95">
        <f ca="1">IF(Table1[[#This Row],[h_id]]="","",COUNTIF(Table1[h_id],Table1[[#This Row],[h_id]]))</f>
        <v>7</v>
      </c>
      <c r="X20" s="93">
        <f>IF(Table1[Item Description]="","",Table1[[#This Row],[Qty]]*Table1[[#This Row],[Unit Price]])</f>
        <v>372000</v>
      </c>
      <c r="Y20" s="93">
        <f>IF(Table1[Item Description]="","",Table1[[#This Row],[h_hargasebelumdiskon]]*Table1[[#This Row],[Disc 1]])</f>
        <v>48360</v>
      </c>
      <c r="Z20" s="93">
        <f>IF(Table1[Item Description]="","",Table1[[#This Row],[h_hargasebelumdiskon]]-Table1[[#This Row],[h_diskon]])</f>
        <v>323640</v>
      </c>
      <c r="AA20" s="93" t="str">
        <f>IF(Table1[//]="","",SUMIF(Table1[h_id],Table1[h_id],Table1[h_hargasetelahdiskon]))</f>
        <v/>
      </c>
      <c r="AB20" s="93"/>
      <c r="AC20" s="93" t="str">
        <f>Table1[[#This Row],[Item Description]]&amp;Table1[[#This Row],[Unit]]&amp;Table1[[#This Row],[Unit Price]]</f>
        <v>DATE STAMP KENKO D-4 (Cap Tanggal 4 Mm)LSN74400</v>
      </c>
    </row>
    <row r="21" spans="1:29" x14ac:dyDescent="0.25">
      <c r="A21" s="95" t="str">
        <f>IF(Table1[No. Invoice :]="","",ROW())</f>
        <v/>
      </c>
      <c r="B21" s="196" t="str">
        <f>IF(Table1[h_Kode Sales :_1]="","",B$1+COUNT(B$2:B20))</f>
        <v/>
      </c>
      <c r="D21" s="197"/>
      <c r="E21" s="198"/>
      <c r="F21" s="197"/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J21" s="92">
        <v>5</v>
      </c>
      <c r="K21" s="92" t="s">
        <v>92</v>
      </c>
      <c r="M21" s="92" t="s">
        <v>158</v>
      </c>
      <c r="N21" s="196" t="str">
        <f>IF(Table1[[#This Row],[h_Item Description]]="","",INDEX([1]!db[NB PAJAK],MATCH(Table1[[#This Row],[h_Item Description]],[1]!db[kode],0)))</f>
        <v>JANGKA (MATH SET) JOYKO MS-55</v>
      </c>
      <c r="O21" s="92" t="s">
        <v>164</v>
      </c>
      <c r="P21" s="93">
        <v>88200</v>
      </c>
      <c r="Q21" s="94">
        <v>0.13</v>
      </c>
      <c r="S21" s="199">
        <f>Table1[[#This Row],[h_hargasetelahdiskon]]</f>
        <v>383670</v>
      </c>
      <c r="V21" s="95">
        <f ca="1">IF(Table1[[#This Row],[Item Description]]="","",IF(Table1[[#This Row],[//]]="",INDIRECT(ADDRESS(ROW()-1,COLUMN())),Table1[[#This Row],[//]]))</f>
        <v>15</v>
      </c>
      <c r="W21" s="95">
        <f ca="1">IF(Table1[[#This Row],[h_id]]="","",COUNTIF(Table1[h_id],Table1[[#This Row],[h_id]]))</f>
        <v>7</v>
      </c>
      <c r="X21" s="93">
        <f>IF(Table1[Item Description]="","",Table1[[#This Row],[Qty]]*Table1[[#This Row],[Unit Price]])</f>
        <v>441000</v>
      </c>
      <c r="Y21" s="93">
        <f>IF(Table1[Item Description]="","",Table1[[#This Row],[h_hargasebelumdiskon]]*Table1[[#This Row],[Disc 1]])</f>
        <v>57330</v>
      </c>
      <c r="Z21" s="93">
        <f>IF(Table1[Item Description]="","",Table1[[#This Row],[h_hargasebelumdiskon]]-Table1[[#This Row],[h_diskon]])</f>
        <v>383670</v>
      </c>
      <c r="AA21" s="93" t="str">
        <f>IF(Table1[//]="","",SUMIF(Table1[h_id],Table1[h_id],Table1[h_hargasetelahdiskon]))</f>
        <v/>
      </c>
      <c r="AB21" s="93"/>
      <c r="AC21" s="93" t="str">
        <f>Table1[[#This Row],[Item Description]]&amp;Table1[[#This Row],[Unit]]&amp;Table1[[#This Row],[Unit Price]]</f>
        <v>JANGKA (MATH SET) JOYKO MS-55LSN88200</v>
      </c>
    </row>
    <row r="22" spans="1:29" x14ac:dyDescent="0.25">
      <c r="A22" s="95" t="str">
        <f>IF(Table1[No. Invoice :]="","",ROW())</f>
        <v/>
      </c>
      <c r="B22" s="196" t="str">
        <f>IF(Table1[h_Kode Sales :_1]="","",B$1+COUNT(B$2:B21))</f>
        <v/>
      </c>
      <c r="D22" s="197"/>
      <c r="E22" s="198"/>
      <c r="F22" s="197"/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M22" s="197"/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 ca="1">IF(Table1[[#This Row],[Item Description]]="","",IF(Table1[[#This Row],[//]]="",INDIRECT(ADDRESS(ROW()-1,COLUMN())),Table1[[#This Row],[//]]))</f>
        <v/>
      </c>
      <c r="W22" s="95" t="str">
        <f ca="1"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IF(Table1[Item Description]="","",Table1[[#This Row],[h_hargasebelumdiskon]]*Table1[[#This Row],[Disc 1]])</f>
        <v/>
      </c>
      <c r="Z22" s="93" t="str">
        <f>IF(Table1[Item Description]="","",Table1[[#This Row],[h_hargasebelumdiskon]]-Table1[[#This Row],[h_diskon]])</f>
        <v/>
      </c>
      <c r="AA22" s="93" t="str">
        <f>IF(Table1[//]="","",SUMIF(Table1[h_id],Table1[h_id],Table1[h_hargasetelahdiskon]))</f>
        <v/>
      </c>
      <c r="AB22" s="93"/>
      <c r="AC22" s="93" t="str">
        <f>Table1[[#This Row],[Item Description]]&amp;Table1[[#This Row],[Unit]]&amp;Table1[[#This Row],[Unit Price]]</f>
        <v/>
      </c>
    </row>
    <row r="23" spans="1:29" x14ac:dyDescent="0.25">
      <c r="A23" s="95">
        <f>IF(Table1[No. Invoice :]="","",ROW())</f>
        <v>23</v>
      </c>
      <c r="B23" s="196">
        <f>IF(Table1[h_Kode Sales :_1]="","",B$1+COUNT(B$2:B22))</f>
        <v>23020005</v>
      </c>
      <c r="C23" s="98">
        <v>44961</v>
      </c>
      <c r="D23" s="92" t="s">
        <v>142</v>
      </c>
      <c r="E23" s="97" t="s">
        <v>180</v>
      </c>
      <c r="F23" s="92" t="s">
        <v>94</v>
      </c>
      <c r="G23" s="95" t="str">
        <f>IF(Table1[[#This Row],[h_No. Invoice :]]="","",CONCATENATE("AM"," ",Table1[[#This Row],[h_No. Invoice :]]))</f>
        <v>AM 23020005</v>
      </c>
      <c r="H23" s="96" t="str">
        <f>CONCATENATE(UPPER(Table1[[#This Row],[h_Kode Sales :_1]])," ",Table1[[#This Row],[h_Kode Sales :_2]])</f>
        <v>KO 0863</v>
      </c>
      <c r="I23" s="95" t="str">
        <f>IF(Table1[[#This Row],[h_toko]]="","",INDEX(Table2[e],IF(Table1[[#This Row],[h_toko]]="","",MATCH(Table1[[#This Row],[h_toko]],Table2[a],0)),))</f>
        <v>CV PELITA JAYA (ANUGERAH SEJAHTERA) PURWOKERTO</v>
      </c>
      <c r="J23" s="92">
        <v>48</v>
      </c>
      <c r="K23" s="92" t="s">
        <v>92</v>
      </c>
      <c r="L23" s="92">
        <v>2</v>
      </c>
      <c r="M23" s="92" t="s">
        <v>158</v>
      </c>
      <c r="N23" s="196" t="str">
        <f>IF(Table1[[#This Row],[h_Item Description]]="","",INDEX([1]!db[NB PAJAK],MATCH(Table1[[#This Row],[h_Item Description]],[1]!db[kode],0)))</f>
        <v>JANGKA (MATH SET) JOYKO MS-55</v>
      </c>
      <c r="O23" s="92" t="s">
        <v>164</v>
      </c>
      <c r="P23" s="93">
        <v>88200</v>
      </c>
      <c r="Q23" s="94">
        <v>0.13500000000000001</v>
      </c>
      <c r="S23" s="199">
        <f>Table1[[#This Row],[h_hargasetelahdiskon]]</f>
        <v>3662064</v>
      </c>
      <c r="T23" s="93" t="s">
        <v>93</v>
      </c>
      <c r="V23" s="95">
        <f ca="1">IF(Table1[[#This Row],[Item Description]]="","",IF(Table1[[#This Row],[//]]="",INDIRECT(ADDRESS(ROW()-1,COLUMN())),Table1[[#This Row],[//]]))</f>
        <v>23</v>
      </c>
      <c r="W23" s="95">
        <f ca="1">IF(Table1[[#This Row],[h_id]]="","",COUNTIF(Table1[h_id],Table1[[#This Row],[h_id]]))</f>
        <v>2</v>
      </c>
      <c r="X23" s="93">
        <f>IF(Table1[Item Description]="","",Table1[[#This Row],[Qty]]*Table1[[#This Row],[Unit Price]])</f>
        <v>4233600</v>
      </c>
      <c r="Y23" s="93">
        <f>IF(Table1[Item Description]="","",Table1[[#This Row],[h_hargasebelumdiskon]]*Table1[[#This Row],[Disc 1]])</f>
        <v>571536</v>
      </c>
      <c r="Z23" s="93">
        <f>IF(Table1[Item Description]="","",Table1[[#This Row],[h_hargasebelumdiskon]]-Table1[[#This Row],[h_diskon]])</f>
        <v>3662064</v>
      </c>
      <c r="AA23" s="93">
        <f ca="1">IF(Table1[//]="","",SUMIF(Table1[h_id],Table1[h_id],Table1[h_hargasetelahdiskon]))</f>
        <v>5493096</v>
      </c>
      <c r="AB23" s="93"/>
      <c r="AC23" s="93" t="str">
        <f>Table1[[#This Row],[Item Description]]&amp;Table1[[#This Row],[Unit]]&amp;Table1[[#This Row],[Unit Price]]</f>
        <v>JANGKA (MATH SET) JOYKO MS-55LSN88200</v>
      </c>
    </row>
    <row r="24" spans="1:29" x14ac:dyDescent="0.25">
      <c r="A24" s="95" t="str">
        <f>IF(Table1[No. Invoice :]="","",ROW())</f>
        <v/>
      </c>
      <c r="B24" s="196" t="str">
        <f>IF(Table1[h_Kode Sales :_1]="","",B$1+COUNT(B$2:B23))</f>
        <v/>
      </c>
      <c r="D24" s="197"/>
      <c r="E24" s="198"/>
      <c r="F24" s="197"/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24</v>
      </c>
      <c r="K24" s="92" t="s">
        <v>92</v>
      </c>
      <c r="L24" s="92">
        <v>1</v>
      </c>
      <c r="M24" s="92" t="s">
        <v>181</v>
      </c>
      <c r="N24" s="196" t="str">
        <f>IF(Table1[[#This Row],[h_Item Description]]="","",INDEX([1]!db[NB PAJAK],MATCH(Table1[[#This Row],[h_Item Description]],[1]!db[kode],0)))</f>
        <v>JANGKA (MATH SET) JOYKO MS-25</v>
      </c>
      <c r="O24" s="92" t="s">
        <v>182</v>
      </c>
      <c r="P24" s="93">
        <v>88200</v>
      </c>
      <c r="Q24" s="94">
        <v>0.13500000000000001</v>
      </c>
      <c r="S24" s="199">
        <f>Table1[[#This Row],[h_hargasetelahdiskon]]</f>
        <v>1831032</v>
      </c>
      <c r="V24" s="95">
        <f ca="1">IF(Table1[[#This Row],[Item Description]]="","",IF(Table1[[#This Row],[//]]="",INDIRECT(ADDRESS(ROW()-1,COLUMN())),Table1[[#This Row],[//]]))</f>
        <v>23</v>
      </c>
      <c r="W24" s="95">
        <f ca="1">IF(Table1[[#This Row],[h_id]]="","",COUNTIF(Table1[h_id],Table1[[#This Row],[h_id]]))</f>
        <v>2</v>
      </c>
      <c r="X24" s="93">
        <f>IF(Table1[Item Description]="","",Table1[[#This Row],[Qty]]*Table1[[#This Row],[Unit Price]])</f>
        <v>2116800</v>
      </c>
      <c r="Y24" s="93">
        <f>IF(Table1[Item Description]="","",Table1[[#This Row],[h_hargasebelumdiskon]]*Table1[[#This Row],[Disc 1]])</f>
        <v>285768</v>
      </c>
      <c r="Z24" s="93">
        <f>IF(Table1[Item Description]="","",Table1[[#This Row],[h_hargasebelumdiskon]]-Table1[[#This Row],[h_diskon]])</f>
        <v>1831032</v>
      </c>
      <c r="AA24" s="93" t="str">
        <f>IF(Table1[//]="","",SUMIF(Table1[h_id],Table1[h_id],Table1[h_hargasetelahdiskon]))</f>
        <v/>
      </c>
      <c r="AB24" s="93"/>
      <c r="AC24" s="93" t="str">
        <f>Table1[[#This Row],[Item Description]]&amp;Table1[[#This Row],[Unit]]&amp;Table1[[#This Row],[Unit Price]]</f>
        <v>JANGKA (MATH SET) JOYKO MS-25LSN88200</v>
      </c>
    </row>
    <row r="25" spans="1:29" x14ac:dyDescent="0.25">
      <c r="A25" s="95" t="str">
        <f>IF(Table1[No. Invoice :]="","",ROW())</f>
        <v/>
      </c>
      <c r="B25" s="196" t="str">
        <f>IF(Table1[h_Kode Sales :_1]="","",B$1+COUNT(B$2:B24))</f>
        <v/>
      </c>
      <c r="D25" s="197"/>
      <c r="E25" s="198"/>
      <c r="F25" s="197"/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M25" s="197"/>
      <c r="N25" s="196" t="str">
        <f>IF(Table1[[#This Row],[h_Item Description]]="","",INDEX([1]!db[NB PAJAK],MATCH(Table1[[#This Row],[h_Item Description]],[1]!db[kode],0)))</f>
        <v/>
      </c>
      <c r="P25" s="93"/>
      <c r="Q25" s="94"/>
      <c r="S25" s="199" t="str">
        <f>Table1[[#This Row],[h_hargasetelahdiskon]]</f>
        <v/>
      </c>
      <c r="V25" s="95" t="str">
        <f ca="1">IF(Table1[[#This Row],[Item Description]]="","",IF(Table1[[#This Row],[//]]="",INDIRECT(ADDRESS(ROW()-1,COLUMN())),Table1[[#This Row],[//]]))</f>
        <v/>
      </c>
      <c r="W25" s="95" t="str">
        <f ca="1">IF(Table1[[#This Row],[h_id]]="","",COUNTIF(Table1[h_id],Table1[[#This Row],[h_id]]))</f>
        <v/>
      </c>
      <c r="X25" s="93" t="str">
        <f>IF(Table1[Item Description]="","",Table1[[#This Row],[Qty]]*Table1[[#This Row],[Unit Price]])</f>
        <v/>
      </c>
      <c r="Y25" s="93" t="str">
        <f>IF(Table1[Item Description]="","",Table1[[#This Row],[h_hargasebelumdiskon]]*Table1[[#This Row],[Disc 1]])</f>
        <v/>
      </c>
      <c r="Z25" s="93" t="str">
        <f>IF(Table1[Item Description]="","",Table1[[#This Row],[h_hargasebelumdiskon]]-Table1[[#This Row],[h_diskon]])</f>
        <v/>
      </c>
      <c r="AA25" s="93" t="str">
        <f>IF(Table1[//]="","",SUMIF(Table1[h_id],Table1[h_id],Table1[h_hargasetelahdiskon]))</f>
        <v/>
      </c>
      <c r="AB25" s="93"/>
      <c r="AC25" s="93" t="str">
        <f>Table1[[#This Row],[Item Description]]&amp;Table1[[#This Row],[Unit]]&amp;Table1[[#This Row],[Unit Price]]</f>
        <v/>
      </c>
    </row>
    <row r="26" spans="1:29" x14ac:dyDescent="0.25">
      <c r="A26" s="95">
        <f>IF(Table1[No. Invoice :]="","",ROW())</f>
        <v>26</v>
      </c>
      <c r="B26" s="196">
        <f>IF(Table1[h_Kode Sales :_1]="","",B$1+COUNT(B$2:B25))</f>
        <v>23020006</v>
      </c>
      <c r="C26" s="98">
        <v>44963</v>
      </c>
      <c r="D26" s="92" t="s">
        <v>184</v>
      </c>
      <c r="E26" s="97" t="s">
        <v>185</v>
      </c>
      <c r="F26" s="92" t="s">
        <v>103</v>
      </c>
      <c r="G26" s="95" t="str">
        <f>IF(Table1[[#This Row],[h_No. Invoice :]]="","",CONCATENATE("AM"," ",Table1[[#This Row],[h_No. Invoice :]]))</f>
        <v>AM 23020006</v>
      </c>
      <c r="H26" s="96" t="str">
        <f>CONCATENATE(UPPER(Table1[[#This Row],[h_Kode Sales :_1]])," ",Table1[[#This Row],[h_Kode Sales :_2]])</f>
        <v>G 0793</v>
      </c>
      <c r="I26" s="95" t="str">
        <f>IF(Table1[[#This Row],[h_toko]]="","",INDEX(Table2[e],IF(Table1[[#This Row],[h_toko]]="","",MATCH(Table1[[#This Row],[h_toko]],Table2[a],0)),))</f>
        <v>LILY JULIAWATI (REJO AGUNG) JOMBANG</v>
      </c>
      <c r="J26" s="92">
        <v>24</v>
      </c>
      <c r="K26" s="92" t="s">
        <v>92</v>
      </c>
      <c r="L26" s="92">
        <v>1</v>
      </c>
      <c r="M26" s="92" t="s">
        <v>181</v>
      </c>
      <c r="N26" s="196" t="str">
        <f>IF(Table1[[#This Row],[h_Item Description]]="","",INDEX([1]!db[NB PAJAK],MATCH(Table1[[#This Row],[h_Item Description]],[1]!db[kode],0)))</f>
        <v>JANGKA (MATH SET) JOYKO MS-25</v>
      </c>
      <c r="O26" s="92" t="s">
        <v>182</v>
      </c>
      <c r="P26" s="93">
        <v>88200</v>
      </c>
      <c r="Q26" s="94">
        <v>0.125</v>
      </c>
      <c r="S26" s="199">
        <f>Table1[[#This Row],[h_hargasetelahdiskon]]</f>
        <v>1852200</v>
      </c>
      <c r="T26" s="93" t="s">
        <v>93</v>
      </c>
      <c r="V26" s="95">
        <f ca="1">IF(Table1[[#This Row],[Item Description]]="","",IF(Table1[[#This Row],[//]]="",INDIRECT(ADDRESS(ROW()-1,COLUMN())),Table1[[#This Row],[//]]))</f>
        <v>26</v>
      </c>
      <c r="W26" s="95">
        <f ca="1">IF(Table1[[#This Row],[h_id]]="","",COUNTIF(Table1[h_id],Table1[[#This Row],[h_id]]))</f>
        <v>5</v>
      </c>
      <c r="X26" s="93">
        <f>IF(Table1[Item Description]="","",Table1[[#This Row],[Qty]]*Table1[[#This Row],[Unit Price]])</f>
        <v>2116800</v>
      </c>
      <c r="Y26" s="93">
        <f>IF(Table1[Item Description]="","",Table1[[#This Row],[h_hargasebelumdiskon]]*Table1[[#This Row],[Disc 1]])</f>
        <v>264600</v>
      </c>
      <c r="Z26" s="93">
        <f>IF(Table1[Item Description]="","",Table1[[#This Row],[h_hargasebelumdiskon]]-Table1[[#This Row],[h_diskon]])</f>
        <v>1852200</v>
      </c>
      <c r="AA26" s="93">
        <f ca="1">IF(Table1[//]="","",SUMIF(Table1[h_id],Table1[h_id],Table1[h_hargasetelahdiskon]))</f>
        <v>9840600</v>
      </c>
      <c r="AB26" s="93"/>
      <c r="AC26" s="93" t="str">
        <f>Table1[[#This Row],[Item Description]]&amp;Table1[[#This Row],[Unit]]&amp;Table1[[#This Row],[Unit Price]]</f>
        <v>JANGKA (MATH SET) JOYKO MS-25LSN88200</v>
      </c>
    </row>
    <row r="27" spans="1:29" x14ac:dyDescent="0.25">
      <c r="A27" s="95" t="str">
        <f>IF(Table1[No. Invoice :]="","",ROW())</f>
        <v/>
      </c>
      <c r="B27" s="196" t="str">
        <f>IF(Table1[h_Kode Sales :_1]="","",B$1+COUNT(B$2:B26))</f>
        <v/>
      </c>
      <c r="D27" s="197"/>
      <c r="E27" s="198"/>
      <c r="F27" s="197"/>
      <c r="G27" s="95" t="str">
        <f>IF(Table1[[#This Row],[h_No. Invoice :]]="","",CONCATENATE("AM"," ",Table1[[#This Row],[h_No. Invoice :]]))</f>
        <v/>
      </c>
      <c r="H27" s="96" t="str">
        <f>CONCATENATE(UPPER(Table1[[#This Row],[h_Kode Sales :_1]])," ",Table1[[#This Row],[h_Kode Sales :_2]])</f>
        <v xml:space="preserve"> </v>
      </c>
      <c r="I27" s="95" t="str">
        <f>IF(Table1[[#This Row],[h_toko]]="","",INDEX(Table2[e],IF(Table1[[#This Row],[h_toko]]="","",MATCH(Table1[[#This Row],[h_toko]],Table2[a],0)),))</f>
        <v/>
      </c>
      <c r="J27" s="92">
        <v>48</v>
      </c>
      <c r="K27" s="92" t="s">
        <v>92</v>
      </c>
      <c r="L27" s="92">
        <v>2</v>
      </c>
      <c r="M27" s="92" t="s">
        <v>186</v>
      </c>
      <c r="N27" s="196" t="str">
        <f>IF(Table1[[#This Row],[h_Item Description]]="","",INDEX([1]!db[NB PAJAK],MATCH(Table1[[#This Row],[h_Item Description]],[1]!db[kode],0)))</f>
        <v>TAPE CUTTER JOYKO TD-102</v>
      </c>
      <c r="O27" s="92" t="s">
        <v>189</v>
      </c>
      <c r="P27" s="93">
        <v>11100</v>
      </c>
      <c r="Q27" s="94">
        <v>0.125</v>
      </c>
      <c r="S27" s="199">
        <f>Table1[[#This Row],[h_hargasetelahdiskon]]</f>
        <v>466200</v>
      </c>
      <c r="V27" s="95">
        <f ca="1">IF(Table1[[#This Row],[Item Description]]="","",IF(Table1[[#This Row],[//]]="",INDIRECT(ADDRESS(ROW()-1,COLUMN())),Table1[[#This Row],[//]]))</f>
        <v>26</v>
      </c>
      <c r="W27" s="95">
        <f ca="1">IF(Table1[[#This Row],[h_id]]="","",COUNTIF(Table1[h_id],Table1[[#This Row],[h_id]]))</f>
        <v>5</v>
      </c>
      <c r="X27" s="93">
        <f>IF(Table1[Item Description]="","",Table1[[#This Row],[Qty]]*Table1[[#This Row],[Unit Price]])</f>
        <v>532800</v>
      </c>
      <c r="Y27" s="93">
        <f>IF(Table1[Item Description]="","",Table1[[#This Row],[h_hargasebelumdiskon]]*Table1[[#This Row],[Disc 1]])</f>
        <v>66600</v>
      </c>
      <c r="Z27" s="93">
        <f>IF(Table1[Item Description]="","",Table1[[#This Row],[h_hargasebelumdiskon]]-Table1[[#This Row],[h_diskon]])</f>
        <v>466200</v>
      </c>
      <c r="AA27" s="93" t="str">
        <f>IF(Table1[//]="","",SUMIF(Table1[h_id],Table1[h_id],Table1[h_hargasetelahdiskon]))</f>
        <v/>
      </c>
      <c r="AB27" s="93"/>
      <c r="AC27" s="93" t="str">
        <f>Table1[[#This Row],[Item Description]]&amp;Table1[[#This Row],[Unit]]&amp;Table1[[#This Row],[Unit Price]]</f>
        <v>TAPE CUTTER JOYKO TD-102LSN11100</v>
      </c>
    </row>
    <row r="28" spans="1:29" x14ac:dyDescent="0.25">
      <c r="A28" s="95" t="str">
        <f>IF(Table1[No. Invoice :]="","",ROW())</f>
        <v/>
      </c>
      <c r="B28" s="196" t="str">
        <f>IF(Table1[h_Kode Sales :_1]="","",B$1+COUNT(B$2:B27))</f>
        <v/>
      </c>
      <c r="D28" s="197"/>
      <c r="E28" s="198"/>
      <c r="F28" s="197"/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36</v>
      </c>
      <c r="K28" s="92" t="s">
        <v>150</v>
      </c>
      <c r="L28" s="92">
        <v>1</v>
      </c>
      <c r="M28" s="92" t="s">
        <v>187</v>
      </c>
      <c r="N28" s="196" t="str">
        <f>IF(Table1[[#This Row],[h_Item Description]]="","",INDEX([1]!db[NB PAJAK],MATCH(Table1[[#This Row],[h_Item Description]],[1]!db[kode],0)))</f>
        <v>STAPLER LONG REACH JOYKO HD-35LA</v>
      </c>
      <c r="O28" s="92" t="s">
        <v>190</v>
      </c>
      <c r="P28" s="93">
        <v>58000</v>
      </c>
      <c r="Q28" s="94">
        <v>0.125</v>
      </c>
      <c r="S28" s="199">
        <f>Table1[[#This Row],[h_hargasetelahdiskon]]</f>
        <v>1827000</v>
      </c>
      <c r="V28" s="95">
        <f ca="1">IF(Table1[[#This Row],[Item Description]]="","",IF(Table1[[#This Row],[//]]="",INDIRECT(ADDRESS(ROW()-1,COLUMN())),Table1[[#This Row],[//]]))</f>
        <v>26</v>
      </c>
      <c r="W28" s="95">
        <f ca="1">IF(Table1[[#This Row],[h_id]]="","",COUNTIF(Table1[h_id],Table1[[#This Row],[h_id]]))</f>
        <v>5</v>
      </c>
      <c r="X28" s="93">
        <f>IF(Table1[Item Description]="","",Table1[[#This Row],[Qty]]*Table1[[#This Row],[Unit Price]])</f>
        <v>2088000</v>
      </c>
      <c r="Y28" s="93">
        <f>IF(Table1[Item Description]="","",Table1[[#This Row],[h_hargasebelumdiskon]]*Table1[[#This Row],[Disc 1]])</f>
        <v>261000</v>
      </c>
      <c r="Z28" s="93">
        <f>IF(Table1[Item Description]="","",Table1[[#This Row],[h_hargasebelumdiskon]]-Table1[[#This Row],[h_diskon]])</f>
        <v>1827000</v>
      </c>
      <c r="AA28" s="93" t="str">
        <f>IF(Table1[//]="","",SUMIF(Table1[h_id],Table1[h_id],Table1[h_hargasetelahdiskon]))</f>
        <v/>
      </c>
      <c r="AB28" s="93"/>
      <c r="AC28" s="93" t="str">
        <f>Table1[[#This Row],[Item Description]]&amp;Table1[[#This Row],[Unit]]&amp;Table1[[#This Row],[Unit Price]]</f>
        <v>STAPLER LONG REACH JOYKO HD-35LAPCS58000</v>
      </c>
    </row>
    <row r="29" spans="1:29" x14ac:dyDescent="0.25">
      <c r="A29" s="95" t="str">
        <f>IF(Table1[No. Invoice :]="","",ROW())</f>
        <v/>
      </c>
      <c r="B29" s="196" t="str">
        <f>IF(Table1[h_Kode Sales :_1]="","",B$1+COUNT(B$2:B28))</f>
        <v/>
      </c>
      <c r="D29" s="197"/>
      <c r="E29" s="198"/>
      <c r="F29" s="197"/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144</v>
      </c>
      <c r="K29" s="92" t="s">
        <v>92</v>
      </c>
      <c r="L29" s="92">
        <v>1</v>
      </c>
      <c r="M29" s="92" t="s">
        <v>188</v>
      </c>
      <c r="N29" s="196" t="str">
        <f>IF(Table1[[#This Row],[h_Item Description]]="","",INDEX([1]!db[NB PAJAK],MATCH(Table1[[#This Row],[h_Item Description]],[1]!db[kode],0)))</f>
        <v>GEL PEN KENKO HI-TECH-H 0.28 MM HITAM</v>
      </c>
      <c r="O29" s="92" t="s">
        <v>191</v>
      </c>
      <c r="P29" s="93">
        <v>39000</v>
      </c>
      <c r="Q29" s="94">
        <v>0.125</v>
      </c>
      <c r="S29" s="199">
        <f>Table1[[#This Row],[h_hargasetelahdiskon]]</f>
        <v>4914000</v>
      </c>
      <c r="V29" s="95">
        <f ca="1">IF(Table1[[#This Row],[Item Description]]="","",IF(Table1[[#This Row],[//]]="",INDIRECT(ADDRESS(ROW()-1,COLUMN())),Table1[[#This Row],[//]]))</f>
        <v>26</v>
      </c>
      <c r="W29" s="95">
        <f ca="1">IF(Table1[[#This Row],[h_id]]="","",COUNTIF(Table1[h_id],Table1[[#This Row],[h_id]]))</f>
        <v>5</v>
      </c>
      <c r="X29" s="93">
        <f>IF(Table1[Item Description]="","",Table1[[#This Row],[Qty]]*Table1[[#This Row],[Unit Price]])</f>
        <v>5616000</v>
      </c>
      <c r="Y29" s="93">
        <f>IF(Table1[Item Description]="","",Table1[[#This Row],[h_hargasebelumdiskon]]*Table1[[#This Row],[Disc 1]])</f>
        <v>702000</v>
      </c>
      <c r="Z29" s="93">
        <f>IF(Table1[Item Description]="","",Table1[[#This Row],[h_hargasebelumdiskon]]-Table1[[#This Row],[h_diskon]])</f>
        <v>4914000</v>
      </c>
      <c r="AA29" s="93" t="str">
        <f>IF(Table1[//]="","",SUMIF(Table1[h_id],Table1[h_id],Table1[h_hargasetelahdiskon]))</f>
        <v/>
      </c>
      <c r="AB29" s="93"/>
      <c r="AC29" s="93" t="str">
        <f>Table1[[#This Row],[Item Description]]&amp;Table1[[#This Row],[Unit]]&amp;Table1[[#This Row],[Unit Price]]</f>
        <v>GEL PEN KENKO HI-TECH-H 0.28 MM HITAMLSN39000</v>
      </c>
    </row>
    <row r="30" spans="1:29" x14ac:dyDescent="0.25">
      <c r="A30" s="95" t="str">
        <f>IF(Table1[No. Invoice :]="","",ROW())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J30" s="92">
        <v>24</v>
      </c>
      <c r="K30" s="92" t="s">
        <v>92</v>
      </c>
      <c r="L30" s="92">
        <v>1</v>
      </c>
      <c r="M30" s="92" t="s">
        <v>196</v>
      </c>
      <c r="N30" s="196" t="str">
        <f>IF(Table1[[#This Row],[h_Item Description]]="","",INDEX([1]!db[NB PAJAK],MATCH(Table1[[#This Row],[h_Item Description]],[1]!db[kode],0)))</f>
        <v>PAPER CLIP WARNA JOYKO C-3100</v>
      </c>
      <c r="O30" s="92" t="s">
        <v>197</v>
      </c>
      <c r="P30" s="93">
        <v>37200</v>
      </c>
      <c r="Q30" s="94">
        <v>0.125</v>
      </c>
      <c r="S30" s="199">
        <f>Table1[[#This Row],[h_hargasetelahdiskon]]</f>
        <v>781200</v>
      </c>
      <c r="V30" s="95">
        <f ca="1">IF(Table1[[#This Row],[Item Description]]="","",IF(Table1[[#This Row],[//]]="",INDIRECT(ADDRESS(ROW()-1,COLUMN())),Table1[[#This Row],[//]]))</f>
        <v>26</v>
      </c>
      <c r="W30" s="95">
        <f ca="1">IF(Table1[[#This Row],[h_id]]="","",COUNTIF(Table1[h_id],Table1[[#This Row],[h_id]]))</f>
        <v>5</v>
      </c>
      <c r="X30" s="93">
        <f>IF(Table1[Item Description]="","",Table1[[#This Row],[Qty]]*Table1[[#This Row],[Unit Price]])</f>
        <v>892800</v>
      </c>
      <c r="Y30" s="93">
        <f>IF(Table1[Item Description]="","",Table1[[#This Row],[h_hargasebelumdiskon]]*Table1[[#This Row],[Disc 1]])</f>
        <v>111600</v>
      </c>
      <c r="Z30" s="93">
        <f>IF(Table1[Item Description]="","",Table1[[#This Row],[h_hargasebelumdiskon]]-Table1[[#This Row],[h_diskon]])</f>
        <v>781200</v>
      </c>
      <c r="AA30" s="93" t="str">
        <f>IF(Table1[//]="","",SUMIF(Table1[h_id],Table1[h_id],Table1[h_hargasetelahdiskon]))</f>
        <v/>
      </c>
      <c r="AB30" s="93"/>
      <c r="AC30" s="93" t="str">
        <f>Table1[[#This Row],[Item Description]]&amp;Table1[[#This Row],[Unit]]&amp;Table1[[#This Row],[Unit Price]]</f>
        <v>PAPER CLIP WARNA JOYKO C-3100LSN37200</v>
      </c>
    </row>
    <row r="31" spans="1:29" x14ac:dyDescent="0.25">
      <c r="A31" s="95" t="str">
        <f>IF(Table1[No. Invoice :]="","",ROW())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M31" s="197"/>
      <c r="N31" s="196" t="str">
        <f>IF(Table1[[#This Row],[h_Item Description]]="","",INDEX([1]!db[NB PAJAK],MATCH(Table1[[#This Row],[h_Item Description]],[1]!db[kode],0)))</f>
        <v/>
      </c>
      <c r="P31" s="93"/>
      <c r="Q31" s="94"/>
      <c r="S31" s="199" t="str">
        <f>Table1[[#This Row],[h_hargasetelahdiskon]]</f>
        <v/>
      </c>
      <c r="V31" s="95" t="str">
        <f ca="1">IF(Table1[[#This Row],[Item Description]]="","",IF(Table1[[#This Row],[//]]="",INDIRECT(ADDRESS(ROW()-1,COLUMN())),Table1[[#This Row],[//]]))</f>
        <v/>
      </c>
      <c r="W31" s="95" t="str">
        <f ca="1">IF(Table1[[#This Row],[h_id]]="","",COUNTIF(Table1[h_id],Table1[[#This Row],[h_id]]))</f>
        <v/>
      </c>
      <c r="X31" s="93" t="str">
        <f>IF(Table1[Item Description]="","",Table1[[#This Row],[Qty]]*Table1[[#This Row],[Unit Price]])</f>
        <v/>
      </c>
      <c r="Y31" s="93" t="str">
        <f>IF(Table1[Item Description]="","",Table1[[#This Row],[h_hargasebelumdiskon]]*Table1[[#This Row],[Disc 1]])</f>
        <v/>
      </c>
      <c r="Z31" s="93" t="str">
        <f>IF(Table1[Item Description]="","",Table1[[#This Row],[h_hargasebelumdiskon]]-Table1[[#This Row],[h_diskon]])</f>
        <v/>
      </c>
      <c r="AA31" s="93" t="str">
        <f>IF(Table1[//]="","",SUMIF(Table1[h_id],Table1[h_id],Table1[h_hargasetelahdiskon]))</f>
        <v/>
      </c>
      <c r="AB31" s="93"/>
      <c r="AC31" s="93" t="str">
        <f>Table1[[#This Row],[Item Description]]&amp;Table1[[#This Row],[Unit]]&amp;Table1[[#This Row],[Unit Price]]</f>
        <v/>
      </c>
    </row>
    <row r="32" spans="1:29" x14ac:dyDescent="0.25">
      <c r="A32" s="95">
        <f>IF(Table1[No. Invoice :]="","",ROW())</f>
        <v>32</v>
      </c>
      <c r="B32" s="196">
        <f>IF(Table1[h_Kode Sales :_1]="","",B$1+COUNT(B$2:B31))</f>
        <v>23020007</v>
      </c>
      <c r="C32" s="98">
        <v>44961</v>
      </c>
      <c r="D32" s="92" t="s">
        <v>142</v>
      </c>
      <c r="E32" s="97" t="s">
        <v>199</v>
      </c>
      <c r="F32" s="92" t="s">
        <v>70</v>
      </c>
      <c r="G32" s="95" t="str">
        <f>IF(Table1[[#This Row],[h_No. Invoice :]]="","",CONCATENATE("AM"," ",Table1[[#This Row],[h_No. Invoice :]]))</f>
        <v>AM 23020007</v>
      </c>
      <c r="H32" s="96" t="str">
        <f>CONCATENATE(UPPER(Table1[[#This Row],[h_Kode Sales :_1]])," ",Table1[[#This Row],[h_Kode Sales :_2]])</f>
        <v>KO 2887</v>
      </c>
      <c r="I32" s="95" t="str">
        <f>IF(Table1[[#This Row],[h_toko]]="","",INDEX(Table2[e],IF(Table1[[#This Row],[h_toko]]="","",MATCH(Table1[[#This Row],[h_toko]],Table2[a],0)),))</f>
        <v>CV RAINBOW NUSANTARA SIDOARJO</v>
      </c>
      <c r="J32" s="92">
        <v>3</v>
      </c>
      <c r="K32" s="92" t="s">
        <v>92</v>
      </c>
      <c r="M32" s="197" t="s">
        <v>200</v>
      </c>
      <c r="N32" s="196" t="str">
        <f>IF(Table1[[#This Row],[h_Item Description]]="","",INDEX([1]!db[NB PAJAK],MATCH(Table1[[#This Row],[h_Item Description]],[1]!db[kode],0)))</f>
        <v>GARISAN BESI (STAINLESS STEEL) KENKO 100 CM / 1 M</v>
      </c>
      <c r="O32" s="92" t="s">
        <v>207</v>
      </c>
      <c r="P32" s="93">
        <v>522000</v>
      </c>
      <c r="Q32" s="94">
        <v>0.14499999999999999</v>
      </c>
      <c r="S32" s="199">
        <f>Table1[[#This Row],[h_hargasetelahdiskon]]</f>
        <v>1338930</v>
      </c>
      <c r="T32" s="93" t="s">
        <v>93</v>
      </c>
      <c r="V32" s="95">
        <f ca="1">IF(Table1[[#This Row],[Item Description]]="","",IF(Table1[[#This Row],[//]]="",INDIRECT(ADDRESS(ROW()-1,COLUMN())),Table1[[#This Row],[//]]))</f>
        <v>32</v>
      </c>
      <c r="W32" s="95">
        <f ca="1">IF(Table1[[#This Row],[h_id]]="","",COUNTIF(Table1[h_id],Table1[[#This Row],[h_id]]))</f>
        <v>8</v>
      </c>
      <c r="X32" s="93">
        <f>IF(Table1[Item Description]="","",Table1[[#This Row],[Qty]]*Table1[[#This Row],[Unit Price]])</f>
        <v>1566000</v>
      </c>
      <c r="Y32" s="93">
        <f>IF(Table1[Item Description]="","",Table1[[#This Row],[h_hargasebelumdiskon]]*Table1[[#This Row],[Disc 1]])</f>
        <v>227069.99999999997</v>
      </c>
      <c r="Z32" s="93">
        <f>IF(Table1[Item Description]="","",Table1[[#This Row],[h_hargasebelumdiskon]]-Table1[[#This Row],[h_diskon]])</f>
        <v>1338930</v>
      </c>
      <c r="AA32" s="93">
        <f ca="1">IF(Table1[//]="","",SUMIF(Table1[h_id],Table1[h_id],Table1[h_hargasetelahdiskon]))</f>
        <v>3501396</v>
      </c>
      <c r="AB32" s="93"/>
      <c r="AC32" s="93" t="str">
        <f>Table1[[#This Row],[Item Description]]&amp;Table1[[#This Row],[Unit]]&amp;Table1[[#This Row],[Unit Price]]</f>
        <v>GARISAN BESI (STAINLESS STEEL) KENKO 100 CM / 1 MLSN522000</v>
      </c>
    </row>
    <row r="33" spans="1:29" x14ac:dyDescent="0.25">
      <c r="A33" s="95" t="str">
        <f>IF(Table1[No. Invoice :]="","",ROW())</f>
        <v/>
      </c>
      <c r="B33" s="196" t="str">
        <f>IF(Table1[h_Kode Sales :_1]="","",B$1+COUNT(B$2:B32))</f>
        <v/>
      </c>
      <c r="D33" s="197"/>
      <c r="E33" s="198"/>
      <c r="F33" s="197"/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1</v>
      </c>
      <c r="K33" s="92" t="s">
        <v>92</v>
      </c>
      <c r="M33" s="92" t="s">
        <v>219</v>
      </c>
      <c r="N33" s="196" t="str">
        <f>IF(Table1[[#This Row],[h_Item Description]]="","",INDEX([1]!db[NB PAJAK],MATCH(Table1[[#This Row],[h_Item Description]],[1]!db[kode],0)))</f>
        <v>PUSH PIN KENKO PN-30 TRANSPARAN</v>
      </c>
      <c r="O33" s="92" t="s">
        <v>220</v>
      </c>
      <c r="P33" s="93">
        <v>33000</v>
      </c>
      <c r="Q33" s="94">
        <v>0.14499999999999999</v>
      </c>
      <c r="S33" s="199">
        <f>Table1[[#This Row],[h_hargasetelahdiskon]]</f>
        <v>28215</v>
      </c>
      <c r="V33" s="95">
        <f ca="1">IF(Table1[[#This Row],[Item Description]]="","",IF(Table1[[#This Row],[//]]="",INDIRECT(ADDRESS(ROW()-1,COLUMN())),Table1[[#This Row],[//]]))</f>
        <v>32</v>
      </c>
      <c r="W33" s="95">
        <f ca="1">IF(Table1[[#This Row],[h_id]]="","",COUNTIF(Table1[h_id],Table1[[#This Row],[h_id]]))</f>
        <v>8</v>
      </c>
      <c r="X33" s="93">
        <f>IF(Table1[Item Description]="","",Table1[[#This Row],[Qty]]*Table1[[#This Row],[Unit Price]])</f>
        <v>33000</v>
      </c>
      <c r="Y33" s="93">
        <f>IF(Table1[Item Description]="","",Table1[[#This Row],[h_hargasebelumdiskon]]*Table1[[#This Row],[Disc 1]])</f>
        <v>4785</v>
      </c>
      <c r="Z33" s="93">
        <f>IF(Table1[Item Description]="","",Table1[[#This Row],[h_hargasebelumdiskon]]-Table1[[#This Row],[h_diskon]])</f>
        <v>28215</v>
      </c>
      <c r="AA33" s="93" t="str">
        <f>IF(Table1[//]="","",SUMIF(Table1[h_id],Table1[h_id],Table1[h_hargasetelahdiskon]))</f>
        <v/>
      </c>
      <c r="AB33" s="93"/>
      <c r="AC33" s="93" t="str">
        <f>Table1[[#This Row],[Item Description]]&amp;Table1[[#This Row],[Unit]]&amp;Table1[[#This Row],[Unit Price]]</f>
        <v>PUSH PIN KENKO PN-30 TRANSPARANLSN33000</v>
      </c>
    </row>
    <row r="34" spans="1:29" x14ac:dyDescent="0.25">
      <c r="A34" s="95" t="str">
        <f>IF(Table1[No. Invoice :]="","",ROW())</f>
        <v/>
      </c>
      <c r="B34" s="196" t="str">
        <f>IF(Table1[h_Kode Sales :_1]="","",B$1+COUNT(B$2:B33))</f>
        <v/>
      </c>
      <c r="D34" s="197"/>
      <c r="E34" s="198"/>
      <c r="F34" s="197"/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J34" s="92">
        <v>10</v>
      </c>
      <c r="K34" s="92" t="s">
        <v>92</v>
      </c>
      <c r="M34" s="92" t="s">
        <v>201</v>
      </c>
      <c r="N34" s="196" t="str">
        <f>IF(Table1[[#This Row],[h_Item Description]]="","",INDEX([1]!db[NB PAJAK],MATCH(Table1[[#This Row],[h_Item Description]],[1]!db[kode],0)))</f>
        <v>STAMP PAD KENKO NO. 0</v>
      </c>
      <c r="O34" s="92" t="s">
        <v>208</v>
      </c>
      <c r="P34" s="93">
        <v>59400</v>
      </c>
      <c r="Q34" s="94">
        <v>0.14499999999999999</v>
      </c>
      <c r="S34" s="199">
        <f>Table1[[#This Row],[h_hargasetelahdiskon]]</f>
        <v>507870</v>
      </c>
      <c r="V34" s="95">
        <f ca="1">IF(Table1[[#This Row],[Item Description]]="","",IF(Table1[[#This Row],[//]]="",INDIRECT(ADDRESS(ROW()-1,COLUMN())),Table1[[#This Row],[//]]))</f>
        <v>32</v>
      </c>
      <c r="W34" s="95">
        <f ca="1">IF(Table1[[#This Row],[h_id]]="","",COUNTIF(Table1[h_id],Table1[[#This Row],[h_id]]))</f>
        <v>8</v>
      </c>
      <c r="X34" s="93">
        <f>IF(Table1[Item Description]="","",Table1[[#This Row],[Qty]]*Table1[[#This Row],[Unit Price]])</f>
        <v>594000</v>
      </c>
      <c r="Y34" s="93">
        <f>IF(Table1[Item Description]="","",Table1[[#This Row],[h_hargasebelumdiskon]]*Table1[[#This Row],[Disc 1]])</f>
        <v>86130</v>
      </c>
      <c r="Z34" s="93">
        <f>IF(Table1[Item Description]="","",Table1[[#This Row],[h_hargasebelumdiskon]]-Table1[[#This Row],[h_diskon]])</f>
        <v>507870</v>
      </c>
      <c r="AA34" s="93" t="str">
        <f>IF(Table1[//]="","",SUMIF(Table1[h_id],Table1[h_id],Table1[h_hargasetelahdiskon]))</f>
        <v/>
      </c>
      <c r="AB34" s="93"/>
      <c r="AC34" s="93" t="str">
        <f>Table1[[#This Row],[Item Description]]&amp;Table1[[#This Row],[Unit]]&amp;Table1[[#This Row],[Unit Price]]</f>
        <v>STAMP PAD KENKO NO. 0LSN59400</v>
      </c>
    </row>
    <row r="35" spans="1:29" x14ac:dyDescent="0.25">
      <c r="A35" s="95" t="str">
        <f>IF(Table1[No. Invoice :]="","",ROW())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8</v>
      </c>
      <c r="K35" s="92" t="s">
        <v>92</v>
      </c>
      <c r="M35" s="92" t="s">
        <v>202</v>
      </c>
      <c r="N35" s="196" t="str">
        <f>IF(Table1[[#This Row],[h_Item Description]]="","",INDEX([1]!db[NB PAJAK],MATCH(Table1[[#This Row],[h_Item Description]],[1]!db[kode],0)))</f>
        <v>STAMP PLATE NUMBER KENKO N-38 (Cap Nomer)</v>
      </c>
      <c r="O35" s="92" t="s">
        <v>209</v>
      </c>
      <c r="P35" s="93">
        <v>84000</v>
      </c>
      <c r="Q35" s="94">
        <v>0.14499999999999999</v>
      </c>
      <c r="S35" s="199">
        <f>Table1[[#This Row],[h_hargasetelahdiskon]]</f>
        <v>574560</v>
      </c>
      <c r="V35" s="95">
        <f ca="1">IF(Table1[[#This Row],[Item Description]]="","",IF(Table1[[#This Row],[//]]="",INDIRECT(ADDRESS(ROW()-1,COLUMN())),Table1[[#This Row],[//]]))</f>
        <v>32</v>
      </c>
      <c r="W35" s="95">
        <f ca="1">IF(Table1[[#This Row],[h_id]]="","",COUNTIF(Table1[h_id],Table1[[#This Row],[h_id]]))</f>
        <v>8</v>
      </c>
      <c r="X35" s="93">
        <f>IF(Table1[Item Description]="","",Table1[[#This Row],[Qty]]*Table1[[#This Row],[Unit Price]])</f>
        <v>672000</v>
      </c>
      <c r="Y35" s="93">
        <f>IF(Table1[Item Description]="","",Table1[[#This Row],[h_hargasebelumdiskon]]*Table1[[#This Row],[Disc 1]])</f>
        <v>97440</v>
      </c>
      <c r="Z35" s="93">
        <f>IF(Table1[Item Description]="","",Table1[[#This Row],[h_hargasebelumdiskon]]-Table1[[#This Row],[h_diskon]])</f>
        <v>574560</v>
      </c>
      <c r="AA35" s="93" t="str">
        <f>IF(Table1[//]="","",SUMIF(Table1[h_id],Table1[h_id],Table1[h_hargasetelahdiskon]))</f>
        <v/>
      </c>
      <c r="AB35" s="93"/>
      <c r="AC35" s="93" t="str">
        <f>Table1[[#This Row],[Item Description]]&amp;Table1[[#This Row],[Unit]]&amp;Table1[[#This Row],[Unit Price]]</f>
        <v>STAMP PLATE NUMBER KENKO N-38 (Cap Nomer)LSN84000</v>
      </c>
    </row>
    <row r="36" spans="1:29" x14ac:dyDescent="0.25">
      <c r="A36" s="95" t="str">
        <f>IF(Table1[No. Invoice :]="","",ROW())</f>
        <v/>
      </c>
      <c r="B36" s="196" t="str">
        <f>IF(Table1[h_Kode Sales :_1]="","",B$1+COUNT(B$2:B35))</f>
        <v/>
      </c>
      <c r="D36" s="197"/>
      <c r="E36" s="198"/>
      <c r="F36" s="197"/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1</v>
      </c>
      <c r="K36" s="92" t="s">
        <v>92</v>
      </c>
      <c r="M36" s="92" t="s">
        <v>203</v>
      </c>
      <c r="N36" s="196" t="str">
        <f>IF(Table1[[#This Row],[h_Item Description]]="","",INDEX([1]!db[NB PAJAK],MATCH(Table1[[#This Row],[h_Item Description]],[1]!db[kode],0)))</f>
        <v>DATE STAMP KENKO D-3 (Cap Tanggal 5 Mm)</v>
      </c>
      <c r="O36" s="92" t="s">
        <v>210</v>
      </c>
      <c r="P36" s="93">
        <v>77400</v>
      </c>
      <c r="Q36" s="94">
        <v>0.14499999999999999</v>
      </c>
      <c r="S36" s="199">
        <f>Table1[[#This Row],[h_hargasetelahdiskon]]</f>
        <v>66177</v>
      </c>
      <c r="V36" s="95">
        <f ca="1">IF(Table1[[#This Row],[Item Description]]="","",IF(Table1[[#This Row],[//]]="",INDIRECT(ADDRESS(ROW()-1,COLUMN())),Table1[[#This Row],[//]]))</f>
        <v>32</v>
      </c>
      <c r="W36" s="95">
        <f ca="1">IF(Table1[[#This Row],[h_id]]="","",COUNTIF(Table1[h_id],Table1[[#This Row],[h_id]]))</f>
        <v>8</v>
      </c>
      <c r="X36" s="93">
        <f>IF(Table1[Item Description]="","",Table1[[#This Row],[Qty]]*Table1[[#This Row],[Unit Price]])</f>
        <v>77400</v>
      </c>
      <c r="Y36" s="93">
        <f>IF(Table1[Item Description]="","",Table1[[#This Row],[h_hargasebelumdiskon]]*Table1[[#This Row],[Disc 1]])</f>
        <v>11223</v>
      </c>
      <c r="Z36" s="93">
        <f>IF(Table1[Item Description]="","",Table1[[#This Row],[h_hargasebelumdiskon]]-Table1[[#This Row],[h_diskon]])</f>
        <v>66177</v>
      </c>
      <c r="AA36" s="93" t="str">
        <f>IF(Table1[//]="","",SUMIF(Table1[h_id],Table1[h_id],Table1[h_hargasetelahdiskon]))</f>
        <v/>
      </c>
      <c r="AB36" s="93"/>
      <c r="AC36" s="93" t="str">
        <f>Table1[[#This Row],[Item Description]]&amp;Table1[[#This Row],[Unit]]&amp;Table1[[#This Row],[Unit Price]]</f>
        <v>DATE STAMP KENKO D-3 (Cap Tanggal 5 Mm)LSN77400</v>
      </c>
    </row>
    <row r="37" spans="1:29" x14ac:dyDescent="0.25">
      <c r="A37" s="95" t="str">
        <f>IF(Table1[No. Invoice :]="","",ROW())</f>
        <v/>
      </c>
      <c r="B37" s="196" t="str">
        <f>IF(Table1[h_Kode Sales :_1]="","",B$1+COUNT(B$2:B36))</f>
        <v/>
      </c>
      <c r="D37" s="197"/>
      <c r="E37" s="198"/>
      <c r="F37" s="197"/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/>
      <c r="J37" s="92">
        <v>5</v>
      </c>
      <c r="K37" s="92" t="s">
        <v>92</v>
      </c>
      <c r="M37" s="92" t="s">
        <v>154</v>
      </c>
      <c r="N37" s="196" t="str">
        <f>IF(Table1[[#This Row],[h_Item Description]]="","",INDEX([1]!db[NB PAJAK],MATCH(Table1[[#This Row],[h_Item Description]],[1]!db[kode],0)))</f>
        <v>DATE STAMP KENKO D-4 (Cap Tanggal 4 Mm)</v>
      </c>
      <c r="O37" s="92" t="s">
        <v>163</v>
      </c>
      <c r="P37" s="93">
        <v>74400</v>
      </c>
      <c r="Q37" s="94">
        <v>0.14499999999999999</v>
      </c>
      <c r="S37" s="199">
        <f>Table1[[#This Row],[h_hargasetelahdiskon]]</f>
        <v>318060</v>
      </c>
      <c r="V37" s="95">
        <f ca="1">IF(Table1[[#This Row],[Item Description]]="","",IF(Table1[[#This Row],[//]]="",INDIRECT(ADDRESS(ROW()-1,COLUMN())),Table1[[#This Row],[//]]))</f>
        <v>32</v>
      </c>
      <c r="W37" s="95">
        <f ca="1">IF(Table1[[#This Row],[h_id]]="","",COUNTIF(Table1[h_id],Table1[[#This Row],[h_id]]))</f>
        <v>8</v>
      </c>
      <c r="X37" s="93">
        <f>IF(Table1[Item Description]="","",Table1[[#This Row],[Qty]]*Table1[[#This Row],[Unit Price]])</f>
        <v>372000</v>
      </c>
      <c r="Y37" s="93">
        <f>IF(Table1[Item Description]="","",Table1[[#This Row],[h_hargasebelumdiskon]]*Table1[[#This Row],[Disc 1]])</f>
        <v>53939.999999999993</v>
      </c>
      <c r="Z37" s="93">
        <f>IF(Table1[Item Description]="","",Table1[[#This Row],[h_hargasebelumdiskon]]-Table1[[#This Row],[h_diskon]])</f>
        <v>318060</v>
      </c>
      <c r="AA37" s="93" t="str">
        <f>IF(Table1[//]="","",SUMIF(Table1[h_id],Table1[h_id],Table1[h_hargasetelahdiskon]))</f>
        <v/>
      </c>
      <c r="AB37" s="93"/>
      <c r="AC37" s="93" t="str">
        <f>Table1[[#This Row],[Item Description]]&amp;Table1[[#This Row],[Unit]]&amp;Table1[[#This Row],[Unit Price]]</f>
        <v>DATE STAMP KENKO D-4 (Cap Tanggal 4 Mm)LSN74400</v>
      </c>
    </row>
    <row r="38" spans="1:29" x14ac:dyDescent="0.25">
      <c r="A38" s="95" t="str">
        <f>IF(Table1[No. Invoice :]="","",ROW())</f>
        <v/>
      </c>
      <c r="B38" s="196" t="str">
        <f>IF(Table1[h_Kode Sales :_1]="","",B$1+COUNT(B$2:B37))</f>
        <v/>
      </c>
      <c r="D38" s="197"/>
      <c r="E38" s="198"/>
      <c r="F38" s="197"/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J38" s="92">
        <v>48</v>
      </c>
      <c r="K38" s="92" t="s">
        <v>204</v>
      </c>
      <c r="M38" s="92" t="s">
        <v>205</v>
      </c>
      <c r="N38" s="196" t="e">
        <f>IF(Table1[[#This Row],[h_Item Description]]="","",INDEX([1]!db[NB PAJAK],MATCH(Table1[[#This Row],[h_Item Description]],[1]!db[kode],0)))</f>
        <v>#N/A</v>
      </c>
      <c r="O38" s="92" t="s">
        <v>211</v>
      </c>
      <c r="P38" s="93">
        <v>6600</v>
      </c>
      <c r="Q38" s="94">
        <v>0.14499999999999999</v>
      </c>
      <c r="S38" s="199">
        <f>Table1[[#This Row],[h_hargasetelahdiskon]]</f>
        <v>270864</v>
      </c>
      <c r="V38" s="95">
        <f ca="1">IF(Table1[[#This Row],[Item Description]]="","",IF(Table1[[#This Row],[//]]="",INDIRECT(ADDRESS(ROW()-1,COLUMN())),Table1[[#This Row],[//]]))</f>
        <v>32</v>
      </c>
      <c r="W38" s="95">
        <f ca="1">IF(Table1[[#This Row],[h_id]]="","",COUNTIF(Table1[h_id],Table1[[#This Row],[h_id]]))</f>
        <v>8</v>
      </c>
      <c r="X38" s="93">
        <f>IF(Table1[Item Description]="","",Table1[[#This Row],[Qty]]*Table1[[#This Row],[Unit Price]])</f>
        <v>316800</v>
      </c>
      <c r="Y38" s="93">
        <f>IF(Table1[Item Description]="","",Table1[[#This Row],[h_hargasebelumdiskon]]*Table1[[#This Row],[Disc 1]])</f>
        <v>45936</v>
      </c>
      <c r="Z38" s="93">
        <f>IF(Table1[Item Description]="","",Table1[[#This Row],[h_hargasebelumdiskon]]-Table1[[#This Row],[h_diskon]])</f>
        <v>270864</v>
      </c>
      <c r="AA38" s="93" t="str">
        <f>IF(Table1[//]="","",SUMIF(Table1[h_id],Table1[h_id],Table1[h_hargasetelahdiskon]))</f>
        <v/>
      </c>
      <c r="AB38" s="93"/>
      <c r="AC38" s="93" t="str">
        <f>Table1[[#This Row],[Item Description]]&amp;Table1[[#This Row],[Unit]]&amp;Table1[[#This Row],[Unit Price]]</f>
        <v>PENSIL WARNA KENKO CP-12HALF CLASSIC (PENDEK)SET6600</v>
      </c>
    </row>
    <row r="39" spans="1:29" x14ac:dyDescent="0.25">
      <c r="A39" s="95" t="str">
        <f>IF(Table1[No. Invoice :]="","",ROW())</f>
        <v/>
      </c>
      <c r="B39" s="196" t="str">
        <f>IF(Table1[h_Kode Sales :_1]="","",B$1+COUNT(B$2:B38))</f>
        <v/>
      </c>
      <c r="D39" s="197"/>
      <c r="E39" s="95" t="str">
        <f>IF(Table1[[#This Row],[h_toko]]="","",INDEX(Table2[e],IF(Table1[[#This Row],[h_toko]]="","",MATCH(Table1[[#This Row],[h_toko]],Table2[a],0)),))</f>
        <v/>
      </c>
      <c r="F39" s="197"/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16</v>
      </c>
      <c r="K39" s="92" t="s">
        <v>150</v>
      </c>
      <c r="M39" s="92" t="s">
        <v>206</v>
      </c>
      <c r="N39" s="196" t="str">
        <f>IF(Table1[[#This Row],[h_Item Description]]="","",INDEX([1]!db[NB PAJAK],MATCH(Table1[[#This Row],[h_Item Description]],[1]!db[kode],0)))</f>
        <v>DESK SET KENKO K-8312 ORGANIZER</v>
      </c>
      <c r="O39" s="92" t="s">
        <v>212</v>
      </c>
      <c r="P39" s="93">
        <v>29000</v>
      </c>
      <c r="Q39" s="94">
        <v>0.14499999999999999</v>
      </c>
      <c r="S39" s="199">
        <f>Table1[[#This Row],[h_hargasetelahdiskon]]</f>
        <v>396720</v>
      </c>
      <c r="V39" s="95">
        <f ca="1">IF(Table1[[#This Row],[Item Description]]="","",IF(Table1[[#This Row],[//]]="",INDIRECT(ADDRESS(ROW()-1,COLUMN())),Table1[[#This Row],[//]]))</f>
        <v>32</v>
      </c>
      <c r="W39" s="95">
        <f ca="1">IF(Table1[[#This Row],[h_id]]="","",COUNTIF(Table1[h_id],Table1[[#This Row],[h_id]]))</f>
        <v>8</v>
      </c>
      <c r="X39" s="93">
        <f>IF(Table1[Item Description]="","",Table1[[#This Row],[Qty]]*Table1[[#This Row],[Unit Price]])</f>
        <v>464000</v>
      </c>
      <c r="Y39" s="93">
        <f>IF(Table1[Item Description]="","",Table1[[#This Row],[h_hargasebelumdiskon]]*Table1[[#This Row],[Disc 1]])</f>
        <v>67280</v>
      </c>
      <c r="Z39" s="93">
        <f>IF(Table1[Item Description]="","",Table1[[#This Row],[h_hargasebelumdiskon]]-Table1[[#This Row],[h_diskon]])</f>
        <v>396720</v>
      </c>
      <c r="AA39" s="93" t="str">
        <f>IF(Table1[//]="","",SUMIF(Table1[h_id],Table1[h_id],Table1[h_hargasetelahdiskon]))</f>
        <v/>
      </c>
      <c r="AB39" s="93"/>
      <c r="AC39" s="93" t="str">
        <f>Table1[[#This Row],[Item Description]]&amp;Table1[[#This Row],[Unit]]&amp;Table1[[#This Row],[Unit Price]]</f>
        <v>DESK SET KENKO K-8312 ORGANIZERPCS29000</v>
      </c>
    </row>
    <row r="40" spans="1:29" x14ac:dyDescent="0.25">
      <c r="A40" s="95" t="str">
        <f>IF(Table1[No. Invoice :]="","",ROW())</f>
        <v/>
      </c>
      <c r="B40" s="196" t="str">
        <f>IF(Table1[h_Kode Sales :_1]="","",B$1+COUNT(B$2:B39))</f>
        <v/>
      </c>
      <c r="D40" s="197"/>
      <c r="E40" s="198"/>
      <c r="F40" s="197"/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M40" s="197"/>
      <c r="N40" s="196" t="str">
        <f>IF(Table1[[#This Row],[h_Item Description]]="","",INDEX([1]!db[NB PAJAK],MATCH(Table1[[#This Row],[h_Item Description]],[1]!db[kode],0)))</f>
        <v/>
      </c>
      <c r="P40" s="93"/>
      <c r="Q40" s="94"/>
      <c r="S40" s="199" t="str">
        <f>Table1[[#This Row],[h_hargasetelahdiskon]]</f>
        <v/>
      </c>
      <c r="V40" s="95" t="str">
        <f ca="1">IF(Table1[[#This Row],[Item Description]]="","",IF(Table1[[#This Row],[//]]="",INDIRECT(ADDRESS(ROW()-1,COLUMN())),Table1[[#This Row],[//]]))</f>
        <v/>
      </c>
      <c r="W40" s="95" t="str">
        <f ca="1">IF(Table1[[#This Row],[h_id]]="","",COUNTIF(Table1[h_id],Table1[[#This Row],[h_id]]))</f>
        <v/>
      </c>
      <c r="X40" s="93" t="str">
        <f>IF(Table1[Item Description]="","",Table1[[#This Row],[Qty]]*Table1[[#This Row],[Unit Price]])</f>
        <v/>
      </c>
      <c r="Y40" s="93" t="str">
        <f>IF(Table1[Item Description]="","",Table1[[#This Row],[h_hargasebelumdiskon]]*Table1[[#This Row],[Disc 1]])</f>
        <v/>
      </c>
      <c r="Z40" s="93" t="str">
        <f>IF(Table1[Item Description]="","",Table1[[#This Row],[h_hargasebelumdiskon]]-Table1[[#This Row],[h_diskon]])</f>
        <v/>
      </c>
      <c r="AA40" s="93" t="str">
        <f>IF(Table1[//]="","",SUMIF(Table1[h_id],Table1[h_id],Table1[h_hargasetelahdiskon]))</f>
        <v/>
      </c>
      <c r="AB40" s="93"/>
      <c r="AC40" s="93" t="str">
        <f>Table1[[#This Row],[Item Description]]&amp;Table1[[#This Row],[Unit]]&amp;Table1[[#This Row],[Unit Price]]</f>
        <v/>
      </c>
    </row>
    <row r="41" spans="1:29" x14ac:dyDescent="0.25">
      <c r="A41" s="95">
        <f>IF(Table1[No. Invoice :]="","",ROW())</f>
        <v>41</v>
      </c>
      <c r="B41" s="196">
        <f>IF(Table1[h_Kode Sales :_1]="","",B$1+COUNT(B$2:B40))</f>
        <v>23020008</v>
      </c>
      <c r="C41" s="98">
        <v>44963</v>
      </c>
      <c r="D41" s="92" t="s">
        <v>90</v>
      </c>
      <c r="E41" s="97" t="s">
        <v>222</v>
      </c>
      <c r="F41" s="92" t="s">
        <v>223</v>
      </c>
      <c r="G41" s="95" t="str">
        <f>IF(Table1[[#This Row],[h_No. Invoice :]]="","",CONCATENATE("AM"," ",Table1[[#This Row],[h_No. Invoice :]]))</f>
        <v>AM 23020008</v>
      </c>
      <c r="H41" s="96" t="str">
        <f>CONCATENATE(UPPER(Table1[[#This Row],[h_Kode Sales :_1]])," ",Table1[[#This Row],[h_Kode Sales :_2]])</f>
        <v>KO 0841</v>
      </c>
      <c r="I41" s="95" t="str">
        <f>IF(Table1[[#This Row],[h_toko]]="","",INDEX(Table2[e],IF(Table1[[#This Row],[h_toko]]="","",MATCH(Table1[[#This Row],[h_toko]],Table2[a],0)),))</f>
        <v>CV  WISUDA PURWOKERTO</v>
      </c>
      <c r="J41" s="92">
        <v>1</v>
      </c>
      <c r="K41" s="92" t="s">
        <v>92</v>
      </c>
      <c r="M41" s="92" t="s">
        <v>229</v>
      </c>
      <c r="N41" s="196" t="str">
        <f>IF(Table1[[#This Row],[h_Item Description]]="","",INDEX([1]!db[NB PAJAK],MATCH(Table1[[#This Row],[h_Item Description]],[1]!db[kode],0)))</f>
        <v>PUNCH JOYKO 30</v>
      </c>
      <c r="O41" s="92" t="s">
        <v>231</v>
      </c>
      <c r="P41" s="93">
        <v>139200</v>
      </c>
      <c r="Q41" s="94">
        <v>0.1</v>
      </c>
      <c r="S41" s="199">
        <f>Table1[[#This Row],[h_hargasetelahdiskon]]</f>
        <v>125280</v>
      </c>
      <c r="T41" s="93" t="s">
        <v>242</v>
      </c>
      <c r="V41" s="95">
        <f ca="1">IF(Table1[[#This Row],[Item Description]]="","",IF(Table1[[#This Row],[//]]="",INDIRECT(ADDRESS(ROW()-1,COLUMN())),Table1[[#This Row],[//]]))</f>
        <v>41</v>
      </c>
      <c r="W41" s="95">
        <f ca="1">IF(Table1[[#This Row],[h_id]]="","",COUNTIF(Table1[h_id],Table1[[#This Row],[h_id]]))</f>
        <v>6</v>
      </c>
      <c r="X41" s="93">
        <f>IF(Table1[Item Description]="","",Table1[[#This Row],[Qty]]*Table1[[#This Row],[Unit Price]])</f>
        <v>139200</v>
      </c>
      <c r="Y41" s="93">
        <f>IF(Table1[Item Description]="","",Table1[[#This Row],[h_hargasebelumdiskon]]*Table1[[#This Row],[Disc 1]])</f>
        <v>13920</v>
      </c>
      <c r="Z41" s="93">
        <f>IF(Table1[Item Description]="","",Table1[[#This Row],[h_hargasebelumdiskon]]-Table1[[#This Row],[h_diskon]])</f>
        <v>125280</v>
      </c>
      <c r="AA41" s="93">
        <f ca="1">IF(Table1[//]="","",SUMIF(Table1[h_id],Table1[h_id],Table1[h_hargasetelahdiskon]))</f>
        <v>3178800</v>
      </c>
      <c r="AB41" s="93"/>
      <c r="AC41" s="93" t="str">
        <f>Table1[[#This Row],[Item Description]]&amp;Table1[[#This Row],[Unit]]&amp;Table1[[#This Row],[Unit Price]]</f>
        <v>PUNCH JOYKO 30LSN139200</v>
      </c>
    </row>
    <row r="42" spans="1:29" x14ac:dyDescent="0.25">
      <c r="A42" s="95" t="str">
        <f>IF(Table1[No. Invoice :]="","",ROW())</f>
        <v/>
      </c>
      <c r="B42" s="196" t="str">
        <f>IF(Table1[h_Kode Sales :_1]="","",B$1+COUNT(B$2:B41))</f>
        <v/>
      </c>
      <c r="D42" s="197"/>
      <c r="E42" s="198"/>
      <c r="F42" s="197"/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12</v>
      </c>
      <c r="K42" s="92" t="s">
        <v>150</v>
      </c>
      <c r="M42" s="92" t="s">
        <v>225</v>
      </c>
      <c r="N42" s="196" t="str">
        <f>IF(Table1[[#This Row],[h_Item Description]]="","",INDEX([1]!db[NB PAJAK],MATCH(Table1[[#This Row],[h_Item Description]],[1]!db[kode],0)))</f>
        <v>PUNCH KENKO NO. 85</v>
      </c>
      <c r="O42" s="92" t="s">
        <v>235</v>
      </c>
      <c r="P42" s="93">
        <v>48500</v>
      </c>
      <c r="Q42" s="94">
        <v>0.1</v>
      </c>
      <c r="S42" s="199">
        <f>Table1[[#This Row],[h_hargasetelahdiskon]]</f>
        <v>523800</v>
      </c>
      <c r="V42" s="95">
        <f ca="1">IF(Table1[[#This Row],[Item Description]]="","",IF(Table1[[#This Row],[//]]="",INDIRECT(ADDRESS(ROW()-1,COLUMN())),Table1[[#This Row],[//]]))</f>
        <v>41</v>
      </c>
      <c r="W42" s="95">
        <f ca="1">IF(Table1[[#This Row],[h_id]]="","",COUNTIF(Table1[h_id],Table1[[#This Row],[h_id]]))</f>
        <v>6</v>
      </c>
      <c r="X42" s="93">
        <f>IF(Table1[Item Description]="","",Table1[[#This Row],[Qty]]*Table1[[#This Row],[Unit Price]])</f>
        <v>582000</v>
      </c>
      <c r="Y42" s="93">
        <f>IF(Table1[Item Description]="","",Table1[[#This Row],[h_hargasebelumdiskon]]*Table1[[#This Row],[Disc 1]])</f>
        <v>58200</v>
      </c>
      <c r="Z42" s="93">
        <f>IF(Table1[Item Description]="","",Table1[[#This Row],[h_hargasebelumdiskon]]-Table1[[#This Row],[h_diskon]])</f>
        <v>523800</v>
      </c>
      <c r="AA42" s="93" t="str">
        <f>IF(Table1[//]="","",SUMIF(Table1[h_id],Table1[h_id],Table1[h_hargasetelahdiskon]))</f>
        <v/>
      </c>
      <c r="AB42" s="93"/>
      <c r="AC42" s="93" t="str">
        <f>Table1[[#This Row],[Item Description]]&amp;Table1[[#This Row],[Unit]]&amp;Table1[[#This Row],[Unit Price]]</f>
        <v>PUNCH KENKO NO. 85PCS48500</v>
      </c>
    </row>
    <row r="43" spans="1:29" x14ac:dyDescent="0.25">
      <c r="A43" s="95" t="str">
        <f>IF(Table1[No. Invoice :]="","",ROW())</f>
        <v/>
      </c>
      <c r="B43" s="196" t="str">
        <f>IF(Table1[h_Kode Sales :_1]="","",B$1+COUNT(B$2:B42))</f>
        <v/>
      </c>
      <c r="D43" s="197"/>
      <c r="E43" s="198"/>
      <c r="F43" s="197"/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10</v>
      </c>
      <c r="K43" s="92" t="s">
        <v>92</v>
      </c>
      <c r="M43" s="92" t="s">
        <v>224</v>
      </c>
      <c r="N43" s="196" t="str">
        <f>IF(Table1[[#This Row],[h_Item Description]]="","",INDEX([1]!db[NB PAJAK],MATCH(Table1[[#This Row],[h_Item Description]],[1]!db[kode],0)))</f>
        <v>ISI CUTTER 18 MM KENKO L-150 (BESAR)</v>
      </c>
      <c r="O43" s="92" t="s">
        <v>232</v>
      </c>
      <c r="P43" s="93">
        <v>64800</v>
      </c>
      <c r="Q43" s="94">
        <v>0.1</v>
      </c>
      <c r="S43" s="199">
        <f>Table1[[#This Row],[h_hargasetelahdiskon]]</f>
        <v>583200</v>
      </c>
      <c r="V43" s="95">
        <f ca="1">IF(Table1[[#This Row],[Item Description]]="","",IF(Table1[[#This Row],[//]]="",INDIRECT(ADDRESS(ROW()-1,COLUMN())),Table1[[#This Row],[//]]))</f>
        <v>41</v>
      </c>
      <c r="W43" s="95">
        <f ca="1">IF(Table1[[#This Row],[h_id]]="","",COUNTIF(Table1[h_id],Table1[[#This Row],[h_id]]))</f>
        <v>6</v>
      </c>
      <c r="X43" s="93">
        <f>IF(Table1[Item Description]="","",Table1[[#This Row],[Qty]]*Table1[[#This Row],[Unit Price]])</f>
        <v>648000</v>
      </c>
      <c r="Y43" s="93">
        <f>IF(Table1[Item Description]="","",Table1[[#This Row],[h_hargasebelumdiskon]]*Table1[[#This Row],[Disc 1]])</f>
        <v>64800</v>
      </c>
      <c r="Z43" s="93">
        <f>IF(Table1[Item Description]="","",Table1[[#This Row],[h_hargasebelumdiskon]]-Table1[[#This Row],[h_diskon]])</f>
        <v>583200</v>
      </c>
      <c r="AA43" s="93" t="str">
        <f>IF(Table1[//]="","",SUMIF(Table1[h_id],Table1[h_id],Table1[h_hargasetelahdiskon]))</f>
        <v/>
      </c>
      <c r="AB43" s="93"/>
      <c r="AC43" s="93" t="str">
        <f>Table1[[#This Row],[Item Description]]&amp;Table1[[#This Row],[Unit]]&amp;Table1[[#This Row],[Unit Price]]</f>
        <v>ISI CUTTER 18 MM KENKO L-150 (BESAR)LSN64800</v>
      </c>
    </row>
    <row r="44" spans="1:29" x14ac:dyDescent="0.25">
      <c r="A44" s="95" t="str">
        <f>IF(Table1[No. Invoice :]="","",ROW())</f>
        <v/>
      </c>
      <c r="B44" s="196" t="str">
        <f>IF(Table1[h_Kode Sales :_1]="","",B$1+COUNT(B$2:B43))</f>
        <v/>
      </c>
      <c r="D44" s="197"/>
      <c r="E44" s="198"/>
      <c r="F44" s="197"/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J44" s="92">
        <v>100</v>
      </c>
      <c r="K44" s="92" t="s">
        <v>150</v>
      </c>
      <c r="M44" s="92" t="s">
        <v>226</v>
      </c>
      <c r="N44" s="196" t="e">
        <f>IF(Table1[[#This Row],[h_Item Description]]="","",INDEX([1]!db[NB PAJAK],MATCH(Table1[[#This Row],[h_Item Description]],[1]!db[kode],0)))</f>
        <v>#N/A</v>
      </c>
      <c r="O44" s="92" t="s">
        <v>230</v>
      </c>
      <c r="P44" s="93">
        <v>3700</v>
      </c>
      <c r="Q44" s="94">
        <v>0.1</v>
      </c>
      <c r="S44" s="199">
        <f>Table1[[#This Row],[h_hargasetelahdiskon]]</f>
        <v>333000</v>
      </c>
      <c r="V44" s="95">
        <f ca="1">IF(Table1[[#This Row],[Item Description]]="","",IF(Table1[[#This Row],[//]]="",INDIRECT(ADDRESS(ROW()-1,COLUMN())),Table1[[#This Row],[//]]))</f>
        <v>41</v>
      </c>
      <c r="W44" s="95">
        <f ca="1">IF(Table1[[#This Row],[h_id]]="","",COUNTIF(Table1[h_id],Table1[[#This Row],[h_id]]))</f>
        <v>6</v>
      </c>
      <c r="X44" s="93">
        <f>IF(Table1[Item Description]="","",Table1[[#This Row],[Qty]]*Table1[[#This Row],[Unit Price]])</f>
        <v>370000</v>
      </c>
      <c r="Y44" s="93">
        <f>IF(Table1[Item Description]="","",Table1[[#This Row],[h_hargasebelumdiskon]]*Table1[[#This Row],[Disc 1]])</f>
        <v>37000</v>
      </c>
      <c r="Z44" s="93">
        <f>IF(Table1[Item Description]="","",Table1[[#This Row],[h_hargasebelumdiskon]]-Table1[[#This Row],[h_diskon]])</f>
        <v>333000</v>
      </c>
      <c r="AA44" s="93" t="str">
        <f>IF(Table1[//]="","",SUMIF(Table1[h_id],Table1[h_id],Table1[h_hargasetelahdiskon]))</f>
        <v/>
      </c>
      <c r="AB44" s="93"/>
      <c r="AC44" s="93" t="str">
        <f>Table1[[#This Row],[Item Description]]&amp;Table1[[#This Row],[Unit]]&amp;Table1[[#This Row],[Unit Price]]</f>
        <v>Stabillo Highlighter JK HL MIX BIRU/ HIJAUPCS3700</v>
      </c>
    </row>
    <row r="45" spans="1:29" x14ac:dyDescent="0.25">
      <c r="A45" s="95" t="str">
        <f>IF(Table1[No. Invoice :]="","",ROW())</f>
        <v/>
      </c>
      <c r="B45" s="196" t="str">
        <f>IF(Table1[h_Kode Sales :_1]="","",B$1+COUNT(B$2:B44))</f>
        <v/>
      </c>
      <c r="D45" s="197"/>
      <c r="E45" s="198"/>
      <c r="F45" s="197"/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J45" s="92">
        <v>8</v>
      </c>
      <c r="K45" s="92" t="s">
        <v>92</v>
      </c>
      <c r="M45" s="92" t="s">
        <v>227</v>
      </c>
      <c r="N45" s="196" t="str">
        <f>IF(Table1[[#This Row],[h_Item Description]]="","",INDEX([1]!db[NB PAJAK],MATCH(Table1[[#This Row],[h_Item Description]],[1]!db[kode],0)))</f>
        <v>GEL PEN KENKO K-1 HITAM</v>
      </c>
      <c r="O45" s="92" t="s">
        <v>233</v>
      </c>
      <c r="P45" s="93">
        <v>39600</v>
      </c>
      <c r="Q45" s="94">
        <v>0.1</v>
      </c>
      <c r="S45" s="199">
        <f>Table1[[#This Row],[h_hargasetelahdiskon]]</f>
        <v>285120</v>
      </c>
      <c r="V45" s="95">
        <f ca="1">IF(Table1[[#This Row],[Item Description]]="","",IF(Table1[[#This Row],[//]]="",INDIRECT(ADDRESS(ROW()-1,COLUMN())),Table1[[#This Row],[//]]))</f>
        <v>41</v>
      </c>
      <c r="W45" s="95">
        <f ca="1">IF(Table1[[#This Row],[h_id]]="","",COUNTIF(Table1[h_id],Table1[[#This Row],[h_id]]))</f>
        <v>6</v>
      </c>
      <c r="X45" s="93">
        <f>IF(Table1[Item Description]="","",Table1[[#This Row],[Qty]]*Table1[[#This Row],[Unit Price]])</f>
        <v>316800</v>
      </c>
      <c r="Y45" s="93">
        <f>IF(Table1[Item Description]="","",Table1[[#This Row],[h_hargasebelumdiskon]]*Table1[[#This Row],[Disc 1]])</f>
        <v>31680</v>
      </c>
      <c r="Z45" s="93">
        <f>IF(Table1[Item Description]="","",Table1[[#This Row],[h_hargasebelumdiskon]]-Table1[[#This Row],[h_diskon]])</f>
        <v>285120</v>
      </c>
      <c r="AA45" s="93" t="str">
        <f>IF(Table1[//]="","",SUMIF(Table1[h_id],Table1[h_id],Table1[h_hargasetelahdiskon]))</f>
        <v/>
      </c>
      <c r="AB45" s="93"/>
      <c r="AC45" s="93" t="str">
        <f>Table1[[#This Row],[Item Description]]&amp;Table1[[#This Row],[Unit]]&amp;Table1[[#This Row],[Unit Price]]</f>
        <v>GEL PEN KENKO K-1 HITAMLSN39600</v>
      </c>
    </row>
    <row r="46" spans="1:29" x14ac:dyDescent="0.25">
      <c r="A46" s="95" t="str">
        <f>IF(Table1[No. Invoice :]="","",ROW())</f>
        <v/>
      </c>
      <c r="B46" s="196" t="str">
        <f>IF(Table1[h_Kode Sales :_1]="","",B$1+COUNT(B$2:B45))</f>
        <v/>
      </c>
      <c r="D46" s="197"/>
      <c r="E46" s="198"/>
      <c r="F46" s="197"/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30</v>
      </c>
      <c r="K46" s="92" t="s">
        <v>131</v>
      </c>
      <c r="L46" s="92">
        <v>1</v>
      </c>
      <c r="M46" s="92" t="s">
        <v>228</v>
      </c>
      <c r="N46" s="196" t="str">
        <f>IF(Table1[[#This Row],[h_Item Description]]="","",INDEX([1]!db[NB PAJAK],MATCH(Table1[[#This Row],[h_Item Description]],[1]!db[kode],0)))</f>
        <v>BINDER CLIP KENKO NO. 111</v>
      </c>
      <c r="O46" s="92" t="s">
        <v>234</v>
      </c>
      <c r="P46" s="93">
        <v>49200</v>
      </c>
      <c r="Q46" s="94">
        <v>0.1</v>
      </c>
      <c r="S46" s="199">
        <f>Table1[[#This Row],[h_hargasetelahdiskon]]</f>
        <v>1328400</v>
      </c>
      <c r="V46" s="95">
        <f ca="1">IF(Table1[[#This Row],[Item Description]]="","",IF(Table1[[#This Row],[//]]="",INDIRECT(ADDRESS(ROW()-1,COLUMN())),Table1[[#This Row],[//]]))</f>
        <v>41</v>
      </c>
      <c r="W46" s="95">
        <f ca="1">IF(Table1[[#This Row],[h_id]]="","",COUNTIF(Table1[h_id],Table1[[#This Row],[h_id]]))</f>
        <v>6</v>
      </c>
      <c r="X46" s="93">
        <f>IF(Table1[Item Description]="","",Table1[[#This Row],[Qty]]*Table1[[#This Row],[Unit Price]])</f>
        <v>1476000</v>
      </c>
      <c r="Y46" s="93">
        <f>IF(Table1[Item Description]="","",Table1[[#This Row],[h_hargasebelumdiskon]]*Table1[[#This Row],[Disc 1]])</f>
        <v>147600</v>
      </c>
      <c r="Z46" s="93">
        <f>IF(Table1[Item Description]="","",Table1[[#This Row],[h_hargasebelumdiskon]]-Table1[[#This Row],[h_diskon]])</f>
        <v>1328400</v>
      </c>
      <c r="AA46" s="93" t="str">
        <f>IF(Table1[//]="","",SUMIF(Table1[h_id],Table1[h_id],Table1[h_hargasetelahdiskon]))</f>
        <v/>
      </c>
      <c r="AB46" s="93"/>
      <c r="AC46" s="93" t="str">
        <f>Table1[[#This Row],[Item Description]]&amp;Table1[[#This Row],[Unit]]&amp;Table1[[#This Row],[Unit Price]]</f>
        <v>BINDER CLIP KENKO NO. 111GRS49200</v>
      </c>
    </row>
    <row r="47" spans="1:29" x14ac:dyDescent="0.25">
      <c r="A47" s="95" t="str">
        <f>IF(Table1[No. Invoice :]="","",ROW())</f>
        <v/>
      </c>
      <c r="B47" s="196" t="str">
        <f>IF(Table1[h_Kode Sales :_1]="","",B$1+COUNT(B$2:B46))</f>
        <v/>
      </c>
      <c r="D47" s="197"/>
      <c r="E47" s="198"/>
      <c r="F47" s="197"/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M47" s="197"/>
      <c r="N47" s="196" t="str">
        <f>IF(Table1[[#This Row],[h_Item Description]]="","",INDEX([1]!db[NB PAJAK],MATCH(Table1[[#This Row],[h_Item Description]],[1]!db[kode],0)))</f>
        <v/>
      </c>
      <c r="P47" s="93"/>
      <c r="Q47" s="94"/>
      <c r="S47" s="199" t="str">
        <f>Table1[[#This Row],[h_hargasetelahdiskon]]</f>
        <v/>
      </c>
      <c r="V47" s="95" t="str">
        <f ca="1">IF(Table1[[#This Row],[Item Description]]="","",IF(Table1[[#This Row],[//]]="",INDIRECT(ADDRESS(ROW()-1,COLUMN())),Table1[[#This Row],[//]]))</f>
        <v/>
      </c>
      <c r="W47" s="95" t="str">
        <f ca="1">IF(Table1[[#This Row],[h_id]]="","",COUNTIF(Table1[h_id],Table1[[#This Row],[h_id]]))</f>
        <v/>
      </c>
      <c r="X47" s="93" t="str">
        <f>IF(Table1[Item Description]="","",Table1[[#This Row],[Qty]]*Table1[[#This Row],[Unit Price]])</f>
        <v/>
      </c>
      <c r="Y47" s="93" t="str">
        <f>IF(Table1[Item Description]="","",Table1[[#This Row],[h_hargasebelumdiskon]]*Table1[[#This Row],[Disc 1]])</f>
        <v/>
      </c>
      <c r="Z47" s="93" t="str">
        <f>IF(Table1[Item Description]="","",Table1[[#This Row],[h_hargasebelumdiskon]]-Table1[[#This Row],[h_diskon]])</f>
        <v/>
      </c>
      <c r="AA47" s="93" t="str">
        <f>IF(Table1[//]="","",SUMIF(Table1[h_id],Table1[h_id],Table1[h_hargasetelahdiskon]))</f>
        <v/>
      </c>
      <c r="AB47" s="93"/>
      <c r="AC47" s="93" t="str">
        <f>Table1[[#This Row],[Item Description]]&amp;Table1[[#This Row],[Unit]]&amp;Table1[[#This Row],[Unit Price]]</f>
        <v/>
      </c>
    </row>
    <row r="48" spans="1:29" x14ac:dyDescent="0.25">
      <c r="A48" s="95">
        <f>IF(Table1[No. Invoice :]="","",ROW())</f>
        <v>48</v>
      </c>
      <c r="B48" s="196">
        <f>IF(Table1[h_Kode Sales :_1]="","",B$1+COUNT(B$2:B47))</f>
        <v>23020009</v>
      </c>
      <c r="C48" s="98">
        <v>44963</v>
      </c>
      <c r="D48" s="92" t="s">
        <v>142</v>
      </c>
      <c r="E48" s="97" t="s">
        <v>243</v>
      </c>
      <c r="F48" s="92" t="s">
        <v>42</v>
      </c>
      <c r="G48" s="95" t="str">
        <f>IF(Table1[[#This Row],[h_No. Invoice :]]="","",CONCATENATE("AM"," ",Table1[[#This Row],[h_No. Invoice :]]))</f>
        <v>AM 23020009</v>
      </c>
      <c r="H48" s="96" t="str">
        <f>CONCATENATE(UPPER(Table1[[#This Row],[h_Kode Sales :_1]])," ",Table1[[#This Row],[h_Kode Sales :_2]])</f>
        <v>KO 0843</v>
      </c>
      <c r="I48" s="95" t="str">
        <f>IF(Table1[[#This Row],[h_toko]]="","",INDEX(Table2[e],IF(Table1[[#This Row],[h_toko]]="","",MATCH(Table1[[#This Row],[h_toko]],Table2[a],0)),))</f>
        <v>CV TRINITY CENTRAAL PURWOKERTO</v>
      </c>
      <c r="J48" s="92">
        <v>144</v>
      </c>
      <c r="K48" s="92" t="s">
        <v>92</v>
      </c>
      <c r="L48" s="92">
        <v>1</v>
      </c>
      <c r="M48" s="92" t="s">
        <v>188</v>
      </c>
      <c r="N48" s="196" t="str">
        <f>IF(Table1[[#This Row],[h_Item Description]]="","",INDEX([1]!db[NB PAJAK],MATCH(Table1[[#This Row],[h_Item Description]],[1]!db[kode],0)))</f>
        <v>GEL PEN KENKO HI-TECH-H 0.28 MM HITAM</v>
      </c>
      <c r="O48" s="92" t="s">
        <v>191</v>
      </c>
      <c r="P48" s="93">
        <v>39000</v>
      </c>
      <c r="Q48" s="94">
        <v>0.13</v>
      </c>
      <c r="S48" s="199">
        <f>Table1[[#This Row],[h_hargasetelahdiskon]]</f>
        <v>4885920</v>
      </c>
      <c r="T48" s="93" t="s">
        <v>93</v>
      </c>
      <c r="V48" s="95">
        <f ca="1">IF(Table1[[#This Row],[Item Description]]="","",IF(Table1[[#This Row],[//]]="",INDIRECT(ADDRESS(ROW()-1,COLUMN())),Table1[[#This Row],[//]]))</f>
        <v>48</v>
      </c>
      <c r="W48" s="95">
        <f ca="1">IF(Table1[[#This Row],[h_id]]="","",COUNTIF(Table1[h_id],Table1[[#This Row],[h_id]]))</f>
        <v>1</v>
      </c>
      <c r="X48" s="93">
        <f>IF(Table1[Item Description]="","",Table1[[#This Row],[Qty]]*Table1[[#This Row],[Unit Price]])</f>
        <v>5616000</v>
      </c>
      <c r="Y48" s="93">
        <f>IF(Table1[Item Description]="","",Table1[[#This Row],[h_hargasebelumdiskon]]*Table1[[#This Row],[Disc 1]])</f>
        <v>730080</v>
      </c>
      <c r="Z48" s="93">
        <f>IF(Table1[Item Description]="","",Table1[[#This Row],[h_hargasebelumdiskon]]-Table1[[#This Row],[h_diskon]])</f>
        <v>4885920</v>
      </c>
      <c r="AA48" s="93">
        <f ca="1">IF(Table1[//]="","",SUMIF(Table1[h_id],Table1[h_id],Table1[h_hargasetelahdiskon]))</f>
        <v>4885920</v>
      </c>
      <c r="AB48" s="93"/>
      <c r="AC48" s="93" t="str">
        <f>Table1[[#This Row],[Item Description]]&amp;Table1[[#This Row],[Unit]]&amp;Table1[[#This Row],[Unit Price]]</f>
        <v>GEL PEN KENKO HI-TECH-H 0.28 MM HITAMLSN39000</v>
      </c>
    </row>
    <row r="49" spans="1:29" x14ac:dyDescent="0.25">
      <c r="A49" s="95" t="str">
        <f>IF(Table1[No. Invoice :]="","",ROW())</f>
        <v/>
      </c>
      <c r="B49" s="196" t="str">
        <f>IF(Table1[h_Kode Sales :_1]="","",B$1+COUNT(B$2:B48))</f>
        <v/>
      </c>
      <c r="D49" s="197"/>
      <c r="E49" s="198"/>
      <c r="F49" s="197"/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M49" s="197"/>
      <c r="N49" s="196" t="str">
        <f>IF(Table1[[#This Row],[h_Item Description]]="","",INDEX([1]!db[NB PAJAK],MATCH(Table1[[#This Row],[h_Item Description]],[1]!db[kode],0)))</f>
        <v/>
      </c>
      <c r="P49" s="93"/>
      <c r="Q49" s="94"/>
      <c r="S49" s="199" t="str">
        <f>Table1[[#This Row],[h_hargasetelahdiskon]]</f>
        <v/>
      </c>
      <c r="V49" s="95" t="str">
        <f ca="1">IF(Table1[[#This Row],[Item Description]]="","",IF(Table1[[#This Row],[//]]="",INDIRECT(ADDRESS(ROW()-1,COLUMN())),Table1[[#This Row],[//]]))</f>
        <v/>
      </c>
      <c r="W49" s="95" t="str">
        <f ca="1">IF(Table1[[#This Row],[h_id]]="","",COUNTIF(Table1[h_id],Table1[[#This Row],[h_id]]))</f>
        <v/>
      </c>
      <c r="X49" s="93" t="str">
        <f>IF(Table1[Item Description]="","",Table1[[#This Row],[Qty]]*Table1[[#This Row],[Unit Price]])</f>
        <v/>
      </c>
      <c r="Y49" s="93" t="str">
        <f>IF(Table1[Item Description]="","",Table1[[#This Row],[h_hargasebelumdiskon]]*Table1[[#This Row],[Disc 1]])</f>
        <v/>
      </c>
      <c r="Z49" s="93" t="str">
        <f>IF(Table1[Item Description]="","",Table1[[#This Row],[h_hargasebelumdiskon]]-Table1[[#This Row],[h_diskon]])</f>
        <v/>
      </c>
      <c r="AA49" s="93" t="str">
        <f>IF(Table1[//]="","",SUMIF(Table1[h_id],Table1[h_id],Table1[h_hargasetelahdiskon]))</f>
        <v/>
      </c>
      <c r="AB49" s="93"/>
      <c r="AC49" s="93" t="str">
        <f>Table1[[#This Row],[Item Description]]&amp;Table1[[#This Row],[Unit]]&amp;Table1[[#This Row],[Unit Price]]</f>
        <v/>
      </c>
    </row>
    <row r="50" spans="1:29" x14ac:dyDescent="0.25">
      <c r="A50" s="95">
        <f>IF(Table1[No. Invoice :]="","",ROW())</f>
        <v>50</v>
      </c>
      <c r="B50" s="196">
        <f>IF(Table1[h_Kode Sales :_1]="","",B$1+COUNT(B$2:B49))</f>
        <v>23020010</v>
      </c>
      <c r="C50" s="98">
        <v>44963</v>
      </c>
      <c r="D50" s="92" t="s">
        <v>142</v>
      </c>
      <c r="E50" s="97" t="s">
        <v>244</v>
      </c>
      <c r="F50" s="92" t="s">
        <v>97</v>
      </c>
      <c r="G50" s="95" t="str">
        <f>IF(Table1[[#This Row],[h_No. Invoice :]]="","",CONCATENATE("AM"," ",Table1[[#This Row],[h_No. Invoice :]]))</f>
        <v>AM 23020010</v>
      </c>
      <c r="H50" s="96" t="str">
        <f>CONCATENATE(UPPER(Table1[[#This Row],[h_Kode Sales :_1]])," ",Table1[[#This Row],[h_Kode Sales :_2]])</f>
        <v>KO 0844</v>
      </c>
      <c r="I50" s="95" t="str">
        <f>IF(Table1[[#This Row],[h_toko]]="","",INDEX(Table2[e],IF(Table1[[#This Row],[h_toko]]="","",MATCH(Table1[[#This Row],[h_toko]],Table2[a],0)),))</f>
        <v>SANTOSO BUDIONO (  ARMADA  ) PURWOKERTO</v>
      </c>
      <c r="J50" s="92">
        <v>144</v>
      </c>
      <c r="K50" s="92" t="s">
        <v>92</v>
      </c>
      <c r="L50" s="92">
        <v>1</v>
      </c>
      <c r="M50" s="92" t="s">
        <v>188</v>
      </c>
      <c r="N50" s="196" t="str">
        <f>IF(Table1[[#This Row],[h_Item Description]]="","",INDEX([1]!db[NB PAJAK],MATCH(Table1[[#This Row],[h_Item Description]],[1]!db[kode],0)))</f>
        <v>GEL PEN KENKO HI-TECH-H 0.28 MM HITAM</v>
      </c>
      <c r="O50" s="92" t="s">
        <v>191</v>
      </c>
      <c r="P50" s="93">
        <v>39000</v>
      </c>
      <c r="Q50" s="94">
        <v>0.13500000000000001</v>
      </c>
      <c r="S50" s="199">
        <f>Table1[[#This Row],[h_hargasetelahdiskon]]</f>
        <v>4857840</v>
      </c>
      <c r="T50" s="93" t="s">
        <v>93</v>
      </c>
      <c r="V50" s="95">
        <f ca="1">IF(Table1[[#This Row],[Item Description]]="","",IF(Table1[[#This Row],[//]]="",INDIRECT(ADDRESS(ROW()-1,COLUMN())),Table1[[#This Row],[//]]))</f>
        <v>50</v>
      </c>
      <c r="W50" s="95">
        <f ca="1">IF(Table1[[#This Row],[h_id]]="","",COUNTIF(Table1[h_id],Table1[[#This Row],[h_id]]))</f>
        <v>1</v>
      </c>
      <c r="X50" s="93">
        <f>IF(Table1[Item Description]="","",Table1[[#This Row],[Qty]]*Table1[[#This Row],[Unit Price]])</f>
        <v>5616000</v>
      </c>
      <c r="Y50" s="93">
        <f>IF(Table1[Item Description]="","",Table1[[#This Row],[h_hargasebelumdiskon]]*Table1[[#This Row],[Disc 1]])</f>
        <v>758160</v>
      </c>
      <c r="Z50" s="93">
        <f>IF(Table1[Item Description]="","",Table1[[#This Row],[h_hargasebelumdiskon]]-Table1[[#This Row],[h_diskon]])</f>
        <v>4857840</v>
      </c>
      <c r="AA50" s="93">
        <f ca="1">IF(Table1[//]="","",SUMIF(Table1[h_id],Table1[h_id],Table1[h_hargasetelahdiskon]))</f>
        <v>4857840</v>
      </c>
      <c r="AB50" s="93"/>
      <c r="AC50" s="93" t="str">
        <f>Table1[[#This Row],[Item Description]]&amp;Table1[[#This Row],[Unit]]&amp;Table1[[#This Row],[Unit Price]]</f>
        <v>GEL PEN KENKO HI-TECH-H 0.28 MM HITAMLSN39000</v>
      </c>
    </row>
    <row r="51" spans="1:29" x14ac:dyDescent="0.25">
      <c r="A51" s="95" t="str">
        <f>IF(Table1[No. Invoice :]="","",ROW())</f>
        <v/>
      </c>
      <c r="B51" s="196" t="str">
        <f>IF(Table1[h_Kode Sales :_1]="","",B$1+COUNT(B$2:B50))</f>
        <v/>
      </c>
      <c r="D51" s="197"/>
      <c r="E51" s="198"/>
      <c r="F51" s="197"/>
      <c r="G51" s="95" t="str">
        <f>IF(Table1[[#This Row],[h_No. Invoice :]]="","",CONCATENATE("AM"," ",Table1[[#This Row],[h_No. Invoice :]]))</f>
        <v/>
      </c>
      <c r="H51" s="96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M51" s="197"/>
      <c r="N51" s="196" t="str">
        <f>IF(Table1[[#This Row],[h_Item Description]]="","",INDEX([1]!db[NB PAJAK],MATCH(Table1[[#This Row],[h_Item Description]],[1]!db[kode],0)))</f>
        <v/>
      </c>
      <c r="P51" s="93"/>
      <c r="Q51" s="94"/>
      <c r="S51" s="199" t="str">
        <f>Table1[[#This Row],[h_hargasetelahdiskon]]</f>
        <v/>
      </c>
      <c r="V51" s="95" t="str">
        <f ca="1">IF(Table1[[#This Row],[Item Description]]="","",IF(Table1[[#This Row],[//]]="",INDIRECT(ADDRESS(ROW()-1,COLUMN())),Table1[[#This Row],[//]]))</f>
        <v/>
      </c>
      <c r="W51" s="95" t="str">
        <f ca="1">IF(Table1[[#This Row],[h_id]]="","",COUNTIF(Table1[h_id],Table1[[#This Row],[h_id]]))</f>
        <v/>
      </c>
      <c r="X51" s="93" t="str">
        <f>IF(Table1[Item Description]="","",Table1[[#This Row],[Qty]]*Table1[[#This Row],[Unit Price]])</f>
        <v/>
      </c>
      <c r="Y51" s="93" t="str">
        <f>IF(Table1[Item Description]="","",Table1[[#This Row],[h_hargasebelumdiskon]]*Table1[[#This Row],[Disc 1]])</f>
        <v/>
      </c>
      <c r="Z51" s="93" t="str">
        <f>IF(Table1[Item Description]="","",Table1[[#This Row],[h_hargasebelumdiskon]]-Table1[[#This Row],[h_diskon]])</f>
        <v/>
      </c>
      <c r="AA51" s="93" t="str">
        <f>IF(Table1[//]="","",SUMIF(Table1[h_id],Table1[h_id],Table1[h_hargasetelahdiskon]))</f>
        <v/>
      </c>
      <c r="AB51" s="93"/>
      <c r="AC51" s="93" t="str">
        <f>Table1[[#This Row],[Item Description]]&amp;Table1[[#This Row],[Unit]]&amp;Table1[[#This Row],[Unit Price]]</f>
        <v/>
      </c>
    </row>
    <row r="52" spans="1:29" x14ac:dyDescent="0.25">
      <c r="A52" s="95">
        <f>IF(Table1[No. Invoice :]="","",ROW())</f>
        <v>52</v>
      </c>
      <c r="B52" s="196">
        <f>IF(Table1[h_Kode Sales :_1]="","",B$1+COUNT(B$2:B51))</f>
        <v>23020011</v>
      </c>
      <c r="C52" s="98">
        <v>44963</v>
      </c>
      <c r="D52" s="92" t="s">
        <v>142</v>
      </c>
      <c r="E52" s="97" t="s">
        <v>245</v>
      </c>
      <c r="F52" s="92" t="s">
        <v>94</v>
      </c>
      <c r="G52" s="95" t="str">
        <f>IF(Table1[[#This Row],[h_No. Invoice :]]="","",CONCATENATE("AM"," ",Table1[[#This Row],[h_No. Invoice :]]))</f>
        <v>AM 23020011</v>
      </c>
      <c r="H52" s="96" t="str">
        <f>CONCATENATE(UPPER(Table1[[#This Row],[h_Kode Sales :_1]])," ",Table1[[#This Row],[h_Kode Sales :_2]])</f>
        <v>KO 0847</v>
      </c>
      <c r="I52" s="95" t="str">
        <f>IF(Table1[[#This Row],[h_toko]]="","",INDEX(Table2[e],IF(Table1[[#This Row],[h_toko]]="","",MATCH(Table1[[#This Row],[h_toko]],Table2[a],0)),))</f>
        <v>CV PELITA JAYA (ANUGERAH SEJAHTERA) PURWOKERTO</v>
      </c>
      <c r="J52" s="92">
        <v>720</v>
      </c>
      <c r="K52" s="92" t="s">
        <v>92</v>
      </c>
      <c r="L52" s="92">
        <v>5</v>
      </c>
      <c r="M52" s="92" t="s">
        <v>188</v>
      </c>
      <c r="N52" s="196" t="str">
        <f>IF(Table1[[#This Row],[h_Item Description]]="","",INDEX([1]!db[NB PAJAK],MATCH(Table1[[#This Row],[h_Item Description]],[1]!db[kode],0)))</f>
        <v>GEL PEN KENKO HI-TECH-H 0.28 MM HITAM</v>
      </c>
      <c r="O52" s="92" t="s">
        <v>191</v>
      </c>
      <c r="P52" s="93">
        <v>39000</v>
      </c>
      <c r="Q52" s="94">
        <v>0.13500000000000001</v>
      </c>
      <c r="S52" s="199">
        <f>Table1[[#This Row],[h_hargasetelahdiskon]]</f>
        <v>24289200</v>
      </c>
      <c r="T52" s="93" t="s">
        <v>93</v>
      </c>
      <c r="V52" s="95">
        <f ca="1">IF(Table1[[#This Row],[Item Description]]="","",IF(Table1[[#This Row],[//]]="",INDIRECT(ADDRESS(ROW()-1,COLUMN())),Table1[[#This Row],[//]]))</f>
        <v>52</v>
      </c>
      <c r="W52" s="95">
        <f ca="1">IF(Table1[[#This Row],[h_id]]="","",COUNTIF(Table1[h_id],Table1[[#This Row],[h_id]]))</f>
        <v>1</v>
      </c>
      <c r="X52" s="93">
        <f>IF(Table1[Item Description]="","",Table1[[#This Row],[Qty]]*Table1[[#This Row],[Unit Price]])</f>
        <v>28080000</v>
      </c>
      <c r="Y52" s="93">
        <f>IF(Table1[Item Description]="","",Table1[[#This Row],[h_hargasebelumdiskon]]*Table1[[#This Row],[Disc 1]])</f>
        <v>3790800.0000000005</v>
      </c>
      <c r="Z52" s="93">
        <f>IF(Table1[Item Description]="","",Table1[[#This Row],[h_hargasebelumdiskon]]-Table1[[#This Row],[h_diskon]])</f>
        <v>24289200</v>
      </c>
      <c r="AA52" s="93">
        <f ca="1">IF(Table1[//]="","",SUMIF(Table1[h_id],Table1[h_id],Table1[h_hargasetelahdiskon]))</f>
        <v>24289200</v>
      </c>
      <c r="AB52" s="93"/>
      <c r="AC52" s="93" t="str">
        <f>Table1[[#This Row],[Item Description]]&amp;Table1[[#This Row],[Unit]]&amp;Table1[[#This Row],[Unit Price]]</f>
        <v>GEL PEN KENKO HI-TECH-H 0.28 MM HITAMLSN39000</v>
      </c>
    </row>
    <row r="53" spans="1:29" x14ac:dyDescent="0.25">
      <c r="A53" s="95" t="str">
        <f>IF(Table1[No. Invoice :]="","",ROW())</f>
        <v/>
      </c>
      <c r="B53" s="196" t="str">
        <f>IF(Table1[h_Kode Sales :_1]="","",B$1+COUNT(B$2:B52))</f>
        <v/>
      </c>
      <c r="D53" s="197"/>
      <c r="E53" s="198"/>
      <c r="F53" s="197"/>
      <c r="G53" s="95" t="str">
        <f>IF(Table1[[#This Row],[h_No. Invoice :]]="","",CONCATENATE("AM"," ",Table1[[#This Row],[h_No. Invoice :]]))</f>
        <v/>
      </c>
      <c r="H53" s="96" t="str">
        <f>CONCATENATE(UPPER(Table1[[#This Row],[h_Kode Sales :_1]])," ",Table1[[#This Row],[h_Kode Sales :_2]])</f>
        <v xml:space="preserve"> </v>
      </c>
      <c r="I53" s="95" t="str">
        <f>IF(Table1[[#This Row],[h_toko]]="","",INDEX(Table2[e],IF(Table1[[#This Row],[h_toko]]="","",MATCH(Table1[[#This Row],[h_toko]],Table2[a],0)),))</f>
        <v/>
      </c>
      <c r="M53" s="197"/>
      <c r="N53" s="196" t="str">
        <f>IF(Table1[[#This Row],[h_Item Description]]="","",INDEX([1]!db[NB PAJAK],MATCH(Table1[[#This Row],[h_Item Description]],[1]!db[kode],0)))</f>
        <v/>
      </c>
      <c r="P53" s="93"/>
      <c r="Q53" s="94"/>
      <c r="S53" s="199" t="str">
        <f>Table1[[#This Row],[h_hargasetelahdiskon]]</f>
        <v/>
      </c>
      <c r="V53" s="95" t="str">
        <f ca="1">IF(Table1[[#This Row],[Item Description]]="","",IF(Table1[[#This Row],[//]]="",INDIRECT(ADDRESS(ROW()-1,COLUMN())),Table1[[#This Row],[//]]))</f>
        <v/>
      </c>
      <c r="W53" s="95" t="str">
        <f ca="1">IF(Table1[[#This Row],[h_id]]="","",COUNTIF(Table1[h_id],Table1[[#This Row],[h_id]]))</f>
        <v/>
      </c>
      <c r="X53" s="93" t="str">
        <f>IF(Table1[Item Description]="","",Table1[[#This Row],[Qty]]*Table1[[#This Row],[Unit Price]])</f>
        <v/>
      </c>
      <c r="Y53" s="93" t="str">
        <f>IF(Table1[Item Description]="","",Table1[[#This Row],[h_hargasebelumdiskon]]*Table1[[#This Row],[Disc 1]])</f>
        <v/>
      </c>
      <c r="Z53" s="93" t="str">
        <f>IF(Table1[Item Description]="","",Table1[[#This Row],[h_hargasebelumdiskon]]-Table1[[#This Row],[h_diskon]])</f>
        <v/>
      </c>
      <c r="AA53" s="93" t="str">
        <f>IF(Table1[//]="","",SUMIF(Table1[h_id],Table1[h_id],Table1[h_hargasetelahdiskon]))</f>
        <v/>
      </c>
      <c r="AB53" s="93"/>
      <c r="AC53" s="93" t="str">
        <f>Table1[[#This Row],[Item Description]]&amp;Table1[[#This Row],[Unit]]&amp;Table1[[#This Row],[Unit Price]]</f>
        <v/>
      </c>
    </row>
    <row r="54" spans="1:29" x14ac:dyDescent="0.25">
      <c r="A54" s="95">
        <f>IF(Table1[No. Invoice :]="","",ROW())</f>
        <v>54</v>
      </c>
      <c r="B54" s="196">
        <f>IF(Table1[h_Kode Sales :_1]="","",B$1+COUNT(B$2:B53))</f>
        <v>23020012</v>
      </c>
      <c r="C54" s="98">
        <v>44964</v>
      </c>
      <c r="D54" s="92" t="s">
        <v>142</v>
      </c>
      <c r="E54" s="97" t="s">
        <v>246</v>
      </c>
      <c r="F54" s="92" t="s">
        <v>104</v>
      </c>
      <c r="G54" s="95" t="str">
        <f>IF(Table1[[#This Row],[h_No. Invoice :]]="","",CONCATENATE("AM"," ",Table1[[#This Row],[h_No. Invoice :]]))</f>
        <v>AM 23020012</v>
      </c>
      <c r="H54" s="96" t="str">
        <f>CONCATENATE(UPPER(Table1[[#This Row],[h_Kode Sales :_1]])," ",Table1[[#This Row],[h_Kode Sales :_2]])</f>
        <v>KO 0707</v>
      </c>
      <c r="I54" s="95" t="str">
        <f>IF(Table1[[#This Row],[h_toko]]="","",INDEX(Table2[e],IF(Table1[[#This Row],[h_toko]]="","",MATCH(Table1[[#This Row],[h_toko]],Table2[a],0)),))</f>
        <v>SOEYANTO LOPULUSI ( LANCAR ) MALANG</v>
      </c>
      <c r="J54" s="92">
        <v>144</v>
      </c>
      <c r="K54" s="92" t="s">
        <v>150</v>
      </c>
      <c r="L54" s="92">
        <v>1</v>
      </c>
      <c r="M54" s="92" t="s">
        <v>247</v>
      </c>
      <c r="N54" s="196" t="e">
        <f>IF(Table1[[#This Row],[h_Item Description]]="","",INDEX([1]!db[NB PAJAK],MATCH(Table1[[#This Row],[h_Item Description]],[1]!db[kode],0)))</f>
        <v>#N/A</v>
      </c>
      <c r="O54" s="92" t="s">
        <v>248</v>
      </c>
      <c r="P54" s="93">
        <v>10600</v>
      </c>
      <c r="Q54" s="94">
        <v>0.125</v>
      </c>
      <c r="S54" s="199">
        <f>Table1[[#This Row],[h_hargasetelahdiskon]]</f>
        <v>1335600</v>
      </c>
      <c r="T54" s="93" t="s">
        <v>93</v>
      </c>
      <c r="V54" s="95">
        <f ca="1">IF(Table1[[#This Row],[Item Description]]="","",IF(Table1[[#This Row],[//]]="",INDIRECT(ADDRESS(ROW()-1,COLUMN())),Table1[[#This Row],[//]]))</f>
        <v>54</v>
      </c>
      <c r="W54" s="95">
        <f ca="1">IF(Table1[[#This Row],[h_id]]="","",COUNTIF(Table1[h_id],Table1[[#This Row],[h_id]]))</f>
        <v>1</v>
      </c>
      <c r="X54" s="93">
        <f>IF(Table1[Item Description]="","",Table1[[#This Row],[Qty]]*Table1[[#This Row],[Unit Price]])</f>
        <v>1526400</v>
      </c>
      <c r="Y54" s="93">
        <f>IF(Table1[Item Description]="","",Table1[[#This Row],[h_hargasebelumdiskon]]*Table1[[#This Row],[Disc 1]])</f>
        <v>190800</v>
      </c>
      <c r="Z54" s="93">
        <f>IF(Table1[Item Description]="","",Table1[[#This Row],[h_hargasebelumdiskon]]-Table1[[#This Row],[h_diskon]])</f>
        <v>1335600</v>
      </c>
      <c r="AA54" s="93">
        <f ca="1">IF(Table1[//]="","",SUMIF(Table1[h_id],Table1[h_id],Table1[h_hargasetelahdiskon]))</f>
        <v>1335600</v>
      </c>
      <c r="AB54" s="93"/>
      <c r="AC54" s="93" t="str">
        <f>Table1[[#This Row],[Item Description]]&amp;Table1[[#This Row],[Unit]]&amp;Table1[[#This Row],[Unit Price]]</f>
        <v>PENSIL WARNA JOYKO CP-12PB (PANJANG)PCS10600</v>
      </c>
    </row>
    <row r="55" spans="1:29" x14ac:dyDescent="0.25">
      <c r="A55" s="95" t="str">
        <f>IF(Table1[No. Invoice :]="","",ROW())</f>
        <v/>
      </c>
      <c r="B55" s="196" t="str">
        <f>IF(Table1[h_Kode Sales :_1]="","",B$1+COUNT(B$2:B54))</f>
        <v/>
      </c>
      <c r="D55" s="197"/>
      <c r="E55" s="198"/>
      <c r="F55" s="197"/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M55" s="197"/>
      <c r="N55" s="196" t="str">
        <f>IF(Table1[[#This Row],[h_Item Description]]="","",INDEX([1]!db[NB PAJAK],MATCH(Table1[[#This Row],[h_Item Description]],[1]!db[kode],0)))</f>
        <v/>
      </c>
      <c r="P55" s="93"/>
      <c r="Q55" s="94"/>
      <c r="S55" s="199" t="str">
        <f>Table1[[#This Row],[h_hargasetelahdiskon]]</f>
        <v/>
      </c>
      <c r="V55" s="95" t="str">
        <f ca="1">IF(Table1[[#This Row],[Item Description]]="","",IF(Table1[[#This Row],[//]]="",INDIRECT(ADDRESS(ROW()-1,COLUMN())),Table1[[#This Row],[//]]))</f>
        <v/>
      </c>
      <c r="W55" s="95" t="str">
        <f ca="1">IF(Table1[[#This Row],[h_id]]="","",COUNTIF(Table1[h_id],Table1[[#This Row],[h_id]]))</f>
        <v/>
      </c>
      <c r="X55" s="93" t="str">
        <f>IF(Table1[Item Description]="","",Table1[[#This Row],[Qty]]*Table1[[#This Row],[Unit Price]])</f>
        <v/>
      </c>
      <c r="Y55" s="93" t="str">
        <f>IF(Table1[Item Description]="","",Table1[[#This Row],[h_hargasebelumdiskon]]*Table1[[#This Row],[Disc 1]])</f>
        <v/>
      </c>
      <c r="Z55" s="93" t="str">
        <f>IF(Table1[Item Description]="","",Table1[[#This Row],[h_hargasebelumdiskon]]-Table1[[#This Row],[h_diskon]])</f>
        <v/>
      </c>
      <c r="AA55" s="93" t="str">
        <f>IF(Table1[//]="","",SUMIF(Table1[h_id],Table1[h_id],Table1[h_hargasetelahdiskon]))</f>
        <v/>
      </c>
      <c r="AB55" s="93"/>
      <c r="AC55" s="93" t="str">
        <f>Table1[[#This Row],[Item Description]]&amp;Table1[[#This Row],[Unit]]&amp;Table1[[#This Row],[Unit Price]]</f>
        <v/>
      </c>
    </row>
    <row r="56" spans="1:29" x14ac:dyDescent="0.25">
      <c r="A56" s="95">
        <f>IF(Table1[No. Invoice :]="","",ROW())</f>
        <v>56</v>
      </c>
      <c r="B56" s="196">
        <f>IF(Table1[h_Kode Sales :_1]="","",B$1+COUNT(B$2:B55))</f>
        <v>23020013</v>
      </c>
      <c r="C56" s="98">
        <v>44964</v>
      </c>
      <c r="D56" s="92" t="s">
        <v>142</v>
      </c>
      <c r="E56" s="97" t="s">
        <v>250</v>
      </c>
      <c r="F56" s="92" t="s">
        <v>94</v>
      </c>
      <c r="G56" s="95" t="str">
        <f>IF(Table1[[#This Row],[h_No. Invoice :]]="","",CONCATENATE("AM"," ",Table1[[#This Row],[h_No. Invoice :]]))</f>
        <v>AM 23020013</v>
      </c>
      <c r="H56" s="96" t="str">
        <f>CONCATENATE(UPPER(Table1[[#This Row],[h_Kode Sales :_1]])," ",Table1[[#This Row],[h_Kode Sales :_2]])</f>
        <v>KO 0872</v>
      </c>
      <c r="I56" s="95" t="str">
        <f>IF(Table1[[#This Row],[h_toko]]="","",INDEX(Table2[e],IF(Table1[[#This Row],[h_toko]]="","",MATCH(Table1[[#This Row],[h_toko]],Table2[a],0)),))</f>
        <v>CV PELITA JAYA (ANUGERAH SEJAHTERA) PURWOKERTO</v>
      </c>
      <c r="J56" s="92">
        <v>1000</v>
      </c>
      <c r="K56" s="92" t="s">
        <v>150</v>
      </c>
      <c r="L56" s="92">
        <v>1</v>
      </c>
      <c r="M56" s="92" t="s">
        <v>264</v>
      </c>
      <c r="N56" s="196" t="str">
        <f>IF(Table1[[#This Row],[h_Item Description]]="","",INDEX([1]!db[NB PAJAK],MATCH(Table1[[#This Row],[h_Item Description]],[1]!db[kode],0)))</f>
        <v>LABEL HARGA JOYKO LB-2RL (1 LINE PUTIH)</v>
      </c>
      <c r="O56" s="92" t="s">
        <v>159</v>
      </c>
      <c r="P56" s="93">
        <v>2050</v>
      </c>
      <c r="Q56" s="94">
        <v>0.13500000000000001</v>
      </c>
      <c r="S56" s="199">
        <f>Table1[[#This Row],[h_hargasetelahdiskon]]</f>
        <v>1773250</v>
      </c>
      <c r="T56" s="93" t="s">
        <v>93</v>
      </c>
      <c r="V56" s="95">
        <f ca="1">IF(Table1[[#This Row],[Item Description]]="","",IF(Table1[[#This Row],[//]]="",INDIRECT(ADDRESS(ROW()-1,COLUMN())),Table1[[#This Row],[//]]))</f>
        <v>56</v>
      </c>
      <c r="W56" s="95">
        <f ca="1">IF(Table1[[#This Row],[h_id]]="","",COUNTIF(Table1[h_id],Table1[[#This Row],[h_id]]))</f>
        <v>1</v>
      </c>
      <c r="X56" s="93">
        <f>IF(Table1[Item Description]="","",Table1[[#This Row],[Qty]]*Table1[[#This Row],[Unit Price]])</f>
        <v>2050000</v>
      </c>
      <c r="Y56" s="93">
        <f>IF(Table1[Item Description]="","",Table1[[#This Row],[h_hargasebelumdiskon]]*Table1[[#This Row],[Disc 1]])</f>
        <v>276750</v>
      </c>
      <c r="Z56" s="93">
        <f>IF(Table1[Item Description]="","",Table1[[#This Row],[h_hargasebelumdiskon]]-Table1[[#This Row],[h_diskon]])</f>
        <v>1773250</v>
      </c>
      <c r="AA56" s="93">
        <f ca="1">IF(Table1[//]="","",SUMIF(Table1[h_id],Table1[h_id],Table1[h_hargasetelahdiskon]))</f>
        <v>1773250</v>
      </c>
      <c r="AB56" s="93"/>
      <c r="AC56" s="93" t="str">
        <f>Table1[[#This Row],[Item Description]]&amp;Table1[[#This Row],[Unit]]&amp;Table1[[#This Row],[Unit Price]]</f>
        <v>LABEL HARGA JOYKO LB-2RL (1 LINE PUTIH)PCS2050</v>
      </c>
    </row>
    <row r="57" spans="1:29" x14ac:dyDescent="0.25">
      <c r="A57" s="95" t="str">
        <f>IF(Table1[No. Invoice :]="","",ROW())</f>
        <v/>
      </c>
      <c r="B57" s="196" t="str">
        <f>IF(Table1[h_Kode Sales :_1]="","",B$1+COUNT(B$2:B56))</f>
        <v/>
      </c>
      <c r="D57" s="197"/>
      <c r="E57" s="198"/>
      <c r="F57" s="197"/>
      <c r="G57" s="95" t="str">
        <f>IF(Table1[[#This Row],[h_No. Invoice :]]="","",CONCATENATE("AM"," ",Table1[[#This Row],[h_No. Invoice :]]))</f>
        <v/>
      </c>
      <c r="H57" s="96" t="str">
        <f>CONCATENATE(UPPER(Table1[[#This Row],[h_Kode Sales :_1]])," ",Table1[[#This Row],[h_Kode Sales :_2]])</f>
        <v xml:space="preserve"> </v>
      </c>
      <c r="I57" s="95" t="str">
        <f>IF(Table1[[#This Row],[h_toko]]="","",INDEX(Table2[e],IF(Table1[[#This Row],[h_toko]]="","",MATCH(Table1[[#This Row],[h_toko]],Table2[a],0)),))</f>
        <v/>
      </c>
      <c r="M57" s="197"/>
      <c r="N57" s="196" t="str">
        <f>IF(Table1[[#This Row],[h_Item Description]]="","",INDEX([1]!db[NB PAJAK],MATCH(Table1[[#This Row],[h_Item Description]],[1]!db[kode],0)))</f>
        <v/>
      </c>
      <c r="P57" s="93"/>
      <c r="Q57" s="94"/>
      <c r="S57" s="199" t="str">
        <f>Table1[[#This Row],[h_hargasetelahdiskon]]</f>
        <v/>
      </c>
      <c r="V57" s="95" t="str">
        <f ca="1">IF(Table1[[#This Row],[Item Description]]="","",IF(Table1[[#This Row],[//]]="",INDIRECT(ADDRESS(ROW()-1,COLUMN())),Table1[[#This Row],[//]]))</f>
        <v/>
      </c>
      <c r="W57" s="95" t="str">
        <f ca="1">IF(Table1[[#This Row],[h_id]]="","",COUNTIF(Table1[h_id],Table1[[#This Row],[h_id]]))</f>
        <v/>
      </c>
      <c r="X57" s="93" t="str">
        <f>IF(Table1[Item Description]="","",Table1[[#This Row],[Qty]]*Table1[[#This Row],[Unit Price]])</f>
        <v/>
      </c>
      <c r="Y57" s="93" t="str">
        <f>IF(Table1[Item Description]="","",Table1[[#This Row],[h_hargasebelumdiskon]]*Table1[[#This Row],[Disc 1]])</f>
        <v/>
      </c>
      <c r="Z57" s="93" t="str">
        <f>IF(Table1[Item Description]="","",Table1[[#This Row],[h_hargasebelumdiskon]]-Table1[[#This Row],[h_diskon]])</f>
        <v/>
      </c>
      <c r="AA57" s="93" t="str">
        <f>IF(Table1[//]="","",SUMIF(Table1[h_id],Table1[h_id],Table1[h_hargasetelahdiskon]))</f>
        <v/>
      </c>
      <c r="AB57" s="93"/>
      <c r="AC57" s="93" t="str">
        <f>Table1[[#This Row],[Item Description]]&amp;Table1[[#This Row],[Unit]]&amp;Table1[[#This Row],[Unit Price]]</f>
        <v/>
      </c>
    </row>
    <row r="58" spans="1:29" x14ac:dyDescent="0.25">
      <c r="A58" s="95">
        <f>IF(Table1[No. Invoice :]="","",ROW())</f>
        <v>58</v>
      </c>
      <c r="B58" s="196">
        <f>IF(Table1[h_Kode Sales :_1]="","",B$1+COUNT(B$2:B57))</f>
        <v>23020014</v>
      </c>
      <c r="C58" s="98">
        <v>44964</v>
      </c>
      <c r="D58" s="92" t="s">
        <v>142</v>
      </c>
      <c r="E58" s="97" t="s">
        <v>251</v>
      </c>
      <c r="F58" s="92" t="s">
        <v>42</v>
      </c>
      <c r="G58" s="95" t="str">
        <f>IF(Table1[[#This Row],[h_No. Invoice :]]="","",CONCATENATE("AM"," ",Table1[[#This Row],[h_No. Invoice :]]))</f>
        <v>AM 23020014</v>
      </c>
      <c r="H58" s="96" t="str">
        <f>CONCATENATE(UPPER(Table1[[#This Row],[h_Kode Sales :_1]])," ",Table1[[#This Row],[h_Kode Sales :_2]])</f>
        <v>KO 0873</v>
      </c>
      <c r="I58" s="95" t="str">
        <f>IF(Table1[[#This Row],[h_toko]]="","",INDEX(Table2[e],IF(Table1[[#This Row],[h_toko]]="","",MATCH(Table1[[#This Row],[h_toko]],Table2[a],0)),))</f>
        <v>CV TRINITY CENTRAAL PURWOKERTO</v>
      </c>
      <c r="J58" s="92">
        <v>40</v>
      </c>
      <c r="K58" s="92" t="s">
        <v>92</v>
      </c>
      <c r="L58" s="92">
        <v>1</v>
      </c>
      <c r="M58" s="92" t="s">
        <v>252</v>
      </c>
      <c r="N58" s="196" t="str">
        <f>IF(Table1[[#This Row],[h_Item Description]]="","",INDEX([1]!db[NB PAJAK],MATCH(Table1[[#This Row],[h_Item Description]],[1]!db[kode],0)))</f>
        <v>LEM CAIR 35 ML KENKO LG-35</v>
      </c>
      <c r="O58" s="92" t="s">
        <v>253</v>
      </c>
      <c r="P58" s="93">
        <v>19800</v>
      </c>
      <c r="Q58" s="94">
        <v>0.13</v>
      </c>
      <c r="S58" s="199">
        <f>Table1[[#This Row],[h_hargasetelahdiskon]]</f>
        <v>689040</v>
      </c>
      <c r="T58" s="93" t="s">
        <v>93</v>
      </c>
      <c r="V58" s="95">
        <f ca="1">IF(Table1[[#This Row],[Item Description]]="","",IF(Table1[[#This Row],[//]]="",INDIRECT(ADDRESS(ROW()-1,COLUMN())),Table1[[#This Row],[//]]))</f>
        <v>58</v>
      </c>
      <c r="W58" s="95">
        <f ca="1">IF(Table1[[#This Row],[h_id]]="","",COUNTIF(Table1[h_id],Table1[[#This Row],[h_id]]))</f>
        <v>1</v>
      </c>
      <c r="X58" s="93">
        <f>IF(Table1[Item Description]="","",Table1[[#This Row],[Qty]]*Table1[[#This Row],[Unit Price]])</f>
        <v>792000</v>
      </c>
      <c r="Y58" s="93">
        <f>IF(Table1[Item Description]="","",Table1[[#This Row],[h_hargasebelumdiskon]]*Table1[[#This Row],[Disc 1]])</f>
        <v>102960</v>
      </c>
      <c r="Z58" s="93">
        <f>IF(Table1[Item Description]="","",Table1[[#This Row],[h_hargasebelumdiskon]]-Table1[[#This Row],[h_diskon]])</f>
        <v>689040</v>
      </c>
      <c r="AA58" s="93">
        <f ca="1">IF(Table1[//]="","",SUMIF(Table1[h_id],Table1[h_id],Table1[h_hargasetelahdiskon]))</f>
        <v>689040</v>
      </c>
      <c r="AB58" s="93"/>
      <c r="AC58" s="93" t="str">
        <f>Table1[[#This Row],[Item Description]]&amp;Table1[[#This Row],[Unit]]&amp;Table1[[#This Row],[Unit Price]]</f>
        <v>LEM CAIR 35 ML KENKO LG-35LSN19800</v>
      </c>
    </row>
    <row r="59" spans="1:29" x14ac:dyDescent="0.25">
      <c r="A59" s="95" t="str">
        <f>IF(Table1[No. Invoice :]="","",ROW())</f>
        <v/>
      </c>
      <c r="B59" s="196" t="str">
        <f>IF(Table1[h_Kode Sales :_1]="","",B$1+COUNT(B$2:B58))</f>
        <v/>
      </c>
      <c r="D59" s="197"/>
      <c r="E59" s="198"/>
      <c r="F59" s="197"/>
      <c r="G59" s="95" t="str">
        <f>IF(Table1[[#This Row],[h_No. Invoice :]]="","",CONCATENATE("AM"," ",Table1[[#This Row],[h_No. Invoice :]]))</f>
        <v/>
      </c>
      <c r="H59" s="96" t="str">
        <f>CONCATENATE(UPPER(Table1[[#This Row],[h_Kode Sales :_1]])," ",Table1[[#This Row],[h_Kode Sales :_2]])</f>
        <v xml:space="preserve"> </v>
      </c>
      <c r="I59" s="95" t="str">
        <f>IF(Table1[[#This Row],[h_toko]]="","",INDEX(Table2[e],IF(Table1[[#This Row],[h_toko]]="","",MATCH(Table1[[#This Row],[h_toko]],Table2[a],0)),))</f>
        <v/>
      </c>
      <c r="M59" s="197"/>
      <c r="N59" s="196" t="str">
        <f>IF(Table1[[#This Row],[h_Item Description]]="","",INDEX([1]!db[NB PAJAK],MATCH(Table1[[#This Row],[h_Item Description]],[1]!db[kode],0)))</f>
        <v/>
      </c>
      <c r="P59" s="93"/>
      <c r="Q59" s="94"/>
      <c r="S59" s="199" t="str">
        <f>Table1[[#This Row],[h_hargasetelahdiskon]]</f>
        <v/>
      </c>
      <c r="V59" s="95" t="str">
        <f ca="1">IF(Table1[[#This Row],[Item Description]]="","",IF(Table1[[#This Row],[//]]="",INDIRECT(ADDRESS(ROW()-1,COLUMN())),Table1[[#This Row],[//]]))</f>
        <v/>
      </c>
      <c r="W59" s="95" t="str">
        <f ca="1">IF(Table1[[#This Row],[h_id]]="","",COUNTIF(Table1[h_id],Table1[[#This Row],[h_id]]))</f>
        <v/>
      </c>
      <c r="X59" s="93" t="str">
        <f>IF(Table1[Item Description]="","",Table1[[#This Row],[Qty]]*Table1[[#This Row],[Unit Price]])</f>
        <v/>
      </c>
      <c r="Y59" s="93" t="str">
        <f>IF(Table1[Item Description]="","",Table1[[#This Row],[h_hargasebelumdiskon]]*Table1[[#This Row],[Disc 1]])</f>
        <v/>
      </c>
      <c r="Z59" s="93" t="str">
        <f>IF(Table1[Item Description]="","",Table1[[#This Row],[h_hargasebelumdiskon]]-Table1[[#This Row],[h_diskon]])</f>
        <v/>
      </c>
      <c r="AA59" s="93" t="str">
        <f>IF(Table1[//]="","",SUMIF(Table1[h_id],Table1[h_id],Table1[h_hargasetelahdiskon]))</f>
        <v/>
      </c>
      <c r="AB59" s="93"/>
      <c r="AC59" s="93" t="str">
        <f>Table1[[#This Row],[Item Description]]&amp;Table1[[#This Row],[Unit]]&amp;Table1[[#This Row],[Unit Price]]</f>
        <v/>
      </c>
    </row>
    <row r="60" spans="1:29" x14ac:dyDescent="0.25">
      <c r="A60" s="95">
        <f>IF(Table1[No. Invoice :]="","",ROW())</f>
        <v>60</v>
      </c>
      <c r="B60" s="196">
        <f>IF(Table1[h_Kode Sales :_1]="","",B$1+COUNT(B$2:B59))</f>
        <v>23020015</v>
      </c>
      <c r="C60" s="98">
        <v>44965</v>
      </c>
      <c r="D60" s="92" t="s">
        <v>184</v>
      </c>
      <c r="E60" s="97" t="s">
        <v>255</v>
      </c>
      <c r="F60" s="92" t="s">
        <v>103</v>
      </c>
      <c r="G60" s="95" t="str">
        <f>IF(Table1[[#This Row],[h_No. Invoice :]]="","",CONCATENATE("AM"," ",Table1[[#This Row],[h_No. Invoice :]]))</f>
        <v>AM 23020015</v>
      </c>
      <c r="H60" s="96" t="str">
        <f>CONCATENATE(UPPER(Table1[[#This Row],[h_Kode Sales :_1]])," ",Table1[[#This Row],[h_Kode Sales :_2]])</f>
        <v>G 0877</v>
      </c>
      <c r="I60" s="95" t="str">
        <f>IF(Table1[[#This Row],[h_toko]]="","",INDEX(Table2[e],IF(Table1[[#This Row],[h_toko]]="","",MATCH(Table1[[#This Row],[h_toko]],Table2[a],0)),))</f>
        <v>LILY JULIAWATI (REJO AGUNG) JOMBANG</v>
      </c>
      <c r="J60" s="92">
        <v>24</v>
      </c>
      <c r="K60" s="92" t="s">
        <v>92</v>
      </c>
      <c r="L60" s="92">
        <v>1</v>
      </c>
      <c r="M60" s="92" t="s">
        <v>158</v>
      </c>
      <c r="N60" s="196" t="str">
        <f>IF(Table1[[#This Row],[h_Item Description]]="","",INDEX([1]!db[NB PAJAK],MATCH(Table1[[#This Row],[h_Item Description]],[1]!db[kode],0)))</f>
        <v>JANGKA (MATH SET) JOYKO MS-55</v>
      </c>
      <c r="O60" s="92" t="s">
        <v>164</v>
      </c>
      <c r="P60" s="93">
        <v>88200</v>
      </c>
      <c r="Q60" s="94">
        <v>0.125</v>
      </c>
      <c r="S60" s="199">
        <f>Table1[[#This Row],[h_hargasetelahdiskon]]</f>
        <v>1852200</v>
      </c>
      <c r="T60" s="93" t="s">
        <v>93</v>
      </c>
      <c r="V60" s="95">
        <f ca="1">IF(Table1[[#This Row],[Item Description]]="","",IF(Table1[[#This Row],[//]]="",INDIRECT(ADDRESS(ROW()-1,COLUMN())),Table1[[#This Row],[//]]))</f>
        <v>60</v>
      </c>
      <c r="W60" s="95">
        <f ca="1">IF(Table1[[#This Row],[h_id]]="","",COUNTIF(Table1[h_id],Table1[[#This Row],[h_id]]))</f>
        <v>10</v>
      </c>
      <c r="X60" s="93">
        <f>IF(Table1[Item Description]="","",Table1[[#This Row],[Qty]]*Table1[[#This Row],[Unit Price]])</f>
        <v>2116800</v>
      </c>
      <c r="Y60" s="93">
        <f>IF(Table1[Item Description]="","",Table1[[#This Row],[h_hargasebelumdiskon]]*Table1[[#This Row],[Disc 1]])</f>
        <v>264600</v>
      </c>
      <c r="Z60" s="93">
        <f>IF(Table1[Item Description]="","",Table1[[#This Row],[h_hargasebelumdiskon]]-Table1[[#This Row],[h_diskon]])</f>
        <v>1852200</v>
      </c>
      <c r="AA60" s="93">
        <f ca="1">IF(Table1[//]="","",SUMIF(Table1[h_id],Table1[h_id],Table1[h_hargasetelahdiskon]))</f>
        <v>48816950</v>
      </c>
      <c r="AB60" s="93"/>
      <c r="AC60" s="93" t="str">
        <f>Table1[[#This Row],[Item Description]]&amp;Table1[[#This Row],[Unit]]&amp;Table1[[#This Row],[Unit Price]]</f>
        <v>JANGKA (MATH SET) JOYKO MS-55LSN88200</v>
      </c>
    </row>
    <row r="61" spans="1:29" x14ac:dyDescent="0.25">
      <c r="A61" s="95" t="str">
        <f>IF(Table1[No. Invoice :]="","",ROW())</f>
        <v/>
      </c>
      <c r="B61" s="196" t="str">
        <f>IF(Table1[h_Kode Sales :_1]="","",B$1+COUNT(B$2:B60))</f>
        <v/>
      </c>
      <c r="D61" s="197"/>
      <c r="E61" s="198"/>
      <c r="F61" s="197"/>
      <c r="G61" s="95" t="str">
        <f>IF(Table1[[#This Row],[h_No. Invoice :]]="","",CONCATENATE("AM"," ",Table1[[#This Row],[h_No. Invoice :]]))</f>
        <v/>
      </c>
      <c r="H61" s="96" t="str">
        <f>CONCATENATE(UPPER(Table1[[#This Row],[h_Kode Sales :_1]])," ",Table1[[#This Row],[h_Kode Sales :_2]])</f>
        <v xml:space="preserve"> </v>
      </c>
      <c r="I61" s="95" t="str">
        <f>IF(Table1[[#This Row],[h_toko]]="","",INDEX(Table2[e],IF(Table1[[#This Row],[h_toko]]="","",MATCH(Table1[[#This Row],[h_toko]],Table2[a],0)),))</f>
        <v/>
      </c>
      <c r="J61" s="92">
        <v>720</v>
      </c>
      <c r="K61" s="92" t="s">
        <v>150</v>
      </c>
      <c r="L61" s="92">
        <v>1</v>
      </c>
      <c r="M61" s="92" t="s">
        <v>262</v>
      </c>
      <c r="N61" s="196" t="str">
        <f>IF(Table1[[#This Row],[h_Item Description]]="","",INDEX([1]!db[NB PAJAK],MATCH(Table1[[#This Row],[h_Item Description]],[1]!db[kode],0)))</f>
        <v>HIGHLIGHTER / STABILLO JOYKO HL-MIX (5 WARNA)</v>
      </c>
      <c r="O61" s="92" t="s">
        <v>265</v>
      </c>
      <c r="P61" s="93">
        <v>3700</v>
      </c>
      <c r="Q61" s="94">
        <v>0.125</v>
      </c>
      <c r="S61" s="199">
        <f>Table1[[#This Row],[h_hargasetelahdiskon]]</f>
        <v>2331000</v>
      </c>
      <c r="V61" s="95">
        <f ca="1">IF(Table1[[#This Row],[Item Description]]="","",IF(Table1[[#This Row],[//]]="",INDIRECT(ADDRESS(ROW()-1,COLUMN())),Table1[[#This Row],[//]]))</f>
        <v>60</v>
      </c>
      <c r="W61" s="95">
        <f ca="1">IF(Table1[[#This Row],[h_id]]="","",COUNTIF(Table1[h_id],Table1[[#This Row],[h_id]]))</f>
        <v>10</v>
      </c>
      <c r="X61" s="93">
        <f>IF(Table1[Item Description]="","",Table1[[#This Row],[Qty]]*Table1[[#This Row],[Unit Price]])</f>
        <v>2664000</v>
      </c>
      <c r="Y61" s="93">
        <f>IF(Table1[Item Description]="","",Table1[[#This Row],[h_hargasebelumdiskon]]*Table1[[#This Row],[Disc 1]])</f>
        <v>333000</v>
      </c>
      <c r="Z61" s="93">
        <f>IF(Table1[Item Description]="","",Table1[[#This Row],[h_hargasebelumdiskon]]-Table1[[#This Row],[h_diskon]])</f>
        <v>2331000</v>
      </c>
      <c r="AA61" s="93" t="str">
        <f>IF(Table1[//]="","",SUMIF(Table1[h_id],Table1[h_id],Table1[h_hargasetelahdiskon]))</f>
        <v/>
      </c>
      <c r="AB61" s="93"/>
      <c r="AC61" s="93" t="str">
        <f>Table1[[#This Row],[Item Description]]&amp;Table1[[#This Row],[Unit]]&amp;Table1[[#This Row],[Unit Price]]</f>
        <v>HIGHLIGHTER / STABILLO JOYKO HL-MIX (5 WARNA)PCS3700</v>
      </c>
    </row>
    <row r="62" spans="1:29" x14ac:dyDescent="0.25">
      <c r="A62" s="95" t="str">
        <f>IF(Table1[No. Invoice :]="","",ROW())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J62" s="92">
        <v>12</v>
      </c>
      <c r="K62" s="92" t="s">
        <v>131</v>
      </c>
      <c r="L62" s="92">
        <v>1</v>
      </c>
      <c r="M62" s="197" t="s">
        <v>256</v>
      </c>
      <c r="N62" s="196" t="str">
        <f>IF(Table1[[#This Row],[h_Item Description]]="","",INDEX([1]!db[NB PAJAK],MATCH(Table1[[#This Row],[h_Item Description]],[1]!db[kode],0)))</f>
        <v>ISI PENSIL 2B 0.5 MM JOYKO PL-05</v>
      </c>
      <c r="O62" s="92" t="s">
        <v>266</v>
      </c>
      <c r="P62" s="93">
        <v>176400</v>
      </c>
      <c r="Q62" s="94">
        <v>0.125</v>
      </c>
      <c r="S62" s="199">
        <f>Table1[[#This Row],[h_hargasetelahdiskon]]</f>
        <v>1852200</v>
      </c>
      <c r="V62" s="95">
        <f ca="1">IF(Table1[[#This Row],[Item Description]]="","",IF(Table1[[#This Row],[//]]="",INDIRECT(ADDRESS(ROW()-1,COLUMN())),Table1[[#This Row],[//]]))</f>
        <v>60</v>
      </c>
      <c r="W62" s="95">
        <f ca="1">IF(Table1[[#This Row],[h_id]]="","",COUNTIF(Table1[h_id],Table1[[#This Row],[h_id]]))</f>
        <v>10</v>
      </c>
      <c r="X62" s="93">
        <f>IF(Table1[Item Description]="","",Table1[[#This Row],[Qty]]*Table1[[#This Row],[Unit Price]])</f>
        <v>2116800</v>
      </c>
      <c r="Y62" s="93">
        <f>IF(Table1[Item Description]="","",Table1[[#This Row],[h_hargasebelumdiskon]]*Table1[[#This Row],[Disc 1]])</f>
        <v>264600</v>
      </c>
      <c r="Z62" s="93">
        <f>IF(Table1[Item Description]="","",Table1[[#This Row],[h_hargasebelumdiskon]]-Table1[[#This Row],[h_diskon]])</f>
        <v>1852200</v>
      </c>
      <c r="AA62" s="93" t="str">
        <f>IF(Table1[//]="","",SUMIF(Table1[h_id],Table1[h_id],Table1[h_hargasetelahdiskon]))</f>
        <v/>
      </c>
      <c r="AB62" s="93"/>
      <c r="AC62" s="93" t="str">
        <f>Table1[[#This Row],[Item Description]]&amp;Table1[[#This Row],[Unit]]&amp;Table1[[#This Row],[Unit Price]]</f>
        <v>ISI PENSIL 2B 0.5 MM JOYKO PL-05GRS176400</v>
      </c>
    </row>
    <row r="63" spans="1:29" x14ac:dyDescent="0.25">
      <c r="A63" s="95" t="str">
        <f>IF(Table1[No. Invoice :]="","",ROW())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J63" s="92">
        <v>420</v>
      </c>
      <c r="K63" s="92" t="s">
        <v>92</v>
      </c>
      <c r="L63" s="92">
        <v>7</v>
      </c>
      <c r="M63" s="92" t="s">
        <v>257</v>
      </c>
      <c r="N63" s="196" t="str">
        <f>IF(Table1[[#This Row],[h_Item Description]]="","",INDEX([1]!db[NB PAJAK],MATCH(Table1[[#This Row],[h_Item Description]],[1]!db[kode],0)))</f>
        <v>CORRECTION TAPE JOYKO CT-522</v>
      </c>
      <c r="O63" s="92" t="s">
        <v>267</v>
      </c>
      <c r="P63" s="93">
        <v>57600</v>
      </c>
      <c r="Q63" s="94">
        <v>0.125</v>
      </c>
      <c r="S63" s="199">
        <f>Table1[[#This Row],[h_hargasetelahdiskon]]</f>
        <v>21168000</v>
      </c>
      <c r="V63" s="95">
        <f ca="1">IF(Table1[[#This Row],[Item Description]]="","",IF(Table1[[#This Row],[//]]="",INDIRECT(ADDRESS(ROW()-1,COLUMN())),Table1[[#This Row],[//]]))</f>
        <v>60</v>
      </c>
      <c r="W63" s="95">
        <f ca="1">IF(Table1[[#This Row],[h_id]]="","",COUNTIF(Table1[h_id],Table1[[#This Row],[h_id]]))</f>
        <v>10</v>
      </c>
      <c r="X63" s="93">
        <f>IF(Table1[Item Description]="","",Table1[[#This Row],[Qty]]*Table1[[#This Row],[Unit Price]])</f>
        <v>24192000</v>
      </c>
      <c r="Y63" s="93">
        <f>IF(Table1[Item Description]="","",Table1[[#This Row],[h_hargasebelumdiskon]]*Table1[[#This Row],[Disc 1]])</f>
        <v>3024000</v>
      </c>
      <c r="Z63" s="93">
        <f>IF(Table1[Item Description]="","",Table1[[#This Row],[h_hargasebelumdiskon]]-Table1[[#This Row],[h_diskon]])</f>
        <v>21168000</v>
      </c>
      <c r="AA63" s="93" t="str">
        <f>IF(Table1[//]="","",SUMIF(Table1[h_id],Table1[h_id],Table1[h_hargasetelahdiskon]))</f>
        <v/>
      </c>
      <c r="AB63" s="93"/>
      <c r="AC63" s="93" t="str">
        <f>Table1[[#This Row],[Item Description]]&amp;Table1[[#This Row],[Unit]]&amp;Table1[[#This Row],[Unit Price]]</f>
        <v>CORRECTION TAPE JOYKO CT-522LSN57600</v>
      </c>
    </row>
    <row r="64" spans="1:29" x14ac:dyDescent="0.25">
      <c r="A64" s="95" t="str">
        <f>IF(Table1[No. Invoice :]="","",ROW())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J64" s="92">
        <v>288</v>
      </c>
      <c r="K64" s="92" t="s">
        <v>150</v>
      </c>
      <c r="L64" s="92">
        <v>4</v>
      </c>
      <c r="M64" s="92" t="s">
        <v>258</v>
      </c>
      <c r="N64" s="95" t="e">
        <f>IF(Table1[[#This Row],[h_Item Description]]="","",INDEX([1]!db[NB PAJAK],MATCH(Table1[[#This Row],[h_Item Description]],[1]!db[kode],0)))</f>
        <v>#N/A</v>
      </c>
      <c r="O64" s="92" t="s">
        <v>263</v>
      </c>
      <c r="P64" s="93">
        <v>15800</v>
      </c>
      <c r="Q64" s="94">
        <v>0.125</v>
      </c>
      <c r="S64" s="199">
        <f>Table1[[#This Row],[h_hargasetelahdiskon]]</f>
        <v>3981600</v>
      </c>
      <c r="V64" s="95">
        <f ca="1">IF(Table1[[#This Row],[Item Description]]="","",IF(Table1[[#This Row],[//]]="",INDIRECT(ADDRESS(ROW()-1,COLUMN())),Table1[[#This Row],[//]]))</f>
        <v>60</v>
      </c>
      <c r="W64" s="95">
        <f ca="1">IF(Table1[[#This Row],[h_id]]="","",COUNTIF(Table1[h_id],Table1[[#This Row],[h_id]]))</f>
        <v>10</v>
      </c>
      <c r="X64" s="93">
        <f>IF(Table1[Item Description]="","",Table1[[#This Row],[Qty]]*Table1[[#This Row],[Unit Price]])</f>
        <v>4550400</v>
      </c>
      <c r="Y64" s="93">
        <f>IF(Table1[Item Description]="","",Table1[[#This Row],[h_hargasebelumdiskon]]*Table1[[#This Row],[Disc 1]])</f>
        <v>568800</v>
      </c>
      <c r="Z64" s="93">
        <f>IF(Table1[Item Description]="","",Table1[[#This Row],[h_hargasebelumdiskon]]-Table1[[#This Row],[h_diskon]])</f>
        <v>3981600</v>
      </c>
      <c r="AA64" s="93" t="str">
        <f>IF(Table1[//]="","",SUMIF(Table1[h_id],Table1[h_id],Table1[h_hargasetelahdiskon]))</f>
        <v/>
      </c>
      <c r="AB64" s="93"/>
      <c r="AC64" s="93" t="str">
        <f>Table1[[#This Row],[Item Description]]&amp;Table1[[#This Row],[Unit]]&amp;Table1[[#This Row],[Unit Price]]</f>
        <v>BINDER NOTE JOYKO A5 (CAMPUS/CLASSIC) MIXPCS15800</v>
      </c>
    </row>
    <row r="65" spans="1:29" x14ac:dyDescent="0.25">
      <c r="A65" s="95" t="str">
        <f>IF(Table1[No. Invoice :]="","",ROW())</f>
        <v/>
      </c>
      <c r="B65" s="196" t="str">
        <f>IF(Table1[h_Kode Sales :_1]="","",B$1+COUNT(B$2:B64))</f>
        <v/>
      </c>
      <c r="D65" s="197"/>
      <c r="E65" s="198"/>
      <c r="F65" s="197"/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J65" s="92">
        <v>144</v>
      </c>
      <c r="K65" s="92" t="s">
        <v>92</v>
      </c>
      <c r="L65" s="92">
        <v>1</v>
      </c>
      <c r="M65" s="92" t="s">
        <v>188</v>
      </c>
      <c r="N65" s="196" t="str">
        <f>IF(Table1[[#This Row],[h_Item Description]]="","",INDEX([1]!db[NB PAJAK],MATCH(Table1[[#This Row],[h_Item Description]],[1]!db[kode],0)))</f>
        <v>GEL PEN KENKO HI-TECH-H 0.28 MM HITAM</v>
      </c>
      <c r="O65" s="92" t="s">
        <v>191</v>
      </c>
      <c r="P65" s="93">
        <v>39000</v>
      </c>
      <c r="Q65" s="94">
        <v>0.125</v>
      </c>
      <c r="S65" s="199">
        <f>Table1[[#This Row],[h_hargasetelahdiskon]]</f>
        <v>4914000</v>
      </c>
      <c r="V65" s="95">
        <f ca="1">IF(Table1[[#This Row],[Item Description]]="","",IF(Table1[[#This Row],[//]]="",INDIRECT(ADDRESS(ROW()-1,COLUMN())),Table1[[#This Row],[//]]))</f>
        <v>60</v>
      </c>
      <c r="W65" s="95">
        <f ca="1">IF(Table1[[#This Row],[h_id]]="","",COUNTIF(Table1[h_id],Table1[[#This Row],[h_id]]))</f>
        <v>10</v>
      </c>
      <c r="X65" s="93">
        <f>IF(Table1[Item Description]="","",Table1[[#This Row],[Qty]]*Table1[[#This Row],[Unit Price]])</f>
        <v>5616000</v>
      </c>
      <c r="Y65" s="93">
        <f>IF(Table1[Item Description]="","",Table1[[#This Row],[h_hargasebelumdiskon]]*Table1[[#This Row],[Disc 1]])</f>
        <v>702000</v>
      </c>
      <c r="Z65" s="93">
        <f>IF(Table1[Item Description]="","",Table1[[#This Row],[h_hargasebelumdiskon]]-Table1[[#This Row],[h_diskon]])</f>
        <v>4914000</v>
      </c>
      <c r="AA65" s="93" t="str">
        <f>IF(Table1[//]="","",SUMIF(Table1[h_id],Table1[h_id],Table1[h_hargasetelahdiskon]))</f>
        <v/>
      </c>
      <c r="AB65" s="93"/>
      <c r="AC65" s="93" t="str">
        <f>Table1[[#This Row],[Item Description]]&amp;Table1[[#This Row],[Unit]]&amp;Table1[[#This Row],[Unit Price]]</f>
        <v>GEL PEN KENKO HI-TECH-H 0.28 MM HITAMLSN39000</v>
      </c>
    </row>
    <row r="66" spans="1:29" x14ac:dyDescent="0.25">
      <c r="A66" s="95" t="str">
        <f>IF(Table1[No. Invoice :]="","",ROW())</f>
        <v/>
      </c>
      <c r="B66" s="196" t="str">
        <f>IF(Table1[h_Kode Sales :_1]="","",B$1+COUNT(B$2:B65))</f>
        <v/>
      </c>
      <c r="D66" s="197"/>
      <c r="E66" s="198"/>
      <c r="F66" s="197"/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J66" s="92">
        <v>100</v>
      </c>
      <c r="K66" s="92" t="s">
        <v>259</v>
      </c>
      <c r="L66" s="92">
        <v>1</v>
      </c>
      <c r="M66" s="92" t="s">
        <v>264</v>
      </c>
      <c r="N66" s="196" t="str">
        <f>IF(Table1[[#This Row],[h_Item Description]]="","",INDEX([1]!db[NB PAJAK],MATCH(Table1[[#This Row],[h_Item Description]],[1]!db[kode],0)))</f>
        <v>LABEL HARGA JOYKO LB-2RL (1 LINE PUTIH)</v>
      </c>
      <c r="O66" s="92" t="s">
        <v>159</v>
      </c>
      <c r="P66" s="93">
        <v>20500</v>
      </c>
      <c r="Q66" s="94">
        <v>0.125</v>
      </c>
      <c r="S66" s="199">
        <f>Table1[[#This Row],[h_hargasetelahdiskon]]</f>
        <v>1793750</v>
      </c>
      <c r="V66" s="95">
        <f ca="1">IF(Table1[[#This Row],[Item Description]]="","",IF(Table1[[#This Row],[//]]="",INDIRECT(ADDRESS(ROW()-1,COLUMN())),Table1[[#This Row],[//]]))</f>
        <v>60</v>
      </c>
      <c r="W66" s="95">
        <f ca="1">IF(Table1[[#This Row],[h_id]]="","",COUNTIF(Table1[h_id],Table1[[#This Row],[h_id]]))</f>
        <v>10</v>
      </c>
      <c r="X66" s="93">
        <f>IF(Table1[Item Description]="","",Table1[[#This Row],[Qty]]*Table1[[#This Row],[Unit Price]])</f>
        <v>2050000</v>
      </c>
      <c r="Y66" s="93">
        <f>IF(Table1[Item Description]="","",Table1[[#This Row],[h_hargasebelumdiskon]]*Table1[[#This Row],[Disc 1]])</f>
        <v>256250</v>
      </c>
      <c r="Z66" s="93">
        <f>IF(Table1[Item Description]="","",Table1[[#This Row],[h_hargasebelumdiskon]]-Table1[[#This Row],[h_diskon]])</f>
        <v>1793750</v>
      </c>
      <c r="AA66" s="93" t="str">
        <f>IF(Table1[//]="","",SUMIF(Table1[h_id],Table1[h_id],Table1[h_hargasetelahdiskon]))</f>
        <v/>
      </c>
      <c r="AB66" s="93"/>
      <c r="AC66" s="93" t="str">
        <f>Table1[[#This Row],[Item Description]]&amp;Table1[[#This Row],[Unit]]&amp;Table1[[#This Row],[Unit Price]]</f>
        <v>LABEL HARGA JOYKO LB-2RL (1 LINE PUTIH)SLOP20500</v>
      </c>
    </row>
    <row r="67" spans="1:29" x14ac:dyDescent="0.25">
      <c r="A67" s="95" t="str">
        <f>IF(Table1[No. Invoice :]="","",ROW())</f>
        <v/>
      </c>
      <c r="B67" s="196" t="str">
        <f>IF(Table1[h_Kode Sales :_1]="","",B$1+COUNT(B$2:B66))</f>
        <v/>
      </c>
      <c r="D67" s="197"/>
      <c r="E67" s="198"/>
      <c r="F67" s="197"/>
      <c r="G67" s="95" t="str">
        <f>IF(Table1[[#This Row],[h_No. Invoice :]]="","",CONCATENATE("AM"," ",Table1[[#This Row],[h_No. Invoice :]]))</f>
        <v/>
      </c>
      <c r="H67" s="96" t="str">
        <f>CONCATENATE(UPPER(Table1[[#This Row],[h_Kode Sales :_1]])," ",Table1[[#This Row],[h_Kode Sales :_2]])</f>
        <v xml:space="preserve"> </v>
      </c>
      <c r="I67" s="95" t="str">
        <f>IF(Table1[[#This Row],[h_toko]]="","",INDEX(Table2[e],IF(Table1[[#This Row],[h_toko]]="","",MATCH(Table1[[#This Row],[h_toko]],Table2[a],0)),))</f>
        <v/>
      </c>
      <c r="J67" s="92">
        <v>144</v>
      </c>
      <c r="K67" s="92" t="s">
        <v>92</v>
      </c>
      <c r="L67" s="92">
        <v>3</v>
      </c>
      <c r="M67" s="92" t="s">
        <v>260</v>
      </c>
      <c r="N67" s="196" t="str">
        <f>IF(Table1[[#This Row],[h_Item Description]]="","",INDEX([1]!db[NB PAJAK],MATCH(Table1[[#This Row],[h_Item Description]],[1]!db[kode],0)))</f>
        <v>CORRECTION FLUID JOYKO JK-101</v>
      </c>
      <c r="O67" s="92" t="s">
        <v>268</v>
      </c>
      <c r="P67" s="93">
        <v>36000</v>
      </c>
      <c r="Q67" s="94">
        <v>0.125</v>
      </c>
      <c r="S67" s="199">
        <f>Table1[[#This Row],[h_hargasetelahdiskon]]</f>
        <v>4536000</v>
      </c>
      <c r="V67" s="95">
        <f ca="1">IF(Table1[[#This Row],[Item Description]]="","",IF(Table1[[#This Row],[//]]="",INDIRECT(ADDRESS(ROW()-1,COLUMN())),Table1[[#This Row],[//]]))</f>
        <v>60</v>
      </c>
      <c r="W67" s="95">
        <f ca="1">IF(Table1[[#This Row],[h_id]]="","",COUNTIF(Table1[h_id],Table1[[#This Row],[h_id]]))</f>
        <v>10</v>
      </c>
      <c r="X67" s="93">
        <f>IF(Table1[Item Description]="","",Table1[[#This Row],[Qty]]*Table1[[#This Row],[Unit Price]])</f>
        <v>5184000</v>
      </c>
      <c r="Y67" s="93">
        <f>IF(Table1[Item Description]="","",Table1[[#This Row],[h_hargasebelumdiskon]]*Table1[[#This Row],[Disc 1]])</f>
        <v>648000</v>
      </c>
      <c r="Z67" s="93">
        <f>IF(Table1[Item Description]="","",Table1[[#This Row],[h_hargasebelumdiskon]]-Table1[[#This Row],[h_diskon]])</f>
        <v>4536000</v>
      </c>
      <c r="AA67" s="93" t="str">
        <f>IF(Table1[//]="","",SUMIF(Table1[h_id],Table1[h_id],Table1[h_hargasetelahdiskon]))</f>
        <v/>
      </c>
      <c r="AB67" s="93"/>
      <c r="AC67" s="93" t="str">
        <f>Table1[[#This Row],[Item Description]]&amp;Table1[[#This Row],[Unit]]&amp;Table1[[#This Row],[Unit Price]]</f>
        <v>CORRECTION FLUID JOYKO JK-101LSN36000</v>
      </c>
    </row>
    <row r="68" spans="1:29" x14ac:dyDescent="0.25">
      <c r="A68" s="95" t="str">
        <f>IF(Table1[No. Invoice :]="","",ROW())</f>
        <v/>
      </c>
      <c r="B68" s="196" t="str">
        <f>IF(Table1[h_Kode Sales :_1]="","",B$1+COUNT(B$2:B67))</f>
        <v/>
      </c>
      <c r="D68" s="197"/>
      <c r="E68" s="198"/>
      <c r="F68" s="197"/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J68" s="92">
        <v>72</v>
      </c>
      <c r="K68" s="92" t="s">
        <v>92</v>
      </c>
      <c r="L68" s="92">
        <v>1</v>
      </c>
      <c r="M68" s="92" t="s">
        <v>261</v>
      </c>
      <c r="N68" s="196" t="str">
        <f>IF(Table1[[#This Row],[h_Item Description]]="","",INDEX([1]!db[NB PAJAK],MATCH(Table1[[#This Row],[h_Item Description]],[1]!db[kode],0)))</f>
        <v>CORRECTION FLUID KENKO KE-108</v>
      </c>
      <c r="O68" s="92" t="s">
        <v>269</v>
      </c>
      <c r="P68" s="93">
        <v>47100</v>
      </c>
      <c r="Q68" s="94">
        <v>0.125</v>
      </c>
      <c r="S68" s="199">
        <f>Table1[[#This Row],[h_hargasetelahdiskon]]</f>
        <v>2967300</v>
      </c>
      <c r="V68" s="95">
        <f ca="1">IF(Table1[[#This Row],[Item Description]]="","",IF(Table1[[#This Row],[//]]="",INDIRECT(ADDRESS(ROW()-1,COLUMN())),Table1[[#This Row],[//]]))</f>
        <v>60</v>
      </c>
      <c r="W68" s="95">
        <f ca="1">IF(Table1[[#This Row],[h_id]]="","",COUNTIF(Table1[h_id],Table1[[#This Row],[h_id]]))</f>
        <v>10</v>
      </c>
      <c r="X68" s="93">
        <f>IF(Table1[Item Description]="","",Table1[[#This Row],[Qty]]*Table1[[#This Row],[Unit Price]])</f>
        <v>3391200</v>
      </c>
      <c r="Y68" s="93">
        <f>IF(Table1[Item Description]="","",Table1[[#This Row],[h_hargasebelumdiskon]]*Table1[[#This Row],[Disc 1]])</f>
        <v>423900</v>
      </c>
      <c r="Z68" s="93">
        <f>IF(Table1[Item Description]="","",Table1[[#This Row],[h_hargasebelumdiskon]]-Table1[[#This Row],[h_diskon]])</f>
        <v>2967300</v>
      </c>
      <c r="AA68" s="93" t="str">
        <f>IF(Table1[//]="","",SUMIF(Table1[h_id],Table1[h_id],Table1[h_hargasetelahdiskon]))</f>
        <v/>
      </c>
      <c r="AB68" s="93"/>
      <c r="AC68" s="93" t="str">
        <f>Table1[[#This Row],[Item Description]]&amp;Table1[[#This Row],[Unit]]&amp;Table1[[#This Row],[Unit Price]]</f>
        <v>CORRECTION FLUID KENKO KE-108LSN47100</v>
      </c>
    </row>
    <row r="69" spans="1:29" x14ac:dyDescent="0.25">
      <c r="A69" s="95" t="str">
        <f>IF(Table1[No. Invoice :]="","",ROW())</f>
        <v/>
      </c>
      <c r="B69" s="196" t="str">
        <f>IF(Table1[h_Kode Sales :_1]="","",B$1+COUNT(B$2:B68))</f>
        <v/>
      </c>
      <c r="D69" s="197"/>
      <c r="E69" s="198"/>
      <c r="F69" s="197"/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J69" s="92">
        <v>72</v>
      </c>
      <c r="K69" s="92" t="s">
        <v>92</v>
      </c>
      <c r="L69" s="92">
        <v>1</v>
      </c>
      <c r="M69" s="92" t="s">
        <v>175</v>
      </c>
      <c r="N69" s="196" t="str">
        <f>IF(Table1[[#This Row],[h_Item Description]]="","",INDEX([1]!db[NB PAJAK],MATCH(Table1[[#This Row],[h_Item Description]],[1]!db[kode],0)))</f>
        <v>CORRECTION FLUID KENKO KE-01</v>
      </c>
      <c r="O69" s="92" t="s">
        <v>135</v>
      </c>
      <c r="P69" s="93">
        <v>54300</v>
      </c>
      <c r="Q69" s="94">
        <v>0.125</v>
      </c>
      <c r="S69" s="199">
        <f>Table1[[#This Row],[h_hargasetelahdiskon]]</f>
        <v>3420900</v>
      </c>
      <c r="V69" s="95">
        <f ca="1">IF(Table1[[#This Row],[Item Description]]="","",IF(Table1[[#This Row],[//]]="",INDIRECT(ADDRESS(ROW()-1,COLUMN())),Table1[[#This Row],[//]]))</f>
        <v>60</v>
      </c>
      <c r="W69" s="95">
        <f ca="1">IF(Table1[[#This Row],[h_id]]="","",COUNTIF(Table1[h_id],Table1[[#This Row],[h_id]]))</f>
        <v>10</v>
      </c>
      <c r="X69" s="93">
        <f>IF(Table1[Item Description]="","",Table1[[#This Row],[Qty]]*Table1[[#This Row],[Unit Price]])</f>
        <v>3909600</v>
      </c>
      <c r="Y69" s="93">
        <f>IF(Table1[Item Description]="","",Table1[[#This Row],[h_hargasebelumdiskon]]*Table1[[#This Row],[Disc 1]])</f>
        <v>488700</v>
      </c>
      <c r="Z69" s="93">
        <f>IF(Table1[Item Description]="","",Table1[[#This Row],[h_hargasebelumdiskon]]-Table1[[#This Row],[h_diskon]])</f>
        <v>3420900</v>
      </c>
      <c r="AA69" s="93" t="str">
        <f>IF(Table1[//]="","",SUMIF(Table1[h_id],Table1[h_id],Table1[h_hargasetelahdiskon]))</f>
        <v/>
      </c>
      <c r="AB69" s="93"/>
      <c r="AC69" s="93" t="str">
        <f>Table1[[#This Row],[Item Description]]&amp;Table1[[#This Row],[Unit]]&amp;Table1[[#This Row],[Unit Price]]</f>
        <v>CORRECTION FLUID KENKO KE-01LSN54300</v>
      </c>
    </row>
    <row r="70" spans="1:29" x14ac:dyDescent="0.25">
      <c r="A70" s="95" t="str">
        <f>IF(Table1[No. Invoice :]="","",ROW())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M70" s="197"/>
      <c r="N70" s="196" t="str">
        <f>IF(Table1[[#This Row],[h_Item Description]]="","",INDEX([1]!db[NB PAJAK],MATCH(Table1[[#This Row],[h_Item Description]],[1]!db[kode],0)))</f>
        <v/>
      </c>
      <c r="P70" s="93"/>
      <c r="Q70" s="94"/>
      <c r="S70" s="199" t="str">
        <f>Table1[[#This Row],[h_hargasetelahdiskon]]</f>
        <v/>
      </c>
      <c r="V70" s="95" t="str">
        <f ca="1">IF(Table1[[#This Row],[Item Description]]="","",IF(Table1[[#This Row],[//]]="",INDIRECT(ADDRESS(ROW()-1,COLUMN())),Table1[[#This Row],[//]]))</f>
        <v/>
      </c>
      <c r="W70" s="95" t="str">
        <f ca="1">IF(Table1[[#This Row],[h_id]]="","",COUNTIF(Table1[h_id],Table1[[#This Row],[h_id]]))</f>
        <v/>
      </c>
      <c r="X70" s="93" t="str">
        <f>IF(Table1[Item Description]="","",Table1[[#This Row],[Qty]]*Table1[[#This Row],[Unit Price]])</f>
        <v/>
      </c>
      <c r="Y70" s="93" t="str">
        <f>IF(Table1[Item Description]="","",Table1[[#This Row],[h_hargasebelumdiskon]]*Table1[[#This Row],[Disc 1]])</f>
        <v/>
      </c>
      <c r="Z70" s="93" t="str">
        <f>IF(Table1[Item Description]="","",Table1[[#This Row],[h_hargasebelumdiskon]]-Table1[[#This Row],[h_diskon]])</f>
        <v/>
      </c>
      <c r="AA70" s="93" t="str">
        <f>IF(Table1[//]="","",SUMIF(Table1[h_id],Table1[h_id],Table1[h_hargasetelahdiskon]))</f>
        <v/>
      </c>
      <c r="AB70" s="93"/>
      <c r="AC70" s="93" t="str">
        <f>Table1[[#This Row],[Item Description]]&amp;Table1[[#This Row],[Unit]]&amp;Table1[[#This Row],[Unit Price]]</f>
        <v/>
      </c>
    </row>
    <row r="71" spans="1:29" x14ac:dyDescent="0.25">
      <c r="A71" s="95">
        <f>IF(Table1[No. Invoice :]="","",ROW())</f>
        <v>71</v>
      </c>
      <c r="B71" s="196">
        <f>IF(Table1[h_Kode Sales :_1]="","",B$1+COUNT(B$2:B70))</f>
        <v>23020016</v>
      </c>
      <c r="C71" s="98">
        <v>44966</v>
      </c>
      <c r="D71" s="92" t="s">
        <v>142</v>
      </c>
      <c r="E71" s="97" t="s">
        <v>278</v>
      </c>
      <c r="F71" s="92" t="s">
        <v>94</v>
      </c>
      <c r="G71" s="95" t="str">
        <f>IF(Table1[[#This Row],[h_No. Invoice :]]="","",CONCATENATE("AM"," ",Table1[[#This Row],[h_No. Invoice :]]))</f>
        <v>AM 23020016</v>
      </c>
      <c r="H71" s="96" t="str">
        <f>CONCATENATE(UPPER(Table1[[#This Row],[h_Kode Sales :_1]])," ",Table1[[#This Row],[h_Kode Sales :_2]])</f>
        <v>KO 0908</v>
      </c>
      <c r="I71" s="95" t="str">
        <f>IF(Table1[[#This Row],[h_toko]]="","",INDEX(Table2[e],IF(Table1[[#This Row],[h_toko]]="","",MATCH(Table1[[#This Row],[h_toko]],Table2[a],0)),))</f>
        <v>CV PELITA JAYA (ANUGERAH SEJAHTERA) PURWOKERTO</v>
      </c>
      <c r="J71" s="92">
        <v>1000</v>
      </c>
      <c r="K71" s="92" t="s">
        <v>150</v>
      </c>
      <c r="L71" s="92">
        <v>2</v>
      </c>
      <c r="M71" s="92" t="s">
        <v>279</v>
      </c>
      <c r="N71" s="196" t="str">
        <f>IF(Table1[[#This Row],[h_Item Description]]="","",INDEX([1]!db[NB PAJAK],MATCH(Table1[[#This Row],[h_Item Description]],[1]!db[kode],0)))</f>
        <v>PAPER TRIGONAL CLIP KENKO NO. 1</v>
      </c>
      <c r="O71" s="92" t="s">
        <v>289</v>
      </c>
      <c r="P71" s="93">
        <v>1700</v>
      </c>
      <c r="Q71" s="94">
        <v>0.13500000000000001</v>
      </c>
      <c r="S71" s="199">
        <f>Table1[[#This Row],[h_hargasetelahdiskon]]</f>
        <v>1470500</v>
      </c>
      <c r="T71" s="93" t="s">
        <v>93</v>
      </c>
      <c r="V71" s="95">
        <f ca="1">IF(Table1[[#This Row],[Item Description]]="","",IF(Table1[[#This Row],[//]]="",INDIRECT(ADDRESS(ROW()-1,COLUMN())),Table1[[#This Row],[//]]))</f>
        <v>71</v>
      </c>
      <c r="W71" s="95">
        <f ca="1">IF(Table1[[#This Row],[h_id]]="","",COUNTIF(Table1[h_id],Table1[[#This Row],[h_id]]))</f>
        <v>9</v>
      </c>
      <c r="X71" s="93">
        <f>IF(Table1[Item Description]="","",Table1[[#This Row],[Qty]]*Table1[[#This Row],[Unit Price]])</f>
        <v>1700000</v>
      </c>
      <c r="Y71" s="93">
        <f>IF(Table1[Item Description]="","",Table1[[#This Row],[h_hargasebelumdiskon]]*Table1[[#This Row],[Disc 1]])</f>
        <v>229500.00000000003</v>
      </c>
      <c r="Z71" s="93">
        <f>IF(Table1[Item Description]="","",Table1[[#This Row],[h_hargasebelumdiskon]]-Table1[[#This Row],[h_diskon]])</f>
        <v>1470500</v>
      </c>
      <c r="AA71" s="93">
        <f ca="1">IF(Table1[//]="","",SUMIF(Table1[h_id],Table1[h_id],Table1[h_hargasetelahdiskon]))</f>
        <v>19021696</v>
      </c>
      <c r="AB71" s="93"/>
      <c r="AC71" s="93" t="str">
        <f>Table1[[#This Row],[Item Description]]&amp;Table1[[#This Row],[Unit]]&amp;Table1[[#This Row],[Unit Price]]</f>
        <v>PAPER TRIGONAL CLIP KENKO NO. 1PCS1700</v>
      </c>
    </row>
    <row r="72" spans="1:29" x14ac:dyDescent="0.25">
      <c r="A72" s="95" t="str">
        <f>IF(Table1[No. Invoice :]="","",ROW())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1000</v>
      </c>
      <c r="K72" s="92" t="s">
        <v>150</v>
      </c>
      <c r="L72" s="92">
        <v>2</v>
      </c>
      <c r="M72" s="92" t="s">
        <v>286</v>
      </c>
      <c r="N72" s="196" t="str">
        <f>IF(Table1[[#This Row],[h_Item Description]]="","",INDEX([1]!db[NB PAJAK],MATCH(Table1[[#This Row],[h_Item Description]],[1]!db[kode],0)))</f>
        <v>PAPER TRIGONAL CLIP KENKO NO. 3</v>
      </c>
      <c r="O72" s="92" t="s">
        <v>290</v>
      </c>
      <c r="P72" s="93">
        <v>1600</v>
      </c>
      <c r="Q72" s="94">
        <v>0.13500000000000001</v>
      </c>
      <c r="S72" s="199">
        <f>Table1[[#This Row],[h_hargasetelahdiskon]]</f>
        <v>1384000</v>
      </c>
      <c r="V72" s="95">
        <f ca="1">IF(Table1[[#This Row],[Item Description]]="","",IF(Table1[[#This Row],[//]]="",INDIRECT(ADDRESS(ROW()-1,COLUMN())),Table1[[#This Row],[//]]))</f>
        <v>71</v>
      </c>
      <c r="W72" s="95">
        <f ca="1">IF(Table1[[#This Row],[h_id]]="","",COUNTIF(Table1[h_id],Table1[[#This Row],[h_id]]))</f>
        <v>9</v>
      </c>
      <c r="X72" s="93">
        <f>IF(Table1[Item Description]="","",Table1[[#This Row],[Qty]]*Table1[[#This Row],[Unit Price]])</f>
        <v>1600000</v>
      </c>
      <c r="Y72" s="93">
        <f>IF(Table1[Item Description]="","",Table1[[#This Row],[h_hargasebelumdiskon]]*Table1[[#This Row],[Disc 1]])</f>
        <v>216000</v>
      </c>
      <c r="Z72" s="93">
        <f>IF(Table1[Item Description]="","",Table1[[#This Row],[h_hargasebelumdiskon]]-Table1[[#This Row],[h_diskon]])</f>
        <v>1384000</v>
      </c>
      <c r="AA72" s="93" t="str">
        <f>IF(Table1[//]="","",SUMIF(Table1[h_id],Table1[h_id],Table1[h_hargasetelahdiskon]))</f>
        <v/>
      </c>
      <c r="AB72" s="93"/>
      <c r="AC72" s="93" t="str">
        <f>Table1[[#This Row],[Item Description]]&amp;Table1[[#This Row],[Unit]]&amp;Table1[[#This Row],[Unit Price]]</f>
        <v>PAPER TRIGONAL CLIP KENKO NO. 3PCS1600</v>
      </c>
    </row>
    <row r="73" spans="1:29" x14ac:dyDescent="0.25">
      <c r="A73" s="95" t="str">
        <f>IF(Table1[No. Invoice :]="","",ROW())</f>
        <v/>
      </c>
      <c r="B73" s="196" t="str">
        <f>IF(Table1[h_Kode Sales :_1]="","",B$1+COUNT(B$2:B72))</f>
        <v/>
      </c>
      <c r="D73" s="197"/>
      <c r="E73" s="198"/>
      <c r="F73" s="197"/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400</v>
      </c>
      <c r="K73" s="92" t="s">
        <v>150</v>
      </c>
      <c r="L73" s="92">
        <v>2</v>
      </c>
      <c r="M73" s="92" t="s">
        <v>287</v>
      </c>
      <c r="N73" s="196" t="str">
        <f>IF(Table1[[#This Row],[h_Item Description]]="","",INDEX([1]!db[NB PAJAK],MATCH(Table1[[#This Row],[h_Item Description]],[1]!db[kode],0)))</f>
        <v>PAPER JUMBO CLIP KENKO NO. 5</v>
      </c>
      <c r="O73" s="92" t="s">
        <v>291</v>
      </c>
      <c r="P73" s="93">
        <v>4300</v>
      </c>
      <c r="Q73" s="94">
        <v>0.13500000000000001</v>
      </c>
      <c r="S73" s="199">
        <f>Table1[[#This Row],[h_hargasetelahdiskon]]</f>
        <v>1487800</v>
      </c>
      <c r="V73" s="95">
        <f ca="1">IF(Table1[[#This Row],[Item Description]]="","",IF(Table1[[#This Row],[//]]="",INDIRECT(ADDRESS(ROW()-1,COLUMN())),Table1[[#This Row],[//]]))</f>
        <v>71</v>
      </c>
      <c r="W73" s="95">
        <f ca="1">IF(Table1[[#This Row],[h_id]]="","",COUNTIF(Table1[h_id],Table1[[#This Row],[h_id]]))</f>
        <v>9</v>
      </c>
      <c r="X73" s="93">
        <f>IF(Table1[Item Description]="","",Table1[[#This Row],[Qty]]*Table1[[#This Row],[Unit Price]])</f>
        <v>1720000</v>
      </c>
      <c r="Y73" s="93">
        <f>IF(Table1[Item Description]="","",Table1[[#This Row],[h_hargasebelumdiskon]]*Table1[[#This Row],[Disc 1]])</f>
        <v>232200.00000000003</v>
      </c>
      <c r="Z73" s="93">
        <f>IF(Table1[Item Description]="","",Table1[[#This Row],[h_hargasebelumdiskon]]-Table1[[#This Row],[h_diskon]])</f>
        <v>1487800</v>
      </c>
      <c r="AA73" s="93" t="str">
        <f>IF(Table1[//]="","",SUMIF(Table1[h_id],Table1[h_id],Table1[h_hargasetelahdiskon]))</f>
        <v/>
      </c>
      <c r="AB73" s="93"/>
      <c r="AC73" s="93" t="str">
        <f>Table1[[#This Row],[Item Description]]&amp;Table1[[#This Row],[Unit]]&amp;Table1[[#This Row],[Unit Price]]</f>
        <v>PAPER JUMBO CLIP KENKO NO. 5PCS4300</v>
      </c>
    </row>
    <row r="74" spans="1:29" x14ac:dyDescent="0.25">
      <c r="A74" s="95" t="str">
        <f>IF(Table1[No. Invoice :]="","",ROW())</f>
        <v/>
      </c>
      <c r="B74" s="196" t="str">
        <f>IF(Table1[h_Kode Sales :_1]="","",B$1+COUNT(B$2:B73))</f>
        <v/>
      </c>
      <c r="D74" s="197"/>
      <c r="E74" s="198"/>
      <c r="F74" s="197"/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36</v>
      </c>
      <c r="K74" s="92" t="s">
        <v>141</v>
      </c>
      <c r="L74" s="92">
        <v>1</v>
      </c>
      <c r="M74" s="92" t="s">
        <v>280</v>
      </c>
      <c r="N74" s="196" t="str">
        <f>IF(Table1[[#This Row],[h_Item Description]]="","",INDEX([1]!db[NB PAJAK],MATCH(Table1[[#This Row],[h_Item Description]],[1]!db[kode],0)))</f>
        <v>LEM STICK KENKO 8 GR (KECIL) isi 30 pc</v>
      </c>
      <c r="O74" s="92" t="s">
        <v>281</v>
      </c>
      <c r="P74" s="93">
        <v>66000</v>
      </c>
      <c r="Q74" s="94">
        <v>0.13500000000000001</v>
      </c>
      <c r="S74" s="199">
        <f>Table1[[#This Row],[h_hargasetelahdiskon]]</f>
        <v>2055240</v>
      </c>
      <c r="V74" s="95">
        <f ca="1">IF(Table1[[#This Row],[Item Description]]="","",IF(Table1[[#This Row],[//]]="",INDIRECT(ADDRESS(ROW()-1,COLUMN())),Table1[[#This Row],[//]]))</f>
        <v>71</v>
      </c>
      <c r="W74" s="95">
        <f ca="1">IF(Table1[[#This Row],[h_id]]="","",COUNTIF(Table1[h_id],Table1[[#This Row],[h_id]]))</f>
        <v>9</v>
      </c>
      <c r="X74" s="93">
        <f>IF(Table1[Item Description]="","",Table1[[#This Row],[Qty]]*Table1[[#This Row],[Unit Price]])</f>
        <v>2376000</v>
      </c>
      <c r="Y74" s="93">
        <f>IF(Table1[Item Description]="","",Table1[[#This Row],[h_hargasebelumdiskon]]*Table1[[#This Row],[Disc 1]])</f>
        <v>320760</v>
      </c>
      <c r="Z74" s="93">
        <f>IF(Table1[Item Description]="","",Table1[[#This Row],[h_hargasebelumdiskon]]-Table1[[#This Row],[h_diskon]])</f>
        <v>2055240</v>
      </c>
      <c r="AA74" s="93" t="str">
        <f>IF(Table1[//]="","",SUMIF(Table1[h_id],Table1[h_id],Table1[h_hargasetelahdiskon]))</f>
        <v/>
      </c>
      <c r="AB74" s="93"/>
      <c r="AC74" s="93" t="str">
        <f>Table1[[#This Row],[Item Description]]&amp;Table1[[#This Row],[Unit]]&amp;Table1[[#This Row],[Unit Price]]</f>
        <v>LEM STICK KENKO 8 GR (KECIL) isi 30 pcBOX66000</v>
      </c>
    </row>
    <row r="75" spans="1:29" x14ac:dyDescent="0.25">
      <c r="A75" s="95" t="str">
        <f>IF(Table1[No. Invoice :]="","",ROW())</f>
        <v/>
      </c>
      <c r="B75" s="196" t="str">
        <f>IF(Table1[h_Kode Sales :_1]="","",B$1+COUNT(B$2:B74))</f>
        <v/>
      </c>
      <c r="D75" s="197"/>
      <c r="E75" s="198"/>
      <c r="F75" s="197"/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J75" s="92">
        <v>36</v>
      </c>
      <c r="K75" s="92" t="s">
        <v>141</v>
      </c>
      <c r="L75" s="92">
        <v>1</v>
      </c>
      <c r="M75" s="92" t="s">
        <v>282</v>
      </c>
      <c r="N75" s="196" t="str">
        <f>IF(Table1[[#This Row],[h_Item Description]]="","",INDEX([1]!db[NB PAJAK],MATCH(Table1[[#This Row],[h_Item Description]],[1]!db[kode],0)))</f>
        <v>LEM STICK KENKO 15 GR (TANGGUNG) isi 20 pc</v>
      </c>
      <c r="O75" s="92" t="s">
        <v>283</v>
      </c>
      <c r="P75" s="93">
        <v>72000</v>
      </c>
      <c r="Q75" s="94">
        <v>0.13500000000000001</v>
      </c>
      <c r="S75" s="199">
        <f>Table1[[#This Row],[h_hargasetelahdiskon]]</f>
        <v>2242080</v>
      </c>
      <c r="V75" s="95">
        <f ca="1">IF(Table1[[#This Row],[Item Description]]="","",IF(Table1[[#This Row],[//]]="",INDIRECT(ADDRESS(ROW()-1,COLUMN())),Table1[[#This Row],[//]]))</f>
        <v>71</v>
      </c>
      <c r="W75" s="95">
        <f ca="1">IF(Table1[[#This Row],[h_id]]="","",COUNTIF(Table1[h_id],Table1[[#This Row],[h_id]]))</f>
        <v>9</v>
      </c>
      <c r="X75" s="93">
        <f>IF(Table1[Item Description]="","",Table1[[#This Row],[Qty]]*Table1[[#This Row],[Unit Price]])</f>
        <v>2592000</v>
      </c>
      <c r="Y75" s="93">
        <f>IF(Table1[Item Description]="","",Table1[[#This Row],[h_hargasebelumdiskon]]*Table1[[#This Row],[Disc 1]])</f>
        <v>349920</v>
      </c>
      <c r="Z75" s="93">
        <f>IF(Table1[Item Description]="","",Table1[[#This Row],[h_hargasebelumdiskon]]-Table1[[#This Row],[h_diskon]])</f>
        <v>2242080</v>
      </c>
      <c r="AA75" s="93" t="str">
        <f>IF(Table1[//]="","",SUMIF(Table1[h_id],Table1[h_id],Table1[h_hargasetelahdiskon]))</f>
        <v/>
      </c>
      <c r="AB75" s="93"/>
      <c r="AC75" s="93" t="str">
        <f>Table1[[#This Row],[Item Description]]&amp;Table1[[#This Row],[Unit]]&amp;Table1[[#This Row],[Unit Price]]</f>
        <v>LEM STICK KENKO 15 GR (TANGGUNG) isi 20 pcBOX72000</v>
      </c>
    </row>
    <row r="76" spans="1:29" x14ac:dyDescent="0.25">
      <c r="A76" s="95" t="str">
        <f>IF(Table1[No. Invoice :]="","",ROW())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J76" s="92">
        <v>72</v>
      </c>
      <c r="K76" s="92" t="s">
        <v>92</v>
      </c>
      <c r="L76" s="92">
        <v>1</v>
      </c>
      <c r="M76" s="92" t="s">
        <v>288</v>
      </c>
      <c r="N76" s="196" t="str">
        <f>IF(Table1[[#This Row],[h_Item Description]]="","",INDEX([1]!db[NB PAJAK],MATCH(Table1[[#This Row],[h_Item Description]],[1]!db[kode],0)))</f>
        <v>CORRECTION FLUID KENKO KE-301</v>
      </c>
      <c r="O76" s="92" t="s">
        <v>292</v>
      </c>
      <c r="P76" s="93">
        <v>53400</v>
      </c>
      <c r="Q76" s="94">
        <v>0.13500000000000001</v>
      </c>
      <c r="S76" s="199">
        <f>Table1[[#This Row],[h_hargasetelahdiskon]]</f>
        <v>3325752</v>
      </c>
      <c r="V76" s="95">
        <f ca="1">IF(Table1[[#This Row],[Item Description]]="","",IF(Table1[[#This Row],[//]]="",INDIRECT(ADDRESS(ROW()-1,COLUMN())),Table1[[#This Row],[//]]))</f>
        <v>71</v>
      </c>
      <c r="W76" s="95">
        <f ca="1">IF(Table1[[#This Row],[h_id]]="","",COUNTIF(Table1[h_id],Table1[[#This Row],[h_id]]))</f>
        <v>9</v>
      </c>
      <c r="X76" s="93">
        <f>IF(Table1[Item Description]="","",Table1[[#This Row],[Qty]]*Table1[[#This Row],[Unit Price]])</f>
        <v>3844800</v>
      </c>
      <c r="Y76" s="93">
        <f>IF(Table1[Item Description]="","",Table1[[#This Row],[h_hargasebelumdiskon]]*Table1[[#This Row],[Disc 1]])</f>
        <v>519048.00000000006</v>
      </c>
      <c r="Z76" s="93">
        <f>IF(Table1[Item Description]="","",Table1[[#This Row],[h_hargasebelumdiskon]]-Table1[[#This Row],[h_diskon]])</f>
        <v>3325752</v>
      </c>
      <c r="AA76" s="93" t="str">
        <f>IF(Table1[//]="","",SUMIF(Table1[h_id],Table1[h_id],Table1[h_hargasetelahdiskon]))</f>
        <v/>
      </c>
      <c r="AB76" s="93"/>
      <c r="AC76" s="93" t="str">
        <f>Table1[[#This Row],[Item Description]]&amp;Table1[[#This Row],[Unit]]&amp;Table1[[#This Row],[Unit Price]]</f>
        <v>CORRECTION FLUID KENKO KE-301LSN53400</v>
      </c>
    </row>
    <row r="77" spans="1:29" x14ac:dyDescent="0.25">
      <c r="A77" s="95" t="str">
        <f>IF(Table1[No. Invoice :]="","",ROW())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J77" s="92">
        <v>72</v>
      </c>
      <c r="K77" s="92" t="s">
        <v>92</v>
      </c>
      <c r="L77" s="92">
        <v>1</v>
      </c>
      <c r="M77" s="197" t="s">
        <v>284</v>
      </c>
      <c r="N77" s="196" t="str">
        <f>IF(Table1[[#This Row],[h_Item Description]]="","",INDEX([1]!db[NB PAJAK],MATCH(Table1[[#This Row],[h_Item Description]],[1]!db[kode],0)))</f>
        <v>CORRECTION FLUID KENKO KE-107M</v>
      </c>
      <c r="O77" s="92" t="s">
        <v>285</v>
      </c>
      <c r="P77" s="93">
        <v>55800</v>
      </c>
      <c r="Q77" s="94">
        <v>0.13500000000000001</v>
      </c>
      <c r="S77" s="199">
        <f>Table1[[#This Row],[h_hargasetelahdiskon]]</f>
        <v>3475224</v>
      </c>
      <c r="V77" s="95">
        <f ca="1">IF(Table1[[#This Row],[Item Description]]="","",IF(Table1[[#This Row],[//]]="",INDIRECT(ADDRESS(ROW()-1,COLUMN())),Table1[[#This Row],[//]]))</f>
        <v>71</v>
      </c>
      <c r="W77" s="95">
        <f ca="1">IF(Table1[[#This Row],[h_id]]="","",COUNTIF(Table1[h_id],Table1[[#This Row],[h_id]]))</f>
        <v>9</v>
      </c>
      <c r="X77" s="93">
        <f>IF(Table1[Item Description]="","",Table1[[#This Row],[Qty]]*Table1[[#This Row],[Unit Price]])</f>
        <v>4017600</v>
      </c>
      <c r="Y77" s="93">
        <f>IF(Table1[Item Description]="","",Table1[[#This Row],[h_hargasebelumdiskon]]*Table1[[#This Row],[Disc 1]])</f>
        <v>542376</v>
      </c>
      <c r="Z77" s="93">
        <f>IF(Table1[Item Description]="","",Table1[[#This Row],[h_hargasebelumdiskon]]-Table1[[#This Row],[h_diskon]])</f>
        <v>3475224</v>
      </c>
      <c r="AA77" s="93" t="str">
        <f>IF(Table1[//]="","",SUMIF(Table1[h_id],Table1[h_id],Table1[h_hargasetelahdiskon]))</f>
        <v/>
      </c>
      <c r="AB77" s="93"/>
      <c r="AC77" s="93" t="str">
        <f>Table1[[#This Row],[Item Description]]&amp;Table1[[#This Row],[Unit]]&amp;Table1[[#This Row],[Unit Price]]</f>
        <v>CORRECTION FLUID KENKO KE-107MLSN55800</v>
      </c>
    </row>
    <row r="78" spans="1:29" x14ac:dyDescent="0.25">
      <c r="A78" s="95" t="str">
        <f>IF(Table1[No. Invoice :]="","",ROW())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J78" s="92">
        <v>20</v>
      </c>
      <c r="K78" s="92" t="s">
        <v>92</v>
      </c>
      <c r="L78" s="92">
        <v>1</v>
      </c>
      <c r="M78" s="92" t="s">
        <v>177</v>
      </c>
      <c r="N78" s="196" t="str">
        <f>IF(Table1[[#This Row],[h_Item Description]]="","",INDEX([1]!db[NB PAJAK],MATCH(Table1[[#This Row],[h_Item Description]],[1]!db[kode],0)))</f>
        <v>STAPLER KENKO HD-10</v>
      </c>
      <c r="O78" s="92" t="s">
        <v>137</v>
      </c>
      <c r="P78" s="93">
        <v>93000</v>
      </c>
      <c r="Q78" s="94">
        <v>0.13500000000000001</v>
      </c>
      <c r="S78" s="199">
        <f>Table1[[#This Row],[h_hargasetelahdiskon]]</f>
        <v>1608900</v>
      </c>
      <c r="V78" s="95">
        <f ca="1">IF(Table1[[#This Row],[Item Description]]="","",IF(Table1[[#This Row],[//]]="",INDIRECT(ADDRESS(ROW()-1,COLUMN())),Table1[[#This Row],[//]]))</f>
        <v>71</v>
      </c>
      <c r="W78" s="95">
        <f ca="1">IF(Table1[[#This Row],[h_id]]="","",COUNTIF(Table1[h_id],Table1[[#This Row],[h_id]]))</f>
        <v>9</v>
      </c>
      <c r="X78" s="93">
        <f>IF(Table1[Item Description]="","",Table1[[#This Row],[Qty]]*Table1[[#This Row],[Unit Price]])</f>
        <v>1860000</v>
      </c>
      <c r="Y78" s="93">
        <f>IF(Table1[Item Description]="","",Table1[[#This Row],[h_hargasebelumdiskon]]*Table1[[#This Row],[Disc 1]])</f>
        <v>251100.00000000003</v>
      </c>
      <c r="Z78" s="93">
        <f>IF(Table1[Item Description]="","",Table1[[#This Row],[h_hargasebelumdiskon]]-Table1[[#This Row],[h_diskon]])</f>
        <v>1608900</v>
      </c>
      <c r="AA78" s="93" t="str">
        <f>IF(Table1[//]="","",SUMIF(Table1[h_id],Table1[h_id],Table1[h_hargasetelahdiskon]))</f>
        <v/>
      </c>
      <c r="AB78" s="93"/>
      <c r="AC78" s="93" t="str">
        <f>Table1[[#This Row],[Item Description]]&amp;Table1[[#This Row],[Unit]]&amp;Table1[[#This Row],[Unit Price]]</f>
        <v>STAPLER KENKO HD-10LSN93000</v>
      </c>
    </row>
    <row r="79" spans="1:29" x14ac:dyDescent="0.25">
      <c r="A79" s="95" t="str">
        <f>IF(Table1[No. Invoice :]="","",ROW())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J79" s="92">
        <v>10</v>
      </c>
      <c r="K79" s="92" t="s">
        <v>92</v>
      </c>
      <c r="L79" s="92">
        <v>1</v>
      </c>
      <c r="M79" s="92" t="s">
        <v>176</v>
      </c>
      <c r="N79" s="196" t="str">
        <f>IF(Table1[[#This Row],[h_Item Description]]="","",INDEX([1]!db[NB PAJAK],MATCH(Table1[[#This Row],[h_Item Description]],[1]!db[kode],0)))</f>
        <v>STAPLER KENKO HD-50</v>
      </c>
      <c r="O79" s="92" t="s">
        <v>136</v>
      </c>
      <c r="P79" s="93">
        <v>228000</v>
      </c>
      <c r="Q79" s="94">
        <v>0.13500000000000001</v>
      </c>
      <c r="S79" s="199">
        <f>Table1[[#This Row],[h_hargasetelahdiskon]]</f>
        <v>1972200</v>
      </c>
      <c r="V79" s="95">
        <f ca="1">IF(Table1[[#This Row],[Item Description]]="","",IF(Table1[[#This Row],[//]]="",INDIRECT(ADDRESS(ROW()-1,COLUMN())),Table1[[#This Row],[//]]))</f>
        <v>71</v>
      </c>
      <c r="W79" s="95">
        <f ca="1">IF(Table1[[#This Row],[h_id]]="","",COUNTIF(Table1[h_id],Table1[[#This Row],[h_id]]))</f>
        <v>9</v>
      </c>
      <c r="X79" s="93">
        <f>IF(Table1[Item Description]="","",Table1[[#This Row],[Qty]]*Table1[[#This Row],[Unit Price]])</f>
        <v>2280000</v>
      </c>
      <c r="Y79" s="93">
        <f>IF(Table1[Item Description]="","",Table1[[#This Row],[h_hargasebelumdiskon]]*Table1[[#This Row],[Disc 1]])</f>
        <v>307800</v>
      </c>
      <c r="Z79" s="93">
        <f>IF(Table1[Item Description]="","",Table1[[#This Row],[h_hargasebelumdiskon]]-Table1[[#This Row],[h_diskon]])</f>
        <v>1972200</v>
      </c>
      <c r="AA79" s="93" t="str">
        <f>IF(Table1[//]="","",SUMIF(Table1[h_id],Table1[h_id],Table1[h_hargasetelahdiskon]))</f>
        <v/>
      </c>
      <c r="AB79" s="93"/>
      <c r="AC79" s="93" t="str">
        <f>Table1[[#This Row],[Item Description]]&amp;Table1[[#This Row],[Unit]]&amp;Table1[[#This Row],[Unit Price]]</f>
        <v>STAPLER KENKO HD-50LSN228000</v>
      </c>
    </row>
    <row r="80" spans="1:29" x14ac:dyDescent="0.25">
      <c r="A80" s="95" t="str">
        <f>IF(Table1[No. Invoice :]="","",ROW())</f>
        <v/>
      </c>
      <c r="B80" s="196" t="str">
        <f>IF(Table1[h_Kode Sales :_1]="","",B$1+COUNT(B$2:B79))</f>
        <v/>
      </c>
      <c r="D80" s="197"/>
      <c r="E80" s="198"/>
      <c r="F80" s="197"/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M80" s="197"/>
      <c r="N80" s="196" t="str">
        <f>IF(Table1[[#This Row],[h_Item Description]]="","",INDEX([1]!db[NB PAJAK],MATCH(Table1[[#This Row],[h_Item Description]],[1]!db[kode],0)))</f>
        <v/>
      </c>
      <c r="P80" s="93"/>
      <c r="Q80" s="94"/>
      <c r="S80" s="199" t="str">
        <f>Table1[[#This Row],[h_hargasetelahdiskon]]</f>
        <v/>
      </c>
      <c r="V80" s="95" t="str">
        <f ca="1">IF(Table1[[#This Row],[Item Description]]="","",IF(Table1[[#This Row],[//]]="",INDIRECT(ADDRESS(ROW()-1,COLUMN())),Table1[[#This Row],[//]]))</f>
        <v/>
      </c>
      <c r="W80" s="95" t="str">
        <f ca="1">IF(Table1[[#This Row],[h_id]]="","",COUNTIF(Table1[h_id],Table1[[#This Row],[h_id]]))</f>
        <v/>
      </c>
      <c r="X80" s="93" t="str">
        <f>IF(Table1[Item Description]="","",Table1[[#This Row],[Qty]]*Table1[[#This Row],[Unit Price]])</f>
        <v/>
      </c>
      <c r="Y80" s="93" t="str">
        <f>IF(Table1[Item Description]="","",Table1[[#This Row],[h_hargasebelumdiskon]]*Table1[[#This Row],[Disc 1]])</f>
        <v/>
      </c>
      <c r="Z80" s="93" t="str">
        <f>IF(Table1[Item Description]="","",Table1[[#This Row],[h_hargasebelumdiskon]]-Table1[[#This Row],[h_diskon]])</f>
        <v/>
      </c>
      <c r="AA80" s="93" t="str">
        <f>IF(Table1[//]="","",SUMIF(Table1[h_id],Table1[h_id],Table1[h_hargasetelahdiskon]))</f>
        <v/>
      </c>
      <c r="AB80" s="93"/>
      <c r="AC80" s="93" t="str">
        <f>Table1[[#This Row],[Item Description]]&amp;Table1[[#This Row],[Unit]]&amp;Table1[[#This Row],[Unit Price]]</f>
        <v/>
      </c>
    </row>
    <row r="81" spans="1:29" x14ac:dyDescent="0.25">
      <c r="A81" s="95">
        <f>IF(Table1[No. Invoice :]="","",ROW())</f>
        <v>81</v>
      </c>
      <c r="B81" s="196">
        <f>IF(Table1[h_Kode Sales :_1]="","",B$1+COUNT(B$2:B80))</f>
        <v>23020017</v>
      </c>
      <c r="C81" s="98">
        <v>44966</v>
      </c>
      <c r="D81" s="92" t="s">
        <v>142</v>
      </c>
      <c r="E81" s="97" t="s">
        <v>302</v>
      </c>
      <c r="F81" s="92" t="s">
        <v>128</v>
      </c>
      <c r="G81" s="95" t="str">
        <f>IF(Table1[[#This Row],[h_No. Invoice :]]="","",CONCATENATE("AM"," ",Table1[[#This Row],[h_No. Invoice :]]))</f>
        <v>AM 23020017</v>
      </c>
      <c r="H81" s="96" t="str">
        <f>CONCATENATE(UPPER(Table1[[#This Row],[h_Kode Sales :_1]])," ",Table1[[#This Row],[h_Kode Sales :_2]])</f>
        <v>KO 0910</v>
      </c>
      <c r="I81" s="95" t="str">
        <f>IF(Table1[[#This Row],[h_toko]]="","",INDEX(Table2[e],IF(Table1[[#This Row],[h_toko]]="","",MATCH(Table1[[#This Row],[h_toko]],Table2[a],0)),))</f>
        <v>HARNOYO (BENDAN) PEKALONGAN</v>
      </c>
      <c r="J81" s="92">
        <v>20</v>
      </c>
      <c r="K81" s="92" t="s">
        <v>92</v>
      </c>
      <c r="L81" s="92">
        <v>1</v>
      </c>
      <c r="M81" s="92" t="s">
        <v>303</v>
      </c>
      <c r="N81" s="196" t="str">
        <f>IF(Table1[[#This Row],[h_Item Description]]="","",INDEX([1]!db[NB PAJAK],MATCH(Table1[[#This Row],[h_Item Description]],[1]!db[kode],0)))</f>
        <v>CUTTER 18 MM KENKO L-500 (BESAR)</v>
      </c>
      <c r="O81" s="92" t="s">
        <v>304</v>
      </c>
      <c r="P81" s="93">
        <v>147600</v>
      </c>
      <c r="Q81" s="94">
        <v>0.14000000000000001</v>
      </c>
      <c r="S81" s="199">
        <f>Table1[[#This Row],[h_hargasetelahdiskon]]</f>
        <v>2538720</v>
      </c>
      <c r="T81" s="93" t="s">
        <v>93</v>
      </c>
      <c r="V81" s="95">
        <f ca="1">IF(Table1[[#This Row],[Item Description]]="","",IF(Table1[[#This Row],[//]]="",INDIRECT(ADDRESS(ROW()-1,COLUMN())),Table1[[#This Row],[//]]))</f>
        <v>81</v>
      </c>
      <c r="W81" s="95">
        <f ca="1">IF(Table1[[#This Row],[h_id]]="","",COUNTIF(Table1[h_id],Table1[[#This Row],[h_id]]))</f>
        <v>1</v>
      </c>
      <c r="X81" s="93">
        <f>IF(Table1[Item Description]="","",Table1[[#This Row],[Qty]]*Table1[[#This Row],[Unit Price]])</f>
        <v>2952000</v>
      </c>
      <c r="Y81" s="93">
        <f>IF(Table1[Item Description]="","",Table1[[#This Row],[h_hargasebelumdiskon]]*Table1[[#This Row],[Disc 1]])</f>
        <v>413280.00000000006</v>
      </c>
      <c r="Z81" s="93">
        <f>IF(Table1[Item Description]="","",Table1[[#This Row],[h_hargasebelumdiskon]]-Table1[[#This Row],[h_diskon]])</f>
        <v>2538720</v>
      </c>
      <c r="AA81" s="93">
        <f ca="1">IF(Table1[//]="","",SUMIF(Table1[h_id],Table1[h_id],Table1[h_hargasetelahdiskon]))</f>
        <v>2538720</v>
      </c>
      <c r="AB81" s="93"/>
      <c r="AC81" s="93" t="str">
        <f>Table1[[#This Row],[Item Description]]&amp;Table1[[#This Row],[Unit]]&amp;Table1[[#This Row],[Unit Price]]</f>
        <v>CUTTER 18 MM KENKO L-500 (BESAR)LSN147600</v>
      </c>
    </row>
    <row r="82" spans="1:29" x14ac:dyDescent="0.25">
      <c r="A82" s="95" t="str">
        <f>IF(Table1[No. Invoice :]="","",ROW())</f>
        <v/>
      </c>
      <c r="B82" s="196" t="str">
        <f>IF(Table1[h_Kode Sales :_1]="","",B$1+COUNT(B$2:B81))</f>
        <v/>
      </c>
      <c r="D82" s="197"/>
      <c r="E82" s="198"/>
      <c r="F82" s="197"/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M82" s="197"/>
      <c r="N82" s="196" t="str">
        <f>IF(Table1[[#This Row],[h_Item Description]]="","",INDEX([1]!db[NB PAJAK],MATCH(Table1[[#This Row],[h_Item Description]],[1]!db[kode],0)))</f>
        <v/>
      </c>
      <c r="P82" s="93"/>
      <c r="Q82" s="94"/>
      <c r="S82" s="199" t="str">
        <f>Table1[[#This Row],[h_hargasetelahdiskon]]</f>
        <v/>
      </c>
      <c r="V82" s="95" t="str">
        <f ca="1">IF(Table1[[#This Row],[Item Description]]="","",IF(Table1[[#This Row],[//]]="",INDIRECT(ADDRESS(ROW()-1,COLUMN())),Table1[[#This Row],[//]]))</f>
        <v/>
      </c>
      <c r="W82" s="95" t="str">
        <f ca="1">IF(Table1[[#This Row],[h_id]]="","",COUNTIF(Table1[h_id],Table1[[#This Row],[h_id]]))</f>
        <v/>
      </c>
      <c r="X82" s="93" t="str">
        <f>IF(Table1[Item Description]="","",Table1[[#This Row],[Qty]]*Table1[[#This Row],[Unit Price]])</f>
        <v/>
      </c>
      <c r="Y82" s="93" t="str">
        <f>IF(Table1[Item Description]="","",Table1[[#This Row],[h_hargasebelumdiskon]]*Table1[[#This Row],[Disc 1]])</f>
        <v/>
      </c>
      <c r="Z82" s="93" t="str">
        <f>IF(Table1[Item Description]="","",Table1[[#This Row],[h_hargasebelumdiskon]]-Table1[[#This Row],[h_diskon]])</f>
        <v/>
      </c>
      <c r="AA82" s="93" t="str">
        <f>IF(Table1[//]="","",SUMIF(Table1[h_id],Table1[h_id],Table1[h_hargasetelahdiskon]))</f>
        <v/>
      </c>
      <c r="AB82" s="93"/>
      <c r="AC82" s="93" t="str">
        <f>Table1[[#This Row],[Item Description]]&amp;Table1[[#This Row],[Unit]]&amp;Table1[[#This Row],[Unit Price]]</f>
        <v/>
      </c>
    </row>
    <row r="83" spans="1:29" x14ac:dyDescent="0.25">
      <c r="A83" s="95" t="str">
        <f>IF(Table1[No. Invoice :]="","",ROW())</f>
        <v/>
      </c>
      <c r="B83" s="196" t="str">
        <f>IF(Table1[h_Kode Sales :_1]="","",B$1+COUNT(B$2:B82))</f>
        <v/>
      </c>
      <c r="D83" s="197"/>
      <c r="E83" s="198"/>
      <c r="F83" s="197"/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M83" s="197"/>
      <c r="N83" s="196" t="str">
        <f>IF(Table1[[#This Row],[h_Item Description]]="","",INDEX([1]!db[NB PAJAK],MATCH(Table1[[#This Row],[h_Item Description]],[1]!db[kode],0)))</f>
        <v/>
      </c>
      <c r="P83" s="93"/>
      <c r="Q83" s="94"/>
      <c r="S83" s="199" t="str">
        <f>Table1[[#This Row],[h_hargasetelahdiskon]]</f>
        <v/>
      </c>
      <c r="V83" s="95" t="str">
        <f ca="1">IF(Table1[[#This Row],[Item Description]]="","",IF(Table1[[#This Row],[//]]="",INDIRECT(ADDRESS(ROW()-1,COLUMN())),Table1[[#This Row],[//]]))</f>
        <v/>
      </c>
      <c r="W83" s="95" t="str">
        <f ca="1">IF(Table1[[#This Row],[h_id]]="","",COUNTIF(Table1[h_id],Table1[[#This Row],[h_id]]))</f>
        <v/>
      </c>
      <c r="X83" s="93" t="str">
        <f>IF(Table1[Item Description]="","",Table1[[#This Row],[Qty]]*Table1[[#This Row],[Unit Price]])</f>
        <v/>
      </c>
      <c r="Y83" s="93" t="str">
        <f>IF(Table1[Item Description]="","",Table1[[#This Row],[h_hargasebelumdiskon]]*Table1[[#This Row],[Disc 1]])</f>
        <v/>
      </c>
      <c r="Z83" s="93" t="str">
        <f>IF(Table1[Item Description]="","",Table1[[#This Row],[h_hargasebelumdiskon]]-Table1[[#This Row],[h_diskon]])</f>
        <v/>
      </c>
      <c r="AA83" s="93" t="str">
        <f>IF(Table1[//]="","",SUMIF(Table1[h_id],Table1[h_id],Table1[h_hargasetelahdiskon]))</f>
        <v/>
      </c>
      <c r="AB83" s="93"/>
      <c r="AC83" s="93" t="str">
        <f>Table1[[#This Row],[Item Description]]&amp;Table1[[#This Row],[Unit]]&amp;Table1[[#This Row],[Unit Price]]</f>
        <v/>
      </c>
    </row>
    <row r="84" spans="1:29" x14ac:dyDescent="0.25">
      <c r="A84" s="95">
        <f>IF(Table1[No. Invoice :]="","",ROW())</f>
        <v>84</v>
      </c>
      <c r="B84" s="196">
        <f>IF(Table1[h_Kode Sales :_1]="","",B$1+COUNT(B$2:B83))</f>
        <v>23020018</v>
      </c>
      <c r="C84" s="98">
        <v>44968</v>
      </c>
      <c r="D84" s="92" t="s">
        <v>142</v>
      </c>
      <c r="E84" s="97" t="s">
        <v>306</v>
      </c>
      <c r="F84" s="92" t="s">
        <v>104</v>
      </c>
      <c r="G84" s="95" t="str">
        <f>IF(Table1[[#This Row],[h_No. Invoice :]]="","",CONCATENATE("AM"," ",Table1[[#This Row],[h_No. Invoice :]]))</f>
        <v>AM 23020018</v>
      </c>
      <c r="H84" s="96" t="str">
        <f>CONCATENATE(UPPER(Table1[[#This Row],[h_Kode Sales :_1]])," ",Table1[[#This Row],[h_Kode Sales :_2]])</f>
        <v>KO 0716</v>
      </c>
      <c r="I84" s="95" t="str">
        <f>IF(Table1[[#This Row],[h_toko]]="","",INDEX(Table2[e],IF(Table1[[#This Row],[h_toko]]="","",MATCH(Table1[[#This Row],[h_toko]],Table2[a],0)),))</f>
        <v>SOEYANTO LOPULUSI ( LANCAR ) MALANG</v>
      </c>
      <c r="J84" s="92">
        <v>432</v>
      </c>
      <c r="K84" s="92" t="s">
        <v>92</v>
      </c>
      <c r="L84" s="92">
        <v>3</v>
      </c>
      <c r="M84" s="92" t="s">
        <v>188</v>
      </c>
      <c r="N84" s="196" t="str">
        <f>IF(Table1[[#This Row],[h_Item Description]]="","",INDEX([1]!db[NB PAJAK],MATCH(Table1[[#This Row],[h_Item Description]],[1]!db[kode],0)))</f>
        <v>GEL PEN KENKO HI-TECH-H 0.28 MM HITAM</v>
      </c>
      <c r="O84" s="92" t="s">
        <v>191</v>
      </c>
      <c r="P84" s="93">
        <v>39000</v>
      </c>
      <c r="Q84" s="94">
        <v>0.125</v>
      </c>
      <c r="S84" s="199">
        <f>Table1[[#This Row],[h_hargasetelahdiskon]]</f>
        <v>14742000</v>
      </c>
      <c r="T84" s="93" t="s">
        <v>93</v>
      </c>
      <c r="V84" s="95">
        <f ca="1">IF(Table1[[#This Row],[Item Description]]="","",IF(Table1[[#This Row],[//]]="",INDIRECT(ADDRESS(ROW()-1,COLUMN())),Table1[[#This Row],[//]]))</f>
        <v>84</v>
      </c>
      <c r="W84" s="95">
        <f ca="1">IF(Table1[[#This Row],[h_id]]="","",COUNTIF(Table1[h_id],Table1[[#This Row],[h_id]]))</f>
        <v>2</v>
      </c>
      <c r="X84" s="93">
        <f>IF(Table1[Item Description]="","",Table1[[#This Row],[Qty]]*Table1[[#This Row],[Unit Price]])</f>
        <v>16848000</v>
      </c>
      <c r="Y84" s="93">
        <f>IF(Table1[Item Description]="","",Table1[[#This Row],[h_hargasebelumdiskon]]*Table1[[#This Row],[Disc 1]])</f>
        <v>2106000</v>
      </c>
      <c r="Z84" s="93">
        <f>IF(Table1[Item Description]="","",Table1[[#This Row],[h_hargasebelumdiskon]]-Table1[[#This Row],[h_diskon]])</f>
        <v>14742000</v>
      </c>
      <c r="AA84" s="93">
        <f ca="1">IF(Table1[//]="","",SUMIF(Table1[h_id],Table1[h_id],Table1[h_hargasetelahdiskon]))</f>
        <v>19656000</v>
      </c>
      <c r="AB84" s="93"/>
      <c r="AC84" s="93" t="str">
        <f>Table1[[#This Row],[Item Description]]&amp;Table1[[#This Row],[Unit]]&amp;Table1[[#This Row],[Unit Price]]</f>
        <v>GEL PEN KENKO HI-TECH-H 0.28 MM HITAMLSN39000</v>
      </c>
    </row>
    <row r="85" spans="1:29" x14ac:dyDescent="0.25">
      <c r="A85" s="95" t="str">
        <f>IF(Table1[No. Invoice :]="","",ROW())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J85" s="92">
        <v>144</v>
      </c>
      <c r="K85" s="92" t="s">
        <v>92</v>
      </c>
      <c r="L85" s="92">
        <v>1</v>
      </c>
      <c r="M85" s="92" t="s">
        <v>307</v>
      </c>
      <c r="N85" s="196" t="str">
        <f>IF(Table1[[#This Row],[h_Item Description]]="","",INDEX([1]!db[NB PAJAK],MATCH(Table1[[#This Row],[h_Item Description]],[1]!db[kode],0)))</f>
        <v>GEL PEN KENKO HI-TECH-H 0.28 MM BIRU</v>
      </c>
      <c r="O85" s="92" t="s">
        <v>308</v>
      </c>
      <c r="P85" s="93">
        <v>39000</v>
      </c>
      <c r="Q85" s="94">
        <v>0.125</v>
      </c>
      <c r="S85" s="199">
        <f>Table1[[#This Row],[h_hargasetelahdiskon]]</f>
        <v>4914000</v>
      </c>
      <c r="V85" s="95">
        <f ca="1">IF(Table1[[#This Row],[Item Description]]="","",IF(Table1[[#This Row],[//]]="",INDIRECT(ADDRESS(ROW()-1,COLUMN())),Table1[[#This Row],[//]]))</f>
        <v>84</v>
      </c>
      <c r="W85" s="95">
        <f ca="1">IF(Table1[[#This Row],[h_id]]="","",COUNTIF(Table1[h_id],Table1[[#This Row],[h_id]]))</f>
        <v>2</v>
      </c>
      <c r="X85" s="93">
        <f>IF(Table1[Item Description]="","",Table1[[#This Row],[Qty]]*Table1[[#This Row],[Unit Price]])</f>
        <v>5616000</v>
      </c>
      <c r="Y85" s="93">
        <f>IF(Table1[Item Description]="","",Table1[[#This Row],[h_hargasebelumdiskon]]*Table1[[#This Row],[Disc 1]])</f>
        <v>702000</v>
      </c>
      <c r="Z85" s="93">
        <f>IF(Table1[Item Description]="","",Table1[[#This Row],[h_hargasebelumdiskon]]-Table1[[#This Row],[h_diskon]])</f>
        <v>4914000</v>
      </c>
      <c r="AA85" s="93" t="str">
        <f>IF(Table1[//]="","",SUMIF(Table1[h_id],Table1[h_id],Table1[h_hargasetelahdiskon]))</f>
        <v/>
      </c>
      <c r="AB85" s="93"/>
      <c r="AC85" s="93" t="str">
        <f>Table1[[#This Row],[Item Description]]&amp;Table1[[#This Row],[Unit]]&amp;Table1[[#This Row],[Unit Price]]</f>
        <v>GEL PEN KENKO HI-TECH-H 0.28 MM BIRULSN39000</v>
      </c>
    </row>
    <row r="86" spans="1:29" x14ac:dyDescent="0.25">
      <c r="A86" s="95" t="str">
        <f>IF(Table1[No. Invoice :]="","",ROW())</f>
        <v/>
      </c>
      <c r="B86" s="196" t="str">
        <f>IF(Table1[h_Kode Sales :_1]="","",B$1+COUNT(B$2:B85))</f>
        <v/>
      </c>
      <c r="D86" s="197"/>
      <c r="E86" s="198"/>
      <c r="F86" s="197"/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M86" s="197"/>
      <c r="N86" s="196" t="str">
        <f>IF(Table1[[#This Row],[h_Item Description]]="","",INDEX([1]!db[NB PAJAK],MATCH(Table1[[#This Row],[h_Item Description]],[1]!db[kode],0)))</f>
        <v/>
      </c>
      <c r="P86" s="93"/>
      <c r="Q86" s="94"/>
      <c r="S86" s="199" t="str">
        <f>Table1[[#This Row],[h_hargasetelahdiskon]]</f>
        <v/>
      </c>
      <c r="V86" s="95" t="str">
        <f ca="1">IF(Table1[[#This Row],[Item Description]]="","",IF(Table1[[#This Row],[//]]="",INDIRECT(ADDRESS(ROW()-1,COLUMN())),Table1[[#This Row],[//]]))</f>
        <v/>
      </c>
      <c r="W86" s="95" t="str">
        <f ca="1"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IF(Table1[Item Description]="","",Table1[[#This Row],[h_hargasebelumdiskon]]*Table1[[#This Row],[Disc 1]])</f>
        <v/>
      </c>
      <c r="Z86" s="93" t="str">
        <f>IF(Table1[Item Description]="","",Table1[[#This Row],[h_hargasebelumdiskon]]-Table1[[#This Row],[h_diskon]])</f>
        <v/>
      </c>
      <c r="AA86" s="93" t="str">
        <f>IF(Table1[//]="","",SUMIF(Table1[h_id],Table1[h_id],Table1[h_hargasetelahdiskon]))</f>
        <v/>
      </c>
      <c r="AB86" s="93"/>
      <c r="AC86" s="93" t="str">
        <f>Table1[[#This Row],[Item Description]]&amp;Table1[[#This Row],[Unit]]&amp;Table1[[#This Row],[Unit Price]]</f>
        <v/>
      </c>
    </row>
    <row r="87" spans="1:29" x14ac:dyDescent="0.25">
      <c r="A87" s="95">
        <f>IF(Table1[No. Invoice :]="","",ROW())</f>
        <v>87</v>
      </c>
      <c r="B87" s="196">
        <f>IF(Table1[h_Kode Sales :_1]="","",B$1+COUNT(B$2:B86))</f>
        <v>23020019</v>
      </c>
      <c r="C87" s="98">
        <v>44968</v>
      </c>
      <c r="D87" s="92" t="s">
        <v>184</v>
      </c>
      <c r="E87" s="97" t="s">
        <v>311</v>
      </c>
      <c r="F87" s="92" t="s">
        <v>102</v>
      </c>
      <c r="G87" s="95" t="str">
        <f>IF(Table1[[#This Row],[h_No. Invoice :]]="","",CONCATENATE("AM"," ",Table1[[#This Row],[h_No. Invoice :]]))</f>
        <v>AM 23020019</v>
      </c>
      <c r="H87" s="96" t="str">
        <f>CONCATENATE(UPPER(Table1[[#This Row],[h_Kode Sales :_1]])," ",Table1[[#This Row],[h_Kode Sales :_2]])</f>
        <v>G 0918</v>
      </c>
      <c r="I87" s="95" t="str">
        <f>IF(Table1[[#This Row],[h_toko]]="","",INDEX(Table2[e],IF(Table1[[#This Row],[h_toko]]="","",MATCH(Table1[[#This Row],[h_toko]],Table2[a],0)),))</f>
        <v>CV UTAMA PUTRA TULUNG AGUNG</v>
      </c>
      <c r="J87" s="92">
        <v>5</v>
      </c>
      <c r="K87" s="92" t="s">
        <v>141</v>
      </c>
      <c r="M87" s="92" t="s">
        <v>312</v>
      </c>
      <c r="N87" s="196" t="str">
        <f>IF(Table1[[#This Row],[h_Item Description]]="","",INDEX([1]!db[NB PAJAK],MATCH(Table1[[#This Row],[h_Item Description]],[1]!db[kode],0)))</f>
        <v>TAPE DISPENSER POLAR BEAR MN-305 @12pc</v>
      </c>
      <c r="O87" s="92" t="s">
        <v>313</v>
      </c>
      <c r="P87" s="93">
        <v>100000</v>
      </c>
      <c r="Q87" s="94"/>
      <c r="S87" s="199">
        <f>Table1[[#This Row],[h_hargasetelahdiskon]]</f>
        <v>500000</v>
      </c>
      <c r="T87" s="93" t="s">
        <v>93</v>
      </c>
      <c r="V87" s="95">
        <f ca="1">IF(Table1[[#This Row],[Item Description]]="","",IF(Table1[[#This Row],[//]]="",INDIRECT(ADDRESS(ROW()-1,COLUMN())),Table1[[#This Row],[//]]))</f>
        <v>87</v>
      </c>
      <c r="W87" s="95">
        <f ca="1">IF(Table1[[#This Row],[h_id]]="","",COUNTIF(Table1[h_id],Table1[[#This Row],[h_id]]))</f>
        <v>1</v>
      </c>
      <c r="X87" s="93">
        <f>IF(Table1[Item Description]="","",Table1[[#This Row],[Qty]]*Table1[[#This Row],[Unit Price]])</f>
        <v>500000</v>
      </c>
      <c r="Y87" s="93">
        <f>IF(Table1[Item Description]="","",Table1[[#This Row],[h_hargasebelumdiskon]]*Table1[[#This Row],[Disc 1]])</f>
        <v>0</v>
      </c>
      <c r="Z87" s="93">
        <f>IF(Table1[Item Description]="","",Table1[[#This Row],[h_hargasebelumdiskon]]-Table1[[#This Row],[h_diskon]])</f>
        <v>500000</v>
      </c>
      <c r="AA87" s="93">
        <f ca="1">IF(Table1[//]="","",SUMIF(Table1[h_id],Table1[h_id],Table1[h_hargasetelahdiskon]))</f>
        <v>500000</v>
      </c>
      <c r="AB87" s="93"/>
      <c r="AC87" s="93" t="str">
        <f>Table1[[#This Row],[Item Description]]&amp;Table1[[#This Row],[Unit]]&amp;Table1[[#This Row],[Unit Price]]</f>
        <v>TAPE DISPENSER POLAR BEAR MN-305 @12pcBOX100000</v>
      </c>
    </row>
    <row r="88" spans="1:29" x14ac:dyDescent="0.25">
      <c r="A88" s="95" t="str">
        <f>IF(Table1[No. Invoice :]="","",ROW())</f>
        <v/>
      </c>
      <c r="B88" s="196" t="str">
        <f>IF(Table1[h_Kode Sales :_1]="","",B$1+COUNT(B$2:B87))</f>
        <v/>
      </c>
      <c r="D88" s="197"/>
      <c r="E88" s="198"/>
      <c r="F88" s="197"/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M88" s="197"/>
      <c r="N88" s="196" t="str">
        <f>IF(Table1[[#This Row],[h_Item Description]]="","",INDEX([1]!db[NB PAJAK],MATCH(Table1[[#This Row],[h_Item Description]],[1]!db[kode],0)))</f>
        <v/>
      </c>
      <c r="P88" s="93"/>
      <c r="Q88" s="94"/>
      <c r="S88" s="199" t="str">
        <f>Table1[[#This Row],[h_hargasetelahdiskon]]</f>
        <v/>
      </c>
      <c r="V88" s="95" t="str">
        <f ca="1">IF(Table1[[#This Row],[Item Description]]="","",IF(Table1[[#This Row],[//]]="",INDIRECT(ADDRESS(ROW()-1,COLUMN())),Table1[[#This Row],[//]]))</f>
        <v/>
      </c>
      <c r="W88" s="95" t="str">
        <f ca="1"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IF(Table1[Item Description]="","",Table1[[#This Row],[h_hargasebelumdiskon]]*Table1[[#This Row],[Disc 1]])</f>
        <v/>
      </c>
      <c r="Z88" s="93" t="str">
        <f>IF(Table1[Item Description]="","",Table1[[#This Row],[h_hargasebelumdiskon]]-Table1[[#This Row],[h_diskon]])</f>
        <v/>
      </c>
      <c r="AA88" s="93" t="str">
        <f>IF(Table1[//]="","",SUMIF(Table1[h_id],Table1[h_id],Table1[h_hargasetelahdiskon]))</f>
        <v/>
      </c>
      <c r="AB88" s="93"/>
      <c r="AC88" s="93" t="str">
        <f>Table1[[#This Row],[Item Description]]&amp;Table1[[#This Row],[Unit]]&amp;Table1[[#This Row],[Unit Price]]</f>
        <v/>
      </c>
    </row>
    <row r="89" spans="1:29" x14ac:dyDescent="0.25">
      <c r="A89" s="95">
        <f>IF(Table1[No. Invoice :]="","",ROW())</f>
        <v>89</v>
      </c>
      <c r="B89" s="196">
        <f>IF(Table1[h_Kode Sales :_1]="","",B$1+COUNT(B$2:B88))</f>
        <v>23020020</v>
      </c>
      <c r="C89" s="98">
        <v>44970</v>
      </c>
      <c r="D89" s="92" t="s">
        <v>142</v>
      </c>
      <c r="E89" s="97" t="s">
        <v>315</v>
      </c>
      <c r="F89" s="92" t="s">
        <v>91</v>
      </c>
      <c r="G89" s="95" t="str">
        <f>IF(Table1[[#This Row],[h_No. Invoice :]]="","",CONCATENATE("AM"," ",Table1[[#This Row],[h_No. Invoice :]]))</f>
        <v>AM 23020020</v>
      </c>
      <c r="H89" s="96" t="str">
        <f>CONCATENATE(UPPER(Table1[[#This Row],[h_Kode Sales :_1]])," ",Table1[[#This Row],[h_Kode Sales :_2]])</f>
        <v>KO 0887</v>
      </c>
      <c r="I89" s="95" t="str">
        <f>IF(Table1[[#This Row],[h_toko]]="","",INDEX(Table2[e],IF(Table1[[#This Row],[h_toko]]="","",MATCH(Table1[[#This Row],[h_toko]],Table2[a],0)),))</f>
        <v>CV TRINITY CENTRAAL PURWOKERTO</v>
      </c>
      <c r="J89" s="92">
        <v>12</v>
      </c>
      <c r="K89" s="92" t="s">
        <v>92</v>
      </c>
      <c r="L89" s="92">
        <v>1</v>
      </c>
      <c r="M89" s="92" t="s">
        <v>317</v>
      </c>
      <c r="N89" s="196" t="str">
        <f>IF(Table1[[#This Row],[h_Item Description]]="","",INDEX([1]!db[NB PAJAK],MATCH(Table1[[#This Row],[h_Item Description]],[1]!db[kode],0)))</f>
        <v>CRAYON / OIL PASTEL KENKO 12W GARDEN</v>
      </c>
      <c r="O89" s="92" t="s">
        <v>318</v>
      </c>
      <c r="P89" s="93">
        <v>144000</v>
      </c>
      <c r="Q89" s="94">
        <v>0.13</v>
      </c>
      <c r="S89" s="199">
        <f>Table1[[#This Row],[h_hargasetelahdiskon]]</f>
        <v>1503360</v>
      </c>
      <c r="T89" s="93" t="s">
        <v>93</v>
      </c>
      <c r="V89" s="95">
        <f ca="1">IF(Table1[[#This Row],[Item Description]]="","",IF(Table1[[#This Row],[//]]="",INDIRECT(ADDRESS(ROW()-1,COLUMN())),Table1[[#This Row],[//]]))</f>
        <v>89</v>
      </c>
      <c r="W89" s="95">
        <f ca="1">IF(Table1[[#This Row],[h_id]]="","",COUNTIF(Table1[h_id],Table1[[#This Row],[h_id]]))</f>
        <v>3</v>
      </c>
      <c r="X89" s="93">
        <f>IF(Table1[Item Description]="","",Table1[[#This Row],[Qty]]*Table1[[#This Row],[Unit Price]])</f>
        <v>1728000</v>
      </c>
      <c r="Y89" s="93">
        <f>IF(Table1[Item Description]="","",Table1[[#This Row],[h_hargasebelumdiskon]]*Table1[[#This Row],[Disc 1]])</f>
        <v>224640</v>
      </c>
      <c r="Z89" s="93">
        <f>IF(Table1[Item Description]="","",Table1[[#This Row],[h_hargasebelumdiskon]]-Table1[[#This Row],[h_diskon]])</f>
        <v>1503360</v>
      </c>
      <c r="AA89" s="93">
        <f ca="1">IF(Table1[//]="","",SUMIF(Table1[h_id],Table1[h_id],Table1[h_hargasetelahdiskon]))</f>
        <v>3598320</v>
      </c>
      <c r="AB89" s="93"/>
      <c r="AC89" s="93" t="str">
        <f>Table1[[#This Row],[Item Description]]&amp;Table1[[#This Row],[Unit]]&amp;Table1[[#This Row],[Unit Price]]</f>
        <v>CRAYON / OIL PASTEL KENKO 12W GARDENLSN144000</v>
      </c>
    </row>
    <row r="90" spans="1:29" x14ac:dyDescent="0.25">
      <c r="A90" s="95" t="str">
        <f>IF(Table1[No. Invoice :]="","",ROW())</f>
        <v/>
      </c>
      <c r="B90" s="196" t="str">
        <f>IF(Table1[h_Kode Sales :_1]="","",B$1+COUNT(B$2:B89))</f>
        <v/>
      </c>
      <c r="D90" s="197"/>
      <c r="E90" s="198"/>
      <c r="F90" s="197"/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6</v>
      </c>
      <c r="K90" s="92" t="s">
        <v>92</v>
      </c>
      <c r="L90" s="92">
        <v>1</v>
      </c>
      <c r="M90" s="92" t="s">
        <v>321</v>
      </c>
      <c r="N90" s="196" t="str">
        <f>IF(Table1[[#This Row],[h_Item Description]]="","",INDEX([1]!db[NB PAJAK],MATCH(Table1[[#This Row],[h_Item Description]],[1]!db[kode],0)))</f>
        <v>CRAYON / OIL PASTEL KENKO 18W GARDEN</v>
      </c>
      <c r="O90" s="92" t="s">
        <v>322</v>
      </c>
      <c r="P90" s="93">
        <v>258000</v>
      </c>
      <c r="Q90" s="94">
        <v>0.13</v>
      </c>
      <c r="S90" s="199">
        <f>Table1[[#This Row],[h_hargasetelahdiskon]]</f>
        <v>1346760</v>
      </c>
      <c r="V90" s="95">
        <f ca="1">IF(Table1[[#This Row],[Item Description]]="","",IF(Table1[[#This Row],[//]]="",INDIRECT(ADDRESS(ROW()-1,COLUMN())),Table1[[#This Row],[//]]))</f>
        <v>89</v>
      </c>
      <c r="W90" s="95">
        <f ca="1">IF(Table1[[#This Row],[h_id]]="","",COUNTIF(Table1[h_id],Table1[[#This Row],[h_id]]))</f>
        <v>3</v>
      </c>
      <c r="X90" s="93">
        <f>IF(Table1[Item Description]="","",Table1[[#This Row],[Qty]]*Table1[[#This Row],[Unit Price]])</f>
        <v>1548000</v>
      </c>
      <c r="Y90" s="93">
        <f>IF(Table1[Item Description]="","",Table1[[#This Row],[h_hargasebelumdiskon]]*Table1[[#This Row],[Disc 1]])</f>
        <v>201240</v>
      </c>
      <c r="Z90" s="93">
        <f>IF(Table1[Item Description]="","",Table1[[#This Row],[h_hargasebelumdiskon]]-Table1[[#This Row],[h_diskon]])</f>
        <v>1346760</v>
      </c>
      <c r="AA90" s="93" t="str">
        <f>IF(Table1[//]="","",SUMIF(Table1[h_id],Table1[h_id],Table1[h_hargasetelahdiskon]))</f>
        <v/>
      </c>
      <c r="AB90" s="93"/>
      <c r="AC90" s="93" t="str">
        <f>Table1[[#This Row],[Item Description]]&amp;Table1[[#This Row],[Unit]]&amp;Table1[[#This Row],[Unit Price]]</f>
        <v>CRAYON / OIL PASTEL KENKO 18W GARDENLSN258000</v>
      </c>
    </row>
    <row r="91" spans="1:29" x14ac:dyDescent="0.25">
      <c r="A91" s="95" t="str">
        <f>IF(Table1[No. Invoice :]="","",ROW())</f>
        <v/>
      </c>
      <c r="B91" s="196" t="str">
        <f>IF(Table1[h_Kode Sales :_1]="","",B$1+COUNT(B$2:B90))</f>
        <v/>
      </c>
      <c r="D91" s="197"/>
      <c r="E91" s="198"/>
      <c r="F91" s="197"/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20</v>
      </c>
      <c r="K91" s="92" t="s">
        <v>316</v>
      </c>
      <c r="L91" s="92">
        <v>1</v>
      </c>
      <c r="M91" s="92" t="s">
        <v>287</v>
      </c>
      <c r="N91" s="196" t="str">
        <f>IF(Table1[[#This Row],[h_Item Description]]="","",INDEX([1]!db[NB PAJAK],MATCH(Table1[[#This Row],[h_Item Description]],[1]!db[kode],0)))</f>
        <v>PAPER JUMBO CLIP KENKO NO. 5</v>
      </c>
      <c r="O91" s="92" t="s">
        <v>291</v>
      </c>
      <c r="P91" s="93">
        <v>43000</v>
      </c>
      <c r="Q91" s="94">
        <v>0.13</v>
      </c>
      <c r="S91" s="199">
        <f>Table1[[#This Row],[h_hargasetelahdiskon]]</f>
        <v>748200</v>
      </c>
      <c r="V91" s="95">
        <f ca="1">IF(Table1[[#This Row],[Item Description]]="","",IF(Table1[[#This Row],[//]]="",INDIRECT(ADDRESS(ROW()-1,COLUMN())),Table1[[#This Row],[//]]))</f>
        <v>89</v>
      </c>
      <c r="W91" s="95">
        <f ca="1">IF(Table1[[#This Row],[h_id]]="","",COUNTIF(Table1[h_id],Table1[[#This Row],[h_id]]))</f>
        <v>3</v>
      </c>
      <c r="X91" s="93">
        <f>IF(Table1[Item Description]="","",Table1[[#This Row],[Qty]]*Table1[[#This Row],[Unit Price]])</f>
        <v>860000</v>
      </c>
      <c r="Y91" s="93">
        <f>IF(Table1[Item Description]="","",Table1[[#This Row],[h_hargasebelumdiskon]]*Table1[[#This Row],[Disc 1]])</f>
        <v>111800</v>
      </c>
      <c r="Z91" s="93">
        <f>IF(Table1[Item Description]="","",Table1[[#This Row],[h_hargasebelumdiskon]]-Table1[[#This Row],[h_diskon]])</f>
        <v>748200</v>
      </c>
      <c r="AA91" s="93" t="str">
        <f>IF(Table1[//]="","",SUMIF(Table1[h_id],Table1[h_id],Table1[h_hargasetelahdiskon]))</f>
        <v/>
      </c>
      <c r="AB91" s="93"/>
      <c r="AC91" s="93" t="str">
        <f>Table1[[#This Row],[Item Description]]&amp;Table1[[#This Row],[Unit]]&amp;Table1[[#This Row],[Unit Price]]</f>
        <v>PAPER JUMBO CLIP KENKO NO. 5PAK43000</v>
      </c>
    </row>
    <row r="92" spans="1:29" x14ac:dyDescent="0.25">
      <c r="A92" s="95" t="str">
        <f>IF(Table1[No. Invoice :]="","",ROW())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M92" s="197"/>
      <c r="N92" s="196" t="str">
        <f>IF(Table1[[#This Row],[h_Item Description]]="","",INDEX([1]!db[NB PAJAK],MATCH(Table1[[#This Row],[h_Item Description]],[1]!db[kode],0)))</f>
        <v/>
      </c>
      <c r="P92" s="93"/>
      <c r="Q92" s="94"/>
      <c r="S92" s="199" t="str">
        <f>Table1[[#This Row],[h_hargasetelahdiskon]]</f>
        <v/>
      </c>
      <c r="V92" s="95" t="str">
        <f ca="1">IF(Table1[[#This Row],[Item Description]]="","",IF(Table1[[#This Row],[//]]="",INDIRECT(ADDRESS(ROW()-1,COLUMN())),Table1[[#This Row],[//]]))</f>
        <v/>
      </c>
      <c r="W92" s="95" t="str">
        <f ca="1">IF(Table1[[#This Row],[h_id]]="","",COUNTIF(Table1[h_id],Table1[[#This Row],[h_id]]))</f>
        <v/>
      </c>
      <c r="X92" s="93" t="str">
        <f>IF(Table1[Item Description]="","",Table1[[#This Row],[Qty]]*Table1[[#This Row],[Unit Price]])</f>
        <v/>
      </c>
      <c r="Y92" s="93" t="str">
        <f>IF(Table1[Item Description]="","",Table1[[#This Row],[h_hargasebelumdiskon]]*Table1[[#This Row],[Disc 1]])</f>
        <v/>
      </c>
      <c r="Z92" s="93" t="str">
        <f>IF(Table1[Item Description]="","",Table1[[#This Row],[h_hargasebelumdiskon]]-Table1[[#This Row],[h_diskon]])</f>
        <v/>
      </c>
      <c r="AA92" s="93" t="str">
        <f>IF(Table1[//]="","",SUMIF(Table1[h_id],Table1[h_id],Table1[h_hargasetelahdiskon]))</f>
        <v/>
      </c>
      <c r="AB92" s="93"/>
      <c r="AC92" s="93" t="str">
        <f>Table1[[#This Row],[Item Description]]&amp;Table1[[#This Row],[Unit]]&amp;Table1[[#This Row],[Unit Price]]</f>
        <v/>
      </c>
    </row>
    <row r="93" spans="1:29" x14ac:dyDescent="0.25">
      <c r="A93" s="95">
        <f>IF(Table1[No. Invoice :]="","",ROW())</f>
        <v>93</v>
      </c>
      <c r="B93" s="196">
        <f>IF(Table1[h_Kode Sales :_1]="","",B$1+COUNT(B$2:B92))</f>
        <v>23020021</v>
      </c>
      <c r="C93" s="98">
        <v>44970</v>
      </c>
      <c r="D93" s="92" t="s">
        <v>184</v>
      </c>
      <c r="E93" s="97" t="s">
        <v>324</v>
      </c>
      <c r="F93" s="92" t="s">
        <v>103</v>
      </c>
      <c r="G93" s="95" t="str">
        <f>IF(Table1[[#This Row],[h_No. Invoice :]]="","",CONCATENATE("AM"," ",Table1[[#This Row],[h_No. Invoice :]]))</f>
        <v>AM 23020021</v>
      </c>
      <c r="H93" s="96" t="str">
        <f>CONCATENATE(UPPER(Table1[[#This Row],[h_Kode Sales :_1]])," ",Table1[[#This Row],[h_Kode Sales :_2]])</f>
        <v>G 0890</v>
      </c>
      <c r="I93" s="95" t="str">
        <f>IF(Table1[[#This Row],[h_toko]]="","",INDEX(Table2[e],IF(Table1[[#This Row],[h_toko]]="","",MATCH(Table1[[#This Row],[h_toko]],Table2[a],0)),))</f>
        <v>LILY JULIAWATI (REJO AGUNG) JOMBANG</v>
      </c>
      <c r="J93" s="92">
        <v>480</v>
      </c>
      <c r="K93" s="92" t="s">
        <v>204</v>
      </c>
      <c r="L93" s="92">
        <v>2</v>
      </c>
      <c r="M93" s="92" t="s">
        <v>339</v>
      </c>
      <c r="N93" s="196" t="str">
        <f>IF(Table1[[#This Row],[h_Item Description]]="","",INDEX([1]!db[NB PAJAK],MATCH(Table1[[#This Row],[h_Item Description]],[1]!db[kode],0)))</f>
        <v>KUAS SET JOYKO BR-1</v>
      </c>
      <c r="O93" s="92" t="s">
        <v>343</v>
      </c>
      <c r="P93" s="93">
        <v>8800</v>
      </c>
      <c r="Q93" s="94">
        <v>0.125</v>
      </c>
      <c r="S93" s="199">
        <f>Table1[[#This Row],[h_hargasetelahdiskon]]</f>
        <v>3696000</v>
      </c>
      <c r="T93" s="93" t="s">
        <v>93</v>
      </c>
      <c r="V93" s="95">
        <f ca="1">IF(Table1[[#This Row],[Item Description]]="","",IF(Table1[[#This Row],[//]]="",INDIRECT(ADDRESS(ROW()-1,COLUMN())),Table1[[#This Row],[//]]))</f>
        <v>93</v>
      </c>
      <c r="W93" s="95">
        <f ca="1">IF(Table1[[#This Row],[h_id]]="","",COUNTIF(Table1[h_id],Table1[[#This Row],[h_id]]))</f>
        <v>14</v>
      </c>
      <c r="X93" s="93">
        <f>IF(Table1[Item Description]="","",Table1[[#This Row],[Qty]]*Table1[[#This Row],[Unit Price]])</f>
        <v>4224000</v>
      </c>
      <c r="Y93" s="93">
        <f>IF(Table1[Item Description]="","",Table1[[#This Row],[h_hargasebelumdiskon]]*Table1[[#This Row],[Disc 1]])</f>
        <v>528000</v>
      </c>
      <c r="Z93" s="93">
        <f>IF(Table1[Item Description]="","",Table1[[#This Row],[h_hargasebelumdiskon]]-Table1[[#This Row],[h_diskon]])</f>
        <v>3696000</v>
      </c>
      <c r="AA93" s="93">
        <f ca="1">IF(Table1[//]="","",SUMIF(Table1[h_id],Table1[h_id],Table1[h_hargasetelahdiskon]))</f>
        <v>88676700</v>
      </c>
      <c r="AB93" s="93"/>
      <c r="AC93" s="93" t="str">
        <f>Table1[[#This Row],[Item Description]]&amp;Table1[[#This Row],[Unit]]&amp;Table1[[#This Row],[Unit Price]]</f>
        <v>KUAS SET JOYKO BR-1SET8800</v>
      </c>
    </row>
    <row r="94" spans="1:29" x14ac:dyDescent="0.25">
      <c r="A94" s="95" t="str">
        <f>IF(Table1[No. Invoice :]="","",ROW())</f>
        <v/>
      </c>
      <c r="B94" s="196" t="str">
        <f>IF(Table1[h_Kode Sales :_1]="","",B$1+COUNT(B$2:B93))</f>
        <v/>
      </c>
      <c r="D94" s="197"/>
      <c r="E94" s="198"/>
      <c r="F94" s="197"/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J94" s="92">
        <v>72</v>
      </c>
      <c r="K94" s="92" t="s">
        <v>92</v>
      </c>
      <c r="L94" s="92">
        <v>2</v>
      </c>
      <c r="M94" s="92" t="s">
        <v>338</v>
      </c>
      <c r="N94" s="196" t="str">
        <f>IF(Table1[[#This Row],[h_Item Description]]="","",INDEX([1]!db[NB PAJAK],MATCH(Table1[[#This Row],[h_Item Description]],[1]!db[kode],0)))</f>
        <v>CORRECTION FLUID JOYKO CF-S225</v>
      </c>
      <c r="O94" s="92" t="s">
        <v>344</v>
      </c>
      <c r="P94" s="93">
        <v>34200</v>
      </c>
      <c r="Q94" s="94">
        <v>0.125</v>
      </c>
      <c r="S94" s="199">
        <f>Table1[[#This Row],[h_hargasetelahdiskon]]</f>
        <v>2154600</v>
      </c>
      <c r="V94" s="95">
        <f ca="1">IF(Table1[[#This Row],[Item Description]]="","",IF(Table1[[#This Row],[//]]="",INDIRECT(ADDRESS(ROW()-1,COLUMN())),Table1[[#This Row],[//]]))</f>
        <v>93</v>
      </c>
      <c r="W94" s="95">
        <f ca="1">IF(Table1[[#This Row],[h_id]]="","",COUNTIF(Table1[h_id],Table1[[#This Row],[h_id]]))</f>
        <v>14</v>
      </c>
      <c r="X94" s="93">
        <f>IF(Table1[Item Description]="","",Table1[[#This Row],[Qty]]*Table1[[#This Row],[Unit Price]])</f>
        <v>2462400</v>
      </c>
      <c r="Y94" s="93">
        <f>IF(Table1[Item Description]="","",Table1[[#This Row],[h_hargasebelumdiskon]]*Table1[[#This Row],[Disc 1]])</f>
        <v>307800</v>
      </c>
      <c r="Z94" s="93">
        <f>IF(Table1[Item Description]="","",Table1[[#This Row],[h_hargasebelumdiskon]]-Table1[[#This Row],[h_diskon]])</f>
        <v>2154600</v>
      </c>
      <c r="AA94" s="93" t="str">
        <f>IF(Table1[//]="","",SUMIF(Table1[h_id],Table1[h_id],Table1[h_hargasetelahdiskon]))</f>
        <v/>
      </c>
      <c r="AB94" s="93"/>
      <c r="AC94" s="93" t="str">
        <f>Table1[[#This Row],[Item Description]]&amp;Table1[[#This Row],[Unit]]&amp;Table1[[#This Row],[Unit Price]]</f>
        <v>CORRECTION FLUID JOYKO CF-S225LSN34200</v>
      </c>
    </row>
    <row r="95" spans="1:29" x14ac:dyDescent="0.25">
      <c r="A95" s="95" t="str">
        <f>IF(Table1[No. Invoice :]="","",ROW())</f>
        <v/>
      </c>
      <c r="B95" s="196" t="str">
        <f>IF(Table1[h_Kode Sales :_1]="","",B$1+COUNT(B$2:B94))</f>
        <v/>
      </c>
      <c r="D95" s="197"/>
      <c r="E95" s="198"/>
      <c r="F95" s="197"/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J95" s="92">
        <v>120</v>
      </c>
      <c r="K95" s="92" t="s">
        <v>141</v>
      </c>
      <c r="L95" s="92">
        <v>5</v>
      </c>
      <c r="M95" s="92" t="s">
        <v>325</v>
      </c>
      <c r="N95" s="196" t="str">
        <f>IF(Table1[[#This Row],[h_Item Description]]="","",INDEX([1]!db[NB PAJAK],MATCH(Table1[[#This Row],[h_Item Description]],[1]!db[kode],0)))</f>
        <v>CORRECTION FLUID JOYKO CF-S221</v>
      </c>
      <c r="O95" s="92" t="s">
        <v>326</v>
      </c>
      <c r="P95" s="93">
        <v>70800</v>
      </c>
      <c r="Q95" s="94">
        <v>0.125</v>
      </c>
      <c r="S95" s="199">
        <f>Table1[[#This Row],[h_hargasetelahdiskon]]</f>
        <v>7434000</v>
      </c>
      <c r="V95" s="95">
        <f ca="1">IF(Table1[[#This Row],[Item Description]]="","",IF(Table1[[#This Row],[//]]="",INDIRECT(ADDRESS(ROW()-1,COLUMN())),Table1[[#This Row],[//]]))</f>
        <v>93</v>
      </c>
      <c r="W95" s="95">
        <f ca="1">IF(Table1[[#This Row],[h_id]]="","",COUNTIF(Table1[h_id],Table1[[#This Row],[h_id]]))</f>
        <v>14</v>
      </c>
      <c r="X95" s="93">
        <f>IF(Table1[Item Description]="","",Table1[[#This Row],[Qty]]*Table1[[#This Row],[Unit Price]])</f>
        <v>8496000</v>
      </c>
      <c r="Y95" s="93">
        <f>IF(Table1[Item Description]="","",Table1[[#This Row],[h_hargasebelumdiskon]]*Table1[[#This Row],[Disc 1]])</f>
        <v>1062000</v>
      </c>
      <c r="Z95" s="93">
        <f>IF(Table1[Item Description]="","",Table1[[#This Row],[h_hargasebelumdiskon]]-Table1[[#This Row],[h_diskon]])</f>
        <v>7434000</v>
      </c>
      <c r="AA95" s="93" t="str">
        <f>IF(Table1[//]="","",SUMIF(Table1[h_id],Table1[h_id],Table1[h_hargasetelahdiskon]))</f>
        <v/>
      </c>
      <c r="AB95" s="93"/>
      <c r="AC95" s="93" t="str">
        <f>Table1[[#This Row],[Item Description]]&amp;Table1[[#This Row],[Unit]]&amp;Table1[[#This Row],[Unit Price]]</f>
        <v>CORRECTION FLUID JOYKO CF-S221BOX70800</v>
      </c>
    </row>
    <row r="96" spans="1:29" x14ac:dyDescent="0.25">
      <c r="A96" s="95" t="str">
        <f>IF(Table1[No. Invoice :]="","",ROW())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120</v>
      </c>
      <c r="K96" s="92" t="s">
        <v>141</v>
      </c>
      <c r="L96" s="92">
        <v>5</v>
      </c>
      <c r="M96" s="92" t="s">
        <v>327</v>
      </c>
      <c r="N96" s="196" t="str">
        <f>IF(Table1[[#This Row],[h_Item Description]]="","",INDEX([1]!db[NB PAJAK],MATCH(Table1[[#This Row],[h_Item Description]],[1]!db[kode],0)))</f>
        <v>CORRECTION FLUID JOYKO CF-S224</v>
      </c>
      <c r="O96" s="92" t="s">
        <v>328</v>
      </c>
      <c r="P96" s="93">
        <v>70800</v>
      </c>
      <c r="Q96" s="94">
        <v>0.125</v>
      </c>
      <c r="S96" s="199">
        <f>Table1[[#This Row],[h_hargasetelahdiskon]]</f>
        <v>7434000</v>
      </c>
      <c r="V96" s="95">
        <f ca="1">IF(Table1[[#This Row],[Item Description]]="","",IF(Table1[[#This Row],[//]]="",INDIRECT(ADDRESS(ROW()-1,COLUMN())),Table1[[#This Row],[//]]))</f>
        <v>93</v>
      </c>
      <c r="W96" s="95">
        <f ca="1">IF(Table1[[#This Row],[h_id]]="","",COUNTIF(Table1[h_id],Table1[[#This Row],[h_id]]))</f>
        <v>14</v>
      </c>
      <c r="X96" s="93">
        <f>IF(Table1[Item Description]="","",Table1[[#This Row],[Qty]]*Table1[[#This Row],[Unit Price]])</f>
        <v>8496000</v>
      </c>
      <c r="Y96" s="93">
        <f>IF(Table1[Item Description]="","",Table1[[#This Row],[h_hargasebelumdiskon]]*Table1[[#This Row],[Disc 1]])</f>
        <v>1062000</v>
      </c>
      <c r="Z96" s="93">
        <f>IF(Table1[Item Description]="","",Table1[[#This Row],[h_hargasebelumdiskon]]-Table1[[#This Row],[h_diskon]])</f>
        <v>7434000</v>
      </c>
      <c r="AA96" s="93" t="str">
        <f>IF(Table1[//]="","",SUMIF(Table1[h_id],Table1[h_id],Table1[h_hargasetelahdiskon]))</f>
        <v/>
      </c>
      <c r="AB96" s="93"/>
      <c r="AC96" s="93" t="str">
        <f>Table1[[#This Row],[Item Description]]&amp;Table1[[#This Row],[Unit]]&amp;Table1[[#This Row],[Unit Price]]</f>
        <v>CORRECTION FLUID JOYKO CF-S224BOX70800</v>
      </c>
    </row>
    <row r="97" spans="1:29" x14ac:dyDescent="0.25">
      <c r="A97" s="95" t="str">
        <f>IF(Table1[No. Invoice :]="","",ROW())</f>
        <v/>
      </c>
      <c r="B97" s="196" t="str">
        <f>IF(Table1[h_Kode Sales :_1]="","",B$1+COUNT(B$2:B96))</f>
        <v/>
      </c>
      <c r="D97" s="197"/>
      <c r="E97" s="198"/>
      <c r="F97" s="197"/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J97" s="92">
        <v>300</v>
      </c>
      <c r="K97" s="92" t="s">
        <v>131</v>
      </c>
      <c r="L97" s="92">
        <v>10</v>
      </c>
      <c r="M97" s="92" t="s">
        <v>340</v>
      </c>
      <c r="N97" s="196" t="str">
        <f>IF(Table1[[#This Row],[h_Item Description]]="","",INDEX([1]!db[NB PAJAK],MATCH(Table1[[#This Row],[h_Item Description]],[1]!db[kode],0)))</f>
        <v>PENSIL JOYKO 2B P-88</v>
      </c>
      <c r="O97" s="92" t="s">
        <v>345</v>
      </c>
      <c r="P97" s="93">
        <v>104400</v>
      </c>
      <c r="Q97" s="94">
        <v>0.125</v>
      </c>
      <c r="S97" s="199">
        <f>Table1[[#This Row],[h_hargasetelahdiskon]]</f>
        <v>27405000</v>
      </c>
      <c r="V97" s="95">
        <f ca="1">IF(Table1[[#This Row],[Item Description]]="","",IF(Table1[[#This Row],[//]]="",INDIRECT(ADDRESS(ROW()-1,COLUMN())),Table1[[#This Row],[//]]))</f>
        <v>93</v>
      </c>
      <c r="W97" s="95">
        <f ca="1">IF(Table1[[#This Row],[h_id]]="","",COUNTIF(Table1[h_id],Table1[[#This Row],[h_id]]))</f>
        <v>14</v>
      </c>
      <c r="X97" s="93">
        <f>IF(Table1[Item Description]="","",Table1[[#This Row],[Qty]]*Table1[[#This Row],[Unit Price]])</f>
        <v>31320000</v>
      </c>
      <c r="Y97" s="93">
        <f>IF(Table1[Item Description]="","",Table1[[#This Row],[h_hargasebelumdiskon]]*Table1[[#This Row],[Disc 1]])</f>
        <v>3915000</v>
      </c>
      <c r="Z97" s="93">
        <f>IF(Table1[Item Description]="","",Table1[[#This Row],[h_hargasebelumdiskon]]-Table1[[#This Row],[h_diskon]])</f>
        <v>27405000</v>
      </c>
      <c r="AA97" s="93" t="str">
        <f>IF(Table1[//]="","",SUMIF(Table1[h_id],Table1[h_id],Table1[h_hargasetelahdiskon]))</f>
        <v/>
      </c>
      <c r="AB97" s="93"/>
      <c r="AC97" s="93" t="str">
        <f>Table1[[#This Row],[Item Description]]&amp;Table1[[#This Row],[Unit]]&amp;Table1[[#This Row],[Unit Price]]</f>
        <v>PENSIL JOYKO 2B P-88GRS104400</v>
      </c>
    </row>
    <row r="98" spans="1:29" x14ac:dyDescent="0.25">
      <c r="A98" s="95" t="str">
        <f>IF(Table1[No. Invoice :]="","",ROW())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J98" s="92">
        <v>864</v>
      </c>
      <c r="K98" s="92" t="s">
        <v>150</v>
      </c>
      <c r="L98" s="92">
        <v>3</v>
      </c>
      <c r="M98" s="92" t="s">
        <v>329</v>
      </c>
      <c r="N98" s="196" t="e">
        <f>IF(Table1[[#This Row],[h_Item Description]]="","",INDEX([1]!db[NB PAJAK],MATCH(Table1[[#This Row],[h_Item Description]],[1]!db[kode],0)))</f>
        <v>#N/A</v>
      </c>
      <c r="O98" s="92" t="s">
        <v>341</v>
      </c>
      <c r="P98" s="93">
        <v>4800</v>
      </c>
      <c r="Q98" s="94">
        <v>0.125</v>
      </c>
      <c r="S98" s="199">
        <f>Table1[[#This Row],[h_hargasetelahdiskon]]</f>
        <v>3628800</v>
      </c>
      <c r="V98" s="95">
        <f ca="1">IF(Table1[[#This Row],[Item Description]]="","",IF(Table1[[#This Row],[//]]="",INDIRECT(ADDRESS(ROW()-1,COLUMN())),Table1[[#This Row],[//]]))</f>
        <v>93</v>
      </c>
      <c r="W98" s="95">
        <f ca="1">IF(Table1[[#This Row],[h_id]]="","",COUNTIF(Table1[h_id],Table1[[#This Row],[h_id]]))</f>
        <v>14</v>
      </c>
      <c r="X98" s="93">
        <f>IF(Table1[Item Description]="","",Table1[[#This Row],[Qty]]*Table1[[#This Row],[Unit Price]])</f>
        <v>4147200</v>
      </c>
      <c r="Y98" s="93">
        <f>IF(Table1[Item Description]="","",Table1[[#This Row],[h_hargasebelumdiskon]]*Table1[[#This Row],[Disc 1]])</f>
        <v>518400</v>
      </c>
      <c r="Z98" s="93">
        <f>IF(Table1[Item Description]="","",Table1[[#This Row],[h_hargasebelumdiskon]]-Table1[[#This Row],[h_diskon]])</f>
        <v>3628800</v>
      </c>
      <c r="AA98" s="93" t="str">
        <f>IF(Table1[//]="","",SUMIF(Table1[h_id],Table1[h_id],Table1[h_hargasetelahdiskon]))</f>
        <v/>
      </c>
      <c r="AB98" s="93"/>
      <c r="AC98" s="93" t="str">
        <f>Table1[[#This Row],[Item Description]]&amp;Table1[[#This Row],[Unit]]&amp;Table1[[#This Row],[Unit Price]]</f>
        <v>PENCIL CASE JOYKO PC-0719 FANCY MIXPCS4800</v>
      </c>
    </row>
    <row r="99" spans="1:29" x14ac:dyDescent="0.25">
      <c r="A99" s="95" t="str">
        <f>IF(Table1[No. Invoice :]="","",ROW())</f>
        <v/>
      </c>
      <c r="B99" s="196" t="str">
        <f>IF(Table1[h_Kode Sales :_1]="","",B$1+COUNT(B$2:B98))</f>
        <v/>
      </c>
      <c r="D99" s="197"/>
      <c r="E99" s="198"/>
      <c r="F99" s="197"/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J99" s="92">
        <v>576</v>
      </c>
      <c r="K99" s="92" t="s">
        <v>150</v>
      </c>
      <c r="L99" s="92">
        <v>2</v>
      </c>
      <c r="M99" s="92" t="s">
        <v>330</v>
      </c>
      <c r="N99" s="196" t="e">
        <f>IF(Table1[[#This Row],[h_Item Description]]="","",INDEX([1]!db[NB PAJAK],MATCH(Table1[[#This Row],[h_Item Description]],[1]!db[kode],0)))</f>
        <v>#N/A</v>
      </c>
      <c r="O99" s="92" t="s">
        <v>342</v>
      </c>
      <c r="P99" s="93">
        <v>4800</v>
      </c>
      <c r="Q99" s="94">
        <v>0.125</v>
      </c>
      <c r="S99" s="199">
        <f>Table1[[#This Row],[h_hargasetelahdiskon]]</f>
        <v>2419200</v>
      </c>
      <c r="V99" s="95">
        <f ca="1">IF(Table1[[#This Row],[Item Description]]="","",IF(Table1[[#This Row],[//]]="",INDIRECT(ADDRESS(ROW()-1,COLUMN())),Table1[[#This Row],[//]]))</f>
        <v>93</v>
      </c>
      <c r="W99" s="95">
        <f ca="1">IF(Table1[[#This Row],[h_id]]="","",COUNTIF(Table1[h_id],Table1[[#This Row],[h_id]]))</f>
        <v>14</v>
      </c>
      <c r="X99" s="93">
        <f>IF(Table1[Item Description]="","",Table1[[#This Row],[Qty]]*Table1[[#This Row],[Unit Price]])</f>
        <v>2764800</v>
      </c>
      <c r="Y99" s="93">
        <f>IF(Table1[Item Description]="","",Table1[[#This Row],[h_hargasebelumdiskon]]*Table1[[#This Row],[Disc 1]])</f>
        <v>345600</v>
      </c>
      <c r="Z99" s="93">
        <f>IF(Table1[Item Description]="","",Table1[[#This Row],[h_hargasebelumdiskon]]-Table1[[#This Row],[h_diskon]])</f>
        <v>2419200</v>
      </c>
      <c r="AA99" s="93" t="str">
        <f>IF(Table1[//]="","",SUMIF(Table1[h_id],Table1[h_id],Table1[h_hargasetelahdiskon]))</f>
        <v/>
      </c>
      <c r="AB99" s="93"/>
      <c r="AC99" s="93" t="str">
        <f>Table1[[#This Row],[Item Description]]&amp;Table1[[#This Row],[Unit]]&amp;Table1[[#This Row],[Unit Price]]</f>
        <v>PENCIL CASE JOYKO PC-0719 PASTEL POLOS MIXPCS4800</v>
      </c>
    </row>
    <row r="100" spans="1:29" x14ac:dyDescent="0.25">
      <c r="A100" s="95" t="str">
        <f>IF(Table1[No. Invoice :]="","",ROW())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J100" s="92">
        <v>720</v>
      </c>
      <c r="K100" s="92" t="s">
        <v>150</v>
      </c>
      <c r="L100" s="92">
        <v>5</v>
      </c>
      <c r="M100" s="92" t="s">
        <v>331</v>
      </c>
      <c r="N100" s="196" t="str">
        <f>IF(Table1[[#This Row],[h_Item Description]]="","",INDEX([1]!db[NB PAJAK],MATCH(Table1[[#This Row],[h_Item Description]],[1]!db[kode],0)))</f>
        <v>PENSIL WARNA JOYKO CP-100 (12W PANJANG)</v>
      </c>
      <c r="O100" s="92" t="s">
        <v>346</v>
      </c>
      <c r="P100" s="93">
        <v>9600</v>
      </c>
      <c r="Q100" s="94">
        <v>0.125</v>
      </c>
      <c r="S100" s="199">
        <f>Table1[[#This Row],[h_hargasetelahdiskon]]</f>
        <v>6048000</v>
      </c>
      <c r="V100" s="95">
        <f ca="1">IF(Table1[[#This Row],[Item Description]]="","",IF(Table1[[#This Row],[//]]="",INDIRECT(ADDRESS(ROW()-1,COLUMN())),Table1[[#This Row],[//]]))</f>
        <v>93</v>
      </c>
      <c r="W100" s="95">
        <f ca="1">IF(Table1[[#This Row],[h_id]]="","",COUNTIF(Table1[h_id],Table1[[#This Row],[h_id]]))</f>
        <v>14</v>
      </c>
      <c r="X100" s="93">
        <f>IF(Table1[Item Description]="","",Table1[[#This Row],[Qty]]*Table1[[#This Row],[Unit Price]])</f>
        <v>6912000</v>
      </c>
      <c r="Y100" s="93">
        <f>IF(Table1[Item Description]="","",Table1[[#This Row],[h_hargasebelumdiskon]]*Table1[[#This Row],[Disc 1]])</f>
        <v>864000</v>
      </c>
      <c r="Z100" s="93">
        <f>IF(Table1[Item Description]="","",Table1[[#This Row],[h_hargasebelumdiskon]]-Table1[[#This Row],[h_diskon]])</f>
        <v>6048000</v>
      </c>
      <c r="AA100" s="93" t="str">
        <f>IF(Table1[//]="","",SUMIF(Table1[h_id],Table1[h_id],Table1[h_hargasetelahdiskon]))</f>
        <v/>
      </c>
      <c r="AB100" s="93"/>
      <c r="AC100" s="93" t="str">
        <f>Table1[[#This Row],[Item Description]]&amp;Table1[[#This Row],[Unit]]&amp;Table1[[#This Row],[Unit Price]]</f>
        <v>PENSIL WARNA JOYKO CP-100 (12W PANJANG)PCS9600</v>
      </c>
    </row>
    <row r="101" spans="1:29" x14ac:dyDescent="0.25">
      <c r="A101" s="95" t="str">
        <f>IF(Table1[No. Invoice :]="","",ROW())</f>
        <v/>
      </c>
      <c r="B101" s="196" t="str">
        <f>IF(Table1[h_Kode Sales :_1]="","",B$1+COUNT(B$2:B100))</f>
        <v/>
      </c>
      <c r="D101" s="197"/>
      <c r="E101" s="198"/>
      <c r="F101" s="197"/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J101" s="92">
        <v>576</v>
      </c>
      <c r="K101" s="92" t="s">
        <v>150</v>
      </c>
      <c r="L101" s="92">
        <v>2</v>
      </c>
      <c r="M101" s="92" t="s">
        <v>332</v>
      </c>
      <c r="N101" s="196" t="str">
        <f>IF(Table1[[#This Row],[h_Item Description]]="","",INDEX([1]!db[NB PAJAK],MATCH(Table1[[#This Row],[h_Item Description]],[1]!db[kode],0)))</f>
        <v>PENSIL WARNA JOYKO CP-S12 MINI (PENDEK)</v>
      </c>
      <c r="O101" s="92" t="s">
        <v>347</v>
      </c>
      <c r="P101" s="93">
        <v>6700</v>
      </c>
      <c r="Q101" s="94">
        <v>0.125</v>
      </c>
      <c r="S101" s="199">
        <f>Table1[[#This Row],[h_hargasetelahdiskon]]</f>
        <v>3376800</v>
      </c>
      <c r="V101" s="95">
        <f ca="1">IF(Table1[[#This Row],[Item Description]]="","",IF(Table1[[#This Row],[//]]="",INDIRECT(ADDRESS(ROW()-1,COLUMN())),Table1[[#This Row],[//]]))</f>
        <v>93</v>
      </c>
      <c r="W101" s="95">
        <f ca="1">IF(Table1[[#This Row],[h_id]]="","",COUNTIF(Table1[h_id],Table1[[#This Row],[h_id]]))</f>
        <v>14</v>
      </c>
      <c r="X101" s="93">
        <f>IF(Table1[Item Description]="","",Table1[[#This Row],[Qty]]*Table1[[#This Row],[Unit Price]])</f>
        <v>3859200</v>
      </c>
      <c r="Y101" s="93">
        <f>IF(Table1[Item Description]="","",Table1[[#This Row],[h_hargasebelumdiskon]]*Table1[[#This Row],[Disc 1]])</f>
        <v>482400</v>
      </c>
      <c r="Z101" s="93">
        <f>IF(Table1[Item Description]="","",Table1[[#This Row],[h_hargasebelumdiskon]]-Table1[[#This Row],[h_diskon]])</f>
        <v>3376800</v>
      </c>
      <c r="AA101" s="93" t="str">
        <f>IF(Table1[//]="","",SUMIF(Table1[h_id],Table1[h_id],Table1[h_hargasetelahdiskon]))</f>
        <v/>
      </c>
      <c r="AB101" s="93"/>
      <c r="AC101" s="93" t="str">
        <f>Table1[[#This Row],[Item Description]]&amp;Table1[[#This Row],[Unit]]&amp;Table1[[#This Row],[Unit Price]]</f>
        <v>PENSIL WARNA JOYKO CP-S12 MINI (PENDEK)PCS6700</v>
      </c>
    </row>
    <row r="102" spans="1:29" x14ac:dyDescent="0.25">
      <c r="A102" s="95" t="str">
        <f>IF(Table1[No. Invoice :]="","",ROW())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1440</v>
      </c>
      <c r="K102" s="92" t="s">
        <v>150</v>
      </c>
      <c r="L102" s="92">
        <v>10</v>
      </c>
      <c r="M102" s="92" t="s">
        <v>333</v>
      </c>
      <c r="N102" s="196" t="str">
        <f>IF(Table1[[#This Row],[h_Item Description]]="","",INDEX([1]!db[NB PAJAK],MATCH(Table1[[#This Row],[h_Item Description]],[1]!db[kode],0)))</f>
        <v>PENSIL WARNA JOYKO CP-12PB (PANJANG)</v>
      </c>
      <c r="O102" s="92" t="s">
        <v>248</v>
      </c>
      <c r="P102" s="93">
        <v>10600</v>
      </c>
      <c r="Q102" s="94">
        <v>0.125</v>
      </c>
      <c r="S102" s="199">
        <f>Table1[[#This Row],[h_hargasetelahdiskon]]</f>
        <v>13356000</v>
      </c>
      <c r="V102" s="95">
        <f ca="1">IF(Table1[[#This Row],[Item Description]]="","",IF(Table1[[#This Row],[//]]="",INDIRECT(ADDRESS(ROW()-1,COLUMN())),Table1[[#This Row],[//]]))</f>
        <v>93</v>
      </c>
      <c r="W102" s="95">
        <f ca="1">IF(Table1[[#This Row],[h_id]]="","",COUNTIF(Table1[h_id],Table1[[#This Row],[h_id]]))</f>
        <v>14</v>
      </c>
      <c r="X102" s="93">
        <f>IF(Table1[Item Description]="","",Table1[[#This Row],[Qty]]*Table1[[#This Row],[Unit Price]])</f>
        <v>15264000</v>
      </c>
      <c r="Y102" s="93">
        <f>IF(Table1[Item Description]="","",Table1[[#This Row],[h_hargasebelumdiskon]]*Table1[[#This Row],[Disc 1]])</f>
        <v>1908000</v>
      </c>
      <c r="Z102" s="93">
        <f>IF(Table1[Item Description]="","",Table1[[#This Row],[h_hargasebelumdiskon]]-Table1[[#This Row],[h_diskon]])</f>
        <v>13356000</v>
      </c>
      <c r="AA102" s="93" t="str">
        <f>IF(Table1[//]="","",SUMIF(Table1[h_id],Table1[h_id],Table1[h_hargasetelahdiskon]))</f>
        <v/>
      </c>
      <c r="AB102" s="93"/>
      <c r="AC102" s="93" t="str">
        <f>Table1[[#This Row],[Item Description]]&amp;Table1[[#This Row],[Unit]]&amp;Table1[[#This Row],[Unit Price]]</f>
        <v>PENSIL WARNA JOYKO CP-12PB (PANJANG)PCS10600</v>
      </c>
    </row>
    <row r="103" spans="1:29" x14ac:dyDescent="0.25">
      <c r="A103" s="95" t="str">
        <f>IF(Table1[No. Invoice :]="","",ROW())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J103" s="92">
        <v>360</v>
      </c>
      <c r="K103" s="92" t="s">
        <v>150</v>
      </c>
      <c r="L103" s="92">
        <v>5</v>
      </c>
      <c r="M103" s="92" t="s">
        <v>334</v>
      </c>
      <c r="N103" s="196" t="str">
        <f>IF(Table1[[#This Row],[h_Item Description]]="","",INDEX([1]!db[NB PAJAK],MATCH(Table1[[#This Row],[h_Item Description]],[1]!db[kode],0)))</f>
        <v>PENSIL WARNA JOYKO CP-24PB (PANJANG)</v>
      </c>
      <c r="O103" s="92" t="s">
        <v>348</v>
      </c>
      <c r="P103" s="93">
        <v>21200</v>
      </c>
      <c r="Q103" s="94">
        <v>0.125</v>
      </c>
      <c r="S103" s="199">
        <f>Table1[[#This Row],[h_hargasetelahdiskon]]</f>
        <v>6678000</v>
      </c>
      <c r="V103" s="95">
        <f ca="1">IF(Table1[[#This Row],[Item Description]]="","",IF(Table1[[#This Row],[//]]="",INDIRECT(ADDRESS(ROW()-1,COLUMN())),Table1[[#This Row],[//]]))</f>
        <v>93</v>
      </c>
      <c r="W103" s="95">
        <f ca="1">IF(Table1[[#This Row],[h_id]]="","",COUNTIF(Table1[h_id],Table1[[#This Row],[h_id]]))</f>
        <v>14</v>
      </c>
      <c r="X103" s="93">
        <f>IF(Table1[Item Description]="","",Table1[[#This Row],[Qty]]*Table1[[#This Row],[Unit Price]])</f>
        <v>7632000</v>
      </c>
      <c r="Y103" s="93">
        <f>IF(Table1[Item Description]="","",Table1[[#This Row],[h_hargasebelumdiskon]]*Table1[[#This Row],[Disc 1]])</f>
        <v>954000</v>
      </c>
      <c r="Z103" s="93">
        <f>IF(Table1[Item Description]="","",Table1[[#This Row],[h_hargasebelumdiskon]]-Table1[[#This Row],[h_diskon]])</f>
        <v>6678000</v>
      </c>
      <c r="AA103" s="93" t="str">
        <f>IF(Table1[//]="","",SUMIF(Table1[h_id],Table1[h_id],Table1[h_hargasetelahdiskon]))</f>
        <v/>
      </c>
      <c r="AB103" s="93"/>
      <c r="AC103" s="93" t="str">
        <f>Table1[[#This Row],[Item Description]]&amp;Table1[[#This Row],[Unit]]&amp;Table1[[#This Row],[Unit Price]]</f>
        <v>PENSIL WARNA JOYKO CP-24PB (PANJANG)PCS21200</v>
      </c>
    </row>
    <row r="104" spans="1:29" x14ac:dyDescent="0.25">
      <c r="A104" s="95" t="str">
        <f>IF(Table1[No. Invoice :]="","",ROW())</f>
        <v/>
      </c>
      <c r="B104" s="196" t="str">
        <f>IF(Table1[h_Kode Sales :_1]="","",B$1+COUNT(B$2:B103))</f>
        <v/>
      </c>
      <c r="D104" s="197"/>
      <c r="E104" s="198"/>
      <c r="F104" s="197"/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J104" s="92">
        <v>216</v>
      </c>
      <c r="K104" s="92" t="s">
        <v>150</v>
      </c>
      <c r="L104" s="92">
        <v>1</v>
      </c>
      <c r="M104" s="92" t="s">
        <v>335</v>
      </c>
      <c r="N104" s="196" t="str">
        <f>IF(Table1[[#This Row],[h_Item Description]]="","",INDEX([1]!db[NB PAJAK],MATCH(Table1[[#This Row],[h_Item Description]],[1]!db[kode],0)))</f>
        <v>STAMP PAD JOYKO NO. 0</v>
      </c>
      <c r="O104" s="92" t="s">
        <v>349</v>
      </c>
      <c r="P104" s="93">
        <v>4900</v>
      </c>
      <c r="Q104" s="94">
        <v>0.125</v>
      </c>
      <c r="S104" s="199">
        <f>Table1[[#This Row],[h_hargasetelahdiskon]]</f>
        <v>926100</v>
      </c>
      <c r="V104" s="95">
        <f ca="1">IF(Table1[[#This Row],[Item Description]]="","",IF(Table1[[#This Row],[//]]="",INDIRECT(ADDRESS(ROW()-1,COLUMN())),Table1[[#This Row],[//]]))</f>
        <v>93</v>
      </c>
      <c r="W104" s="95">
        <f ca="1">IF(Table1[[#This Row],[h_id]]="","",COUNTIF(Table1[h_id],Table1[[#This Row],[h_id]]))</f>
        <v>14</v>
      </c>
      <c r="X104" s="93">
        <f>IF(Table1[Item Description]="","",Table1[[#This Row],[Qty]]*Table1[[#This Row],[Unit Price]])</f>
        <v>1058400</v>
      </c>
      <c r="Y104" s="93">
        <f>IF(Table1[Item Description]="","",Table1[[#This Row],[h_hargasebelumdiskon]]*Table1[[#This Row],[Disc 1]])</f>
        <v>132300</v>
      </c>
      <c r="Z104" s="93">
        <f>IF(Table1[Item Description]="","",Table1[[#This Row],[h_hargasebelumdiskon]]-Table1[[#This Row],[h_diskon]])</f>
        <v>926100</v>
      </c>
      <c r="AA104" s="93" t="str">
        <f>IF(Table1[//]="","",SUMIF(Table1[h_id],Table1[h_id],Table1[h_hargasetelahdiskon]))</f>
        <v/>
      </c>
      <c r="AB104" s="93"/>
      <c r="AC104" s="93" t="str">
        <f>Table1[[#This Row],[Item Description]]&amp;Table1[[#This Row],[Unit]]&amp;Table1[[#This Row],[Unit Price]]</f>
        <v>STAMP PAD JOYKO NO. 0PCS4900</v>
      </c>
    </row>
    <row r="105" spans="1:29" x14ac:dyDescent="0.25">
      <c r="A105" s="95" t="str">
        <f>IF(Table1[No. Invoice :]="","",ROW())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J105" s="92">
        <v>216</v>
      </c>
      <c r="K105" s="92" t="s">
        <v>150</v>
      </c>
      <c r="L105" s="92">
        <v>1</v>
      </c>
      <c r="M105" s="92" t="s">
        <v>336</v>
      </c>
      <c r="N105" s="196" t="str">
        <f>IF(Table1[[#This Row],[h_Item Description]]="","",INDEX([1]!db[NB PAJAK],MATCH(Table1[[#This Row],[h_Item Description]],[1]!db[kode],0)))</f>
        <v>STAMP PAD JOYKO NO. 1</v>
      </c>
      <c r="O105" s="92" t="s">
        <v>350</v>
      </c>
      <c r="P105" s="93">
        <v>5800</v>
      </c>
      <c r="Q105" s="94">
        <v>0.125</v>
      </c>
      <c r="S105" s="199">
        <f>Table1[[#This Row],[h_hargasetelahdiskon]]</f>
        <v>1096200</v>
      </c>
      <c r="V105" s="95">
        <f ca="1">IF(Table1[[#This Row],[Item Description]]="","",IF(Table1[[#This Row],[//]]="",INDIRECT(ADDRESS(ROW()-1,COLUMN())),Table1[[#This Row],[//]]))</f>
        <v>93</v>
      </c>
      <c r="W105" s="95">
        <f ca="1">IF(Table1[[#This Row],[h_id]]="","",COUNTIF(Table1[h_id],Table1[[#This Row],[h_id]]))</f>
        <v>14</v>
      </c>
      <c r="X105" s="93">
        <f>IF(Table1[Item Description]="","",Table1[[#This Row],[Qty]]*Table1[[#This Row],[Unit Price]])</f>
        <v>1252800</v>
      </c>
      <c r="Y105" s="93">
        <f>IF(Table1[Item Description]="","",Table1[[#This Row],[h_hargasebelumdiskon]]*Table1[[#This Row],[Disc 1]])</f>
        <v>156600</v>
      </c>
      <c r="Z105" s="93">
        <f>IF(Table1[Item Description]="","",Table1[[#This Row],[h_hargasebelumdiskon]]-Table1[[#This Row],[h_diskon]])</f>
        <v>1096200</v>
      </c>
      <c r="AA105" s="93" t="str">
        <f>IF(Table1[//]="","",SUMIF(Table1[h_id],Table1[h_id],Table1[h_hargasetelahdiskon]))</f>
        <v/>
      </c>
      <c r="AB105" s="93"/>
      <c r="AC105" s="93" t="str">
        <f>Table1[[#This Row],[Item Description]]&amp;Table1[[#This Row],[Unit]]&amp;Table1[[#This Row],[Unit Price]]</f>
        <v>STAMP PAD JOYKO NO. 1PCS5800</v>
      </c>
    </row>
    <row r="106" spans="1:29" x14ac:dyDescent="0.25">
      <c r="A106" s="95" t="str">
        <f>IF(Table1[No. Invoice :]="","",ROW())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J106" s="92">
        <v>288</v>
      </c>
      <c r="K106" s="92" t="s">
        <v>150</v>
      </c>
      <c r="L106" s="92">
        <v>1</v>
      </c>
      <c r="M106" s="92" t="s">
        <v>337</v>
      </c>
      <c r="N106" s="196" t="str">
        <f>IF(Table1[[#This Row],[h_Item Description]]="","",INDEX([1]!db[NB PAJAK],MATCH(Table1[[#This Row],[h_Item Description]],[1]!db[kode],0)))</f>
        <v>JANGKA (MATH SET) JOYKO MS-402</v>
      </c>
      <c r="O106" s="92" t="s">
        <v>351</v>
      </c>
      <c r="P106" s="93">
        <v>12000</v>
      </c>
      <c r="Q106" s="94">
        <v>0.125</v>
      </c>
      <c r="S106" s="199">
        <f>Table1[[#This Row],[h_hargasetelahdiskon]]</f>
        <v>3024000</v>
      </c>
      <c r="V106" s="95">
        <f ca="1">IF(Table1[[#This Row],[Item Description]]="","",IF(Table1[[#This Row],[//]]="",INDIRECT(ADDRESS(ROW()-1,COLUMN())),Table1[[#This Row],[//]]))</f>
        <v>93</v>
      </c>
      <c r="W106" s="95">
        <f ca="1">IF(Table1[[#This Row],[h_id]]="","",COUNTIF(Table1[h_id],Table1[[#This Row],[h_id]]))</f>
        <v>14</v>
      </c>
      <c r="X106" s="93">
        <f>IF(Table1[Item Description]="","",Table1[[#This Row],[Qty]]*Table1[[#This Row],[Unit Price]])</f>
        <v>3456000</v>
      </c>
      <c r="Y106" s="93">
        <f>IF(Table1[Item Description]="","",Table1[[#This Row],[h_hargasebelumdiskon]]*Table1[[#This Row],[Disc 1]])</f>
        <v>432000</v>
      </c>
      <c r="Z106" s="93">
        <f>IF(Table1[Item Description]="","",Table1[[#This Row],[h_hargasebelumdiskon]]-Table1[[#This Row],[h_diskon]])</f>
        <v>3024000</v>
      </c>
      <c r="AA106" s="93" t="str">
        <f>IF(Table1[//]="","",SUMIF(Table1[h_id],Table1[h_id],Table1[h_hargasetelahdiskon]))</f>
        <v/>
      </c>
      <c r="AB106" s="93"/>
      <c r="AC106" s="93" t="str">
        <f>Table1[[#This Row],[Item Description]]&amp;Table1[[#This Row],[Unit]]&amp;Table1[[#This Row],[Unit Price]]</f>
        <v>JANGKA (MATH SET) JOYKO MS-402PCS12000</v>
      </c>
    </row>
    <row r="107" spans="1:29" x14ac:dyDescent="0.25">
      <c r="A107" s="95" t="str">
        <f>IF(Table1[No. Invoice :]="","",ROW())</f>
        <v/>
      </c>
      <c r="B107" s="291" t="str">
        <f>IF(Table1[h_Kode Sales :_1]="","",B$1+COUNT(B$2:B106))</f>
        <v/>
      </c>
      <c r="D107" s="292"/>
      <c r="E107" s="293"/>
      <c r="F107" s="292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M107" s="292"/>
      <c r="N107" s="291" t="str">
        <f>IF(Table1[[#This Row],[h_Item Description]]="","",INDEX([1]!db[NB PAJAK],MATCH(Table1[[#This Row],[h_Item Description]],[1]!db[kode],0)))</f>
        <v/>
      </c>
      <c r="P107" s="93"/>
      <c r="Q107" s="94"/>
      <c r="S107" s="294" t="str">
        <f>Table1[[#This Row],[h_hargasetelahdiskon]]</f>
        <v/>
      </c>
      <c r="V107" s="95" t="str">
        <f ca="1">IF(Table1[[#This Row],[Item Description]]="","",IF(Table1[[#This Row],[//]]="",INDIRECT(ADDRESS(ROW()-1,COLUMN())),Table1[[#This Row],[//]]))</f>
        <v/>
      </c>
      <c r="W107" s="95" t="str">
        <f ca="1">IF(Table1[[#This Row],[h_id]]="","",COUNTIF(Table1[h_id],Table1[[#This Row],[h_id]]))</f>
        <v/>
      </c>
      <c r="X107" s="93" t="str">
        <f>IF(Table1[Item Description]="","",Table1[[#This Row],[Qty]]*Table1[[#This Row],[Unit Price]])</f>
        <v/>
      </c>
      <c r="Y107" s="93" t="str">
        <f>IF(Table1[Item Description]="","",Table1[[#This Row],[h_hargasebelumdiskon]]*Table1[[#This Row],[Disc 1]])</f>
        <v/>
      </c>
      <c r="Z107" s="93" t="str">
        <f>IF(Table1[Item Description]="","",Table1[[#This Row],[h_hargasebelumdiskon]]-Table1[[#This Row],[h_diskon]])</f>
        <v/>
      </c>
      <c r="AA107" s="93" t="str">
        <f>IF(Table1[//]="","",SUMIF(Table1[h_id],Table1[h_id],Table1[h_hargasetelahdiskon]))</f>
        <v/>
      </c>
      <c r="AB107" s="93"/>
      <c r="AC107" s="93" t="str">
        <f>Table1[[#This Row],[Item Description]]&amp;Table1[[#This Row],[Unit]]&amp;Table1[[#This Row],[Unit Price]]</f>
        <v/>
      </c>
    </row>
    <row r="108" spans="1:29" x14ac:dyDescent="0.25">
      <c r="A108" s="95">
        <f>IF(Table1[No. Invoice :]="","",ROW())</f>
        <v>108</v>
      </c>
      <c r="B108" s="291">
        <f>IF(Table1[h_Kode Sales :_1]="","",B$1+COUNT(B$2:B107))</f>
        <v>23020022</v>
      </c>
      <c r="C108" s="98">
        <v>44970</v>
      </c>
      <c r="D108" s="292" t="s">
        <v>184</v>
      </c>
      <c r="E108" s="293" t="s">
        <v>365</v>
      </c>
      <c r="F108" s="292" t="s">
        <v>103</v>
      </c>
      <c r="G108" s="95" t="str">
        <f>IF(Table1[[#This Row],[h_No. Invoice :]]="","",CONCATENATE("AM"," ",Table1[[#This Row],[h_No. Invoice :]]))</f>
        <v>AM 23020022</v>
      </c>
      <c r="H108" s="96" t="str">
        <f>CONCATENATE(UPPER(Table1[[#This Row],[h_Kode Sales :_1]])," ",Table1[[#This Row],[h_Kode Sales :_2]])</f>
        <v>G 0891</v>
      </c>
      <c r="I108" s="95" t="str">
        <f>IF(Table1[[#This Row],[h_toko]]="","",INDEX(Table2[e],IF(Table1[[#This Row],[h_toko]]="","",MATCH(Table1[[#This Row],[h_toko]],Table2[a],0)),))</f>
        <v>LILY JULIAWATI (REJO AGUNG) JOMBANG</v>
      </c>
      <c r="J108" s="92">
        <v>24</v>
      </c>
      <c r="K108" s="92" t="s">
        <v>92</v>
      </c>
      <c r="L108" s="92">
        <v>1</v>
      </c>
      <c r="M108" s="292" t="s">
        <v>366</v>
      </c>
      <c r="N108" s="291" t="str">
        <f>IF(Table1[[#This Row],[h_Item Description]]="","",INDEX([1]!db[NB PAJAK],MATCH(Table1[[#This Row],[h_Item Description]],[1]!db[kode],0)))</f>
        <v>JANGKA (MATH SET) JOYKO MS-75</v>
      </c>
      <c r="O108" s="92" t="s">
        <v>367</v>
      </c>
      <c r="P108" s="93">
        <v>89400</v>
      </c>
      <c r="Q108" s="94">
        <v>0.125</v>
      </c>
      <c r="S108" s="294">
        <f>Table1[[#This Row],[h_hargasetelahdiskon]]</f>
        <v>1877400</v>
      </c>
      <c r="T108" s="93" t="s">
        <v>93</v>
      </c>
      <c r="V108" s="95">
        <f ca="1">IF(Table1[[#This Row],[Item Description]]="","",IF(Table1[[#This Row],[//]]="",INDIRECT(ADDRESS(ROW()-1,COLUMN())),Table1[[#This Row],[//]]))</f>
        <v>108</v>
      </c>
      <c r="W108" s="95">
        <f ca="1">IF(Table1[[#This Row],[h_id]]="","",COUNTIF(Table1[h_id],Table1[[#This Row],[h_id]]))</f>
        <v>11</v>
      </c>
      <c r="X108" s="93">
        <f>IF(Table1[Item Description]="","",Table1[[#This Row],[Qty]]*Table1[[#This Row],[Unit Price]])</f>
        <v>2145600</v>
      </c>
      <c r="Y108" s="93">
        <f>IF(Table1[Item Description]="","",Table1[[#This Row],[h_hargasebelumdiskon]]*Table1[[#This Row],[Disc 1]])</f>
        <v>268200</v>
      </c>
      <c r="Z108" s="93">
        <f>IF(Table1[Item Description]="","",Table1[[#This Row],[h_hargasebelumdiskon]]-Table1[[#This Row],[h_diskon]])</f>
        <v>1877400</v>
      </c>
      <c r="AA108" s="93">
        <f ca="1">IF(Table1[//]="","",SUMIF(Table1[h_id],Table1[h_id],Table1[h_hargasetelahdiskon]))</f>
        <v>52427550</v>
      </c>
      <c r="AB108" s="93"/>
      <c r="AC108" s="93" t="str">
        <f>Table1[[#This Row],[Item Description]]&amp;Table1[[#This Row],[Unit]]&amp;Table1[[#This Row],[Unit Price]]</f>
        <v>JANGKA (MATH SET) JOYKO MS-75LSN89400</v>
      </c>
    </row>
    <row r="109" spans="1:29" x14ac:dyDescent="0.25">
      <c r="A109" s="95" t="str">
        <f>IF(Table1[No. Invoice :]="","",ROW())</f>
        <v/>
      </c>
      <c r="B109" s="291" t="str">
        <f>IF(Table1[h_Kode Sales :_1]="","",B$1+COUNT(B$2:B108))</f>
        <v/>
      </c>
      <c r="D109" s="292"/>
      <c r="E109" s="293"/>
      <c r="F109" s="292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J109" s="92">
        <v>4320</v>
      </c>
      <c r="K109" s="92" t="s">
        <v>150</v>
      </c>
      <c r="L109" s="92">
        <v>5</v>
      </c>
      <c r="M109" s="292" t="s">
        <v>368</v>
      </c>
      <c r="N109" s="291" t="str">
        <f>IF(Table1[[#This Row],[h_Item Description]]="","",INDEX([1]!db[NB PAJAK],MATCH(Table1[[#This Row],[h_Item Description]],[1]!db[kode],0)))</f>
        <v>LEM STICK JOYKO 15 GR GS-104 TG (ANIMAL KINGDOM) isi 24 pc</v>
      </c>
      <c r="O109" s="92" t="s">
        <v>378</v>
      </c>
      <c r="P109" s="93">
        <v>2450</v>
      </c>
      <c r="Q109" s="94">
        <v>0.125</v>
      </c>
      <c r="S109" s="294">
        <f>Table1[[#This Row],[h_hargasetelahdiskon]]</f>
        <v>9261000</v>
      </c>
      <c r="V109" s="95">
        <f ca="1">IF(Table1[[#This Row],[Item Description]]="","",IF(Table1[[#This Row],[//]]="",INDIRECT(ADDRESS(ROW()-1,COLUMN())),Table1[[#This Row],[//]]))</f>
        <v>108</v>
      </c>
      <c r="W109" s="95">
        <f ca="1">IF(Table1[[#This Row],[h_id]]="","",COUNTIF(Table1[h_id],Table1[[#This Row],[h_id]]))</f>
        <v>11</v>
      </c>
      <c r="X109" s="93">
        <f>IF(Table1[Item Description]="","",Table1[[#This Row],[Qty]]*Table1[[#This Row],[Unit Price]])</f>
        <v>10584000</v>
      </c>
      <c r="Y109" s="93">
        <f>IF(Table1[Item Description]="","",Table1[[#This Row],[h_hargasebelumdiskon]]*Table1[[#This Row],[Disc 1]])</f>
        <v>1323000</v>
      </c>
      <c r="Z109" s="93">
        <f>IF(Table1[Item Description]="","",Table1[[#This Row],[h_hargasebelumdiskon]]-Table1[[#This Row],[h_diskon]])</f>
        <v>9261000</v>
      </c>
      <c r="AA109" s="93" t="str">
        <f>IF(Table1[//]="","",SUMIF(Table1[h_id],Table1[h_id],Table1[h_hargasetelahdiskon]))</f>
        <v/>
      </c>
      <c r="AB109" s="93"/>
      <c r="AC109" s="93" t="str">
        <f>Table1[[#This Row],[Item Description]]&amp;Table1[[#This Row],[Unit]]&amp;Table1[[#This Row],[Unit Price]]</f>
        <v>LEM STICK JOYKO 15 GR GS-104 TG (ANIMAL KINGDOM) isi 24 pcPCS2450</v>
      </c>
    </row>
    <row r="110" spans="1:29" x14ac:dyDescent="0.25">
      <c r="A110" s="95" t="str">
        <f>IF(Table1[No. Invoice :]="","",ROW())</f>
        <v/>
      </c>
      <c r="B110" s="291" t="str">
        <f>IF(Table1[h_Kode Sales :_1]="","",B$1+COUNT(B$2:B109))</f>
        <v/>
      </c>
      <c r="D110" s="292"/>
      <c r="E110" s="293"/>
      <c r="F110" s="292"/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J110" s="92">
        <v>768</v>
      </c>
      <c r="K110" s="92" t="s">
        <v>150</v>
      </c>
      <c r="L110" s="92">
        <v>1</v>
      </c>
      <c r="M110" s="292" t="s">
        <v>369</v>
      </c>
      <c r="N110" s="291" t="e">
        <f>IF(Table1[[#This Row],[h_Item Description]]="","",INDEX([1]!db[NB PAJAK],MATCH(Table1[[#This Row],[h_Item Description]],[1]!db[kode],0)))</f>
        <v>#N/A</v>
      </c>
      <c r="O110" s="92" t="s">
        <v>379</v>
      </c>
      <c r="P110" s="93">
        <v>2100</v>
      </c>
      <c r="Q110" s="94">
        <v>0.125</v>
      </c>
      <c r="S110" s="294">
        <f>Table1[[#This Row],[h_hargasetelahdiskon]]</f>
        <v>1411200</v>
      </c>
      <c r="V110" s="95">
        <f ca="1">IF(Table1[[#This Row],[Item Description]]="","",IF(Table1[[#This Row],[//]]="",INDIRECT(ADDRESS(ROW()-1,COLUMN())),Table1[[#This Row],[//]]))</f>
        <v>108</v>
      </c>
      <c r="W110" s="95">
        <f ca="1">IF(Table1[[#This Row],[h_id]]="","",COUNTIF(Table1[h_id],Table1[[#This Row],[h_id]]))</f>
        <v>11</v>
      </c>
      <c r="X110" s="93">
        <f>IF(Table1[Item Description]="","",Table1[[#This Row],[Qty]]*Table1[[#This Row],[Unit Price]])</f>
        <v>1612800</v>
      </c>
      <c r="Y110" s="93">
        <f>IF(Table1[Item Description]="","",Table1[[#This Row],[h_hargasebelumdiskon]]*Table1[[#This Row],[Disc 1]])</f>
        <v>201600</v>
      </c>
      <c r="Z110" s="93">
        <f>IF(Table1[Item Description]="","",Table1[[#This Row],[h_hargasebelumdiskon]]-Table1[[#This Row],[h_diskon]])</f>
        <v>1411200</v>
      </c>
      <c r="AA110" s="93" t="str">
        <f>IF(Table1[//]="","",SUMIF(Table1[h_id],Table1[h_id],Table1[h_hargasetelahdiskon]))</f>
        <v/>
      </c>
      <c r="AB110" s="93"/>
      <c r="AC110" s="93" t="str">
        <f>Table1[[#This Row],[Item Description]]&amp;Table1[[#This Row],[Unit]]&amp;Table1[[#This Row],[Unit Price]]</f>
        <v>LEM STICK JOYKO 8 GR GS-09 isi 12 pcPCS2100</v>
      </c>
    </row>
    <row r="111" spans="1:29" x14ac:dyDescent="0.25">
      <c r="A111" s="95" t="str">
        <f>IF(Table1[No. Invoice :]="","",ROW())</f>
        <v/>
      </c>
      <c r="B111" s="291" t="str">
        <f>IF(Table1[h_Kode Sales :_1]="","",B$1+COUNT(B$2:B110))</f>
        <v/>
      </c>
      <c r="D111" s="292"/>
      <c r="E111" s="293"/>
      <c r="F111" s="292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J111" s="92">
        <v>48</v>
      </c>
      <c r="K111" s="92" t="s">
        <v>131</v>
      </c>
      <c r="L111" s="92">
        <v>4</v>
      </c>
      <c r="M111" s="292" t="s">
        <v>256</v>
      </c>
      <c r="N111" s="291" t="str">
        <f>IF(Table1[[#This Row],[h_Item Description]]="","",INDEX([1]!db[NB PAJAK],MATCH(Table1[[#This Row],[h_Item Description]],[1]!db[kode],0)))</f>
        <v>ISI PENSIL 2B 0.5 MM JOYKO PL-05</v>
      </c>
      <c r="O111" s="92" t="s">
        <v>266</v>
      </c>
      <c r="P111" s="93">
        <v>176400</v>
      </c>
      <c r="Q111" s="94">
        <v>0.125</v>
      </c>
      <c r="S111" s="294">
        <f>Table1[[#This Row],[h_hargasetelahdiskon]]</f>
        <v>7408800</v>
      </c>
      <c r="V111" s="95">
        <f ca="1">IF(Table1[[#This Row],[Item Description]]="","",IF(Table1[[#This Row],[//]]="",INDIRECT(ADDRESS(ROW()-1,COLUMN())),Table1[[#This Row],[//]]))</f>
        <v>108</v>
      </c>
      <c r="W111" s="95">
        <f ca="1">IF(Table1[[#This Row],[h_id]]="","",COUNTIF(Table1[h_id],Table1[[#This Row],[h_id]]))</f>
        <v>11</v>
      </c>
      <c r="X111" s="93">
        <f>IF(Table1[Item Description]="","",Table1[[#This Row],[Qty]]*Table1[[#This Row],[Unit Price]])</f>
        <v>8467200</v>
      </c>
      <c r="Y111" s="93">
        <f>IF(Table1[Item Description]="","",Table1[[#This Row],[h_hargasebelumdiskon]]*Table1[[#This Row],[Disc 1]])</f>
        <v>1058400</v>
      </c>
      <c r="Z111" s="93">
        <f>IF(Table1[Item Description]="","",Table1[[#This Row],[h_hargasebelumdiskon]]-Table1[[#This Row],[h_diskon]])</f>
        <v>7408800</v>
      </c>
      <c r="AA111" s="93" t="str">
        <f>IF(Table1[//]="","",SUMIF(Table1[h_id],Table1[h_id],Table1[h_hargasetelahdiskon]))</f>
        <v/>
      </c>
      <c r="AB111" s="93"/>
      <c r="AC111" s="93" t="str">
        <f>Table1[[#This Row],[Item Description]]&amp;Table1[[#This Row],[Unit]]&amp;Table1[[#This Row],[Unit Price]]</f>
        <v>ISI PENSIL 2B 0.5 MM JOYKO PL-05GRS176400</v>
      </c>
    </row>
    <row r="112" spans="1:29" x14ac:dyDescent="0.25">
      <c r="A112" s="95" t="str">
        <f>IF(Table1[No. Invoice :]="","",ROW())</f>
        <v/>
      </c>
      <c r="B112" s="291" t="str">
        <f>IF(Table1[h_Kode Sales :_1]="","",B$1+COUNT(B$2:B111))</f>
        <v/>
      </c>
      <c r="D112" s="292"/>
      <c r="E112" s="293"/>
      <c r="F112" s="292"/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J112" s="92">
        <v>288</v>
      </c>
      <c r="K112" s="92" t="s">
        <v>92</v>
      </c>
      <c r="L112" s="92">
        <v>2</v>
      </c>
      <c r="M112" s="292" t="s">
        <v>370</v>
      </c>
      <c r="N112" s="291" t="str">
        <f>IF(Table1[[#This Row],[h_Item Description]]="","",INDEX([1]!db[NB PAJAK],MATCH(Table1[[#This Row],[h_Item Description]],[1]!db[kode],0)))</f>
        <v>ISI PENSIL 2B 2.0 MM JOYKO PL-10</v>
      </c>
      <c r="O112" s="92" t="s">
        <v>380</v>
      </c>
      <c r="P112" s="93">
        <v>19800</v>
      </c>
      <c r="Q112" s="94">
        <v>0.125</v>
      </c>
      <c r="S112" s="294">
        <f>Table1[[#This Row],[h_hargasetelahdiskon]]</f>
        <v>4989600</v>
      </c>
      <c r="V112" s="95">
        <f ca="1">IF(Table1[[#This Row],[Item Description]]="","",IF(Table1[[#This Row],[//]]="",INDIRECT(ADDRESS(ROW()-1,COLUMN())),Table1[[#This Row],[//]]))</f>
        <v>108</v>
      </c>
      <c r="W112" s="95">
        <f ca="1">IF(Table1[[#This Row],[h_id]]="","",COUNTIF(Table1[h_id],Table1[[#This Row],[h_id]]))</f>
        <v>11</v>
      </c>
      <c r="X112" s="93">
        <f>IF(Table1[Item Description]="","",Table1[[#This Row],[Qty]]*Table1[[#This Row],[Unit Price]])</f>
        <v>5702400</v>
      </c>
      <c r="Y112" s="93">
        <f>IF(Table1[Item Description]="","",Table1[[#This Row],[h_hargasebelumdiskon]]*Table1[[#This Row],[Disc 1]])</f>
        <v>712800</v>
      </c>
      <c r="Z112" s="93">
        <f>IF(Table1[Item Description]="","",Table1[[#This Row],[h_hargasebelumdiskon]]-Table1[[#This Row],[h_diskon]])</f>
        <v>4989600</v>
      </c>
      <c r="AA112" s="93" t="str">
        <f>IF(Table1[//]="","",SUMIF(Table1[h_id],Table1[h_id],Table1[h_hargasetelahdiskon]))</f>
        <v/>
      </c>
      <c r="AB112" s="93"/>
      <c r="AC112" s="93" t="str">
        <f>Table1[[#This Row],[Item Description]]&amp;Table1[[#This Row],[Unit]]&amp;Table1[[#This Row],[Unit Price]]</f>
        <v>ISI PENSIL 2B 2.0 MM JOYKO PL-10LSN19800</v>
      </c>
    </row>
    <row r="113" spans="1:29" x14ac:dyDescent="0.25">
      <c r="A113" s="95" t="str">
        <f>IF(Table1[No. Invoice :]="","",ROW())</f>
        <v/>
      </c>
      <c r="B113" s="291" t="str">
        <f>IF(Table1[h_Kode Sales :_1]="","",B$1+COUNT(B$2:B112))</f>
        <v/>
      </c>
      <c r="D113" s="292"/>
      <c r="E113" s="293"/>
      <c r="F113" s="292"/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J113" s="92">
        <v>144</v>
      </c>
      <c r="K113" s="92" t="s">
        <v>92</v>
      </c>
      <c r="L113" s="92">
        <v>2</v>
      </c>
      <c r="M113" s="292" t="s">
        <v>371</v>
      </c>
      <c r="N113" s="291" t="str">
        <f>IF(Table1[[#This Row],[h_Item Description]]="","",INDEX([1]!db[NB PAJAK],MATCH(Table1[[#This Row],[h_Item Description]],[1]!db[kode],0)))</f>
        <v>ISI PENSIL 2B 2.0 MM JOYKO PL-11</v>
      </c>
      <c r="O113" s="92" t="s">
        <v>381</v>
      </c>
      <c r="P113" s="93">
        <v>37200</v>
      </c>
      <c r="Q113" s="94">
        <v>0.125</v>
      </c>
      <c r="S113" s="294">
        <f>Table1[[#This Row],[h_hargasetelahdiskon]]</f>
        <v>4687200</v>
      </c>
      <c r="V113" s="95">
        <f ca="1">IF(Table1[[#This Row],[Item Description]]="","",IF(Table1[[#This Row],[//]]="",INDIRECT(ADDRESS(ROW()-1,COLUMN())),Table1[[#This Row],[//]]))</f>
        <v>108</v>
      </c>
      <c r="W113" s="95">
        <f ca="1">IF(Table1[[#This Row],[h_id]]="","",COUNTIF(Table1[h_id],Table1[[#This Row],[h_id]]))</f>
        <v>11</v>
      </c>
      <c r="X113" s="93">
        <f>IF(Table1[Item Description]="","",Table1[[#This Row],[Qty]]*Table1[[#This Row],[Unit Price]])</f>
        <v>5356800</v>
      </c>
      <c r="Y113" s="93">
        <f>IF(Table1[Item Description]="","",Table1[[#This Row],[h_hargasebelumdiskon]]*Table1[[#This Row],[Disc 1]])</f>
        <v>669600</v>
      </c>
      <c r="Z113" s="93">
        <f>IF(Table1[Item Description]="","",Table1[[#This Row],[h_hargasebelumdiskon]]-Table1[[#This Row],[h_diskon]])</f>
        <v>4687200</v>
      </c>
      <c r="AA113" s="93" t="str">
        <f>IF(Table1[//]="","",SUMIF(Table1[h_id],Table1[h_id],Table1[h_hargasetelahdiskon]))</f>
        <v/>
      </c>
      <c r="AB113" s="93"/>
      <c r="AC113" s="93" t="str">
        <f>Table1[[#This Row],[Item Description]]&amp;Table1[[#This Row],[Unit]]&amp;Table1[[#This Row],[Unit Price]]</f>
        <v>ISI PENSIL 2B 2.0 MM JOYKO PL-11LSN37200</v>
      </c>
    </row>
    <row r="114" spans="1:29" x14ac:dyDescent="0.25">
      <c r="A114" s="95" t="str">
        <f>IF(Table1[No. Invoice :]="","",ROW())</f>
        <v/>
      </c>
      <c r="B114" s="291" t="str">
        <f>IF(Table1[h_Kode Sales :_1]="","",B$1+COUNT(B$2:B113))</f>
        <v/>
      </c>
      <c r="D114" s="292"/>
      <c r="E114" s="293"/>
      <c r="F114" s="292"/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J114" s="92">
        <v>24</v>
      </c>
      <c r="K114" s="92" t="s">
        <v>150</v>
      </c>
      <c r="L114" s="92">
        <v>1</v>
      </c>
      <c r="M114" s="292" t="s">
        <v>375</v>
      </c>
      <c r="N114" s="291" t="e">
        <f>IF(Table1[[#This Row],[h_Item Description]]="","",INDEX([1]!db[NB PAJAK],MATCH(Table1[[#This Row],[h_Item Description]],[1]!db[kode],0)))</f>
        <v>#N/A</v>
      </c>
      <c r="O114" s="92" t="s">
        <v>382</v>
      </c>
      <c r="P114" s="93">
        <v>97000</v>
      </c>
      <c r="Q114" s="94">
        <v>0.125</v>
      </c>
      <c r="S114" s="294">
        <f>Table1[[#This Row],[h_hargasetelahdiskon]]</f>
        <v>2037000</v>
      </c>
      <c r="V114" s="95">
        <f ca="1">IF(Table1[[#This Row],[Item Description]]="","",IF(Table1[[#This Row],[//]]="",INDIRECT(ADDRESS(ROW()-1,COLUMN())),Table1[[#This Row],[//]]))</f>
        <v>108</v>
      </c>
      <c r="W114" s="95">
        <f ca="1">IF(Table1[[#This Row],[h_id]]="","",COUNTIF(Table1[h_id],Table1[[#This Row],[h_id]]))</f>
        <v>11</v>
      </c>
      <c r="X114" s="93">
        <f>IF(Table1[Item Description]="","",Table1[[#This Row],[Qty]]*Table1[[#This Row],[Unit Price]])</f>
        <v>2328000</v>
      </c>
      <c r="Y114" s="93">
        <f>IF(Table1[Item Description]="","",Table1[[#This Row],[h_hargasebelumdiskon]]*Table1[[#This Row],[Disc 1]])</f>
        <v>291000</v>
      </c>
      <c r="Z114" s="93">
        <f>IF(Table1[Item Description]="","",Table1[[#This Row],[h_hargasebelumdiskon]]-Table1[[#This Row],[h_diskon]])</f>
        <v>2037000</v>
      </c>
      <c r="AA114" s="93" t="str">
        <f>IF(Table1[//]="","",SUMIF(Table1[h_id],Table1[h_id],Table1[h_hargasetelahdiskon]))</f>
        <v/>
      </c>
      <c r="AB114" s="93"/>
      <c r="AC114" s="93" t="str">
        <f>Table1[[#This Row],[Item Description]]&amp;Table1[[#This Row],[Unit]]&amp;Table1[[#This Row],[Unit Price]]</f>
        <v>STAPLER GUNTACKER JOYKO GT-701PCS97000</v>
      </c>
    </row>
    <row r="115" spans="1:29" x14ac:dyDescent="0.25">
      <c r="A115" s="95" t="str">
        <f>IF(Table1[No. Invoice :]="","",ROW())</f>
        <v/>
      </c>
      <c r="B115" s="291" t="str">
        <f>IF(Table1[h_Kode Sales :_1]="","",B$1+COUNT(B$2:B114))</f>
        <v/>
      </c>
      <c r="D115" s="292"/>
      <c r="E115" s="293"/>
      <c r="F115" s="292"/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J115" s="92">
        <v>72</v>
      </c>
      <c r="K115" s="92" t="s">
        <v>150</v>
      </c>
      <c r="L115" s="92">
        <v>1</v>
      </c>
      <c r="M115" s="292" t="s">
        <v>372</v>
      </c>
      <c r="N115" s="291" t="s">
        <v>376</v>
      </c>
      <c r="O115" s="92" t="s">
        <v>376</v>
      </c>
      <c r="P115" s="93">
        <v>15800</v>
      </c>
      <c r="Q115" s="94">
        <v>0.125</v>
      </c>
      <c r="S115" s="294">
        <f>Table1[[#This Row],[h_hargasetelahdiskon]]</f>
        <v>995400</v>
      </c>
      <c r="V115" s="95">
        <f ca="1">IF(Table1[[#This Row],[Item Description]]="","",IF(Table1[[#This Row],[//]]="",INDIRECT(ADDRESS(ROW()-1,COLUMN())),Table1[[#This Row],[//]]))</f>
        <v>108</v>
      </c>
      <c r="W115" s="95">
        <f ca="1">IF(Table1[[#This Row],[h_id]]="","",COUNTIF(Table1[h_id],Table1[[#This Row],[h_id]]))</f>
        <v>11</v>
      </c>
      <c r="X115" s="93">
        <f>IF(Table1[Item Description]="","",Table1[[#This Row],[Qty]]*Table1[[#This Row],[Unit Price]])</f>
        <v>1137600</v>
      </c>
      <c r="Y115" s="93">
        <f>IF(Table1[Item Description]="","",Table1[[#This Row],[h_hargasebelumdiskon]]*Table1[[#This Row],[Disc 1]])</f>
        <v>142200</v>
      </c>
      <c r="Z115" s="93">
        <f>IF(Table1[Item Description]="","",Table1[[#This Row],[h_hargasebelumdiskon]]-Table1[[#This Row],[h_diskon]])</f>
        <v>995400</v>
      </c>
      <c r="AA115" s="93" t="str">
        <f>IF(Table1[//]="","",SUMIF(Table1[h_id],Table1[h_id],Table1[h_hargasetelahdiskon]))</f>
        <v/>
      </c>
      <c r="AB115" s="93"/>
      <c r="AC115" s="93" t="str">
        <f>Table1[[#This Row],[Item Description]]&amp;Table1[[#This Row],[Unit]]&amp;Table1[[#This Row],[Unit Price]]</f>
        <v>BINDER NOTE JOYKO A5 (CAMPUS/CLASSIC)PCS15800</v>
      </c>
    </row>
    <row r="116" spans="1:29" x14ac:dyDescent="0.25">
      <c r="A116" s="95" t="str">
        <f>IF(Table1[No. Invoice :]="","",ROW())</f>
        <v/>
      </c>
      <c r="B116" s="291" t="str">
        <f>IF(Table1[h_Kode Sales :_1]="","",B$1+COUNT(B$2:B115))</f>
        <v/>
      </c>
      <c r="D116" s="292"/>
      <c r="E116" s="293"/>
      <c r="F116" s="292"/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J116" s="92">
        <v>336</v>
      </c>
      <c r="K116" s="92" t="s">
        <v>92</v>
      </c>
      <c r="L116" s="92">
        <v>7</v>
      </c>
      <c r="M116" s="292" t="s">
        <v>373</v>
      </c>
      <c r="N116" s="291" t="e">
        <f>IF(Table1[[#This Row],[h_Item Description]]="","",INDEX([1]!db[NB PAJAK],MATCH(Table1[[#This Row],[h_Item Description]],[1]!db[kode],0)))</f>
        <v>#N/A</v>
      </c>
      <c r="O116" s="92" t="s">
        <v>383</v>
      </c>
      <c r="P116" s="93">
        <v>36000</v>
      </c>
      <c r="Q116" s="94">
        <v>0.125</v>
      </c>
      <c r="S116" s="294">
        <f>Table1[[#This Row],[h_hargasetelahdiskon]]</f>
        <v>10584000</v>
      </c>
      <c r="V116" s="95">
        <f ca="1">IF(Table1[[#This Row],[Item Description]]="","",IF(Table1[[#This Row],[//]]="",INDIRECT(ADDRESS(ROW()-1,COLUMN())),Table1[[#This Row],[//]]))</f>
        <v>108</v>
      </c>
      <c r="W116" s="95">
        <f ca="1">IF(Table1[[#This Row],[h_id]]="","",COUNTIF(Table1[h_id],Table1[[#This Row],[h_id]]))</f>
        <v>11</v>
      </c>
      <c r="X116" s="93">
        <f>IF(Table1[Item Description]="","",Table1[[#This Row],[Qty]]*Table1[[#This Row],[Unit Price]])</f>
        <v>12096000</v>
      </c>
      <c r="Y116" s="93">
        <f>IF(Table1[Item Description]="","",Table1[[#This Row],[h_hargasebelumdiskon]]*Table1[[#This Row],[Disc 1]])</f>
        <v>1512000</v>
      </c>
      <c r="Z116" s="93">
        <f>IF(Table1[Item Description]="","",Table1[[#This Row],[h_hargasebelumdiskon]]-Table1[[#This Row],[h_diskon]])</f>
        <v>10584000</v>
      </c>
      <c r="AA116" s="93" t="str">
        <f>IF(Table1[//]="","",SUMIF(Table1[h_id],Table1[h_id],Table1[h_hargasetelahdiskon]))</f>
        <v/>
      </c>
      <c r="AB116" s="93"/>
      <c r="AC116" s="93" t="str">
        <f>Table1[[#This Row],[Item Description]]&amp;Table1[[#This Row],[Unit]]&amp;Table1[[#This Row],[Unit Price]]</f>
        <v>CORRECTION FLUID JOYKO JK-01LSN36000</v>
      </c>
    </row>
    <row r="117" spans="1:29" x14ac:dyDescent="0.25">
      <c r="A117" s="95" t="str">
        <f>IF(Table1[No. Invoice :]="","",ROW())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J117" s="92">
        <v>20</v>
      </c>
      <c r="K117" s="92" t="s">
        <v>150</v>
      </c>
      <c r="L117" s="92">
        <v>1</v>
      </c>
      <c r="M117" s="292" t="s">
        <v>377</v>
      </c>
      <c r="N117" s="291" t="str">
        <f>IF(Table1[[#This Row],[h_Item Description]]="","",INDEX([1]!db[NB PAJAK],MATCH(Table1[[#This Row],[h_Item Description]],[1]!db[kode],0)))</f>
        <v>MESIN LABEL HARGA JOYKO MX-5500M (8 DIGITS, 1 LINE)</v>
      </c>
      <c r="O117" s="92" t="s">
        <v>384</v>
      </c>
      <c r="P117" s="93">
        <v>40500</v>
      </c>
      <c r="Q117" s="94">
        <v>0.125</v>
      </c>
      <c r="S117" s="294">
        <f>Table1[[#This Row],[h_hargasetelahdiskon]]</f>
        <v>708750</v>
      </c>
      <c r="V117" s="95">
        <f ca="1">IF(Table1[[#This Row],[Item Description]]="","",IF(Table1[[#This Row],[//]]="",INDIRECT(ADDRESS(ROW()-1,COLUMN())),Table1[[#This Row],[//]]))</f>
        <v>108</v>
      </c>
      <c r="W117" s="95">
        <f ca="1">IF(Table1[[#This Row],[h_id]]="","",COUNTIF(Table1[h_id],Table1[[#This Row],[h_id]]))</f>
        <v>11</v>
      </c>
      <c r="X117" s="93">
        <f>IF(Table1[Item Description]="","",Table1[[#This Row],[Qty]]*Table1[[#This Row],[Unit Price]])</f>
        <v>810000</v>
      </c>
      <c r="Y117" s="93">
        <f>IF(Table1[Item Description]="","",Table1[[#This Row],[h_hargasebelumdiskon]]*Table1[[#This Row],[Disc 1]])</f>
        <v>101250</v>
      </c>
      <c r="Z117" s="93">
        <f>IF(Table1[Item Description]="","",Table1[[#This Row],[h_hargasebelumdiskon]]-Table1[[#This Row],[h_diskon]])</f>
        <v>708750</v>
      </c>
      <c r="AA117" s="93" t="str">
        <f>IF(Table1[//]="","",SUMIF(Table1[h_id],Table1[h_id],Table1[h_hargasetelahdiskon]))</f>
        <v/>
      </c>
      <c r="AB117" s="93"/>
      <c r="AC117" s="93" t="str">
        <f>Table1[[#This Row],[Item Description]]&amp;Table1[[#This Row],[Unit]]&amp;Table1[[#This Row],[Unit Price]]</f>
        <v>MESIN LABEL HARGA JOYKO MX-5500M (8 DIGITS, 1 LINE)PCS40500</v>
      </c>
    </row>
    <row r="118" spans="1:29" x14ac:dyDescent="0.25">
      <c r="A118" s="95" t="str">
        <f>IF(Table1[No. Invoice :]="","",ROW())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J118" s="92">
        <v>576</v>
      </c>
      <c r="K118" s="92" t="s">
        <v>150</v>
      </c>
      <c r="L118" s="92">
        <v>3</v>
      </c>
      <c r="M118" s="292" t="s">
        <v>374</v>
      </c>
      <c r="N118" s="291" t="e">
        <f>IF(Table1[[#This Row],[h_Item Description]]="","",INDEX([1]!db[NB PAJAK],MATCH(Table1[[#This Row],[h_Item Description]],[1]!db[kode],0)))</f>
        <v>#N/A</v>
      </c>
      <c r="O118" s="92" t="s">
        <v>385</v>
      </c>
      <c r="P118" s="93">
        <v>16800</v>
      </c>
      <c r="Q118" s="94">
        <v>0.125</v>
      </c>
      <c r="S118" s="294">
        <f>Table1[[#This Row],[h_hargasetelahdiskon]]</f>
        <v>8467200</v>
      </c>
      <c r="V118" s="95">
        <f ca="1">IF(Table1[[#This Row],[Item Description]]="","",IF(Table1[[#This Row],[//]]="",INDIRECT(ADDRESS(ROW()-1,COLUMN())),Table1[[#This Row],[//]]))</f>
        <v>108</v>
      </c>
      <c r="W118" s="95">
        <f ca="1">IF(Table1[[#This Row],[h_id]]="","",COUNTIF(Table1[h_id],Table1[[#This Row],[h_id]]))</f>
        <v>11</v>
      </c>
      <c r="X118" s="93">
        <f>IF(Table1[Item Description]="","",Table1[[#This Row],[Qty]]*Table1[[#This Row],[Unit Price]])</f>
        <v>9676800</v>
      </c>
      <c r="Y118" s="93">
        <f>IF(Table1[Item Description]="","",Table1[[#This Row],[h_hargasebelumdiskon]]*Table1[[#This Row],[Disc 1]])</f>
        <v>1209600</v>
      </c>
      <c r="Z118" s="93">
        <f>IF(Table1[Item Description]="","",Table1[[#This Row],[h_hargasebelumdiskon]]-Table1[[#This Row],[h_diskon]])</f>
        <v>8467200</v>
      </c>
      <c r="AA118" s="93" t="str">
        <f>IF(Table1[//]="","",SUMIF(Table1[h_id],Table1[h_id],Table1[h_hargasetelahdiskon]))</f>
        <v/>
      </c>
      <c r="AB118" s="93"/>
      <c r="AC118" s="93" t="str">
        <f>Table1[[#This Row],[Item Description]]&amp;Table1[[#This Row],[Unit]]&amp;Table1[[#This Row],[Unit Price]]</f>
        <v>GEL PEN SET JOYKO GPC-309S DIAMOND ARTPCS16800</v>
      </c>
    </row>
    <row r="119" spans="1:29" x14ac:dyDescent="0.25">
      <c r="A119" s="95" t="str">
        <f>IF(Table1[No. Invoice :]="","",ROW())</f>
        <v/>
      </c>
      <c r="B119" s="291" t="str">
        <f>IF(Table1[h_Kode Sales :_1]="","",B$1+COUNT(B$2:B118))</f>
        <v/>
      </c>
      <c r="D119" s="292"/>
      <c r="E119" s="293"/>
      <c r="F119" s="292"/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M119" s="292"/>
      <c r="N119" s="291" t="str">
        <f>IF(Table1[[#This Row],[h_Item Description]]="","",INDEX([1]!db[NB PAJAK],MATCH(Table1[[#This Row],[h_Item Description]],[1]!db[kode],0)))</f>
        <v/>
      </c>
      <c r="P119" s="93"/>
      <c r="Q119" s="94"/>
      <c r="S119" s="294" t="str">
        <f>Table1[[#This Row],[h_hargasetelahdiskon]]</f>
        <v/>
      </c>
      <c r="V119" s="95" t="str">
        <f ca="1">IF(Table1[[#This Row],[Item Description]]="","",IF(Table1[[#This Row],[//]]="",INDIRECT(ADDRESS(ROW()-1,COLUMN())),Table1[[#This Row],[//]]))</f>
        <v/>
      </c>
      <c r="W119" s="95" t="str">
        <f ca="1"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IF(Table1[Item Description]="","",Table1[[#This Row],[h_hargasebelumdiskon]]*Table1[[#This Row],[Disc 1]])</f>
        <v/>
      </c>
      <c r="Z119" s="93" t="str">
        <f>IF(Table1[Item Description]="","",Table1[[#This Row],[h_hargasebelumdiskon]]-Table1[[#This Row],[h_diskon]])</f>
        <v/>
      </c>
      <c r="AA119" s="93" t="str">
        <f>IF(Table1[//]="","",SUMIF(Table1[h_id],Table1[h_id],Table1[h_hargasetelahdiskon]))</f>
        <v/>
      </c>
      <c r="AB119" s="93"/>
      <c r="AC119" s="93" t="str">
        <f>Table1[[#This Row],[Item Description]]&amp;Table1[[#This Row],[Unit]]&amp;Table1[[#This Row],[Unit Price]]</f>
        <v/>
      </c>
    </row>
    <row r="120" spans="1:29" x14ac:dyDescent="0.25">
      <c r="A120" s="95">
        <f>IF(Table1[No. Invoice :]="","",ROW())</f>
        <v>120</v>
      </c>
      <c r="B120" s="291">
        <f>IF(Table1[h_Kode Sales :_1]="","",B$1+COUNT(B$2:B119))</f>
        <v>23020023</v>
      </c>
      <c r="C120" s="98">
        <v>44970</v>
      </c>
      <c r="D120" s="292" t="s">
        <v>184</v>
      </c>
      <c r="E120" s="293" t="s">
        <v>396</v>
      </c>
      <c r="F120" s="292" t="s">
        <v>103</v>
      </c>
      <c r="G120" s="95" t="str">
        <f>IF(Table1[[#This Row],[h_No. Invoice :]]="","",CONCATENATE("AM"," ",Table1[[#This Row],[h_No. Invoice :]]))</f>
        <v>AM 23020023</v>
      </c>
      <c r="H120" s="96" t="str">
        <f>CONCATENATE(UPPER(Table1[[#This Row],[h_Kode Sales :_1]])," ",Table1[[#This Row],[h_Kode Sales :_2]])</f>
        <v>G 0892</v>
      </c>
      <c r="I120" s="95" t="str">
        <f>IF(Table1[[#This Row],[h_toko]]="","",INDEX(Table2[e],IF(Table1[[#This Row],[h_toko]]="","",MATCH(Table1[[#This Row],[h_toko]],Table2[a],0)),))</f>
        <v>LILY JULIAWATI (REJO AGUNG) JOMBANG</v>
      </c>
      <c r="J120" s="92">
        <v>36</v>
      </c>
      <c r="K120" s="92" t="s">
        <v>92</v>
      </c>
      <c r="L120" s="92">
        <v>1</v>
      </c>
      <c r="M120" s="292" t="s">
        <v>284</v>
      </c>
      <c r="N120" s="291" t="str">
        <f>IF(Table1[[#This Row],[h_Item Description]]="","",INDEX([1]!db[NB PAJAK],MATCH(Table1[[#This Row],[h_Item Description]],[1]!db[kode],0)))</f>
        <v>CORRECTION FLUID KENKO KE-107M</v>
      </c>
      <c r="O120" s="92" t="s">
        <v>285</v>
      </c>
      <c r="P120" s="93">
        <v>55800</v>
      </c>
      <c r="Q120" s="94">
        <v>0.125</v>
      </c>
      <c r="S120" s="294">
        <f>Table1[[#This Row],[h_hargasetelahdiskon]]</f>
        <v>1757700</v>
      </c>
      <c r="T120" s="93" t="s">
        <v>93</v>
      </c>
      <c r="V120" s="95">
        <f ca="1">IF(Table1[[#This Row],[Item Description]]="","",IF(Table1[[#This Row],[//]]="",INDIRECT(ADDRESS(ROW()-1,COLUMN())),Table1[[#This Row],[//]]))</f>
        <v>120</v>
      </c>
      <c r="W120" s="95">
        <f ca="1">IF(Table1[[#This Row],[h_id]]="","",COUNTIF(Table1[h_id],Table1[[#This Row],[h_id]]))</f>
        <v>3</v>
      </c>
      <c r="X120" s="93">
        <f>IF(Table1[Item Description]="","",Table1[[#This Row],[Qty]]*Table1[[#This Row],[Unit Price]])</f>
        <v>2008800</v>
      </c>
      <c r="Y120" s="93">
        <f>IF(Table1[Item Description]="","",Table1[[#This Row],[h_hargasebelumdiskon]]*Table1[[#This Row],[Disc 1]])</f>
        <v>251100</v>
      </c>
      <c r="Z120" s="93">
        <f>IF(Table1[Item Description]="","",Table1[[#This Row],[h_hargasebelumdiskon]]-Table1[[#This Row],[h_diskon]])</f>
        <v>1757700</v>
      </c>
      <c r="AA120" s="93">
        <f ca="1">IF(Table1[//]="","",SUMIF(Table1[h_id],Table1[h_id],Table1[h_hargasetelahdiskon]))</f>
        <v>6870150</v>
      </c>
      <c r="AB120" s="93"/>
      <c r="AC120" s="93" t="str">
        <f>Table1[[#This Row],[Item Description]]&amp;Table1[[#This Row],[Unit]]&amp;Table1[[#This Row],[Unit Price]]</f>
        <v>CORRECTION FLUID KENKO KE-107MLSN55800</v>
      </c>
    </row>
    <row r="121" spans="1:29" x14ac:dyDescent="0.25">
      <c r="A121" s="95" t="str">
        <f>IF(Table1[No. Invoice :]="","",ROW())</f>
        <v/>
      </c>
      <c r="B121" s="291" t="str">
        <f>IF(Table1[h_Kode Sales :_1]="","",B$1+COUNT(B$2:B120))</f>
        <v/>
      </c>
      <c r="D121" s="292"/>
      <c r="E121" s="293"/>
      <c r="F121" s="292"/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J121" s="92">
        <v>36</v>
      </c>
      <c r="K121" s="92" t="s">
        <v>92</v>
      </c>
      <c r="L121" s="92">
        <v>1</v>
      </c>
      <c r="M121" s="292" t="s">
        <v>175</v>
      </c>
      <c r="N121" s="291" t="str">
        <f>IF(Table1[[#This Row],[h_Item Description]]="","",INDEX([1]!db[NB PAJAK],MATCH(Table1[[#This Row],[h_Item Description]],[1]!db[kode],0)))</f>
        <v>CORRECTION FLUID KENKO KE-01</v>
      </c>
      <c r="O121" s="92" t="s">
        <v>135</v>
      </c>
      <c r="P121" s="93">
        <v>54300</v>
      </c>
      <c r="Q121" s="94">
        <v>0.125</v>
      </c>
      <c r="S121" s="294">
        <f>Table1[[#This Row],[h_hargasetelahdiskon]]</f>
        <v>1710450</v>
      </c>
      <c r="V121" s="95">
        <f ca="1">IF(Table1[[#This Row],[Item Description]]="","",IF(Table1[[#This Row],[//]]="",INDIRECT(ADDRESS(ROW()-1,COLUMN())),Table1[[#This Row],[//]]))</f>
        <v>120</v>
      </c>
      <c r="W121" s="95">
        <f ca="1">IF(Table1[[#This Row],[h_id]]="","",COUNTIF(Table1[h_id],Table1[[#This Row],[h_id]]))</f>
        <v>3</v>
      </c>
      <c r="X121" s="93">
        <f>IF(Table1[Item Description]="","",Table1[[#This Row],[Qty]]*Table1[[#This Row],[Unit Price]])</f>
        <v>1954800</v>
      </c>
      <c r="Y121" s="93">
        <f>IF(Table1[Item Description]="","",Table1[[#This Row],[h_hargasebelumdiskon]]*Table1[[#This Row],[Disc 1]])</f>
        <v>244350</v>
      </c>
      <c r="Z121" s="93">
        <f>IF(Table1[Item Description]="","",Table1[[#This Row],[h_hargasebelumdiskon]]-Table1[[#This Row],[h_diskon]])</f>
        <v>1710450</v>
      </c>
      <c r="AA121" s="93" t="str">
        <f>IF(Table1[//]="","",SUMIF(Table1[h_id],Table1[h_id],Table1[h_hargasetelahdiskon]))</f>
        <v/>
      </c>
      <c r="AB121" s="93"/>
      <c r="AC121" s="93" t="str">
        <f>Table1[[#This Row],[Item Description]]&amp;Table1[[#This Row],[Unit]]&amp;Table1[[#This Row],[Unit Price]]</f>
        <v>CORRECTION FLUID KENKO KE-01LSN54300</v>
      </c>
    </row>
    <row r="122" spans="1:29" x14ac:dyDescent="0.25">
      <c r="A122" s="95" t="str">
        <f>IF(Table1[No. Invoice :]="","",ROW())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J122" s="92">
        <v>120</v>
      </c>
      <c r="K122" s="92" t="s">
        <v>92</v>
      </c>
      <c r="L122" s="92">
        <v>1</v>
      </c>
      <c r="M122" s="292" t="s">
        <v>397</v>
      </c>
      <c r="N122" s="291" t="e">
        <f>IF(Table1[[#This Row],[h_Item Description]]="","",INDEX([1]!db[NB PAJAK],MATCH(Table1[[#This Row],[h_Item Description]],[1]!db[kode],0)))</f>
        <v>#N/A</v>
      </c>
      <c r="O122" s="92" t="s">
        <v>398</v>
      </c>
      <c r="P122" s="93">
        <v>32400</v>
      </c>
      <c r="Q122" s="94">
        <v>0.125</v>
      </c>
      <c r="S122" s="294">
        <f>Table1[[#This Row],[h_hargasetelahdiskon]]</f>
        <v>3402000</v>
      </c>
      <c r="V122" s="95">
        <f ca="1">IF(Table1[[#This Row],[Item Description]]="","",IF(Table1[[#This Row],[//]]="",INDIRECT(ADDRESS(ROW()-1,COLUMN())),Table1[[#This Row],[//]]))</f>
        <v>120</v>
      </c>
      <c r="W122" s="95">
        <f ca="1">IF(Table1[[#This Row],[h_id]]="","",COUNTIF(Table1[h_id],Table1[[#This Row],[h_id]]))</f>
        <v>3</v>
      </c>
      <c r="X122" s="93">
        <f>IF(Table1[Item Description]="","",Table1[[#This Row],[Qty]]*Table1[[#This Row],[Unit Price]])</f>
        <v>3888000</v>
      </c>
      <c r="Y122" s="93">
        <f>IF(Table1[Item Description]="","",Table1[[#This Row],[h_hargasebelumdiskon]]*Table1[[#This Row],[Disc 1]])</f>
        <v>486000</v>
      </c>
      <c r="Z122" s="93">
        <f>IF(Table1[Item Description]="","",Table1[[#This Row],[h_hargasebelumdiskon]]-Table1[[#This Row],[h_diskon]])</f>
        <v>3402000</v>
      </c>
      <c r="AA122" s="93" t="str">
        <f>IF(Table1[//]="","",SUMIF(Table1[h_id],Table1[h_id],Table1[h_hargasetelahdiskon]))</f>
        <v/>
      </c>
      <c r="AB122" s="93"/>
      <c r="AC122" s="93" t="str">
        <f>Table1[[#This Row],[Item Description]]&amp;Table1[[#This Row],[Unit]]&amp;Table1[[#This Row],[Unit Price]]</f>
        <v>ISI CUTTER 9 MM KENKO A-100 (KECIL)LSN32400</v>
      </c>
    </row>
    <row r="123" spans="1:29" x14ac:dyDescent="0.25">
      <c r="A123" s="95" t="str">
        <f>IF(Table1[No. Invoice :]="","",ROW())</f>
        <v/>
      </c>
      <c r="B123" s="291" t="str">
        <f>IF(Table1[h_Kode Sales :_1]="","",B$1+COUNT(B$2:B122))</f>
        <v/>
      </c>
      <c r="D123" s="292"/>
      <c r="E123" s="293"/>
      <c r="F123" s="292"/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M123" s="292"/>
      <c r="N123" s="291" t="str">
        <f>IF(Table1[[#This Row],[h_Item Description]]="","",INDEX([1]!db[NB PAJAK],MATCH(Table1[[#This Row],[h_Item Description]],[1]!db[kode],0)))</f>
        <v/>
      </c>
      <c r="P123" s="93"/>
      <c r="Q123" s="94"/>
      <c r="S123" s="294" t="str">
        <f>Table1[[#This Row],[h_hargasetelahdiskon]]</f>
        <v/>
      </c>
      <c r="V123" s="95" t="str">
        <f ca="1">IF(Table1[[#This Row],[Item Description]]="","",IF(Table1[[#This Row],[//]]="",INDIRECT(ADDRESS(ROW()-1,COLUMN())),Table1[[#This Row],[//]]))</f>
        <v/>
      </c>
      <c r="W123" s="95" t="str">
        <f ca="1">IF(Table1[[#This Row],[h_id]]="","",COUNTIF(Table1[h_id],Table1[[#This Row],[h_id]]))</f>
        <v/>
      </c>
      <c r="X123" s="93" t="str">
        <f>IF(Table1[Item Description]="","",Table1[[#This Row],[Qty]]*Table1[[#This Row],[Unit Price]])</f>
        <v/>
      </c>
      <c r="Y123" s="93" t="str">
        <f>IF(Table1[Item Description]="","",Table1[[#This Row],[h_hargasebelumdiskon]]*Table1[[#This Row],[Disc 1]])</f>
        <v/>
      </c>
      <c r="Z123" s="93" t="str">
        <f>IF(Table1[Item Description]="","",Table1[[#This Row],[h_hargasebelumdiskon]]-Table1[[#This Row],[h_diskon]])</f>
        <v/>
      </c>
      <c r="AA123" s="93" t="str">
        <f>IF(Table1[//]="","",SUMIF(Table1[h_id],Table1[h_id],Table1[h_hargasetelahdiskon]))</f>
        <v/>
      </c>
      <c r="AB123" s="93"/>
      <c r="AC123" s="93" t="str">
        <f>Table1[[#This Row],[Item Description]]&amp;Table1[[#This Row],[Unit]]&amp;Table1[[#This Row],[Unit Price]]</f>
        <v/>
      </c>
    </row>
    <row r="124" spans="1:29" x14ac:dyDescent="0.25">
      <c r="A124" s="95">
        <f>IF(Table1[No. Invoice :]="","",ROW())</f>
        <v>124</v>
      </c>
      <c r="B124" s="291">
        <f>IF(Table1[h_Kode Sales :_1]="","",B$1+COUNT(B$2:B123))</f>
        <v>23020024</v>
      </c>
      <c r="C124" s="98">
        <v>44972</v>
      </c>
      <c r="D124" s="92" t="s">
        <v>142</v>
      </c>
      <c r="E124" s="97" t="s">
        <v>400</v>
      </c>
      <c r="F124" s="92" t="s">
        <v>91</v>
      </c>
      <c r="G124" s="95" t="str">
        <f>IF(Table1[[#This Row],[h_No. Invoice :]]="","",CONCATENATE("AM"," ",Table1[[#This Row],[h_No. Invoice :]]))</f>
        <v>AM 23020024</v>
      </c>
      <c r="H124" s="96" t="str">
        <f>CONCATENATE(UPPER(Table1[[#This Row],[h_Kode Sales :_1]])," ",Table1[[#This Row],[h_Kode Sales :_2]])</f>
        <v>KO 1054</v>
      </c>
      <c r="I124" s="95" t="str">
        <f>IF(Table1[[#This Row],[h_toko]]="","",INDEX(Table2[e],IF(Table1[[#This Row],[h_toko]]="","",MATCH(Table1[[#This Row],[h_toko]],Table2[a],0)),))</f>
        <v>CV TRINITY CENTRAAL PURWOKERTO</v>
      </c>
      <c r="J124" s="92">
        <v>20</v>
      </c>
      <c r="K124" s="92" t="s">
        <v>150</v>
      </c>
      <c r="L124" s="92">
        <v>1</v>
      </c>
      <c r="M124" s="92" t="s">
        <v>377</v>
      </c>
      <c r="N124" s="291" t="str">
        <f>IF(Table1[[#This Row],[h_Item Description]]="","",INDEX([1]!db[NB PAJAK],MATCH(Table1[[#This Row],[h_Item Description]],[1]!db[kode],0)))</f>
        <v>MESIN LABEL HARGA JOYKO MX-5500M (8 DIGITS, 1 LINE)</v>
      </c>
      <c r="O124" s="92" t="s">
        <v>384</v>
      </c>
      <c r="P124" s="93">
        <v>40500</v>
      </c>
      <c r="Q124" s="94">
        <v>0.13</v>
      </c>
      <c r="S124" s="294">
        <f>Table1[[#This Row],[h_hargasetelahdiskon]]</f>
        <v>704700</v>
      </c>
      <c r="T124" s="93" t="s">
        <v>93</v>
      </c>
      <c r="V124" s="95">
        <f ca="1">IF(Table1[[#This Row],[Item Description]]="","",IF(Table1[[#This Row],[//]]="",INDIRECT(ADDRESS(ROW()-1,COLUMN())),Table1[[#This Row],[//]]))</f>
        <v>124</v>
      </c>
      <c r="W124" s="95">
        <f ca="1">IF(Table1[[#This Row],[h_id]]="","",COUNTIF(Table1[h_id],Table1[[#This Row],[h_id]]))</f>
        <v>1</v>
      </c>
      <c r="X124" s="93">
        <f>IF(Table1[Item Description]="","",Table1[[#This Row],[Qty]]*Table1[[#This Row],[Unit Price]])</f>
        <v>810000</v>
      </c>
      <c r="Y124" s="93">
        <f>IF(Table1[Item Description]="","",Table1[[#This Row],[h_hargasebelumdiskon]]*Table1[[#This Row],[Disc 1]])</f>
        <v>105300</v>
      </c>
      <c r="Z124" s="93">
        <f>IF(Table1[Item Description]="","",Table1[[#This Row],[h_hargasebelumdiskon]]-Table1[[#This Row],[h_diskon]])</f>
        <v>704700</v>
      </c>
      <c r="AA124" s="93">
        <f ca="1">IF(Table1[//]="","",SUMIF(Table1[h_id],Table1[h_id],Table1[h_hargasetelahdiskon]))</f>
        <v>704700</v>
      </c>
      <c r="AB124" s="93"/>
      <c r="AC124" s="93" t="str">
        <f>Table1[[#This Row],[Item Description]]&amp;Table1[[#This Row],[Unit]]&amp;Table1[[#This Row],[Unit Price]]</f>
        <v>MESIN LABEL HARGA JOYKO MX-5500M (8 DIGITS, 1 LINE)PCS40500</v>
      </c>
    </row>
    <row r="125" spans="1:29" x14ac:dyDescent="0.25">
      <c r="A125" s="95" t="str">
        <f>IF(Table1[No. Invoice :]="","",ROW())</f>
        <v/>
      </c>
      <c r="B125" s="291" t="str">
        <f>IF(Table1[h_Kode Sales :_1]="","",B$1+COUNT(B$2:B124))</f>
        <v/>
      </c>
      <c r="D125" s="292"/>
      <c r="E125" s="293"/>
      <c r="F125" s="292"/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M125" s="292"/>
      <c r="N125" s="291" t="str">
        <f>IF(Table1[[#This Row],[h_Item Description]]="","",INDEX([1]!db[NB PAJAK],MATCH(Table1[[#This Row],[h_Item Description]],[1]!db[kode],0)))</f>
        <v/>
      </c>
      <c r="P125" s="93"/>
      <c r="Q125" s="94"/>
      <c r="S125" s="294" t="str">
        <f>Table1[[#This Row],[h_hargasetelahdiskon]]</f>
        <v/>
      </c>
      <c r="V125" s="95" t="str">
        <f ca="1">IF(Table1[[#This Row],[Item Description]]="","",IF(Table1[[#This Row],[//]]="",INDIRECT(ADDRESS(ROW()-1,COLUMN())),Table1[[#This Row],[//]]))</f>
        <v/>
      </c>
      <c r="W125" s="95" t="str">
        <f ca="1">IF(Table1[[#This Row],[h_id]]="","",COUNTIF(Table1[h_id],Table1[[#This Row],[h_id]]))</f>
        <v/>
      </c>
      <c r="X125" s="93" t="str">
        <f>IF(Table1[Item Description]="","",Table1[[#This Row],[Qty]]*Table1[[#This Row],[Unit Price]])</f>
        <v/>
      </c>
      <c r="Y125" s="93" t="str">
        <f>IF(Table1[Item Description]="","",Table1[[#This Row],[h_hargasebelumdiskon]]*Table1[[#This Row],[Disc 1]])</f>
        <v/>
      </c>
      <c r="Z125" s="93" t="str">
        <f>IF(Table1[Item Description]="","",Table1[[#This Row],[h_hargasebelumdiskon]]-Table1[[#This Row],[h_diskon]])</f>
        <v/>
      </c>
      <c r="AA125" s="93" t="str">
        <f>IF(Table1[//]="","",SUMIF(Table1[h_id],Table1[h_id],Table1[h_hargasetelahdiskon]))</f>
        <v/>
      </c>
      <c r="AB125" s="93"/>
      <c r="AC125" s="93" t="str">
        <f>Table1[[#This Row],[Item Description]]&amp;Table1[[#This Row],[Unit]]&amp;Table1[[#This Row],[Unit Price]]</f>
        <v/>
      </c>
    </row>
    <row r="126" spans="1:29" x14ac:dyDescent="0.25">
      <c r="A126" s="95">
        <f>IF(Table1[No. Invoice :]="","",ROW())</f>
        <v>126</v>
      </c>
      <c r="B126" s="291">
        <f>IF(Table1[h_Kode Sales :_1]="","",B$1+COUNT(B$2:B125))</f>
        <v>23020025</v>
      </c>
      <c r="C126" s="98">
        <v>44973</v>
      </c>
      <c r="D126" s="92" t="s">
        <v>142</v>
      </c>
      <c r="E126" s="97" t="s">
        <v>401</v>
      </c>
      <c r="F126" s="92" t="s">
        <v>42</v>
      </c>
      <c r="G126" s="95" t="str">
        <f>IF(Table1[[#This Row],[h_No. Invoice :]]="","",CONCATENATE("AM"," ",Table1[[#This Row],[h_No. Invoice :]]))</f>
        <v>AM 23020025</v>
      </c>
      <c r="H126" s="96" t="str">
        <f>CONCATENATE(UPPER(Table1[[#This Row],[h_Kode Sales :_1]])," ",Table1[[#This Row],[h_Kode Sales :_2]])</f>
        <v>KO 1065</v>
      </c>
      <c r="I126" s="95" t="str">
        <f>IF(Table1[[#This Row],[h_toko]]="","",INDEX(Table2[e],IF(Table1[[#This Row],[h_toko]]="","",MATCH(Table1[[#This Row],[h_toko]],Table2[a],0)),))</f>
        <v>CV TRINITY CENTRAAL PURWOKERTO</v>
      </c>
      <c r="J126" s="92">
        <v>15</v>
      </c>
      <c r="K126" s="92" t="s">
        <v>92</v>
      </c>
      <c r="M126" s="92" t="s">
        <v>405</v>
      </c>
      <c r="N126" s="291" t="str">
        <f>IF(Table1[[#This Row],[h_Item Description]]="","",INDEX([1]!db[NB PAJAK],MATCH(Table1[[#This Row],[h_Item Description]],[1]!db[kode],0)))</f>
        <v>CORRECTION TAPE KENKO CT-1505FC (15M X 5MM)</v>
      </c>
      <c r="O126" s="92" t="s">
        <v>406</v>
      </c>
      <c r="P126" s="93">
        <v>69600</v>
      </c>
      <c r="Q126" s="94">
        <v>0.13</v>
      </c>
      <c r="S126" s="294">
        <f>Table1[[#This Row],[h_hargasetelahdiskon]]</f>
        <v>908280</v>
      </c>
      <c r="T126" s="93" t="s">
        <v>93</v>
      </c>
      <c r="V126" s="95">
        <f ca="1">IF(Table1[[#This Row],[Item Description]]="","",IF(Table1[[#This Row],[//]]="",INDIRECT(ADDRESS(ROW()-1,COLUMN())),Table1[[#This Row],[//]]))</f>
        <v>126</v>
      </c>
      <c r="W126" s="95">
        <f ca="1">IF(Table1[[#This Row],[h_id]]="","",COUNTIF(Table1[h_id],Table1[[#This Row],[h_id]]))</f>
        <v>4</v>
      </c>
      <c r="X126" s="93">
        <f>IF(Table1[Item Description]="","",Table1[[#This Row],[Qty]]*Table1[[#This Row],[Unit Price]])</f>
        <v>1044000</v>
      </c>
      <c r="Y126" s="93">
        <f>IF(Table1[Item Description]="","",Table1[[#This Row],[h_hargasebelumdiskon]]*Table1[[#This Row],[Disc 1]])</f>
        <v>135720</v>
      </c>
      <c r="Z126" s="93">
        <f>IF(Table1[Item Description]="","",Table1[[#This Row],[h_hargasebelumdiskon]]-Table1[[#This Row],[h_diskon]])</f>
        <v>908280</v>
      </c>
      <c r="AA126" s="93">
        <f ca="1">IF(Table1[//]="","",SUMIF(Table1[h_id],Table1[h_id],Table1[h_hargasetelahdiskon]))</f>
        <v>3557952</v>
      </c>
      <c r="AB126" s="93"/>
      <c r="AC126" s="93" t="str">
        <f>Table1[[#This Row],[Item Description]]&amp;Table1[[#This Row],[Unit]]&amp;Table1[[#This Row],[Unit Price]]</f>
        <v>CORRECTION TAPE KENKO CT-1505FC (15M X 5MM)LSN69600</v>
      </c>
    </row>
    <row r="127" spans="1:29" x14ac:dyDescent="0.25">
      <c r="A127" s="95" t="str">
        <f>IF(Table1[No. Invoice :]="","",ROW())</f>
        <v/>
      </c>
      <c r="B127" s="291" t="str">
        <f>IF(Table1[h_Kode Sales :_1]="","",B$1+COUNT(B$2:B126))</f>
        <v/>
      </c>
      <c r="D127" s="292"/>
      <c r="E127" s="293"/>
      <c r="F127" s="292"/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J127" s="92">
        <v>15</v>
      </c>
      <c r="K127" s="92" t="s">
        <v>92</v>
      </c>
      <c r="M127" s="92" t="s">
        <v>402</v>
      </c>
      <c r="N127" s="291" t="str">
        <f>IF(Table1[[#This Row],[h_Item Description]]="","",INDEX([1]!db[NB PAJAK],MATCH(Table1[[#This Row],[h_Item Description]],[1]!db[kode],0)))</f>
        <v>CORRECTION TAPE KENKO CT-310SL (12M x 5MM)</v>
      </c>
      <c r="O127" s="92" t="s">
        <v>407</v>
      </c>
      <c r="P127" s="93">
        <v>84000</v>
      </c>
      <c r="Q127" s="94">
        <v>0.13</v>
      </c>
      <c r="S127" s="294">
        <f>Table1[[#This Row],[h_hargasetelahdiskon]]</f>
        <v>1096200</v>
      </c>
      <c r="V127" s="95">
        <f ca="1">IF(Table1[[#This Row],[Item Description]]="","",IF(Table1[[#This Row],[//]]="",INDIRECT(ADDRESS(ROW()-1,COLUMN())),Table1[[#This Row],[//]]))</f>
        <v>126</v>
      </c>
      <c r="W127" s="95">
        <f ca="1">IF(Table1[[#This Row],[h_id]]="","",COUNTIF(Table1[h_id],Table1[[#This Row],[h_id]]))</f>
        <v>4</v>
      </c>
      <c r="X127" s="93">
        <f>IF(Table1[Item Description]="","",Table1[[#This Row],[Qty]]*Table1[[#This Row],[Unit Price]])</f>
        <v>1260000</v>
      </c>
      <c r="Y127" s="93">
        <f>IF(Table1[Item Description]="","",Table1[[#This Row],[h_hargasebelumdiskon]]*Table1[[#This Row],[Disc 1]])</f>
        <v>163800</v>
      </c>
      <c r="Z127" s="93">
        <f>IF(Table1[Item Description]="","",Table1[[#This Row],[h_hargasebelumdiskon]]-Table1[[#This Row],[h_diskon]])</f>
        <v>1096200</v>
      </c>
      <c r="AA127" s="93" t="str">
        <f>IF(Table1[//]="","",SUMIF(Table1[h_id],Table1[h_id],Table1[h_hargasetelahdiskon]))</f>
        <v/>
      </c>
      <c r="AB127" s="93"/>
      <c r="AC127" s="93" t="str">
        <f>Table1[[#This Row],[Item Description]]&amp;Table1[[#This Row],[Unit]]&amp;Table1[[#This Row],[Unit Price]]</f>
        <v>CORRECTION TAPE KENKO CT-310SL (12M x 5MM)LSN84000</v>
      </c>
    </row>
    <row r="128" spans="1:29" x14ac:dyDescent="0.25">
      <c r="A128" s="95" t="str">
        <f>IF(Table1[No. Invoice :]="","",ROW())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J128" s="92">
        <v>9</v>
      </c>
      <c r="K128" s="92" t="s">
        <v>92</v>
      </c>
      <c r="M128" s="92" t="s">
        <v>403</v>
      </c>
      <c r="N128" s="291" t="str">
        <f>IF(Table1[[#This Row],[h_Item Description]]="","",INDEX([1]!db[NB PAJAK],MATCH(Table1[[#This Row],[h_Item Description]],[1]!db[kode],0)))</f>
        <v>CORRECTION TAPE KENKO CT-905 (12M x 5MM)</v>
      </c>
      <c r="O128" s="92" t="s">
        <v>408</v>
      </c>
      <c r="P128" s="93">
        <v>62400</v>
      </c>
      <c r="Q128" s="94">
        <v>0.13</v>
      </c>
      <c r="S128" s="294">
        <f>Table1[[#This Row],[h_hargasetelahdiskon]]</f>
        <v>488592</v>
      </c>
      <c r="V128" s="95">
        <f ca="1">IF(Table1[[#This Row],[Item Description]]="","",IF(Table1[[#This Row],[//]]="",INDIRECT(ADDRESS(ROW()-1,COLUMN())),Table1[[#This Row],[//]]))</f>
        <v>126</v>
      </c>
      <c r="W128" s="95">
        <f ca="1">IF(Table1[[#This Row],[h_id]]="","",COUNTIF(Table1[h_id],Table1[[#This Row],[h_id]]))</f>
        <v>4</v>
      </c>
      <c r="X128" s="93">
        <f>IF(Table1[Item Description]="","",Table1[[#This Row],[Qty]]*Table1[[#This Row],[Unit Price]])</f>
        <v>561600</v>
      </c>
      <c r="Y128" s="93">
        <f>IF(Table1[Item Description]="","",Table1[[#This Row],[h_hargasebelumdiskon]]*Table1[[#This Row],[Disc 1]])</f>
        <v>73008</v>
      </c>
      <c r="Z128" s="93">
        <f>IF(Table1[Item Description]="","",Table1[[#This Row],[h_hargasebelumdiskon]]-Table1[[#This Row],[h_diskon]])</f>
        <v>488592</v>
      </c>
      <c r="AA128" s="93" t="str">
        <f>IF(Table1[//]="","",SUMIF(Table1[h_id],Table1[h_id],Table1[h_hargasetelahdiskon]))</f>
        <v/>
      </c>
      <c r="AB128" s="93"/>
      <c r="AC128" s="93" t="str">
        <f>Table1[[#This Row],[Item Description]]&amp;Table1[[#This Row],[Unit]]&amp;Table1[[#This Row],[Unit Price]]</f>
        <v>CORRECTION TAPE KENKO CT-905 (12M x 5MM)LSN62400</v>
      </c>
    </row>
    <row r="129" spans="1:29" x14ac:dyDescent="0.25">
      <c r="A129" s="95" t="str">
        <f>IF(Table1[No. Invoice :]="","",ROW())</f>
        <v/>
      </c>
      <c r="B129" s="291" t="str">
        <f>IF(Table1[h_Kode Sales :_1]="","",B$1+COUNT(B$2:B128))</f>
        <v/>
      </c>
      <c r="D129" s="292"/>
      <c r="E129" s="293"/>
      <c r="F129" s="292"/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J129" s="92">
        <v>15</v>
      </c>
      <c r="K129" s="92" t="s">
        <v>92</v>
      </c>
      <c r="M129" s="92" t="s">
        <v>404</v>
      </c>
      <c r="N129" s="291" t="str">
        <f>IF(Table1[[#This Row],[h_Item Description]]="","",INDEX([1]!db[NB PAJAK],MATCH(Table1[[#This Row],[h_Item Description]],[1]!db[kode],0)))</f>
        <v>CORRECTION TAPE KENKO CT-309 (12M x 5MM)</v>
      </c>
      <c r="O129" s="92" t="s">
        <v>409</v>
      </c>
      <c r="P129" s="93">
        <v>81600</v>
      </c>
      <c r="Q129" s="94">
        <v>0.13</v>
      </c>
      <c r="S129" s="294">
        <f>Table1[[#This Row],[h_hargasetelahdiskon]]</f>
        <v>1064880</v>
      </c>
      <c r="V129" s="95">
        <f ca="1">IF(Table1[[#This Row],[Item Description]]="","",IF(Table1[[#This Row],[//]]="",INDIRECT(ADDRESS(ROW()-1,COLUMN())),Table1[[#This Row],[//]]))</f>
        <v>126</v>
      </c>
      <c r="W129" s="95">
        <f ca="1">IF(Table1[[#This Row],[h_id]]="","",COUNTIF(Table1[h_id],Table1[[#This Row],[h_id]]))</f>
        <v>4</v>
      </c>
      <c r="X129" s="93">
        <f>IF(Table1[Item Description]="","",Table1[[#This Row],[Qty]]*Table1[[#This Row],[Unit Price]])</f>
        <v>1224000</v>
      </c>
      <c r="Y129" s="93">
        <f>IF(Table1[Item Description]="","",Table1[[#This Row],[h_hargasebelumdiskon]]*Table1[[#This Row],[Disc 1]])</f>
        <v>159120</v>
      </c>
      <c r="Z129" s="93">
        <f>IF(Table1[Item Description]="","",Table1[[#This Row],[h_hargasebelumdiskon]]-Table1[[#This Row],[h_diskon]])</f>
        <v>1064880</v>
      </c>
      <c r="AA129" s="93" t="str">
        <f>IF(Table1[//]="","",SUMIF(Table1[h_id],Table1[h_id],Table1[h_hargasetelahdiskon]))</f>
        <v/>
      </c>
      <c r="AB129" s="93"/>
      <c r="AC129" s="93" t="str">
        <f>Table1[[#This Row],[Item Description]]&amp;Table1[[#This Row],[Unit]]&amp;Table1[[#This Row],[Unit Price]]</f>
        <v>CORRECTION TAPE KENKO CT-309 (12M x 5MM)LSN81600</v>
      </c>
    </row>
    <row r="130" spans="1:29" x14ac:dyDescent="0.25">
      <c r="A130" s="95" t="str">
        <f>IF(Table1[No. Invoice :]="","",ROW())</f>
        <v/>
      </c>
      <c r="B130" s="291" t="str">
        <f>IF(Table1[h_Kode Sales :_1]="","",B$1+COUNT(B$2:B129))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N130" s="291" t="str">
        <f>IF(Table1[[#This Row],[h_Item Description]]="","",INDEX([1]!db[NB PAJAK],MATCH(Table1[[#This Row],[h_Item Description]],[1]!db[kode],0)))</f>
        <v/>
      </c>
      <c r="P130" s="93"/>
      <c r="Q130" s="94"/>
      <c r="S130" s="294" t="str">
        <f>Table1[[#This Row],[h_hargasetelahdiskon]]</f>
        <v/>
      </c>
      <c r="V130" s="95" t="str">
        <f ca="1">IF(Table1[[#This Row],[Item Description]]="","",IF(Table1[[#This Row],[//]]="",INDIRECT(ADDRESS(ROW()-1,COLUMN())),Table1[[#This Row],[//]]))</f>
        <v/>
      </c>
      <c r="W130" s="95" t="str">
        <f ca="1">IF(Table1[[#This Row],[h_id]]="","",COUNTIF(Table1[h_id],Table1[[#This Row],[h_id]]))</f>
        <v/>
      </c>
      <c r="X130" s="93" t="str">
        <f>IF(Table1[Item Description]="","",Table1[[#This Row],[Qty]]*Table1[[#This Row],[Unit Price]])</f>
        <v/>
      </c>
      <c r="Y130" s="93" t="str">
        <f>IF(Table1[Item Description]="","",Table1[[#This Row],[h_hargasebelumdiskon]]*Table1[[#This Row],[Disc 1]])</f>
        <v/>
      </c>
      <c r="Z130" s="93" t="str">
        <f>IF(Table1[Item Description]="","",Table1[[#This Row],[h_hargasebelumdiskon]]-Table1[[#This Row],[h_diskon]])</f>
        <v/>
      </c>
      <c r="AA130" s="93" t="str">
        <f>IF(Table1[//]="","",SUMIF(Table1[h_id],Table1[h_id],Table1[h_hargasetelahdiskon]))</f>
        <v/>
      </c>
      <c r="AB130" s="93"/>
      <c r="AC130" s="93" t="str">
        <f>Table1[[#This Row],[Item Description]]&amp;Table1[[#This Row],[Unit]]&amp;Table1[[#This Row],[Unit Price]]</f>
        <v/>
      </c>
    </row>
    <row r="131" spans="1:29" x14ac:dyDescent="0.25">
      <c r="A131" s="95">
        <f>IF(Table1[No. Invoice :]="","",ROW())</f>
        <v>131</v>
      </c>
      <c r="B131" s="291">
        <f>IF(Table1[h_Kode Sales :_1]="","",B$1+COUNT(B$2:B130))</f>
        <v>23020026</v>
      </c>
      <c r="C131" s="98">
        <v>44978</v>
      </c>
      <c r="D131" s="92" t="s">
        <v>90</v>
      </c>
      <c r="E131" s="97" t="s">
        <v>415</v>
      </c>
      <c r="F131" s="92" t="s">
        <v>223</v>
      </c>
      <c r="G131" s="95" t="str">
        <f>IF(Table1[[#This Row],[h_No. Invoice :]]="","",CONCATENATE("AM"," ",Table1[[#This Row],[h_No. Invoice :]]))</f>
        <v>AM 23020026</v>
      </c>
      <c r="H131" s="96" t="str">
        <f>CONCATENATE(UPPER(Table1[[#This Row],[h_Kode Sales :_1]])," ",Table1[[#This Row],[h_Kode Sales :_2]])</f>
        <v>KO 1103</v>
      </c>
      <c r="I131" s="95" t="str">
        <f>IF(Table1[[#This Row],[h_toko]]="","",INDEX(Table2[e],IF(Table1[[#This Row],[h_toko]]="","",MATCH(Table1[[#This Row],[h_toko]],Table2[a],0)),))</f>
        <v>CV  WISUDA PURWOKERTO</v>
      </c>
      <c r="J131" s="92">
        <v>12</v>
      </c>
      <c r="K131" s="92" t="s">
        <v>92</v>
      </c>
      <c r="M131" s="92" t="s">
        <v>416</v>
      </c>
      <c r="N131" s="291" t="e">
        <f>IF(Table1[[#This Row],[h_Item Description]]="","",INDEX([1]!db[NB PAJAK],MATCH(Table1[[#This Row],[h_Item Description]],[1]!db[kode],0)))</f>
        <v>#N/A</v>
      </c>
      <c r="O131" s="92" t="s">
        <v>423</v>
      </c>
      <c r="P131" s="93">
        <v>39000</v>
      </c>
      <c r="Q131" s="94">
        <v>0.1</v>
      </c>
      <c r="S131" s="294">
        <f>Table1[[#This Row],[h_hargasetelahdiskon]]</f>
        <v>421200</v>
      </c>
      <c r="T131" s="93" t="s">
        <v>132</v>
      </c>
      <c r="V131" s="95">
        <f ca="1">IF(Table1[[#This Row],[Item Description]]="","",IF(Table1[[#This Row],[//]]="",INDIRECT(ADDRESS(ROW()-1,COLUMN())),Table1[[#This Row],[//]]))</f>
        <v>131</v>
      </c>
      <c r="W131" s="95">
        <f ca="1">IF(Table1[[#This Row],[h_id]]="","",COUNTIF(Table1[h_id],Table1[[#This Row],[h_id]]))</f>
        <v>4</v>
      </c>
      <c r="X131" s="93">
        <f>IF(Table1[Item Description]="","",Table1[[#This Row],[Qty]]*Table1[[#This Row],[Unit Price]])</f>
        <v>468000</v>
      </c>
      <c r="Y131" s="93">
        <f>IF(Table1[Item Description]="","",Table1[[#This Row],[h_hargasebelumdiskon]]*Table1[[#This Row],[Disc 1]])</f>
        <v>46800</v>
      </c>
      <c r="Z131" s="93">
        <f>IF(Table1[Item Description]="","",Table1[[#This Row],[h_hargasebelumdiskon]]-Table1[[#This Row],[h_diskon]])</f>
        <v>421200</v>
      </c>
      <c r="AA131" s="93">
        <f ca="1">IF(Table1[//]="","",SUMIF(Table1[h_id],Table1[h_id],Table1[h_hargasetelahdiskon]))</f>
        <v>3154680</v>
      </c>
      <c r="AB131" s="93"/>
      <c r="AC131" s="93" t="str">
        <f>Table1[[#This Row],[Item Description]]&amp;Table1[[#This Row],[Unit]]&amp;Table1[[#This Row],[Unit Price]]</f>
        <v>GEL PEN KENKO HI-TECH-H 0.28 MMLSN39000</v>
      </c>
    </row>
    <row r="132" spans="1:29" x14ac:dyDescent="0.25">
      <c r="A132" s="95" t="str">
        <f>IF(Table1[No. Invoice :]="","",ROW())</f>
        <v/>
      </c>
      <c r="B132" s="291" t="str">
        <f>IF(Table1[h_Kode Sales :_1]="","",B$1+COUNT(B$2:B129))</f>
        <v/>
      </c>
      <c r="D132" s="292"/>
      <c r="E132" s="293"/>
      <c r="F132" s="292"/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J132" s="92">
        <v>4</v>
      </c>
      <c r="K132" s="92" t="s">
        <v>92</v>
      </c>
      <c r="M132" s="92" t="s">
        <v>417</v>
      </c>
      <c r="N132" s="291" t="str">
        <f>IF(Table1[[#This Row],[h_Item Description]]="","",INDEX([1]!db[NB PAJAK],MATCH(Table1[[#This Row],[h_Item Description]],[1]!db[kode],0)))</f>
        <v>GEL PEN KENKO K-1</v>
      </c>
      <c r="O132" s="92" t="s">
        <v>420</v>
      </c>
      <c r="P132" s="93">
        <v>39600</v>
      </c>
      <c r="Q132" s="94">
        <v>0.1</v>
      </c>
      <c r="S132" s="294">
        <f>Table1[[#This Row],[h_hargasetelahdiskon]]</f>
        <v>142560</v>
      </c>
      <c r="V132" s="95">
        <f ca="1">IF(Table1[[#This Row],[Item Description]]="","",IF(Table1[[#This Row],[//]]="",INDIRECT(ADDRESS(ROW()-1,COLUMN())),Table1[[#This Row],[//]]))</f>
        <v>131</v>
      </c>
      <c r="W132" s="95">
        <f ca="1">IF(Table1[[#This Row],[h_id]]="","",COUNTIF(Table1[h_id],Table1[[#This Row],[h_id]]))</f>
        <v>4</v>
      </c>
      <c r="X132" s="93">
        <f>IF(Table1[Item Description]="","",Table1[[#This Row],[Qty]]*Table1[[#This Row],[Unit Price]])</f>
        <v>158400</v>
      </c>
      <c r="Y132" s="93">
        <f>IF(Table1[Item Description]="","",Table1[[#This Row],[h_hargasebelumdiskon]]*Table1[[#This Row],[Disc 1]])</f>
        <v>15840</v>
      </c>
      <c r="Z132" s="93">
        <f>IF(Table1[Item Description]="","",Table1[[#This Row],[h_hargasebelumdiskon]]-Table1[[#This Row],[h_diskon]])</f>
        <v>142560</v>
      </c>
      <c r="AA132" s="93" t="str">
        <f>IF(Table1[//]="","",SUMIF(Table1[h_id],Table1[h_id],Table1[h_hargasetelahdiskon]))</f>
        <v/>
      </c>
      <c r="AB132" s="93"/>
      <c r="AC132" s="93" t="str">
        <f>Table1[[#This Row],[Item Description]]&amp;Table1[[#This Row],[Unit]]&amp;Table1[[#This Row],[Unit Price]]</f>
        <v>GEL PEN KENKO K-1LSN39600</v>
      </c>
    </row>
    <row r="133" spans="1:29" x14ac:dyDescent="0.25">
      <c r="A133" s="95" t="str">
        <f>IF(Table1[No. Invoice :]="","",ROW())</f>
        <v/>
      </c>
      <c r="B133" s="291" t="str">
        <f>IF(Table1[h_Kode Sales :_1]="","",B$1+COUNT(B$2:B132))</f>
        <v/>
      </c>
      <c r="D133" s="292"/>
      <c r="E133" s="293"/>
      <c r="F133" s="292"/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J133" s="92">
        <v>20</v>
      </c>
      <c r="K133" s="92" t="s">
        <v>131</v>
      </c>
      <c r="L133" s="92">
        <v>1</v>
      </c>
      <c r="M133" s="92" t="s">
        <v>418</v>
      </c>
      <c r="N133" s="291" t="str">
        <f>IF(Table1[[#This Row],[h_Item Description]]="","",INDEX([1]!db[NB PAJAK],MATCH(Table1[[#This Row],[h_Item Description]],[1]!db[kode],0)))</f>
        <v>BINDER CLIP JOYKO 155</v>
      </c>
      <c r="O133" s="92" t="s">
        <v>421</v>
      </c>
      <c r="P133" s="93">
        <v>67800</v>
      </c>
      <c r="Q133" s="94">
        <v>0.1</v>
      </c>
      <c r="S133" s="294">
        <f>Table1[[#This Row],[h_hargasetelahdiskon]]</f>
        <v>1220400</v>
      </c>
      <c r="V133" s="95">
        <f ca="1">IF(Table1[[#This Row],[Item Description]]="","",IF(Table1[[#This Row],[//]]="",INDIRECT(ADDRESS(ROW()-1,COLUMN())),Table1[[#This Row],[//]]))</f>
        <v>131</v>
      </c>
      <c r="W133" s="95">
        <f ca="1">IF(Table1[[#This Row],[h_id]]="","",COUNTIF(Table1[h_id],Table1[[#This Row],[h_id]]))</f>
        <v>4</v>
      </c>
      <c r="X133" s="93">
        <f>IF(Table1[Item Description]="","",Table1[[#This Row],[Qty]]*Table1[[#This Row],[Unit Price]])</f>
        <v>1356000</v>
      </c>
      <c r="Y133" s="93">
        <f>IF(Table1[Item Description]="","",Table1[[#This Row],[h_hargasebelumdiskon]]*Table1[[#This Row],[Disc 1]])</f>
        <v>135600</v>
      </c>
      <c r="Z133" s="93">
        <f>IF(Table1[Item Description]="","",Table1[[#This Row],[h_hargasebelumdiskon]]-Table1[[#This Row],[h_diskon]])</f>
        <v>1220400</v>
      </c>
      <c r="AA133" s="93" t="str">
        <f>IF(Table1[//]="","",SUMIF(Table1[h_id],Table1[h_id],Table1[h_hargasetelahdiskon]))</f>
        <v/>
      </c>
      <c r="AB133" s="93"/>
      <c r="AC133" s="93" t="str">
        <f>Table1[[#This Row],[Item Description]]&amp;Table1[[#This Row],[Unit]]&amp;Table1[[#This Row],[Unit Price]]</f>
        <v>BINDER CLIP JOYKO 155GRS67800</v>
      </c>
    </row>
    <row r="134" spans="1:29" x14ac:dyDescent="0.25">
      <c r="A134" s="95" t="str">
        <f>IF(Table1[No. Invoice :]="","",ROW())</f>
        <v/>
      </c>
      <c r="B134" s="291" t="str">
        <f>IF(Table1[h_Kode Sales :_1]="","",B$1+COUNT(B$2:B129))</f>
        <v/>
      </c>
      <c r="D134" s="292"/>
      <c r="E134" s="293"/>
      <c r="F134" s="292"/>
      <c r="G134" s="95" t="str">
        <f>IF(Table1[[#This Row],[h_No. Invoice :]]="","",CONCATENATE("AM"," ",Table1[[#This Row],[h_No. Invoice :]]))</f>
        <v/>
      </c>
      <c r="H134" s="96" t="str">
        <f>CONCATENATE(UPPER(Table1[[#This Row],[h_Kode Sales :_1]])," ",Table1[[#This Row],[h_Kode Sales :_2]])</f>
        <v xml:space="preserve"> </v>
      </c>
      <c r="I134" s="95" t="str">
        <f>IF(Table1[[#This Row],[h_toko]]="","",INDEX(Table2[e],IF(Table1[[#This Row],[h_toko]]="","",MATCH(Table1[[#This Row],[h_toko]],Table2[a],0)),))</f>
        <v/>
      </c>
      <c r="J134" s="92">
        <v>3</v>
      </c>
      <c r="K134" s="92" t="s">
        <v>131</v>
      </c>
      <c r="L134" s="92">
        <v>1</v>
      </c>
      <c r="M134" s="92" t="s">
        <v>419</v>
      </c>
      <c r="N134" s="291" t="str">
        <f>IF(Table1[[#This Row],[h_Item Description]]="","",INDEX([1]!db[NB PAJAK],MATCH(Table1[[#This Row],[h_Item Description]],[1]!db[kode],0)))</f>
        <v>BINDER CLIP JOYKO 280</v>
      </c>
      <c r="O134" s="92" t="s">
        <v>422</v>
      </c>
      <c r="P134" s="93">
        <v>507600</v>
      </c>
      <c r="Q134" s="94">
        <v>0.1</v>
      </c>
      <c r="S134" s="294">
        <f>Table1[[#This Row],[h_hargasetelahdiskon]]</f>
        <v>1370520</v>
      </c>
      <c r="V134" s="95">
        <f ca="1">IF(Table1[[#This Row],[Item Description]]="","",IF(Table1[[#This Row],[//]]="",INDIRECT(ADDRESS(ROW()-1,COLUMN())),Table1[[#This Row],[//]]))</f>
        <v>131</v>
      </c>
      <c r="W134" s="95">
        <f ca="1">IF(Table1[[#This Row],[h_id]]="","",COUNTIF(Table1[h_id],Table1[[#This Row],[h_id]]))</f>
        <v>4</v>
      </c>
      <c r="X134" s="93">
        <f>IF(Table1[Item Description]="","",Table1[[#This Row],[Qty]]*Table1[[#This Row],[Unit Price]])</f>
        <v>1522800</v>
      </c>
      <c r="Y134" s="93">
        <f>IF(Table1[Item Description]="","",Table1[[#This Row],[h_hargasebelumdiskon]]*Table1[[#This Row],[Disc 1]])</f>
        <v>152280</v>
      </c>
      <c r="Z134" s="93">
        <f>IF(Table1[Item Description]="","",Table1[[#This Row],[h_hargasebelumdiskon]]-Table1[[#This Row],[h_diskon]])</f>
        <v>1370520</v>
      </c>
      <c r="AA134" s="93" t="str">
        <f>IF(Table1[//]="","",SUMIF(Table1[h_id],Table1[h_id],Table1[h_hargasetelahdiskon]))</f>
        <v/>
      </c>
      <c r="AB134" s="93"/>
      <c r="AC134" s="93" t="str">
        <f>Table1[[#This Row],[Item Description]]&amp;Table1[[#This Row],[Unit]]&amp;Table1[[#This Row],[Unit Price]]</f>
        <v>BINDER CLIP JOYKO 280GRS507600</v>
      </c>
    </row>
    <row r="135" spans="1:29" x14ac:dyDescent="0.25">
      <c r="A135" s="95" t="str">
        <f>IF(Table1[No. Invoice :]="","",ROW())</f>
        <v/>
      </c>
      <c r="B135" s="291" t="str">
        <f>IF(Table1[h_Kode Sales :_1]="","",B$1+COUNT(B$2:B134))</f>
        <v/>
      </c>
      <c r="D135" s="292"/>
      <c r="E135" s="293"/>
      <c r="F135" s="292"/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 ca="1">IF(Table1[[#This Row],[Item Description]]="","",IF(Table1[[#This Row],[//]]="",INDIRECT(ADDRESS(ROW()-1,COLUMN())),Table1[[#This Row],[//]]))</f>
        <v/>
      </c>
      <c r="W135" s="95" t="str">
        <f ca="1"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IF(Table1[Item Description]="","",Table1[[#This Row],[h_hargasebelumdiskon]]*Table1[[#This Row],[Disc 1]])</f>
        <v/>
      </c>
      <c r="Z135" s="93" t="str">
        <f>IF(Table1[Item Description]="","",Table1[[#This Row],[h_hargasebelumdiskon]]-Table1[[#This Row],[h_diskon]])</f>
        <v/>
      </c>
      <c r="AA135" s="93" t="str">
        <f>IF(Table1[//]="","",SUMIF(Table1[h_id],Table1[h_id],Table1[h_hargasetelahdiskon]))</f>
        <v/>
      </c>
      <c r="AB135" s="93"/>
      <c r="AC135" s="93" t="str">
        <f>Table1[[#This Row],[Item Description]]&amp;Table1[[#This Row],[Unit]]&amp;Table1[[#This Row],[Unit Price]]</f>
        <v/>
      </c>
    </row>
    <row r="136" spans="1:29" x14ac:dyDescent="0.25">
      <c r="A136" s="95">
        <f>IF(Table1[No. Invoice :]="","",ROW())</f>
        <v>136</v>
      </c>
      <c r="B136" s="291">
        <f>IF(Table1[h_Kode Sales :_1]="","",B$1+COUNT(B$2:B135))</f>
        <v>23020027</v>
      </c>
      <c r="C136" s="98">
        <v>44978</v>
      </c>
      <c r="D136" s="92" t="s">
        <v>142</v>
      </c>
      <c r="E136" s="97" t="s">
        <v>424</v>
      </c>
      <c r="F136" s="92" t="s">
        <v>41</v>
      </c>
      <c r="G136" s="95" t="str">
        <f>IF(Table1[[#This Row],[h_No. Invoice :]]="","",CONCATENATE("AM"," ",Table1[[#This Row],[h_No. Invoice :]]))</f>
        <v>AM 23020027</v>
      </c>
      <c r="H136" s="96" t="str">
        <f>CONCATENATE(UPPER(Table1[[#This Row],[h_Kode Sales :_1]])," ",Table1[[#This Row],[h_Kode Sales :_2]])</f>
        <v>KO 1106</v>
      </c>
      <c r="I136" s="95" t="str">
        <f>IF(Table1[[#This Row],[h_toko]]="","",INDEX(Table2[e],IF(Table1[[#This Row],[h_toko]]="","",MATCH(Table1[[#This Row],[h_toko]],Table2[a],0)),))</f>
        <v>CV DWI JAYA YOGYAKARTA</v>
      </c>
      <c r="J136" s="92">
        <v>3</v>
      </c>
      <c r="K136" s="92" t="s">
        <v>92</v>
      </c>
      <c r="M136" s="92" t="s">
        <v>406</v>
      </c>
      <c r="N136" s="291" t="e">
        <f>IF(Table1[[#This Row],[h_Item Description]]="","",INDEX([1]!db[NB PAJAK],MATCH(Table1[[#This Row],[h_Item Description]],[1]!db[kode],0)))</f>
        <v>#N/A</v>
      </c>
      <c r="O136" s="92" t="s">
        <v>406</v>
      </c>
      <c r="P136" s="93">
        <v>69600</v>
      </c>
      <c r="Q136" s="94">
        <v>0.1</v>
      </c>
      <c r="S136" s="294">
        <f>Table1[[#This Row],[h_hargasetelahdiskon]]</f>
        <v>187920</v>
      </c>
      <c r="T136" s="93" t="s">
        <v>132</v>
      </c>
      <c r="V136" s="95">
        <f ca="1">IF(Table1[[#This Row],[Item Description]]="","",IF(Table1[[#This Row],[//]]="",INDIRECT(ADDRESS(ROW()-1,COLUMN())),Table1[[#This Row],[//]]))</f>
        <v>136</v>
      </c>
      <c r="W136" s="95">
        <f ca="1">IF(Table1[[#This Row],[h_id]]="","",COUNTIF(Table1[h_id],Table1[[#This Row],[h_id]]))</f>
        <v>7</v>
      </c>
      <c r="X136" s="93">
        <f>IF(Table1[Item Description]="","",Table1[[#This Row],[Qty]]*Table1[[#This Row],[Unit Price]])</f>
        <v>208800</v>
      </c>
      <c r="Y136" s="93">
        <f>IF(Table1[Item Description]="","",Table1[[#This Row],[h_hargasebelumdiskon]]*Table1[[#This Row],[Disc 1]])</f>
        <v>20880</v>
      </c>
      <c r="Z136" s="93">
        <f>IF(Table1[Item Description]="","",Table1[[#This Row],[h_hargasebelumdiskon]]-Table1[[#This Row],[h_diskon]])</f>
        <v>187920</v>
      </c>
      <c r="AA136" s="93">
        <f ca="1">IF(Table1[//]="","",SUMIF(Table1[h_id],Table1[h_id],Table1[h_hargasetelahdiskon]))</f>
        <v>1962360</v>
      </c>
      <c r="AB136" s="93"/>
      <c r="AC136" s="93" t="str">
        <f>Table1[[#This Row],[Item Description]]&amp;Table1[[#This Row],[Unit]]&amp;Table1[[#This Row],[Unit Price]]</f>
        <v>CORRECTION TAPE KENKO CT-1505FC (15M X 5MM)LSN69600</v>
      </c>
    </row>
    <row r="137" spans="1:29" x14ac:dyDescent="0.25">
      <c r="A137" s="95" t="str">
        <f>IF(Table1[No. Invoice :]="","",ROW())</f>
        <v/>
      </c>
      <c r="B137" s="291" t="str">
        <f>IF(Table1[h_Kode Sales :_1]="","",B$1+COUNT(B$2:B136))</f>
        <v/>
      </c>
      <c r="D137" s="292"/>
      <c r="E137" s="293"/>
      <c r="F137" s="292"/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J137" s="92">
        <v>2</v>
      </c>
      <c r="K137" s="92" t="s">
        <v>131</v>
      </c>
      <c r="M137" s="92" t="s">
        <v>425</v>
      </c>
      <c r="N137" s="291" t="e">
        <f>IF(Table1[[#This Row],[h_Item Description]]="","",INDEX([1]!db[NB PAJAK],MATCH(Table1[[#This Row],[h_Item Description]],[1]!db[kode],0)))</f>
        <v>#N/A</v>
      </c>
      <c r="O137" s="92" t="s">
        <v>425</v>
      </c>
      <c r="P137" s="93">
        <v>102000</v>
      </c>
      <c r="Q137" s="94">
        <v>0.1</v>
      </c>
      <c r="S137" s="294">
        <f>Table1[[#This Row],[h_hargasetelahdiskon]]</f>
        <v>183600</v>
      </c>
      <c r="V137" s="95">
        <f ca="1">IF(Table1[[#This Row],[Item Description]]="","",IF(Table1[[#This Row],[//]]="",INDIRECT(ADDRESS(ROW()-1,COLUMN())),Table1[[#This Row],[//]]))</f>
        <v>136</v>
      </c>
      <c r="W137" s="95">
        <f ca="1">IF(Table1[[#This Row],[h_id]]="","",COUNTIF(Table1[h_id],Table1[[#This Row],[h_id]]))</f>
        <v>7</v>
      </c>
      <c r="X137" s="93">
        <f>IF(Table1[Item Description]="","",Table1[[#This Row],[Qty]]*Table1[[#This Row],[Unit Price]])</f>
        <v>204000</v>
      </c>
      <c r="Y137" s="93">
        <f>IF(Table1[Item Description]="","",Table1[[#This Row],[h_hargasebelumdiskon]]*Table1[[#This Row],[Disc 1]])</f>
        <v>20400</v>
      </c>
      <c r="Z137" s="93">
        <f>IF(Table1[Item Description]="","",Table1[[#This Row],[h_hargasebelumdiskon]]-Table1[[#This Row],[h_diskon]])</f>
        <v>183600</v>
      </c>
      <c r="AA137" s="93" t="str">
        <f>IF(Table1[//]="","",SUMIF(Table1[h_id],Table1[h_id],Table1[h_hargasetelahdiskon]))</f>
        <v/>
      </c>
      <c r="AB137" s="93"/>
      <c r="AC137" s="93" t="str">
        <f>Table1[[#This Row],[Item Description]]&amp;Table1[[#This Row],[Unit]]&amp;Table1[[#This Row],[Unit Price]]</f>
        <v>PENSIL KENKO 2B-6019 ANTIBACTERIALGRS102000</v>
      </c>
    </row>
    <row r="138" spans="1:29" x14ac:dyDescent="0.25">
      <c r="A138" s="95" t="str">
        <f>IF(Table1[No. Invoice :]="","",ROW())</f>
        <v/>
      </c>
      <c r="B138" s="291" t="str">
        <f>IF(Table1[h_Kode Sales :_1]="","",B$1+COUNT(B$2:B137))</f>
        <v/>
      </c>
      <c r="D138" s="292"/>
      <c r="E138" s="293"/>
      <c r="F138" s="292"/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J138" s="92">
        <v>3</v>
      </c>
      <c r="K138" s="92" t="s">
        <v>141</v>
      </c>
      <c r="M138" s="92" t="s">
        <v>283</v>
      </c>
      <c r="N138" s="291" t="e">
        <f>IF(Table1[[#This Row],[h_Item Description]]="","",INDEX([1]!db[NB PAJAK],MATCH(Table1[[#This Row],[h_Item Description]],[1]!db[kode],0)))</f>
        <v>#N/A</v>
      </c>
      <c r="O138" s="92" t="s">
        <v>283</v>
      </c>
      <c r="P138" s="93">
        <v>72000</v>
      </c>
      <c r="Q138" s="94">
        <v>0.1</v>
      </c>
      <c r="S138" s="294">
        <f>Table1[[#This Row],[h_hargasetelahdiskon]]</f>
        <v>194400</v>
      </c>
      <c r="V138" s="95">
        <f ca="1">IF(Table1[[#This Row],[Item Description]]="","",IF(Table1[[#This Row],[//]]="",INDIRECT(ADDRESS(ROW()-1,COLUMN())),Table1[[#This Row],[//]]))</f>
        <v>136</v>
      </c>
      <c r="W138" s="95">
        <f ca="1">IF(Table1[[#This Row],[h_id]]="","",COUNTIF(Table1[h_id],Table1[[#This Row],[h_id]]))</f>
        <v>7</v>
      </c>
      <c r="X138" s="93">
        <f>IF(Table1[Item Description]="","",Table1[[#This Row],[Qty]]*Table1[[#This Row],[Unit Price]])</f>
        <v>216000</v>
      </c>
      <c r="Y138" s="93">
        <f>IF(Table1[Item Description]="","",Table1[[#This Row],[h_hargasebelumdiskon]]*Table1[[#This Row],[Disc 1]])</f>
        <v>21600</v>
      </c>
      <c r="Z138" s="93">
        <f>IF(Table1[Item Description]="","",Table1[[#This Row],[h_hargasebelumdiskon]]-Table1[[#This Row],[h_diskon]])</f>
        <v>194400</v>
      </c>
      <c r="AA138" s="93" t="str">
        <f>IF(Table1[//]="","",SUMIF(Table1[h_id],Table1[h_id],Table1[h_hargasetelahdiskon]))</f>
        <v/>
      </c>
      <c r="AB138" s="93"/>
      <c r="AC138" s="93" t="str">
        <f>Table1[[#This Row],[Item Description]]&amp;Table1[[#This Row],[Unit]]&amp;Table1[[#This Row],[Unit Price]]</f>
        <v>LEM STICK KENKO 15 GR (TANGGUNG) isi 20 pcBOX72000</v>
      </c>
    </row>
    <row r="139" spans="1:29" x14ac:dyDescent="0.25">
      <c r="A139" s="95" t="str">
        <f>IF(Table1[No. Invoice :]="","",ROW())</f>
        <v/>
      </c>
      <c r="B139" s="291" t="str">
        <f>IF(Table1[h_Kode Sales :_1]="","",B$1+COUNT(B$2:B138))</f>
        <v/>
      </c>
      <c r="D139" s="292"/>
      <c r="E139" s="293"/>
      <c r="F139" s="292"/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J139" s="92">
        <v>4</v>
      </c>
      <c r="K139" s="92" t="s">
        <v>92</v>
      </c>
      <c r="M139" s="92" t="s">
        <v>137</v>
      </c>
      <c r="N139" s="291" t="e">
        <f>IF(Table1[[#This Row],[h_Item Description]]="","",INDEX([1]!db[NB PAJAK],MATCH(Table1[[#This Row],[h_Item Description]],[1]!db[kode],0)))</f>
        <v>#N/A</v>
      </c>
      <c r="O139" s="92" t="s">
        <v>137</v>
      </c>
      <c r="P139" s="93">
        <v>93000</v>
      </c>
      <c r="Q139" s="94">
        <v>0.1</v>
      </c>
      <c r="S139" s="294">
        <f>Table1[[#This Row],[h_hargasetelahdiskon]]</f>
        <v>334800</v>
      </c>
      <c r="V139" s="95">
        <f ca="1">IF(Table1[[#This Row],[Item Description]]="","",IF(Table1[[#This Row],[//]]="",INDIRECT(ADDRESS(ROW()-1,COLUMN())),Table1[[#This Row],[//]]))</f>
        <v>136</v>
      </c>
      <c r="W139" s="95">
        <f ca="1">IF(Table1[[#This Row],[h_id]]="","",COUNTIF(Table1[h_id],Table1[[#This Row],[h_id]]))</f>
        <v>7</v>
      </c>
      <c r="X139" s="93">
        <f>IF(Table1[Item Description]="","",Table1[[#This Row],[Qty]]*Table1[[#This Row],[Unit Price]])</f>
        <v>372000</v>
      </c>
      <c r="Y139" s="93">
        <f>IF(Table1[Item Description]="","",Table1[[#This Row],[h_hargasebelumdiskon]]*Table1[[#This Row],[Disc 1]])</f>
        <v>37200</v>
      </c>
      <c r="Z139" s="93">
        <f>IF(Table1[Item Description]="","",Table1[[#This Row],[h_hargasebelumdiskon]]-Table1[[#This Row],[h_diskon]])</f>
        <v>334800</v>
      </c>
      <c r="AA139" s="93" t="str">
        <f>IF(Table1[//]="","",SUMIF(Table1[h_id],Table1[h_id],Table1[h_hargasetelahdiskon]))</f>
        <v/>
      </c>
      <c r="AB139" s="93"/>
      <c r="AC139" s="93" t="str">
        <f>Table1[[#This Row],[Item Description]]&amp;Table1[[#This Row],[Unit]]&amp;Table1[[#This Row],[Unit Price]]</f>
        <v>STAPLER KENKO HD-10LSN93000</v>
      </c>
    </row>
    <row r="140" spans="1:29" x14ac:dyDescent="0.25">
      <c r="A140" s="95" t="str">
        <f>IF(Table1[No. Invoice :]="","",ROW())</f>
        <v/>
      </c>
      <c r="B140" s="291" t="str">
        <f>IF(Table1[h_Kode Sales :_1]="","",B$1+COUNT(B$2:B139))</f>
        <v/>
      </c>
      <c r="D140" s="292"/>
      <c r="E140" s="293"/>
      <c r="F140" s="292"/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J140" s="92">
        <v>12</v>
      </c>
      <c r="K140" s="92" t="s">
        <v>92</v>
      </c>
      <c r="M140" s="92" t="s">
        <v>420</v>
      </c>
      <c r="N140" s="291" t="e">
        <f>IF(Table1[[#This Row],[h_Item Description]]="","",INDEX([1]!db[NB PAJAK],MATCH(Table1[[#This Row],[h_Item Description]],[1]!db[kode],0)))</f>
        <v>#N/A</v>
      </c>
      <c r="O140" s="92" t="s">
        <v>420</v>
      </c>
      <c r="P140" s="93">
        <v>39600</v>
      </c>
      <c r="Q140" s="94">
        <v>0.1</v>
      </c>
      <c r="S140" s="294">
        <f>Table1[[#This Row],[h_hargasetelahdiskon]]</f>
        <v>427680</v>
      </c>
      <c r="V140" s="95">
        <f ca="1">IF(Table1[[#This Row],[Item Description]]="","",IF(Table1[[#This Row],[//]]="",INDIRECT(ADDRESS(ROW()-1,COLUMN())),Table1[[#This Row],[//]]))</f>
        <v>136</v>
      </c>
      <c r="W140" s="95">
        <f ca="1">IF(Table1[[#This Row],[h_id]]="","",COUNTIF(Table1[h_id],Table1[[#This Row],[h_id]]))</f>
        <v>7</v>
      </c>
      <c r="X140" s="93">
        <f>IF(Table1[Item Description]="","",Table1[[#This Row],[Qty]]*Table1[[#This Row],[Unit Price]])</f>
        <v>475200</v>
      </c>
      <c r="Y140" s="93">
        <f>IF(Table1[Item Description]="","",Table1[[#This Row],[h_hargasebelumdiskon]]*Table1[[#This Row],[Disc 1]])</f>
        <v>47520</v>
      </c>
      <c r="Z140" s="93">
        <f>IF(Table1[Item Description]="","",Table1[[#This Row],[h_hargasebelumdiskon]]-Table1[[#This Row],[h_diskon]])</f>
        <v>427680</v>
      </c>
      <c r="AA140" s="93" t="str">
        <f>IF(Table1[//]="","",SUMIF(Table1[h_id],Table1[h_id],Table1[h_hargasetelahdiskon]))</f>
        <v/>
      </c>
      <c r="AB140" s="93"/>
      <c r="AC140" s="93" t="str">
        <f>Table1[[#This Row],[Item Description]]&amp;Table1[[#This Row],[Unit]]&amp;Table1[[#This Row],[Unit Price]]</f>
        <v>GEL PEN KENKO K-1LSN39600</v>
      </c>
    </row>
    <row r="141" spans="1:29" x14ac:dyDescent="0.25">
      <c r="A141" s="95" t="str">
        <f>IF(Table1[No. Invoice :]="","",ROW())</f>
        <v/>
      </c>
      <c r="B141" s="291" t="str">
        <f>IF(Table1[h_Kode Sales :_1]="","",B$1+COUNT(B$2:B140))</f>
        <v/>
      </c>
      <c r="D141" s="292"/>
      <c r="E141" s="293"/>
      <c r="F141" s="292"/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J141" s="92">
        <v>4</v>
      </c>
      <c r="K141" s="92" t="s">
        <v>92</v>
      </c>
      <c r="M141" s="92" t="s">
        <v>426</v>
      </c>
      <c r="N141" s="291" t="e">
        <f>IF(Table1[[#This Row],[h_Item Description]]="","",INDEX([1]!db[NB PAJAK],MATCH(Table1[[#This Row],[h_Item Description]],[1]!db[kode],0)))</f>
        <v>#N/A</v>
      </c>
      <c r="O141" s="92" t="s">
        <v>426</v>
      </c>
      <c r="P141" s="93">
        <v>56400</v>
      </c>
      <c r="Q141" s="94">
        <v>0.1</v>
      </c>
      <c r="S141" s="294">
        <f>Table1[[#This Row],[h_hargasetelahdiskon]]</f>
        <v>203040</v>
      </c>
      <c r="V141" s="95">
        <f ca="1">IF(Table1[[#This Row],[Item Description]]="","",IF(Table1[[#This Row],[//]]="",INDIRECT(ADDRESS(ROW()-1,COLUMN())),Table1[[#This Row],[//]]))</f>
        <v>136</v>
      </c>
      <c r="W141" s="95">
        <f ca="1">IF(Table1[[#This Row],[h_id]]="","",COUNTIF(Table1[h_id],Table1[[#This Row],[h_id]]))</f>
        <v>7</v>
      </c>
      <c r="X141" s="93">
        <f>IF(Table1[Item Description]="","",Table1[[#This Row],[Qty]]*Table1[[#This Row],[Unit Price]])</f>
        <v>225600</v>
      </c>
      <c r="Y141" s="93">
        <f>IF(Table1[Item Description]="","",Table1[[#This Row],[h_hargasebelumdiskon]]*Table1[[#This Row],[Disc 1]])</f>
        <v>22560</v>
      </c>
      <c r="Z141" s="93">
        <f>IF(Table1[Item Description]="","",Table1[[#This Row],[h_hargasebelumdiskon]]-Table1[[#This Row],[h_diskon]])</f>
        <v>203040</v>
      </c>
      <c r="AA141" s="93" t="str">
        <f>IF(Table1[//]="","",SUMIF(Table1[h_id],Table1[h_id],Table1[h_hargasetelahdiskon]))</f>
        <v/>
      </c>
      <c r="AB141" s="93"/>
      <c r="AC141" s="93" t="str">
        <f>Table1[[#This Row],[Item Description]]&amp;Table1[[#This Row],[Unit]]&amp;Table1[[#This Row],[Unit Price]]</f>
        <v>GUNTING KENKO SC-828LSN56400</v>
      </c>
    </row>
    <row r="142" spans="1:29" x14ac:dyDescent="0.25">
      <c r="A142" s="95" t="str">
        <f>IF(Table1[No. Invoice :]="","",ROW())</f>
        <v/>
      </c>
      <c r="B142" s="291" t="str">
        <f>IF(Table1[h_Kode Sales :_1]="","",B$1+COUNT(B$2:B141))</f>
        <v/>
      </c>
      <c r="D142" s="292"/>
      <c r="E142" s="293"/>
      <c r="F142" s="292"/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J142" s="92">
        <v>6</v>
      </c>
      <c r="K142" s="92" t="s">
        <v>92</v>
      </c>
      <c r="M142" s="92" t="s">
        <v>427</v>
      </c>
      <c r="N142" s="291" t="e">
        <f>IF(Table1[[#This Row],[h_Item Description]]="","",INDEX([1]!db[NB PAJAK],MATCH(Table1[[#This Row],[h_Item Description]],[1]!db[kode],0)))</f>
        <v>#N/A</v>
      </c>
      <c r="O142" s="92" t="s">
        <v>427</v>
      </c>
      <c r="P142" s="93">
        <v>79800</v>
      </c>
      <c r="Q142" s="94">
        <v>0.1</v>
      </c>
      <c r="S142" s="294">
        <f>Table1[[#This Row],[h_hargasetelahdiskon]]</f>
        <v>430920</v>
      </c>
      <c r="V142" s="95">
        <f ca="1">IF(Table1[[#This Row],[Item Description]]="","",IF(Table1[[#This Row],[//]]="",INDIRECT(ADDRESS(ROW()-1,COLUMN())),Table1[[#This Row],[//]]))</f>
        <v>136</v>
      </c>
      <c r="W142" s="95">
        <f ca="1">IF(Table1[[#This Row],[h_id]]="","",COUNTIF(Table1[h_id],Table1[[#This Row],[h_id]]))</f>
        <v>7</v>
      </c>
      <c r="X142" s="93">
        <f>IF(Table1[Item Description]="","",Table1[[#This Row],[Qty]]*Table1[[#This Row],[Unit Price]])</f>
        <v>478800</v>
      </c>
      <c r="Y142" s="93">
        <f>IF(Table1[Item Description]="","",Table1[[#This Row],[h_hargasebelumdiskon]]*Table1[[#This Row],[Disc 1]])</f>
        <v>47880</v>
      </c>
      <c r="Z142" s="93">
        <f>IF(Table1[Item Description]="","",Table1[[#This Row],[h_hargasebelumdiskon]]-Table1[[#This Row],[h_diskon]])</f>
        <v>430920</v>
      </c>
      <c r="AA142" s="93" t="str">
        <f>IF(Table1[//]="","",SUMIF(Table1[h_id],Table1[h_id],Table1[h_hargasetelahdiskon]))</f>
        <v/>
      </c>
      <c r="AB142" s="93"/>
      <c r="AC142" s="93" t="str">
        <f>Table1[[#This Row],[Item Description]]&amp;Table1[[#This Row],[Unit]]&amp;Table1[[#This Row],[Unit Price]]</f>
        <v>GUNTING KENKO SC-838NLSN79800</v>
      </c>
    </row>
    <row r="143" spans="1:29" x14ac:dyDescent="0.25">
      <c r="A143" s="95" t="str">
        <f>IF(Table1[No. Invoice :]="","",ROW())</f>
        <v/>
      </c>
      <c r="B143" s="291" t="str">
        <f>IF(Table1[h_Kode Sales :_1]="","",B$1+COUNT(B$2:B129))</f>
        <v/>
      </c>
      <c r="D143" s="292"/>
      <c r="E143" s="293"/>
      <c r="F143" s="292"/>
      <c r="G143" s="95" t="str">
        <f>IF(Table1[[#This Row],[h_No. Invoice :]]="","",CONCATENATE("AM"," ",Table1[[#This Row],[h_No. Invoice :]]))</f>
        <v/>
      </c>
      <c r="H143" s="96" t="str">
        <f>CONCATENATE(UPPER(Table1[[#This Row],[h_Kode Sales :_1]])," ",Table1[[#This Row],[h_Kode Sales :_2]])</f>
        <v xml:space="preserve"> </v>
      </c>
      <c r="I143" s="95" t="str">
        <f>IF(Table1[[#This Row],[h_toko]]="","",INDEX(Table2[e],IF(Table1[[#This Row],[h_toko]]="","",MATCH(Table1[[#This Row],[h_toko]],Table2[a],0)),))</f>
        <v/>
      </c>
      <c r="M143" s="292"/>
      <c r="N143" s="291" t="str">
        <f>IF(Table1[[#This Row],[h_Item Description]]="","",INDEX([1]!db[NB PAJAK],MATCH(Table1[[#This Row],[h_Item Description]],[1]!db[kode],0)))</f>
        <v/>
      </c>
      <c r="P143" s="93"/>
      <c r="Q143" s="94"/>
      <c r="S143" s="294" t="str">
        <f>Table1[[#This Row],[h_hargasetelahdiskon]]</f>
        <v/>
      </c>
      <c r="V143" s="95" t="str">
        <f ca="1">IF(Table1[[#This Row],[Item Description]]="","",IF(Table1[[#This Row],[//]]="",INDIRECT(ADDRESS(ROW()-1,COLUMN())),Table1[[#This Row],[//]]))</f>
        <v/>
      </c>
      <c r="W143" s="95" t="str">
        <f ca="1">IF(Table1[[#This Row],[h_id]]="","",COUNTIF(Table1[h_id],Table1[[#This Row],[h_id]]))</f>
        <v/>
      </c>
      <c r="X143" s="93" t="str">
        <f>IF(Table1[Item Description]="","",Table1[[#This Row],[Qty]]*Table1[[#This Row],[Unit Price]])</f>
        <v/>
      </c>
      <c r="Y143" s="93" t="str">
        <f>IF(Table1[Item Description]="","",Table1[[#This Row],[h_hargasebelumdiskon]]*Table1[[#This Row],[Disc 1]])</f>
        <v/>
      </c>
      <c r="Z143" s="93" t="str">
        <f>IF(Table1[Item Description]="","",Table1[[#This Row],[h_hargasebelumdiskon]]-Table1[[#This Row],[h_diskon]])</f>
        <v/>
      </c>
      <c r="AA143" s="93" t="str">
        <f>IF(Table1[//]="","",SUMIF(Table1[h_id],Table1[h_id],Table1[h_hargasetelahdiskon]))</f>
        <v/>
      </c>
      <c r="AB143" s="93"/>
      <c r="AC143" s="93" t="str">
        <f>Table1[[#This Row],[Item Description]]&amp;Table1[[#This Row],[Unit]]&amp;Table1[[#This Row],[Unit Price]]</f>
        <v/>
      </c>
    </row>
    <row r="144" spans="1:29" x14ac:dyDescent="0.25">
      <c r="A144" s="95">
        <f>IF(Table1[No. Invoice :]="","",ROW())</f>
        <v>144</v>
      </c>
      <c r="B144" s="291">
        <f>IF(Table1[h_Kode Sales :_1]="","",B$1+COUNT(B$2:B143))</f>
        <v>23020028</v>
      </c>
      <c r="C144" s="98">
        <v>44974</v>
      </c>
      <c r="D144" s="92" t="s">
        <v>142</v>
      </c>
      <c r="E144" s="97" t="s">
        <v>414</v>
      </c>
      <c r="F144" s="92" t="s">
        <v>91</v>
      </c>
      <c r="G144" s="95" t="str">
        <f>IF(Table1[[#This Row],[h_No. Invoice :]]="","",CONCATENATE("AM"," ",Table1[[#This Row],[h_No. Invoice :]]))</f>
        <v>AM 23020028</v>
      </c>
      <c r="H144" s="96" t="str">
        <f>CONCATENATE(UPPER(Table1[[#This Row],[h_Kode Sales :_1]])," ",Table1[[#This Row],[h_Kode Sales :_2]])</f>
        <v>KO 0943</v>
      </c>
      <c r="I144" s="95" t="str">
        <f>IF(Table1[[#This Row],[h_toko]]="","",INDEX(Table2[e],IF(Table1[[#This Row],[h_toko]]="","",MATCH(Table1[[#This Row],[h_toko]],Table2[a],0)),))</f>
        <v>CV TRINITY CENTRAAL PURWOKERTO</v>
      </c>
      <c r="J144" s="92">
        <v>16</v>
      </c>
      <c r="K144" s="92" t="s">
        <v>141</v>
      </c>
      <c r="M144" s="92" t="s">
        <v>280</v>
      </c>
      <c r="N144" s="291" t="str">
        <f>IF(Table1[[#This Row],[h_Item Description]]="","",INDEX([1]!db[NB PAJAK],MATCH(Table1[[#This Row],[h_Item Description]],[1]!db[kode],0)))</f>
        <v>LEM STICK KENKO 8 GR (KECIL) isi 30 pc</v>
      </c>
      <c r="O144" s="92" t="s">
        <v>281</v>
      </c>
      <c r="P144" s="93">
        <v>66000</v>
      </c>
      <c r="Q144" s="94">
        <v>0.13</v>
      </c>
      <c r="S144" s="294">
        <f>Table1[[#This Row],[h_hargasetelahdiskon]]</f>
        <v>918720</v>
      </c>
      <c r="T144" s="93" t="s">
        <v>93</v>
      </c>
      <c r="V144" s="95">
        <f ca="1">IF(Table1[[#This Row],[Item Description]]="","",IF(Table1[[#This Row],[//]]="",INDIRECT(ADDRESS(ROW()-1,COLUMN())),Table1[[#This Row],[//]]))</f>
        <v>144</v>
      </c>
      <c r="W144" s="95">
        <f ca="1">IF(Table1[[#This Row],[h_id]]="","",COUNTIF(Table1[h_id],Table1[[#This Row],[h_id]]))</f>
        <v>1</v>
      </c>
      <c r="X144" s="93">
        <f>IF(Table1[Item Description]="","",Table1[[#This Row],[Qty]]*Table1[[#This Row],[Unit Price]])</f>
        <v>1056000</v>
      </c>
      <c r="Y144" s="93">
        <f>IF(Table1[Item Description]="","",Table1[[#This Row],[h_hargasebelumdiskon]]*Table1[[#This Row],[Disc 1]])</f>
        <v>137280</v>
      </c>
      <c r="Z144" s="93">
        <f>IF(Table1[Item Description]="","",Table1[[#This Row],[h_hargasebelumdiskon]]-Table1[[#This Row],[h_diskon]])</f>
        <v>918720</v>
      </c>
      <c r="AA144" s="93">
        <f ca="1">IF(Table1[//]="","",SUMIF(Table1[h_id],Table1[h_id],Table1[h_hargasetelahdiskon]))</f>
        <v>918720</v>
      </c>
      <c r="AB144" s="93"/>
      <c r="AC144" s="93" t="str">
        <f>Table1[[#This Row],[Item Description]]&amp;Table1[[#This Row],[Unit]]&amp;Table1[[#This Row],[Unit Price]]</f>
        <v>LEM STICK KENKO 8 GR (KECIL) isi 30 pcBOX66000</v>
      </c>
    </row>
    <row r="145" spans="1:29" x14ac:dyDescent="0.25">
      <c r="A145" s="95" t="str">
        <f>IF(Table1[No. Invoice :]="","",ROW())</f>
        <v/>
      </c>
      <c r="B145" s="291" t="str">
        <f>IF(Table1[h_Kode Sales :_1]="","",B$1+COUNT(B$2:B144))</f>
        <v/>
      </c>
      <c r="D145" s="292"/>
      <c r="E145" s="293"/>
      <c r="F145" s="292"/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M145" s="292"/>
      <c r="N145" s="291" t="str">
        <f>IF(Table1[[#This Row],[h_Item Description]]="","",INDEX([1]!db[NB PAJAK],MATCH(Table1[[#This Row],[h_Item Description]],[1]!db[kode],0)))</f>
        <v/>
      </c>
      <c r="P145" s="93"/>
      <c r="Q145" s="94"/>
      <c r="S145" s="294" t="str">
        <f>Table1[[#This Row],[h_hargasetelahdiskon]]</f>
        <v/>
      </c>
      <c r="V145" s="95" t="str">
        <f ca="1">IF(Table1[[#This Row],[Item Description]]="","",IF(Table1[[#This Row],[//]]="",INDIRECT(ADDRESS(ROW()-1,COLUMN())),Table1[[#This Row],[//]]))</f>
        <v/>
      </c>
      <c r="W145" s="95" t="str">
        <f ca="1">IF(Table1[[#This Row],[h_id]]="","",COUNTIF(Table1[h_id],Table1[[#This Row],[h_id]]))</f>
        <v/>
      </c>
      <c r="X145" s="93" t="str">
        <f>IF(Table1[Item Description]="","",Table1[[#This Row],[Qty]]*Table1[[#This Row],[Unit Price]])</f>
        <v/>
      </c>
      <c r="Y145" s="93" t="str">
        <f>IF(Table1[Item Description]="","",Table1[[#This Row],[h_hargasebelumdiskon]]*Table1[[#This Row],[Disc 1]])</f>
        <v/>
      </c>
      <c r="Z145" s="93" t="str">
        <f>IF(Table1[Item Description]="","",Table1[[#This Row],[h_hargasebelumdiskon]]-Table1[[#This Row],[h_diskon]])</f>
        <v/>
      </c>
      <c r="AA145" s="93" t="str">
        <f>IF(Table1[//]="","",SUMIF(Table1[h_id],Table1[h_id],Table1[h_hargasetelahdiskon]))</f>
        <v/>
      </c>
      <c r="AB145" s="93"/>
      <c r="AC145" s="93" t="str">
        <f>Table1[[#This Row],[Item Description]]&amp;Table1[[#This Row],[Unit]]&amp;Table1[[#This Row],[Unit Price]]</f>
        <v/>
      </c>
    </row>
    <row r="146" spans="1:29" x14ac:dyDescent="0.25">
      <c r="A146" s="95">
        <f>IF(Table1[No. Invoice :]="","",ROW())</f>
        <v>146</v>
      </c>
      <c r="B146" s="291">
        <f>IF(Table1[h_Kode Sales :_1]="","",B$1+COUNT(B$2:B145))</f>
        <v>23020029</v>
      </c>
      <c r="C146" s="98">
        <v>44980</v>
      </c>
      <c r="D146" s="92" t="s">
        <v>142</v>
      </c>
      <c r="E146" s="97" t="s">
        <v>435</v>
      </c>
      <c r="F146" s="92" t="s">
        <v>91</v>
      </c>
      <c r="G146" s="95" t="str">
        <f>IF(Table1[[#This Row],[h_No. Invoice :]]="","",CONCATENATE("AM"," ",Table1[[#This Row],[h_No. Invoice :]]))</f>
        <v>AM 23020029</v>
      </c>
      <c r="H146" s="96" t="str">
        <f>CONCATENATE(UPPER(Table1[[#This Row],[h_Kode Sales :_1]])," ",Table1[[#This Row],[h_Kode Sales :_2]])</f>
        <v>KO 1120</v>
      </c>
      <c r="I146" s="95" t="str">
        <f>IF(Table1[[#This Row],[h_toko]]="","",INDEX(Table2[e],IF(Table1[[#This Row],[h_toko]]="","",MATCH(Table1[[#This Row],[h_toko]],Table2[a],0)),))</f>
        <v>CV TRINITY CENTRAAL PURWOKERTO</v>
      </c>
      <c r="J146" s="92">
        <v>72</v>
      </c>
      <c r="K146" s="92" t="s">
        <v>150</v>
      </c>
      <c r="L146" s="92">
        <v>2</v>
      </c>
      <c r="M146" s="92" t="s">
        <v>438</v>
      </c>
      <c r="N146" s="291" t="e">
        <f>IF(Table1[[#This Row],[h_Item Description]]="","",INDEX([1]!db[NB PAJAK],MATCH(Table1[[#This Row],[h_Item Description]],[1]!db[kode],0)))</f>
        <v>#N/A</v>
      </c>
      <c r="O146" s="92" t="s">
        <v>439</v>
      </c>
      <c r="P146" s="93">
        <v>41500</v>
      </c>
      <c r="Q146" s="94">
        <v>0.13</v>
      </c>
      <c r="S146" s="294">
        <f>Table1[[#This Row],[h_hargasetelahdiskon]]</f>
        <v>2599560</v>
      </c>
      <c r="T146" s="93" t="s">
        <v>93</v>
      </c>
      <c r="V146" s="95">
        <f ca="1">IF(Table1[[#This Row],[Item Description]]="","",IF(Table1[[#This Row],[//]]="",INDIRECT(ADDRESS(ROW()-1,COLUMN())),Table1[[#This Row],[//]]))</f>
        <v>146</v>
      </c>
      <c r="W146" s="95">
        <f ca="1">IF(Table1[[#This Row],[h_id]]="","",COUNTIF(Table1[h_id],Table1[[#This Row],[h_id]]))</f>
        <v>1</v>
      </c>
      <c r="X146" s="93">
        <f>IF(Table1[Item Description]="","",Table1[[#This Row],[Qty]]*Table1[[#This Row],[Unit Price]])</f>
        <v>2988000</v>
      </c>
      <c r="Y146" s="93">
        <f>IF(Table1[Item Description]="","",Table1[[#This Row],[h_hargasebelumdiskon]]*Table1[[#This Row],[Disc 1]])</f>
        <v>388440</v>
      </c>
      <c r="Z146" s="93">
        <f>IF(Table1[Item Description]="","",Table1[[#This Row],[h_hargasebelumdiskon]]-Table1[[#This Row],[h_diskon]])</f>
        <v>2599560</v>
      </c>
      <c r="AA146" s="93">
        <f ca="1">IF(Table1[//]="","",SUMIF(Table1[h_id],Table1[h_id],Table1[h_hargasetelahdiskon]))</f>
        <v>2599560</v>
      </c>
      <c r="AB146" s="93"/>
      <c r="AC146" s="93" t="str">
        <f>Table1[[#This Row],[Item Description]]&amp;Table1[[#This Row],[Unit]]&amp;Table1[[#This Row],[Unit Price]]</f>
        <v>CRAYON / OIL PASTEL JOYKO OP-36S PP CASE SEA WORLDPCS41500</v>
      </c>
    </row>
    <row r="147" spans="1:29" x14ac:dyDescent="0.25">
      <c r="A147" s="95" t="str">
        <f>IF(Table1[No. Invoice :]="","",ROW())</f>
        <v/>
      </c>
      <c r="B147" s="291" t="str">
        <f>IF(Table1[h_Kode Sales :_1]="","",B$1+COUNT(B$2:B146))</f>
        <v/>
      </c>
      <c r="D147" s="292"/>
      <c r="E147" s="293"/>
      <c r="F147" s="292"/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M147" s="292"/>
      <c r="N147" s="291" t="str">
        <f>IF(Table1[[#This Row],[h_Item Description]]="","",INDEX([1]!db[NB PAJAK],MATCH(Table1[[#This Row],[h_Item Description]],[1]!db[kode],0)))</f>
        <v/>
      </c>
      <c r="P147" s="93"/>
      <c r="Q147" s="94"/>
      <c r="S147" s="294" t="str">
        <f>Table1[[#This Row],[h_hargasetelahdiskon]]</f>
        <v/>
      </c>
      <c r="V147" s="95" t="str">
        <f ca="1">IF(Table1[[#This Row],[Item Description]]="","",IF(Table1[[#This Row],[//]]="",INDIRECT(ADDRESS(ROW()-1,COLUMN())),Table1[[#This Row],[//]]))</f>
        <v/>
      </c>
      <c r="W147" s="95" t="str">
        <f ca="1">IF(Table1[[#This Row],[h_id]]="","",COUNTIF(Table1[h_id],Table1[[#This Row],[h_id]]))</f>
        <v/>
      </c>
      <c r="X147" s="93" t="str">
        <f>IF(Table1[Item Description]="","",Table1[[#This Row],[Qty]]*Table1[[#This Row],[Unit Price]])</f>
        <v/>
      </c>
      <c r="Y147" s="93" t="str">
        <f>IF(Table1[Item Description]="","",Table1[[#This Row],[h_hargasebelumdiskon]]*Table1[[#This Row],[Disc 1]])</f>
        <v/>
      </c>
      <c r="Z147" s="93" t="str">
        <f>IF(Table1[Item Description]="","",Table1[[#This Row],[h_hargasebelumdiskon]]-Table1[[#This Row],[h_diskon]])</f>
        <v/>
      </c>
      <c r="AA147" s="93" t="str">
        <f>IF(Table1[//]="","",SUMIF(Table1[h_id],Table1[h_id],Table1[h_hargasetelahdiskon]))</f>
        <v/>
      </c>
      <c r="AB147" s="93"/>
      <c r="AC147" s="93" t="str">
        <f>Table1[[#This Row],[Item Description]]&amp;Table1[[#This Row],[Unit]]&amp;Table1[[#This Row],[Unit Price]]</f>
        <v/>
      </c>
    </row>
    <row r="148" spans="1:29" x14ac:dyDescent="0.25">
      <c r="A148" s="95">
        <f>IF(Table1[No. Invoice :]="","",ROW())</f>
        <v>148</v>
      </c>
      <c r="B148" s="291">
        <f>IF(Table1[h_Kode Sales :_1]="","",B$1+COUNT(B$2:B147))</f>
        <v>23020030</v>
      </c>
      <c r="C148" s="98">
        <v>44980</v>
      </c>
      <c r="D148" s="92" t="s">
        <v>142</v>
      </c>
      <c r="E148" s="97" t="s">
        <v>441</v>
      </c>
      <c r="F148" s="92" t="s">
        <v>94</v>
      </c>
      <c r="G148" s="95" t="str">
        <f>IF(Table1[[#This Row],[h_No. Invoice :]]="","",CONCATENATE("AM"," ",Table1[[#This Row],[h_No. Invoice :]]))</f>
        <v>AM 23020030</v>
      </c>
      <c r="H148" s="96" t="str">
        <f>CONCATENATE(UPPER(Table1[[#This Row],[h_Kode Sales :_1]])," ",Table1[[#This Row],[h_Kode Sales :_2]])</f>
        <v>KO 1121</v>
      </c>
      <c r="I148" s="95" t="str">
        <f>IF(Table1[[#This Row],[h_toko]]="","",INDEX(Table2[e],IF(Table1[[#This Row],[h_toko]]="","",MATCH(Table1[[#This Row],[h_toko]],Table2[a],0)),))</f>
        <v>CV PELITA JAYA (ANUGERAH SEJAHTERA) PURWOKERTO</v>
      </c>
      <c r="J148" s="92">
        <v>96</v>
      </c>
      <c r="K148" s="92" t="s">
        <v>92</v>
      </c>
      <c r="L148" s="92">
        <v>2</v>
      </c>
      <c r="M148" s="92" t="s">
        <v>442</v>
      </c>
      <c r="N148" s="291" t="str">
        <f>IF(Table1[[#This Row],[h_Item Description]]="","",INDEX([1]!db[NB PAJAK],MATCH(Table1[[#This Row],[h_Item Description]],[1]!db[kode],0)))</f>
        <v>CORRECTION TAPE KENKO CT-909 (12M x 5MM)</v>
      </c>
      <c r="O148" s="92" t="s">
        <v>443</v>
      </c>
      <c r="P148" s="93">
        <v>60000</v>
      </c>
      <c r="Q148" s="94">
        <v>0.13500000000000001</v>
      </c>
      <c r="S148" s="294">
        <f>Table1[[#This Row],[h_hargasetelahdiskon]]</f>
        <v>4982400</v>
      </c>
      <c r="T148" s="93" t="s">
        <v>93</v>
      </c>
      <c r="V148" s="95">
        <f ca="1">IF(Table1[[#This Row],[Item Description]]="","",IF(Table1[[#This Row],[//]]="",INDIRECT(ADDRESS(ROW()-1,COLUMN())),Table1[[#This Row],[//]]))</f>
        <v>148</v>
      </c>
      <c r="W148" s="95">
        <f ca="1">IF(Table1[[#This Row],[h_id]]="","",COUNTIF(Table1[h_id],Table1[[#This Row],[h_id]]))</f>
        <v>1</v>
      </c>
      <c r="X148" s="93">
        <f>IF(Table1[Item Description]="","",Table1[[#This Row],[Qty]]*Table1[[#This Row],[Unit Price]])</f>
        <v>5760000</v>
      </c>
      <c r="Y148" s="93">
        <f>IF(Table1[Item Description]="","",Table1[[#This Row],[h_hargasebelumdiskon]]*Table1[[#This Row],[Disc 1]])</f>
        <v>777600</v>
      </c>
      <c r="Z148" s="93">
        <f>IF(Table1[Item Description]="","",Table1[[#This Row],[h_hargasebelumdiskon]]-Table1[[#This Row],[h_diskon]])</f>
        <v>4982400</v>
      </c>
      <c r="AA148" s="93">
        <f ca="1">IF(Table1[//]="","",SUMIF(Table1[h_id],Table1[h_id],Table1[h_hargasetelahdiskon]))</f>
        <v>4982400</v>
      </c>
      <c r="AB148" s="93"/>
      <c r="AC148" s="93" t="str">
        <f>Table1[[#This Row],[Item Description]]&amp;Table1[[#This Row],[Unit]]&amp;Table1[[#This Row],[Unit Price]]</f>
        <v>CORRECTION TAPE KENKO CT-909 (12M x 5MM)LSN60000</v>
      </c>
    </row>
    <row r="149" spans="1:29" x14ac:dyDescent="0.25">
      <c r="A149" s="95" t="str">
        <f>IF(Table1[No. Invoice :]="","",ROW())</f>
        <v/>
      </c>
      <c r="B149" s="291" t="str">
        <f>IF(Table1[h_Kode Sales :_1]="","",B$1+COUNT(B$2:B148))</f>
        <v/>
      </c>
      <c r="D149" s="292"/>
      <c r="E149" s="293"/>
      <c r="F149" s="292"/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M149" s="292"/>
      <c r="N149" s="291" t="str">
        <f>IF(Table1[[#This Row],[h_Item Description]]="","",INDEX([1]!db[NB PAJAK],MATCH(Table1[[#This Row],[h_Item Description]],[1]!db[kode],0)))</f>
        <v/>
      </c>
      <c r="P149" s="93"/>
      <c r="Q149" s="94"/>
      <c r="S149" s="294" t="str">
        <f>Table1[[#This Row],[h_hargasetelahdiskon]]</f>
        <v/>
      </c>
      <c r="V149" s="95" t="str">
        <f ca="1">IF(Table1[[#This Row],[Item Description]]="","",IF(Table1[[#This Row],[//]]="",INDIRECT(ADDRESS(ROW()-1,COLUMN())),Table1[[#This Row],[//]]))</f>
        <v/>
      </c>
      <c r="W149" s="95" t="str">
        <f ca="1">IF(Table1[[#This Row],[h_id]]="","",COUNTIF(Table1[h_id],Table1[[#This Row],[h_id]]))</f>
        <v/>
      </c>
      <c r="X149" s="93" t="str">
        <f>IF(Table1[Item Description]="","",Table1[[#This Row],[Qty]]*Table1[[#This Row],[Unit Price]])</f>
        <v/>
      </c>
      <c r="Y149" s="93" t="str">
        <f>IF(Table1[Item Description]="","",Table1[[#This Row],[h_hargasebelumdiskon]]*Table1[[#This Row],[Disc 1]])</f>
        <v/>
      </c>
      <c r="Z149" s="93" t="str">
        <f>IF(Table1[Item Description]="","",Table1[[#This Row],[h_hargasebelumdiskon]]-Table1[[#This Row],[h_diskon]])</f>
        <v/>
      </c>
      <c r="AA149" s="93" t="str">
        <f>IF(Table1[//]="","",SUMIF(Table1[h_id],Table1[h_id],Table1[h_hargasetelahdiskon]))</f>
        <v/>
      </c>
      <c r="AB149" s="93"/>
      <c r="AC149" s="93" t="str">
        <f>Table1[[#This Row],[Item Description]]&amp;Table1[[#This Row],[Unit]]&amp;Table1[[#This Row],[Unit Price]]</f>
        <v/>
      </c>
    </row>
    <row r="150" spans="1:29" x14ac:dyDescent="0.25">
      <c r="A150" s="95">
        <f>IF(Table1[No. Invoice :]="","",ROW())</f>
        <v>150</v>
      </c>
      <c r="B150" s="291">
        <f>IF(Table1[h_Kode Sales :_1]="","",B$1+COUNT(B$2:B149))</f>
        <v>23020031</v>
      </c>
      <c r="C150" s="98">
        <v>44980</v>
      </c>
      <c r="D150" s="92" t="s">
        <v>142</v>
      </c>
      <c r="E150" s="97" t="s">
        <v>445</v>
      </c>
      <c r="F150" s="92" t="s">
        <v>70</v>
      </c>
      <c r="G150" s="95" t="str">
        <f>IF(Table1[[#This Row],[h_No. Invoice :]]="","",CONCATENATE("AM"," ",Table1[[#This Row],[h_No. Invoice :]]))</f>
        <v>AM 23020031</v>
      </c>
      <c r="H150" s="96" t="str">
        <f>CONCATENATE(UPPER(Table1[[#This Row],[h_Kode Sales :_1]])," ",Table1[[#This Row],[h_Kode Sales :_2]])</f>
        <v>KO 0725</v>
      </c>
      <c r="I150" s="95" t="str">
        <f>IF(Table1[[#This Row],[h_toko]]="","",INDEX(Table2[e],IF(Table1[[#This Row],[h_toko]]="","",MATCH(Table1[[#This Row],[h_toko]],Table2[a],0)),))</f>
        <v>CV RAINBOW NUSANTARA SIDOARJO</v>
      </c>
      <c r="J150" s="92">
        <v>4</v>
      </c>
      <c r="K150" s="92" t="s">
        <v>92</v>
      </c>
      <c r="M150" s="92" t="s">
        <v>447</v>
      </c>
      <c r="N150" s="291" t="str">
        <f>IF(Table1[[#This Row],[h_Item Description]]="","",INDEX([1]!db[NB PAJAK],MATCH(Table1[[#This Row],[h_Item Description]],[1]!db[kode],0)))</f>
        <v>STAND PEN SPIRAL KENKO STP-100SG</v>
      </c>
      <c r="O150" s="92" t="s">
        <v>449</v>
      </c>
      <c r="P150" s="93">
        <v>54000</v>
      </c>
      <c r="Q150" s="94">
        <v>0.14499999999999999</v>
      </c>
      <c r="S150" s="294">
        <f>Table1[[#This Row],[h_hargasetelahdiskon]]</f>
        <v>184680</v>
      </c>
      <c r="T150" s="93" t="s">
        <v>93</v>
      </c>
      <c r="V150" s="95">
        <f ca="1">IF(Table1[[#This Row],[Item Description]]="","",IF(Table1[[#This Row],[//]]="",INDIRECT(ADDRESS(ROW()-1,COLUMN())),Table1[[#This Row],[//]]))</f>
        <v>150</v>
      </c>
      <c r="W150" s="95">
        <f ca="1">IF(Table1[[#This Row],[h_id]]="","",COUNTIF(Table1[h_id],Table1[[#This Row],[h_id]]))</f>
        <v>6</v>
      </c>
      <c r="X150" s="93">
        <f>IF(Table1[Item Description]="","",Table1[[#This Row],[Qty]]*Table1[[#This Row],[Unit Price]])</f>
        <v>216000</v>
      </c>
      <c r="Y150" s="93">
        <f>IF(Table1[Item Description]="","",Table1[[#This Row],[h_hargasebelumdiskon]]*Table1[[#This Row],[Disc 1]])</f>
        <v>31319.999999999996</v>
      </c>
      <c r="Z150" s="93">
        <f>IF(Table1[Item Description]="","",Table1[[#This Row],[h_hargasebelumdiskon]]-Table1[[#This Row],[h_diskon]])</f>
        <v>184680</v>
      </c>
      <c r="AA150" s="93">
        <f ca="1">IF(Table1[//]="","",SUMIF(Table1[h_id],Table1[h_id],Table1[h_hargasetelahdiskon]))</f>
        <v>2582442</v>
      </c>
      <c r="AB150" s="93"/>
      <c r="AC150" s="93" t="str">
        <f>Table1[[#This Row],[Item Description]]&amp;Table1[[#This Row],[Unit]]&amp;Table1[[#This Row],[Unit Price]]</f>
        <v>STAND PEN SPIRAL KENKO STP-100SGLSN54000</v>
      </c>
    </row>
    <row r="151" spans="1:29" x14ac:dyDescent="0.25">
      <c r="A151" s="95" t="str">
        <f>IF(Table1[No. Invoice :]="","",ROW())</f>
        <v/>
      </c>
      <c r="B151" s="291" t="str">
        <f>IF(Table1[h_Kode Sales :_1]="","",B$1+COUNT(B$2:B150))</f>
        <v/>
      </c>
      <c r="D151" s="292"/>
      <c r="E151" s="293"/>
      <c r="F151" s="292"/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J151" s="92">
        <v>5</v>
      </c>
      <c r="K151" s="92" t="s">
        <v>92</v>
      </c>
      <c r="M151" s="92" t="s">
        <v>448</v>
      </c>
      <c r="N151" s="291" t="str">
        <f>IF(Table1[[#This Row],[h_Item Description]]="","",INDEX([1]!db[NB PAJAK],MATCH(Table1[[#This Row],[h_Item Description]],[1]!db[kode],0)))</f>
        <v>STAND PEN SPIRAL KENKO STP-300SG</v>
      </c>
      <c r="O151" s="92" t="s">
        <v>450</v>
      </c>
      <c r="P151" s="93">
        <v>49200</v>
      </c>
      <c r="Q151" s="94">
        <v>0.14499999999999999</v>
      </c>
      <c r="S151" s="294">
        <f>Table1[[#This Row],[h_hargasetelahdiskon]]</f>
        <v>210330</v>
      </c>
      <c r="V151" s="95">
        <f ca="1">IF(Table1[[#This Row],[Item Description]]="","",IF(Table1[[#This Row],[//]]="",INDIRECT(ADDRESS(ROW()-1,COLUMN())),Table1[[#This Row],[//]]))</f>
        <v>150</v>
      </c>
      <c r="W151" s="95">
        <f ca="1">IF(Table1[[#This Row],[h_id]]="","",COUNTIF(Table1[h_id],Table1[[#This Row],[h_id]]))</f>
        <v>6</v>
      </c>
      <c r="X151" s="93">
        <f>IF(Table1[Item Description]="","",Table1[[#This Row],[Qty]]*Table1[[#This Row],[Unit Price]])</f>
        <v>246000</v>
      </c>
      <c r="Y151" s="93">
        <f>IF(Table1[Item Description]="","",Table1[[#This Row],[h_hargasebelumdiskon]]*Table1[[#This Row],[Disc 1]])</f>
        <v>35670</v>
      </c>
      <c r="Z151" s="93">
        <f>IF(Table1[Item Description]="","",Table1[[#This Row],[h_hargasebelumdiskon]]-Table1[[#This Row],[h_diskon]])</f>
        <v>210330</v>
      </c>
      <c r="AA151" s="93" t="str">
        <f>IF(Table1[//]="","",SUMIF(Table1[h_id],Table1[h_id],Table1[h_hargasetelahdiskon]))</f>
        <v/>
      </c>
      <c r="AB151" s="93"/>
      <c r="AC151" s="93" t="str">
        <f>Table1[[#This Row],[Item Description]]&amp;Table1[[#This Row],[Unit]]&amp;Table1[[#This Row],[Unit Price]]</f>
        <v>STAND PEN SPIRAL KENKO STP-300SGLSN49200</v>
      </c>
    </row>
    <row r="152" spans="1:29" x14ac:dyDescent="0.25">
      <c r="A152" s="95" t="str">
        <f>IF(Table1[No. Invoice :]="","",ROW())</f>
        <v/>
      </c>
      <c r="B152" s="291" t="str">
        <f>IF(Table1[h_Kode Sales :_1]="","",B$1+COUNT(B$2:B151))</f>
        <v/>
      </c>
      <c r="D152" s="292"/>
      <c r="E152" s="293"/>
      <c r="F152" s="292"/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J152" s="92">
        <v>8</v>
      </c>
      <c r="K152" s="92" t="s">
        <v>92</v>
      </c>
      <c r="M152" s="92" t="s">
        <v>205</v>
      </c>
      <c r="N152" s="291" t="e">
        <f>IF(Table1[[#This Row],[h_Item Description]]="","",INDEX([1]!db[NB PAJAK],MATCH(Table1[[#This Row],[h_Item Description]],[1]!db[kode],0)))</f>
        <v>#N/A</v>
      </c>
      <c r="O152" s="92" t="s">
        <v>211</v>
      </c>
      <c r="P152" s="93">
        <v>79200</v>
      </c>
      <c r="Q152" s="94">
        <v>0.14499999999999999</v>
      </c>
      <c r="S152" s="294">
        <f>Table1[[#This Row],[h_hargasetelahdiskon]]</f>
        <v>541728</v>
      </c>
      <c r="V152" s="95">
        <f ca="1">IF(Table1[[#This Row],[Item Description]]="","",IF(Table1[[#This Row],[//]]="",INDIRECT(ADDRESS(ROW()-1,COLUMN())),Table1[[#This Row],[//]]))</f>
        <v>150</v>
      </c>
      <c r="W152" s="95">
        <f ca="1">IF(Table1[[#This Row],[h_id]]="","",COUNTIF(Table1[h_id],Table1[[#This Row],[h_id]]))</f>
        <v>6</v>
      </c>
      <c r="X152" s="93">
        <f>IF(Table1[Item Description]="","",Table1[[#This Row],[Qty]]*Table1[[#This Row],[Unit Price]])</f>
        <v>633600</v>
      </c>
      <c r="Y152" s="93">
        <f>IF(Table1[Item Description]="","",Table1[[#This Row],[h_hargasebelumdiskon]]*Table1[[#This Row],[Disc 1]])</f>
        <v>91872</v>
      </c>
      <c r="Z152" s="93">
        <f>IF(Table1[Item Description]="","",Table1[[#This Row],[h_hargasebelumdiskon]]-Table1[[#This Row],[h_diskon]])</f>
        <v>541728</v>
      </c>
      <c r="AA152" s="93" t="str">
        <f>IF(Table1[//]="","",SUMIF(Table1[h_id],Table1[h_id],Table1[h_hargasetelahdiskon]))</f>
        <v/>
      </c>
      <c r="AB152" s="93"/>
      <c r="AC152" s="93" t="str">
        <f>Table1[[#This Row],[Item Description]]&amp;Table1[[#This Row],[Unit]]&amp;Table1[[#This Row],[Unit Price]]</f>
        <v>PENSIL WARNA KENKO CP-12HALF CLASSIC (PENDEK)LSN79200</v>
      </c>
    </row>
    <row r="153" spans="1:29" x14ac:dyDescent="0.25">
      <c r="A153" s="95" t="str">
        <f>IF(Table1[No. Invoice :]="","",ROW())</f>
        <v/>
      </c>
      <c r="B153" s="291" t="str">
        <f>IF(Table1[h_Kode Sales :_1]="","",B$1+COUNT(B$2:B152))</f>
        <v/>
      </c>
      <c r="D153" s="292"/>
      <c r="E153" s="293"/>
      <c r="F153" s="292"/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J153" s="92">
        <v>2</v>
      </c>
      <c r="K153" s="92" t="s">
        <v>92</v>
      </c>
      <c r="M153" s="92" t="s">
        <v>200</v>
      </c>
      <c r="N153" s="291" t="str">
        <f>IF(Table1[[#This Row],[h_Item Description]]="","",INDEX([1]!db[NB PAJAK],MATCH(Table1[[#This Row],[h_Item Description]],[1]!db[kode],0)))</f>
        <v>GARISAN BESI (STAINLESS STEEL) KENKO 100 CM / 1 M</v>
      </c>
      <c r="O153" s="92" t="s">
        <v>207</v>
      </c>
      <c r="P153" s="93">
        <v>522000</v>
      </c>
      <c r="Q153" s="94">
        <v>0.14499999999999999</v>
      </c>
      <c r="S153" s="294">
        <f>Table1[[#This Row],[h_hargasetelahdiskon]]</f>
        <v>892620</v>
      </c>
      <c r="V153" s="95">
        <f ca="1">IF(Table1[[#This Row],[Item Description]]="","",IF(Table1[[#This Row],[//]]="",INDIRECT(ADDRESS(ROW()-1,COLUMN())),Table1[[#This Row],[//]]))</f>
        <v>150</v>
      </c>
      <c r="W153" s="95">
        <f ca="1">IF(Table1[[#This Row],[h_id]]="","",COUNTIF(Table1[h_id],Table1[[#This Row],[h_id]]))</f>
        <v>6</v>
      </c>
      <c r="X153" s="93">
        <f>IF(Table1[Item Description]="","",Table1[[#This Row],[Qty]]*Table1[[#This Row],[Unit Price]])</f>
        <v>1044000</v>
      </c>
      <c r="Y153" s="93">
        <f>IF(Table1[Item Description]="","",Table1[[#This Row],[h_hargasebelumdiskon]]*Table1[[#This Row],[Disc 1]])</f>
        <v>151380</v>
      </c>
      <c r="Z153" s="93">
        <f>IF(Table1[Item Description]="","",Table1[[#This Row],[h_hargasebelumdiskon]]-Table1[[#This Row],[h_diskon]])</f>
        <v>892620</v>
      </c>
      <c r="AA153" s="93" t="str">
        <f>IF(Table1[//]="","",SUMIF(Table1[h_id],Table1[h_id],Table1[h_hargasetelahdiskon]))</f>
        <v/>
      </c>
      <c r="AB153" s="93"/>
      <c r="AC153" s="93" t="str">
        <f>Table1[[#This Row],[Item Description]]&amp;Table1[[#This Row],[Unit]]&amp;Table1[[#This Row],[Unit Price]]</f>
        <v>GARISAN BESI (STAINLESS STEEL) KENKO 100 CM / 1 MLSN522000</v>
      </c>
    </row>
    <row r="154" spans="1:29" x14ac:dyDescent="0.25">
      <c r="A154" s="95" t="str">
        <f>IF(Table1[No. Invoice :]="","",ROW())</f>
        <v/>
      </c>
      <c r="B154" s="291" t="str">
        <f>IF(Table1[h_Kode Sales :_1]="","",B$1+COUNT(B$2:B153))</f>
        <v/>
      </c>
      <c r="D154" s="292"/>
      <c r="E154" s="293"/>
      <c r="F154" s="292"/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J154" s="92">
        <v>12</v>
      </c>
      <c r="K154" s="92" t="s">
        <v>92</v>
      </c>
      <c r="M154" s="92" t="s">
        <v>446</v>
      </c>
      <c r="N154" s="291" t="e">
        <f>IF(Table1[[#This Row],[h_Item Description]]="","",INDEX([1]!db[NB PAJAK],MATCH(Table1[[#This Row],[h_Item Description]],[1]!db[kode],0)))</f>
        <v>#N/A</v>
      </c>
      <c r="O154" s="92" t="s">
        <v>451</v>
      </c>
      <c r="P154" s="93">
        <v>67200</v>
      </c>
      <c r="Q154" s="94">
        <v>0.14499999999999999</v>
      </c>
      <c r="S154" s="294">
        <f>Table1[[#This Row],[h_hargasetelahdiskon]]</f>
        <v>689472</v>
      </c>
      <c r="V154" s="95">
        <f ca="1">IF(Table1[[#This Row],[Item Description]]="","",IF(Table1[[#This Row],[//]]="",INDIRECT(ADDRESS(ROW()-1,COLUMN())),Table1[[#This Row],[//]]))</f>
        <v>150</v>
      </c>
      <c r="W154" s="95">
        <f ca="1">IF(Table1[[#This Row],[h_id]]="","",COUNTIF(Table1[h_id],Table1[[#This Row],[h_id]]))</f>
        <v>6</v>
      </c>
      <c r="X154" s="93">
        <f>IF(Table1[Item Description]="","",Table1[[#This Row],[Qty]]*Table1[[#This Row],[Unit Price]])</f>
        <v>806400</v>
      </c>
      <c r="Y154" s="93">
        <f>IF(Table1[Item Description]="","",Table1[[#This Row],[h_hargasebelumdiskon]]*Table1[[#This Row],[Disc 1]])</f>
        <v>116927.99999999999</v>
      </c>
      <c r="Z154" s="93">
        <f>IF(Table1[Item Description]="","",Table1[[#This Row],[h_hargasebelumdiskon]]-Table1[[#This Row],[h_diskon]])</f>
        <v>689472</v>
      </c>
      <c r="AA154" s="93" t="str">
        <f>IF(Table1[//]="","",SUMIF(Table1[h_id],Table1[h_id],Table1[h_hargasetelahdiskon]))</f>
        <v/>
      </c>
      <c r="AB154" s="93"/>
      <c r="AC154" s="93" t="str">
        <f>Table1[[#This Row],[Item Description]]&amp;Table1[[#This Row],[Unit]]&amp;Table1[[#This Row],[Unit Price]]</f>
        <v>STAPLER KENKO HD-10MPLSN67200</v>
      </c>
    </row>
    <row r="155" spans="1:29" x14ac:dyDescent="0.25">
      <c r="A155" s="95" t="str">
        <f>IF(Table1[No. Invoice :]="","",ROW())</f>
        <v/>
      </c>
      <c r="B155" s="291" t="str">
        <f>IF(Table1[h_Kode Sales :_1]="","",B$1+COUNT(B$2:B154))</f>
        <v/>
      </c>
      <c r="D155" s="292"/>
      <c r="E155" s="293"/>
      <c r="F155" s="292"/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J155" s="92">
        <v>1</v>
      </c>
      <c r="K155" s="92" t="s">
        <v>92</v>
      </c>
      <c r="M155" s="92" t="s">
        <v>154</v>
      </c>
      <c r="N155" s="291" t="str">
        <f>IF(Table1[[#This Row],[h_Item Description]]="","",INDEX([1]!db[NB PAJAK],MATCH(Table1[[#This Row],[h_Item Description]],[1]!db[kode],0)))</f>
        <v>DATE STAMP KENKO D-4 (Cap Tanggal 4 Mm)</v>
      </c>
      <c r="O155" s="92" t="s">
        <v>163</v>
      </c>
      <c r="P155" s="93">
        <v>74400</v>
      </c>
      <c r="Q155" s="94">
        <v>0.14499999999999999</v>
      </c>
      <c r="S155" s="294">
        <f>Table1[[#This Row],[h_hargasetelahdiskon]]</f>
        <v>63612</v>
      </c>
      <c r="V155" s="95">
        <f ca="1">IF(Table1[[#This Row],[Item Description]]="","",IF(Table1[[#This Row],[//]]="",INDIRECT(ADDRESS(ROW()-1,COLUMN())),Table1[[#This Row],[//]]))</f>
        <v>150</v>
      </c>
      <c r="W155" s="95">
        <f ca="1">IF(Table1[[#This Row],[h_id]]="","",COUNTIF(Table1[h_id],Table1[[#This Row],[h_id]]))</f>
        <v>6</v>
      </c>
      <c r="X155" s="93">
        <f>IF(Table1[Item Description]="","",Table1[[#This Row],[Qty]]*Table1[[#This Row],[Unit Price]])</f>
        <v>74400</v>
      </c>
      <c r="Y155" s="93">
        <f>IF(Table1[Item Description]="","",Table1[[#This Row],[h_hargasebelumdiskon]]*Table1[[#This Row],[Disc 1]])</f>
        <v>10788</v>
      </c>
      <c r="Z155" s="93">
        <f>IF(Table1[Item Description]="","",Table1[[#This Row],[h_hargasebelumdiskon]]-Table1[[#This Row],[h_diskon]])</f>
        <v>63612</v>
      </c>
      <c r="AA155" s="93" t="str">
        <f>IF(Table1[//]="","",SUMIF(Table1[h_id],Table1[h_id],Table1[h_hargasetelahdiskon]))</f>
        <v/>
      </c>
      <c r="AB155" s="93"/>
      <c r="AC155" s="93" t="str">
        <f>Table1[[#This Row],[Item Description]]&amp;Table1[[#This Row],[Unit]]&amp;Table1[[#This Row],[Unit Price]]</f>
        <v>DATE STAMP KENKO D-4 (Cap Tanggal 4 Mm)LSN74400</v>
      </c>
    </row>
    <row r="156" spans="1:29" x14ac:dyDescent="0.25">
      <c r="A156" s="95" t="str">
        <f>IF(Table1[No. Invoice :]="","",ROW())</f>
        <v/>
      </c>
      <c r="B156" s="291" t="str">
        <f>IF(Table1[h_Kode Sales :_1]="","",B$1+COUNT(B$2:B155))</f>
        <v/>
      </c>
      <c r="D156" s="292"/>
      <c r="E156" s="293"/>
      <c r="F156" s="292"/>
      <c r="G156" s="95" t="str">
        <f>IF(Table1[[#This Row],[h_No. Invoice :]]="","",CONCATENATE("AM"," ",Table1[[#This Row],[h_No. Invoice :]]))</f>
        <v/>
      </c>
      <c r="H156" s="96" t="str">
        <f>CONCATENATE(UPPER(Table1[[#This Row],[h_Kode Sales :_1]])," ",Table1[[#This Row],[h_Kode Sales :_2]])</f>
        <v xml:space="preserve"> </v>
      </c>
      <c r="I156" s="95" t="str">
        <f>IF(Table1[[#This Row],[h_toko]]="","",INDEX(Table2[e],IF(Table1[[#This Row],[h_toko]]="","",MATCH(Table1[[#This Row],[h_toko]],Table2[a],0)),))</f>
        <v/>
      </c>
      <c r="M156" s="292"/>
      <c r="N156" s="291" t="str">
        <f>IF(Table1[[#This Row],[h_Item Description]]="","",INDEX([1]!db[NB PAJAK],MATCH(Table1[[#This Row],[h_Item Description]],[1]!db[kode],0)))</f>
        <v/>
      </c>
      <c r="P156" s="93"/>
      <c r="Q156" s="94"/>
      <c r="S156" s="294" t="str">
        <f>Table1[[#This Row],[h_hargasetelahdiskon]]</f>
        <v/>
      </c>
      <c r="V156" s="95" t="str">
        <f ca="1">IF(Table1[[#This Row],[Item Description]]="","",IF(Table1[[#This Row],[//]]="",INDIRECT(ADDRESS(ROW()-1,COLUMN())),Table1[[#This Row],[//]]))</f>
        <v/>
      </c>
      <c r="W156" s="95" t="str">
        <f ca="1">IF(Table1[[#This Row],[h_id]]="","",COUNTIF(Table1[h_id],Table1[[#This Row],[h_id]]))</f>
        <v/>
      </c>
      <c r="X156" s="93" t="str">
        <f>IF(Table1[Item Description]="","",Table1[[#This Row],[Qty]]*Table1[[#This Row],[Unit Price]])</f>
        <v/>
      </c>
      <c r="Y156" s="93" t="str">
        <f>IF(Table1[Item Description]="","",Table1[[#This Row],[h_hargasebelumdiskon]]*Table1[[#This Row],[Disc 1]])</f>
        <v/>
      </c>
      <c r="Z156" s="93" t="str">
        <f>IF(Table1[Item Description]="","",Table1[[#This Row],[h_hargasebelumdiskon]]-Table1[[#This Row],[h_diskon]])</f>
        <v/>
      </c>
      <c r="AA156" s="93" t="str">
        <f>IF(Table1[//]="","",SUMIF(Table1[h_id],Table1[h_id],Table1[h_hargasetelahdiskon]))</f>
        <v/>
      </c>
      <c r="AB156" s="93"/>
      <c r="AC156" s="93" t="str">
        <f>Table1[[#This Row],[Item Description]]&amp;Table1[[#This Row],[Unit]]&amp;Table1[[#This Row],[Unit Price]]</f>
        <v/>
      </c>
    </row>
    <row r="157" spans="1:29" x14ac:dyDescent="0.25">
      <c r="A157" s="95">
        <f>IF(Table1[No. Invoice :]="","",ROW())</f>
        <v>157</v>
      </c>
      <c r="B157" s="291">
        <f>IF(Table1[h_Kode Sales :_1]="","",B$1+COUNT(B$2:B156))</f>
        <v>23020032</v>
      </c>
      <c r="C157" s="98">
        <v>44980</v>
      </c>
      <c r="D157" s="92" t="s">
        <v>142</v>
      </c>
      <c r="E157" s="97" t="s">
        <v>456</v>
      </c>
      <c r="F157" s="92" t="s">
        <v>78</v>
      </c>
      <c r="G157" s="95" t="str">
        <f>IF(Table1[[#This Row],[h_No. Invoice :]]="","",CONCATENATE("AM"," ",Table1[[#This Row],[h_No. Invoice :]]))</f>
        <v>AM 23020032</v>
      </c>
      <c r="H157" s="96" t="str">
        <f>CONCATENATE(UPPER(Table1[[#This Row],[h_Kode Sales :_1]])," ",Table1[[#This Row],[h_Kode Sales :_2]])</f>
        <v>KO 1124</v>
      </c>
      <c r="I157" s="95" t="str">
        <f>IF(Table1[[#This Row],[h_toko]]="","",INDEX(Table2[e],IF(Table1[[#This Row],[h_toko]]="","",MATCH(Table1[[#This Row],[h_toko]],Table2[a],0)),))</f>
        <v>CV SINAR CAHAYA NIRMALA BREBES</v>
      </c>
      <c r="J157" s="92">
        <v>2</v>
      </c>
      <c r="K157" s="92" t="s">
        <v>92</v>
      </c>
      <c r="M157" s="92" t="s">
        <v>462</v>
      </c>
      <c r="N157" s="291" t="str">
        <f>IF(Table1[[#This Row],[h_Item Description]]="","",INDEX([1]!db[NB PAJAK],MATCH(Table1[[#This Row],[h_Item Description]],[1]!db[kode],0)))</f>
        <v>GEL PEN KENKO HI-TECH-H 0.28 MM FUN COLOR HITAM</v>
      </c>
      <c r="O157" s="92" t="s">
        <v>465</v>
      </c>
      <c r="P157" s="93">
        <v>39000</v>
      </c>
      <c r="Q157" s="94">
        <v>0.1</v>
      </c>
      <c r="S157" s="294">
        <f>Table1[[#This Row],[h_hargasetelahdiskon]]</f>
        <v>70200</v>
      </c>
      <c r="T157" s="93" t="s">
        <v>93</v>
      </c>
      <c r="V157" s="95">
        <f ca="1">IF(Table1[[#This Row],[Item Description]]="","",IF(Table1[[#This Row],[//]]="",INDIRECT(ADDRESS(ROW()-1,COLUMN())),Table1[[#This Row],[//]]))</f>
        <v>157</v>
      </c>
      <c r="W157" s="95">
        <f ca="1">IF(Table1[[#This Row],[h_id]]="","",COUNTIF(Table1[h_id],Table1[[#This Row],[h_id]]))</f>
        <v>10</v>
      </c>
      <c r="X157" s="93">
        <f>IF(Table1[Item Description]="","",Table1[[#This Row],[Qty]]*Table1[[#This Row],[Unit Price]])</f>
        <v>78000</v>
      </c>
      <c r="Y157" s="93">
        <f>IF(Table1[Item Description]="","",Table1[[#This Row],[h_hargasebelumdiskon]]*Table1[[#This Row],[Disc 1]])</f>
        <v>7800</v>
      </c>
      <c r="Z157" s="93">
        <f>IF(Table1[Item Description]="","",Table1[[#This Row],[h_hargasebelumdiskon]]-Table1[[#This Row],[h_diskon]])</f>
        <v>70200</v>
      </c>
      <c r="AA157" s="93">
        <f ca="1">IF(Table1[//]="","",SUMIF(Table1[h_id],Table1[h_id],Table1[h_hargasetelahdiskon]))</f>
        <v>1721520</v>
      </c>
      <c r="AB157" s="93"/>
      <c r="AC157" s="93" t="str">
        <f>Table1[[#This Row],[Item Description]]&amp;Table1[[#This Row],[Unit]]&amp;Table1[[#This Row],[Unit Price]]</f>
        <v>GEL PEN KENKO HI-TECH-H 0.28 MM FUN COLORLSN39000</v>
      </c>
    </row>
    <row r="158" spans="1:29" x14ac:dyDescent="0.25">
      <c r="A158" s="95" t="str">
        <f>IF(Table1[No. Invoice :]="","",ROW())</f>
        <v/>
      </c>
      <c r="B158" s="291" t="str">
        <f>IF(Table1[h_Kode Sales :_1]="","",B$1+COUNT(B$2:B157))</f>
        <v/>
      </c>
      <c r="D158" s="292"/>
      <c r="E158" s="293"/>
      <c r="F158" s="292"/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J158" s="92">
        <v>2</v>
      </c>
      <c r="K158" s="92" t="s">
        <v>92</v>
      </c>
      <c r="M158" s="92" t="s">
        <v>157</v>
      </c>
      <c r="N158" s="291" t="str">
        <f>IF(Table1[[#This Row],[h_Item Description]]="","",INDEX([1]!db[NB PAJAK],MATCH(Table1[[#This Row],[h_Item Description]],[1]!db[kode],0)))</f>
        <v>PENSIL WARNA KENKO CP-12F CLASSIC (PANJANG)</v>
      </c>
      <c r="O158" s="92" t="s">
        <v>161</v>
      </c>
      <c r="P158" s="93">
        <v>124200</v>
      </c>
      <c r="Q158" s="94">
        <v>0.1</v>
      </c>
      <c r="S158" s="294">
        <f>Table1[[#This Row],[h_hargasetelahdiskon]]</f>
        <v>223560</v>
      </c>
      <c r="V158" s="95">
        <f ca="1">IF(Table1[[#This Row],[Item Description]]="","",IF(Table1[[#This Row],[//]]="",INDIRECT(ADDRESS(ROW()-1,COLUMN())),Table1[[#This Row],[//]]))</f>
        <v>157</v>
      </c>
      <c r="W158" s="95">
        <f ca="1">IF(Table1[[#This Row],[h_id]]="","",COUNTIF(Table1[h_id],Table1[[#This Row],[h_id]]))</f>
        <v>10</v>
      </c>
      <c r="X158" s="93">
        <f>IF(Table1[Item Description]="","",Table1[[#This Row],[Qty]]*Table1[[#This Row],[Unit Price]])</f>
        <v>248400</v>
      </c>
      <c r="Y158" s="93">
        <f>IF(Table1[Item Description]="","",Table1[[#This Row],[h_hargasebelumdiskon]]*Table1[[#This Row],[Disc 1]])</f>
        <v>24840</v>
      </c>
      <c r="Z158" s="93">
        <f>IF(Table1[Item Description]="","",Table1[[#This Row],[h_hargasebelumdiskon]]-Table1[[#This Row],[h_diskon]])</f>
        <v>223560</v>
      </c>
      <c r="AA158" s="93" t="str">
        <f>IF(Table1[//]="","",SUMIF(Table1[h_id],Table1[h_id],Table1[h_hargasetelahdiskon]))</f>
        <v/>
      </c>
      <c r="AB158" s="93"/>
      <c r="AC158" s="93" t="str">
        <f>Table1[[#This Row],[Item Description]]&amp;Table1[[#This Row],[Unit]]&amp;Table1[[#This Row],[Unit Price]]</f>
        <v>PENSIL WARNA KENKO CP-12F CLASSIC (PANJANG)LSN124200</v>
      </c>
    </row>
    <row r="159" spans="1:29" x14ac:dyDescent="0.25">
      <c r="A159" s="95" t="str">
        <f>IF(Table1[No. Invoice :]="","",ROW())</f>
        <v/>
      </c>
      <c r="B159" s="291" t="str">
        <f>IF(Table1[h_Kode Sales :_1]="","",B$1+COUNT(B$2:B158))</f>
        <v/>
      </c>
      <c r="D159" s="292"/>
      <c r="E159" s="293"/>
      <c r="F159" s="292"/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J159" s="92">
        <v>2</v>
      </c>
      <c r="K159" s="92" t="s">
        <v>92</v>
      </c>
      <c r="M159" s="92" t="s">
        <v>457</v>
      </c>
      <c r="N159" s="291" t="str">
        <f>IF(Table1[[#This Row],[h_Item Description]]="","",INDEX([1]!db[NB PAJAK],MATCH(Table1[[#This Row],[h_Item Description]],[1]!db[kode],0)))</f>
        <v>PENSIL WARNA KENKO CP-12HALF CLASSIC (PENDEK)</v>
      </c>
      <c r="O159" s="92" t="s">
        <v>211</v>
      </c>
      <c r="P159" s="93">
        <v>79200</v>
      </c>
      <c r="Q159" s="94">
        <v>0.1</v>
      </c>
      <c r="S159" s="294">
        <f>Table1[[#This Row],[h_hargasetelahdiskon]]</f>
        <v>142560</v>
      </c>
      <c r="V159" s="95">
        <f ca="1">IF(Table1[[#This Row],[Item Description]]="","",IF(Table1[[#This Row],[//]]="",INDIRECT(ADDRESS(ROW()-1,COLUMN())),Table1[[#This Row],[//]]))</f>
        <v>157</v>
      </c>
      <c r="W159" s="95">
        <f ca="1">IF(Table1[[#This Row],[h_id]]="","",COUNTIF(Table1[h_id],Table1[[#This Row],[h_id]]))</f>
        <v>10</v>
      </c>
      <c r="X159" s="93">
        <f>IF(Table1[Item Description]="","",Table1[[#This Row],[Qty]]*Table1[[#This Row],[Unit Price]])</f>
        <v>158400</v>
      </c>
      <c r="Y159" s="93">
        <f>IF(Table1[Item Description]="","",Table1[[#This Row],[h_hargasebelumdiskon]]*Table1[[#This Row],[Disc 1]])</f>
        <v>15840</v>
      </c>
      <c r="Z159" s="93">
        <f>IF(Table1[Item Description]="","",Table1[[#This Row],[h_hargasebelumdiskon]]-Table1[[#This Row],[h_diskon]])</f>
        <v>142560</v>
      </c>
      <c r="AA159" s="93" t="str">
        <f>IF(Table1[//]="","",SUMIF(Table1[h_id],Table1[h_id],Table1[h_hargasetelahdiskon]))</f>
        <v/>
      </c>
      <c r="AB159" s="93"/>
      <c r="AC159" s="93" t="str">
        <f>Table1[[#This Row],[Item Description]]&amp;Table1[[#This Row],[Unit]]&amp;Table1[[#This Row],[Unit Price]]</f>
        <v>PENSIL WARNA KENKO CP-12HALF CLASSIC (PENDEK)LSN79200</v>
      </c>
    </row>
    <row r="160" spans="1:29" x14ac:dyDescent="0.25">
      <c r="A160" s="95" t="str">
        <f>IF(Table1[No. Invoice :]="","",ROW())</f>
        <v/>
      </c>
      <c r="B160" s="291" t="str">
        <f>IF(Table1[h_Kode Sales :_1]="","",B$1+COUNT(B$2:B159))</f>
        <v/>
      </c>
      <c r="D160" s="292"/>
      <c r="E160" s="293"/>
      <c r="F160" s="292"/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J160" s="92">
        <v>1</v>
      </c>
      <c r="K160" s="92" t="s">
        <v>92</v>
      </c>
      <c r="M160" s="92" t="s">
        <v>458</v>
      </c>
      <c r="N160" s="291" t="e">
        <f>IF(Table1[[#This Row],[h_Item Description]]="","",INDEX([1]!db[NB PAJAK],MATCH(Table1[[#This Row],[h_Item Description]],[1]!db[kode],0)))</f>
        <v>#N/A</v>
      </c>
      <c r="O160" s="92" t="s">
        <v>463</v>
      </c>
      <c r="P160" s="93">
        <v>446400</v>
      </c>
      <c r="Q160" s="94">
        <v>0.1</v>
      </c>
      <c r="S160" s="294">
        <f>Table1[[#This Row],[h_hargasetelahdiskon]]</f>
        <v>401760</v>
      </c>
      <c r="V160" s="95">
        <f ca="1">IF(Table1[[#This Row],[Item Description]]="","",IF(Table1[[#This Row],[//]]="",INDIRECT(ADDRESS(ROW()-1,COLUMN())),Table1[[#This Row],[//]]))</f>
        <v>157</v>
      </c>
      <c r="W160" s="95">
        <f ca="1">IF(Table1[[#This Row],[h_id]]="","",COUNTIF(Table1[h_id],Table1[[#This Row],[h_id]]))</f>
        <v>10</v>
      </c>
      <c r="X160" s="93">
        <f>IF(Table1[Item Description]="","",Table1[[#This Row],[Qty]]*Table1[[#This Row],[Unit Price]])</f>
        <v>446400</v>
      </c>
      <c r="Y160" s="93">
        <f>IF(Table1[Item Description]="","",Table1[[#This Row],[h_hargasebelumdiskon]]*Table1[[#This Row],[Disc 1]])</f>
        <v>44640</v>
      </c>
      <c r="Z160" s="93">
        <f>IF(Table1[Item Description]="","",Table1[[#This Row],[h_hargasebelumdiskon]]-Table1[[#This Row],[h_diskon]])</f>
        <v>401760</v>
      </c>
      <c r="AA160" s="93" t="str">
        <f>IF(Table1[//]="","",SUMIF(Table1[h_id],Table1[h_id],Table1[h_hargasetelahdiskon]))</f>
        <v/>
      </c>
      <c r="AB160" s="93"/>
      <c r="AC160" s="93" t="str">
        <f>Table1[[#This Row],[Item Description]]&amp;Table1[[#This Row],[Unit]]&amp;Table1[[#This Row],[Unit Price]]</f>
        <v>CRAYON / OIL PASTEL PUTAR JOYKO TWCR-24MINI (PENDEK)LSN446400</v>
      </c>
    </row>
    <row r="161" spans="1:29" x14ac:dyDescent="0.25">
      <c r="A161" s="95" t="str">
        <f>IF(Table1[No. Invoice :]="","",ROW())</f>
        <v/>
      </c>
      <c r="B161" s="291" t="str">
        <f>IF(Table1[h_Kode Sales :_1]="","",B$1+COUNT(B$2:B160))</f>
        <v/>
      </c>
      <c r="D161" s="292"/>
      <c r="E161" s="293"/>
      <c r="F161" s="292"/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J161" s="92">
        <v>25</v>
      </c>
      <c r="K161" s="92" t="s">
        <v>316</v>
      </c>
      <c r="M161" s="92" t="s">
        <v>459</v>
      </c>
      <c r="N161" s="291" t="e">
        <f>IF(Table1[[#This Row],[h_Item Description]]="","",INDEX([1]!db[NB PAJAK],MATCH(Table1[[#This Row],[h_Item Description]],[1]!db[kode],0)))</f>
        <v>#N/A</v>
      </c>
      <c r="O161" s="92" t="s">
        <v>464</v>
      </c>
      <c r="P161" s="93">
        <v>5700</v>
      </c>
      <c r="Q161" s="94">
        <v>0.1</v>
      </c>
      <c r="S161" s="294">
        <f>Table1[[#This Row],[h_hargasetelahdiskon]]</f>
        <v>128250</v>
      </c>
      <c r="V161" s="95">
        <f ca="1">IF(Table1[[#This Row],[Item Description]]="","",IF(Table1[[#This Row],[//]]="",INDIRECT(ADDRESS(ROW()-1,COLUMN())),Table1[[#This Row],[//]]))</f>
        <v>157</v>
      </c>
      <c r="W161" s="95">
        <f ca="1">IF(Table1[[#This Row],[h_id]]="","",COUNTIF(Table1[h_id],Table1[[#This Row],[h_id]]))</f>
        <v>10</v>
      </c>
      <c r="X161" s="93">
        <f>IF(Table1[Item Description]="","",Table1[[#This Row],[Qty]]*Table1[[#This Row],[Unit Price]])</f>
        <v>142500</v>
      </c>
      <c r="Y161" s="93">
        <f>IF(Table1[Item Description]="","",Table1[[#This Row],[h_hargasebelumdiskon]]*Table1[[#This Row],[Disc 1]])</f>
        <v>14250</v>
      </c>
      <c r="Z161" s="93">
        <f>IF(Table1[Item Description]="","",Table1[[#This Row],[h_hargasebelumdiskon]]-Table1[[#This Row],[h_diskon]])</f>
        <v>128250</v>
      </c>
      <c r="AA161" s="93" t="str">
        <f>IF(Table1[//]="","",SUMIF(Table1[h_id],Table1[h_id],Table1[h_hargasetelahdiskon]))</f>
        <v/>
      </c>
      <c r="AB161" s="93"/>
      <c r="AC161" s="93" t="str">
        <f>Table1[[#This Row],[Item Description]]&amp;Table1[[#This Row],[Unit]]&amp;Table1[[#This Row],[Unit Price]]</f>
        <v>LOOSE LEAF JOYART B5-2670 (50S)PAK5700</v>
      </c>
    </row>
    <row r="162" spans="1:29" x14ac:dyDescent="0.25">
      <c r="A162" s="95" t="str">
        <f>IF(Table1[No. Invoice :]="","",ROW())</f>
        <v/>
      </c>
      <c r="B162" s="291" t="str">
        <f>IF(Table1[h_Kode Sales :_1]="","",B$1+COUNT(B$2:B161))</f>
        <v/>
      </c>
      <c r="D162" s="292"/>
      <c r="E162" s="293"/>
      <c r="F162" s="292"/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J162" s="92">
        <v>1</v>
      </c>
      <c r="K162" s="92" t="s">
        <v>92</v>
      </c>
      <c r="M162" s="92" t="s">
        <v>436</v>
      </c>
      <c r="N162" s="291" t="str">
        <f>IF(Table1[[#This Row],[h_Item Description]]="","",INDEX([1]!db[NB PAJAK],MATCH(Table1[[#This Row],[h_Item Description]],[1]!db[kode],0)))</f>
        <v>CRAYON / OIL PASTEL JOYKO OP-18S PP CASE SEA WORLD</v>
      </c>
      <c r="O162" s="92" t="s">
        <v>437</v>
      </c>
      <c r="P162" s="93">
        <v>276000</v>
      </c>
      <c r="Q162" s="94">
        <v>0.1</v>
      </c>
      <c r="S162" s="294">
        <f>Table1[[#This Row],[h_hargasetelahdiskon]]</f>
        <v>248400</v>
      </c>
      <c r="V162" s="95">
        <f ca="1">IF(Table1[[#This Row],[Item Description]]="","",IF(Table1[[#This Row],[//]]="",INDIRECT(ADDRESS(ROW()-1,COLUMN())),Table1[[#This Row],[//]]))</f>
        <v>157</v>
      </c>
      <c r="W162" s="95">
        <f ca="1">IF(Table1[[#This Row],[h_id]]="","",COUNTIF(Table1[h_id],Table1[[#This Row],[h_id]]))</f>
        <v>10</v>
      </c>
      <c r="X162" s="93">
        <f>IF(Table1[Item Description]="","",Table1[[#This Row],[Qty]]*Table1[[#This Row],[Unit Price]])</f>
        <v>276000</v>
      </c>
      <c r="Y162" s="93">
        <f>IF(Table1[Item Description]="","",Table1[[#This Row],[h_hargasebelumdiskon]]*Table1[[#This Row],[Disc 1]])</f>
        <v>27600</v>
      </c>
      <c r="Z162" s="93">
        <f>IF(Table1[Item Description]="","",Table1[[#This Row],[h_hargasebelumdiskon]]-Table1[[#This Row],[h_diskon]])</f>
        <v>248400</v>
      </c>
      <c r="AA162" s="93" t="str">
        <f>IF(Table1[//]="","",SUMIF(Table1[h_id],Table1[h_id],Table1[h_hargasetelahdiskon]))</f>
        <v/>
      </c>
      <c r="AB162" s="93"/>
      <c r="AC162" s="93" t="str">
        <f>Table1[[#This Row],[Item Description]]&amp;Table1[[#This Row],[Unit]]&amp;Table1[[#This Row],[Unit Price]]</f>
        <v>CRAYON / OIL PASTEL JOYKO OP-18S PP CASE SEA WORLDLSN276000</v>
      </c>
    </row>
    <row r="163" spans="1:29" x14ac:dyDescent="0.25">
      <c r="A163" s="95" t="str">
        <f>IF(Table1[No. Invoice :]="","",ROW())</f>
        <v/>
      </c>
      <c r="B163" s="291" t="str">
        <f>IF(Table1[h_Kode Sales :_1]="","",B$1+COUNT(B$2:B162))</f>
        <v/>
      </c>
      <c r="D163" s="292"/>
      <c r="E163" s="293"/>
      <c r="F163" s="292"/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J163" s="92">
        <v>3</v>
      </c>
      <c r="K163" s="92" t="s">
        <v>92</v>
      </c>
      <c r="M163" s="92" t="s">
        <v>227</v>
      </c>
      <c r="N163" s="291" t="str">
        <f>IF(Table1[[#This Row],[h_Item Description]]="","",INDEX([1]!db[NB PAJAK],MATCH(Table1[[#This Row],[h_Item Description]],[1]!db[kode],0)))</f>
        <v>GEL PEN KENKO K-1 HITAM</v>
      </c>
      <c r="O163" s="92" t="s">
        <v>233</v>
      </c>
      <c r="P163" s="93">
        <v>39600</v>
      </c>
      <c r="Q163" s="94">
        <v>0.1</v>
      </c>
      <c r="S163" s="294">
        <f>Table1[[#This Row],[h_hargasetelahdiskon]]</f>
        <v>106920</v>
      </c>
      <c r="V163" s="95">
        <f ca="1">IF(Table1[[#This Row],[Item Description]]="","",IF(Table1[[#This Row],[//]]="",INDIRECT(ADDRESS(ROW()-1,COLUMN())),Table1[[#This Row],[//]]))</f>
        <v>157</v>
      </c>
      <c r="W163" s="95">
        <f ca="1">IF(Table1[[#This Row],[h_id]]="","",COUNTIF(Table1[h_id],Table1[[#This Row],[h_id]]))</f>
        <v>10</v>
      </c>
      <c r="X163" s="93">
        <f>IF(Table1[Item Description]="","",Table1[[#This Row],[Qty]]*Table1[[#This Row],[Unit Price]])</f>
        <v>118800</v>
      </c>
      <c r="Y163" s="93">
        <f>IF(Table1[Item Description]="","",Table1[[#This Row],[h_hargasebelumdiskon]]*Table1[[#This Row],[Disc 1]])</f>
        <v>11880</v>
      </c>
      <c r="Z163" s="93">
        <f>IF(Table1[Item Description]="","",Table1[[#This Row],[h_hargasebelumdiskon]]-Table1[[#This Row],[h_diskon]])</f>
        <v>106920</v>
      </c>
      <c r="AA163" s="93" t="str">
        <f>IF(Table1[//]="","",SUMIF(Table1[h_id],Table1[h_id],Table1[h_hargasetelahdiskon]))</f>
        <v/>
      </c>
      <c r="AB163" s="93"/>
      <c r="AC163" s="93" t="str">
        <f>Table1[[#This Row],[Item Description]]&amp;Table1[[#This Row],[Unit]]&amp;Table1[[#This Row],[Unit Price]]</f>
        <v>GEL PEN KENKO K-1 HITAMLSN39600</v>
      </c>
    </row>
    <row r="164" spans="1:29" x14ac:dyDescent="0.25">
      <c r="A164" s="95" t="str">
        <f>IF(Table1[No. Invoice :]="","",ROW())</f>
        <v/>
      </c>
      <c r="B164" s="291" t="str">
        <f>IF(Table1[h_Kode Sales :_1]="","",B$1+COUNT(B$2:B163))</f>
        <v/>
      </c>
      <c r="D164" s="292"/>
      <c r="E164" s="293"/>
      <c r="F164" s="292"/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J164" s="92">
        <v>1</v>
      </c>
      <c r="K164" s="92" t="s">
        <v>92</v>
      </c>
      <c r="M164" s="92" t="s">
        <v>460</v>
      </c>
      <c r="N164" s="291" t="str">
        <f>IF(Table1[[#This Row],[h_Item Description]]="","",INDEX([1]!db[NB PAJAK],MATCH(Table1[[#This Row],[h_Item Description]],[1]!db[kode],0)))</f>
        <v>PAPER CLIP WARNA KENKO 3100</v>
      </c>
      <c r="O164" s="92" t="s">
        <v>466</v>
      </c>
      <c r="P164" s="93">
        <v>41400</v>
      </c>
      <c r="Q164" s="94">
        <v>0.1</v>
      </c>
      <c r="S164" s="294">
        <f>Table1[[#This Row],[h_hargasetelahdiskon]]</f>
        <v>37260</v>
      </c>
      <c r="V164" s="95">
        <f ca="1">IF(Table1[[#This Row],[Item Description]]="","",IF(Table1[[#This Row],[//]]="",INDIRECT(ADDRESS(ROW()-1,COLUMN())),Table1[[#This Row],[//]]))</f>
        <v>157</v>
      </c>
      <c r="W164" s="95">
        <f ca="1">IF(Table1[[#This Row],[h_id]]="","",COUNTIF(Table1[h_id],Table1[[#This Row],[h_id]]))</f>
        <v>10</v>
      </c>
      <c r="X164" s="93">
        <f>IF(Table1[Item Description]="","",Table1[[#This Row],[Qty]]*Table1[[#This Row],[Unit Price]])</f>
        <v>41400</v>
      </c>
      <c r="Y164" s="93">
        <f>IF(Table1[Item Description]="","",Table1[[#This Row],[h_hargasebelumdiskon]]*Table1[[#This Row],[Disc 1]])</f>
        <v>4140</v>
      </c>
      <c r="Z164" s="93">
        <f>IF(Table1[Item Description]="","",Table1[[#This Row],[h_hargasebelumdiskon]]-Table1[[#This Row],[h_diskon]])</f>
        <v>37260</v>
      </c>
      <c r="AA164" s="93" t="str">
        <f>IF(Table1[//]="","",SUMIF(Table1[h_id],Table1[h_id],Table1[h_hargasetelahdiskon]))</f>
        <v/>
      </c>
      <c r="AB164" s="93"/>
      <c r="AC164" s="93" t="str">
        <f>Table1[[#This Row],[Item Description]]&amp;Table1[[#This Row],[Unit]]&amp;Table1[[#This Row],[Unit Price]]</f>
        <v>PAPER CLIP WARNA KENKO 3100LSN41400</v>
      </c>
    </row>
    <row r="165" spans="1:29" x14ac:dyDescent="0.25">
      <c r="A165" s="95" t="str">
        <f>IF(Table1[No. Invoice :]="","",ROW())</f>
        <v/>
      </c>
      <c r="B165" s="291" t="str">
        <f>IF(Table1[h_Kode Sales :_1]="","",B$1+COUNT(B$2:B164))</f>
        <v/>
      </c>
      <c r="D165" s="292"/>
      <c r="E165" s="293"/>
      <c r="F165" s="292"/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J165" s="92">
        <v>3</v>
      </c>
      <c r="K165" s="92" t="s">
        <v>316</v>
      </c>
      <c r="M165" s="92" t="s">
        <v>461</v>
      </c>
      <c r="N165" s="291" t="str">
        <f>IF(Table1[[#This Row],[h_Item Description]]="","",INDEX([1]!db[NB PAJAK],MATCH(Table1[[#This Row],[h_Item Description]],[1]!db[kode],0)))</f>
        <v>STIP / PENGHAPUS KENKO ERB-40SQ HITAM</v>
      </c>
      <c r="O165" s="92" t="s">
        <v>467</v>
      </c>
      <c r="P165" s="93">
        <v>27500</v>
      </c>
      <c r="Q165" s="94">
        <v>0.1</v>
      </c>
      <c r="S165" s="294">
        <f>Table1[[#This Row],[h_hargasetelahdiskon]]</f>
        <v>74250</v>
      </c>
      <c r="V165" s="95">
        <f ca="1">IF(Table1[[#This Row],[Item Description]]="","",IF(Table1[[#This Row],[//]]="",INDIRECT(ADDRESS(ROW()-1,COLUMN())),Table1[[#This Row],[//]]))</f>
        <v>157</v>
      </c>
      <c r="W165" s="95">
        <f ca="1">IF(Table1[[#This Row],[h_id]]="","",COUNTIF(Table1[h_id],Table1[[#This Row],[h_id]]))</f>
        <v>10</v>
      </c>
      <c r="X165" s="93">
        <f>IF(Table1[Item Description]="","",Table1[[#This Row],[Qty]]*Table1[[#This Row],[Unit Price]])</f>
        <v>82500</v>
      </c>
      <c r="Y165" s="93">
        <f>IF(Table1[Item Description]="","",Table1[[#This Row],[h_hargasebelumdiskon]]*Table1[[#This Row],[Disc 1]])</f>
        <v>8250</v>
      </c>
      <c r="Z165" s="93">
        <f>IF(Table1[Item Description]="","",Table1[[#This Row],[h_hargasebelumdiskon]]-Table1[[#This Row],[h_diskon]])</f>
        <v>74250</v>
      </c>
      <c r="AA165" s="93" t="str">
        <f>IF(Table1[//]="","",SUMIF(Table1[h_id],Table1[h_id],Table1[h_hargasetelahdiskon]))</f>
        <v/>
      </c>
      <c r="AB165" s="93"/>
      <c r="AC165" s="93" t="str">
        <f>Table1[[#This Row],[Item Description]]&amp;Table1[[#This Row],[Unit]]&amp;Table1[[#This Row],[Unit Price]]</f>
        <v>STIP / PENGHAPUS KENKO ERB-40SQ HITAMPAK27500</v>
      </c>
    </row>
    <row r="166" spans="1:29" x14ac:dyDescent="0.25">
      <c r="A166" s="95" t="str">
        <f>IF(Table1[No. Invoice :]="","",ROW())</f>
        <v/>
      </c>
      <c r="B166" s="291" t="str">
        <f>IF(Table1[h_Kode Sales :_1]="","",B$1+COUNT(B$2:B165))</f>
        <v/>
      </c>
      <c r="D166" s="292"/>
      <c r="E166" s="293"/>
      <c r="F166" s="292"/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J166" s="92">
        <v>6</v>
      </c>
      <c r="K166" s="92" t="s">
        <v>92</v>
      </c>
      <c r="M166" s="92" t="s">
        <v>288</v>
      </c>
      <c r="N166" s="291" t="str">
        <f>IF(Table1[[#This Row],[h_Item Description]]="","",INDEX([1]!db[NB PAJAK],MATCH(Table1[[#This Row],[h_Item Description]],[1]!db[kode],0)))</f>
        <v>CORRECTION FLUID KENKO KE-301</v>
      </c>
      <c r="O166" s="92" t="s">
        <v>292</v>
      </c>
      <c r="P166" s="93">
        <v>53400</v>
      </c>
      <c r="Q166" s="94">
        <v>0.1</v>
      </c>
      <c r="S166" s="294">
        <f>Table1[[#This Row],[h_hargasetelahdiskon]]</f>
        <v>288360</v>
      </c>
      <c r="V166" s="95">
        <f ca="1">IF(Table1[[#This Row],[Item Description]]="","",IF(Table1[[#This Row],[//]]="",INDIRECT(ADDRESS(ROW()-1,COLUMN())),Table1[[#This Row],[//]]))</f>
        <v>157</v>
      </c>
      <c r="W166" s="95">
        <f ca="1">IF(Table1[[#This Row],[h_id]]="","",COUNTIF(Table1[h_id],Table1[[#This Row],[h_id]]))</f>
        <v>10</v>
      </c>
      <c r="X166" s="93">
        <f>IF(Table1[Item Description]="","",Table1[[#This Row],[Qty]]*Table1[[#This Row],[Unit Price]])</f>
        <v>320400</v>
      </c>
      <c r="Y166" s="93">
        <f>IF(Table1[Item Description]="","",Table1[[#This Row],[h_hargasebelumdiskon]]*Table1[[#This Row],[Disc 1]])</f>
        <v>32040</v>
      </c>
      <c r="Z166" s="93">
        <f>IF(Table1[Item Description]="","",Table1[[#This Row],[h_hargasebelumdiskon]]-Table1[[#This Row],[h_diskon]])</f>
        <v>288360</v>
      </c>
      <c r="AA166" s="93" t="str">
        <f>IF(Table1[//]="","",SUMIF(Table1[h_id],Table1[h_id],Table1[h_hargasetelahdiskon]))</f>
        <v/>
      </c>
      <c r="AB166" s="93"/>
      <c r="AC166" s="93" t="str">
        <f>Table1[[#This Row],[Item Description]]&amp;Table1[[#This Row],[Unit]]&amp;Table1[[#This Row],[Unit Price]]</f>
        <v>CORRECTION FLUID KENKO KE-301LSN53400</v>
      </c>
    </row>
    <row r="167" spans="1:29" x14ac:dyDescent="0.25">
      <c r="A167" s="95" t="str">
        <f>IF(Table1[No. Invoice :]="","",ROW())</f>
        <v/>
      </c>
      <c r="B167" s="291" t="str">
        <f>IF(Table1[h_Kode Sales :_1]="","",B$1+COUNT(B$2:B166))</f>
        <v/>
      </c>
      <c r="D167" s="292"/>
      <c r="E167" s="293"/>
      <c r="F167" s="292"/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M167" s="292"/>
      <c r="N167" s="291" t="str">
        <f>IF(Table1[[#This Row],[h_Item Description]]="","",INDEX([1]!db[NB PAJAK],MATCH(Table1[[#This Row],[h_Item Description]],[1]!db[kode],0)))</f>
        <v/>
      </c>
      <c r="P167" s="93"/>
      <c r="Q167" s="94"/>
      <c r="S167" s="294" t="str">
        <f>Table1[[#This Row],[h_hargasetelahdiskon]]</f>
        <v/>
      </c>
      <c r="V167" s="95" t="str">
        <f ca="1">IF(Table1[[#This Row],[Item Description]]="","",IF(Table1[[#This Row],[//]]="",INDIRECT(ADDRESS(ROW()-1,COLUMN())),Table1[[#This Row],[//]]))</f>
        <v/>
      </c>
      <c r="W167" s="95" t="str">
        <f ca="1"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IF(Table1[Item Description]="","",Table1[[#This Row],[h_hargasebelumdiskon]]*Table1[[#This Row],[Disc 1]])</f>
        <v/>
      </c>
      <c r="Z167" s="93" t="str">
        <f>IF(Table1[Item Description]="","",Table1[[#This Row],[h_hargasebelumdiskon]]-Table1[[#This Row],[h_diskon]])</f>
        <v/>
      </c>
      <c r="AA167" s="93" t="str">
        <f>IF(Table1[//]="","",SUMIF(Table1[h_id],Table1[h_id],Table1[h_hargasetelahdiskon]))</f>
        <v/>
      </c>
      <c r="AB167" s="93"/>
      <c r="AC167" s="93" t="str">
        <f>Table1[[#This Row],[Item Description]]&amp;Table1[[#This Row],[Unit]]&amp;Table1[[#This Row],[Unit Price]]</f>
        <v/>
      </c>
    </row>
    <row r="168" spans="1:29" x14ac:dyDescent="0.25">
      <c r="A168" s="95">
        <f>IF(Table1[No. Invoice :]="","",ROW())</f>
        <v>168</v>
      </c>
      <c r="B168" s="291">
        <f>IF(Table1[h_Kode Sales :_1]="","",B$1+COUNT(B$2:B167))</f>
        <v>23020033</v>
      </c>
      <c r="C168" s="98">
        <v>44980</v>
      </c>
      <c r="D168" s="92" t="s">
        <v>142</v>
      </c>
      <c r="E168" s="97" t="s">
        <v>474</v>
      </c>
      <c r="F168" s="92" t="s">
        <v>91</v>
      </c>
      <c r="G168" s="95" t="str">
        <f>IF(Table1[[#This Row],[h_No. Invoice :]]="","",CONCATENATE("AM"," ",Table1[[#This Row],[h_No. Invoice :]]))</f>
        <v>AM 23020033</v>
      </c>
      <c r="H168" s="96" t="str">
        <f>CONCATENATE(UPPER(Table1[[#This Row],[h_Kode Sales :_1]])," ",Table1[[#This Row],[h_Kode Sales :_2]])</f>
        <v>KO 1073</v>
      </c>
      <c r="I168" s="95" t="str">
        <f>IF(Table1[[#This Row],[h_toko]]="","",INDEX(Table2[e],IF(Table1[[#This Row],[h_toko]]="","",MATCH(Table1[[#This Row],[h_toko]],Table2[a],0)),))</f>
        <v>CV TRINITY CENTRAAL PURWOKERTO</v>
      </c>
      <c r="J168" s="92">
        <v>20</v>
      </c>
      <c r="K168" s="92" t="s">
        <v>92</v>
      </c>
      <c r="M168" s="92" t="s">
        <v>475</v>
      </c>
      <c r="N168" s="291" t="str">
        <f>IF(Table1[[#This Row],[h_Item Description]]="","",INDEX([1]!db[NB PAJAK],MATCH(Table1[[#This Row],[h_Item Description]],[1]!db[kode],0)))</f>
        <v>CORRECTION TAPE JOYKO CT-540</v>
      </c>
      <c r="O168" s="92" t="s">
        <v>478</v>
      </c>
      <c r="P168" s="93">
        <v>68400</v>
      </c>
      <c r="Q168" s="94">
        <v>0.13</v>
      </c>
      <c r="S168" s="294">
        <f>Table1[[#This Row],[h_hargasetelahdiskon]]</f>
        <v>1190160</v>
      </c>
      <c r="T168" s="93" t="s">
        <v>93</v>
      </c>
      <c r="V168" s="95">
        <f ca="1">IF(Table1[[#This Row],[Item Description]]="","",IF(Table1[[#This Row],[//]]="",INDIRECT(ADDRESS(ROW()-1,COLUMN())),Table1[[#This Row],[//]]))</f>
        <v>168</v>
      </c>
      <c r="W168" s="95">
        <f ca="1">IF(Table1[[#This Row],[h_id]]="","",COUNTIF(Table1[h_id],Table1[[#This Row],[h_id]]))</f>
        <v>4</v>
      </c>
      <c r="X168" s="93">
        <f>IF(Table1[Item Description]="","",Table1[[#This Row],[Qty]]*Table1[[#This Row],[Unit Price]])</f>
        <v>1368000</v>
      </c>
      <c r="Y168" s="93">
        <f>IF(Table1[Item Description]="","",Table1[[#This Row],[h_hargasebelumdiskon]]*Table1[[#This Row],[Disc 1]])</f>
        <v>177840</v>
      </c>
      <c r="Z168" s="93">
        <f>IF(Table1[Item Description]="","",Table1[[#This Row],[h_hargasebelumdiskon]]-Table1[[#This Row],[h_diskon]])</f>
        <v>1190160</v>
      </c>
      <c r="AA168" s="93">
        <f ca="1">IF(Table1[//]="","",SUMIF(Table1[h_id],Table1[h_id],Table1[h_hargasetelahdiskon]))</f>
        <v>4222980</v>
      </c>
      <c r="AB168" s="93"/>
      <c r="AC168" s="93" t="str">
        <f>Table1[[#This Row],[Item Description]]&amp;Table1[[#This Row],[Unit]]&amp;Table1[[#This Row],[Unit Price]]</f>
        <v>CORRECTION TAPE JOYKO CT-540LSN68400</v>
      </c>
    </row>
    <row r="169" spans="1:29" x14ac:dyDescent="0.25">
      <c r="A169" s="95" t="str">
        <f>IF(Table1[No. Invoice :]="","",ROW())</f>
        <v/>
      </c>
      <c r="B169" s="291" t="str">
        <f>IF(Table1[h_Kode Sales :_1]="","",B$1+COUNT(B$2:B168))</f>
        <v/>
      </c>
      <c r="D169" s="292"/>
      <c r="E169" s="293"/>
      <c r="F169" s="292"/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J169" s="92">
        <v>20</v>
      </c>
      <c r="K169" s="92" t="s">
        <v>92</v>
      </c>
      <c r="M169" s="92" t="s">
        <v>476</v>
      </c>
      <c r="N169" s="291" t="str">
        <f>IF(Table1[[#This Row],[h_Item Description]]="","",INDEX([1]!db[NB PAJAK],MATCH(Table1[[#This Row],[h_Item Description]],[1]!db[kode],0)))</f>
        <v>CORRECTION TAPE JOYKO CT-545</v>
      </c>
      <c r="O169" s="92" t="s">
        <v>479</v>
      </c>
      <c r="P169" s="93">
        <v>69600</v>
      </c>
      <c r="Q169" s="94">
        <v>0.13</v>
      </c>
      <c r="S169" s="294">
        <f>Table1[[#This Row],[h_hargasetelahdiskon]]</f>
        <v>1211040</v>
      </c>
      <c r="V169" s="95">
        <f ca="1">IF(Table1[[#This Row],[Item Description]]="","",IF(Table1[[#This Row],[//]]="",INDIRECT(ADDRESS(ROW()-1,COLUMN())),Table1[[#This Row],[//]]))</f>
        <v>168</v>
      </c>
      <c r="W169" s="95">
        <f ca="1">IF(Table1[[#This Row],[h_id]]="","",COUNTIF(Table1[h_id],Table1[[#This Row],[h_id]]))</f>
        <v>4</v>
      </c>
      <c r="X169" s="93">
        <f>IF(Table1[Item Description]="","",Table1[[#This Row],[Qty]]*Table1[[#This Row],[Unit Price]])</f>
        <v>1392000</v>
      </c>
      <c r="Y169" s="93">
        <f>IF(Table1[Item Description]="","",Table1[[#This Row],[h_hargasebelumdiskon]]*Table1[[#This Row],[Disc 1]])</f>
        <v>180960</v>
      </c>
      <c r="Z169" s="93">
        <f>IF(Table1[Item Description]="","",Table1[[#This Row],[h_hargasebelumdiskon]]-Table1[[#This Row],[h_diskon]])</f>
        <v>1211040</v>
      </c>
      <c r="AA169" s="93" t="str">
        <f>IF(Table1[//]="","",SUMIF(Table1[h_id],Table1[h_id],Table1[h_hargasetelahdiskon]))</f>
        <v/>
      </c>
      <c r="AB169" s="93"/>
      <c r="AC169" s="93" t="str">
        <f>Table1[[#This Row],[Item Description]]&amp;Table1[[#This Row],[Unit]]&amp;Table1[[#This Row],[Unit Price]]</f>
        <v>CORRECTION TAPE JOYKO CT-545LSN69600</v>
      </c>
    </row>
    <row r="170" spans="1:29" x14ac:dyDescent="0.25">
      <c r="A170" s="95" t="str">
        <f>IF(Table1[No. Invoice :]="","",ROW())</f>
        <v/>
      </c>
      <c r="B170" s="291" t="str">
        <f>IF(Table1[h_Kode Sales :_1]="","",B$1+COUNT(B$2:B169))</f>
        <v/>
      </c>
      <c r="D170" s="292"/>
      <c r="E170" s="293"/>
      <c r="F170" s="292"/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J170" s="92">
        <v>20</v>
      </c>
      <c r="K170" s="92" t="s">
        <v>92</v>
      </c>
      <c r="M170" s="92" t="s">
        <v>405</v>
      </c>
      <c r="N170" s="291" t="str">
        <f>IF(Table1[[#This Row],[h_Item Description]]="","",INDEX([1]!db[NB PAJAK],MATCH(Table1[[#This Row],[h_Item Description]],[1]!db[kode],0)))</f>
        <v>CORRECTION TAPE KENKO CT-1505FC (15M X 5MM)</v>
      </c>
      <c r="O170" s="92" t="s">
        <v>406</v>
      </c>
      <c r="P170" s="93">
        <v>69600</v>
      </c>
      <c r="Q170" s="94">
        <v>0.13</v>
      </c>
      <c r="S170" s="294">
        <f>Table1[[#This Row],[h_hargasetelahdiskon]]</f>
        <v>1211040</v>
      </c>
      <c r="V170" s="95">
        <f ca="1">IF(Table1[[#This Row],[Item Description]]="","",IF(Table1[[#This Row],[//]]="",INDIRECT(ADDRESS(ROW()-1,COLUMN())),Table1[[#This Row],[//]]))</f>
        <v>168</v>
      </c>
      <c r="W170" s="95">
        <f ca="1">IF(Table1[[#This Row],[h_id]]="","",COUNTIF(Table1[h_id],Table1[[#This Row],[h_id]]))</f>
        <v>4</v>
      </c>
      <c r="X170" s="93">
        <f>IF(Table1[Item Description]="","",Table1[[#This Row],[Qty]]*Table1[[#This Row],[Unit Price]])</f>
        <v>1392000</v>
      </c>
      <c r="Y170" s="93">
        <f>IF(Table1[Item Description]="","",Table1[[#This Row],[h_hargasebelumdiskon]]*Table1[[#This Row],[Disc 1]])</f>
        <v>180960</v>
      </c>
      <c r="Z170" s="93">
        <f>IF(Table1[Item Description]="","",Table1[[#This Row],[h_hargasebelumdiskon]]-Table1[[#This Row],[h_diskon]])</f>
        <v>1211040</v>
      </c>
      <c r="AA170" s="93" t="str">
        <f>IF(Table1[//]="","",SUMIF(Table1[h_id],Table1[h_id],Table1[h_hargasetelahdiskon]))</f>
        <v/>
      </c>
      <c r="AB170" s="93"/>
      <c r="AC170" s="93" t="str">
        <f>Table1[[#This Row],[Item Description]]&amp;Table1[[#This Row],[Unit]]&amp;Table1[[#This Row],[Unit Price]]</f>
        <v>CORRECTION TAPE KENKO CT-1505FC (15M X 5MM)LSN69600</v>
      </c>
    </row>
    <row r="171" spans="1:29" x14ac:dyDescent="0.25">
      <c r="A171" s="95" t="str">
        <f>IF(Table1[No. Invoice :]="","",ROW())</f>
        <v/>
      </c>
      <c r="B171" s="291" t="str">
        <f>IF(Table1[h_Kode Sales :_1]="","",B$1+COUNT(B$2:B170))</f>
        <v/>
      </c>
      <c r="D171" s="292"/>
      <c r="E171" s="293"/>
      <c r="F171" s="292"/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J171" s="92">
        <v>13</v>
      </c>
      <c r="K171" s="92" t="s">
        <v>92</v>
      </c>
      <c r="M171" s="92" t="s">
        <v>477</v>
      </c>
      <c r="N171" s="291" t="str">
        <f>IF(Table1[[#This Row],[h_Item Description]]="","",INDEX([1]!db[NB PAJAK],MATCH(Table1[[#This Row],[h_Item Description]],[1]!db[kode],0)))</f>
        <v>CORRECTION TAPE KENKO CT-809 (8M x 5MM)</v>
      </c>
      <c r="O171" s="92" t="s">
        <v>480</v>
      </c>
      <c r="P171" s="93">
        <v>54000</v>
      </c>
      <c r="Q171" s="94">
        <v>0.13</v>
      </c>
      <c r="S171" s="294">
        <f>Table1[[#This Row],[h_hargasetelahdiskon]]</f>
        <v>610740</v>
      </c>
      <c r="V171" s="95">
        <f ca="1">IF(Table1[[#This Row],[Item Description]]="","",IF(Table1[[#This Row],[//]]="",INDIRECT(ADDRESS(ROW()-1,COLUMN())),Table1[[#This Row],[//]]))</f>
        <v>168</v>
      </c>
      <c r="W171" s="95">
        <f ca="1">IF(Table1[[#This Row],[h_id]]="","",COUNTIF(Table1[h_id],Table1[[#This Row],[h_id]]))</f>
        <v>4</v>
      </c>
      <c r="X171" s="93">
        <f>IF(Table1[Item Description]="","",Table1[[#This Row],[Qty]]*Table1[[#This Row],[Unit Price]])</f>
        <v>702000</v>
      </c>
      <c r="Y171" s="93">
        <f>IF(Table1[Item Description]="","",Table1[[#This Row],[h_hargasebelumdiskon]]*Table1[[#This Row],[Disc 1]])</f>
        <v>91260</v>
      </c>
      <c r="Z171" s="93">
        <f>IF(Table1[Item Description]="","",Table1[[#This Row],[h_hargasebelumdiskon]]-Table1[[#This Row],[h_diskon]])</f>
        <v>610740</v>
      </c>
      <c r="AA171" s="93" t="str">
        <f>IF(Table1[//]="","",SUMIF(Table1[h_id],Table1[h_id],Table1[h_hargasetelahdiskon]))</f>
        <v/>
      </c>
      <c r="AB171" s="93"/>
      <c r="AC171" s="93" t="str">
        <f>Table1[[#This Row],[Item Description]]&amp;Table1[[#This Row],[Unit]]&amp;Table1[[#This Row],[Unit Price]]</f>
        <v>CORRECTION TAPE KENKO CT-809 (8M x 5MM)LSN54000</v>
      </c>
    </row>
    <row r="172" spans="1:29" x14ac:dyDescent="0.25">
      <c r="A172" s="95" t="str">
        <f>IF(Table1[No. Invoice :]="","",ROW())</f>
        <v/>
      </c>
      <c r="B172" s="291" t="str">
        <f>IF(Table1[h_Kode Sales :_1]="","",B$1+COUNT(B$2:B171))</f>
        <v/>
      </c>
      <c r="D172" s="292"/>
      <c r="E172" s="293"/>
      <c r="F172" s="292"/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M172" s="292"/>
      <c r="N172" s="291" t="str">
        <f>IF(Table1[[#This Row],[h_Item Description]]="","",INDEX([1]!db[NB PAJAK],MATCH(Table1[[#This Row],[h_Item Description]],[1]!db[kode],0)))</f>
        <v/>
      </c>
      <c r="P172" s="93"/>
      <c r="Q172" s="94"/>
      <c r="S172" s="294" t="str">
        <f>Table1[[#This Row],[h_hargasetelahdiskon]]</f>
        <v/>
      </c>
      <c r="V172" s="95" t="str">
        <f ca="1">IF(Table1[[#This Row],[Item Description]]="","",IF(Table1[[#This Row],[//]]="",INDIRECT(ADDRESS(ROW()-1,COLUMN())),Table1[[#This Row],[//]]))</f>
        <v/>
      </c>
      <c r="W172" s="95" t="str">
        <f ca="1">IF(Table1[[#This Row],[h_id]]="","",COUNTIF(Table1[h_id],Table1[[#This Row],[h_id]]))</f>
        <v/>
      </c>
      <c r="X172" s="93" t="str">
        <f>IF(Table1[Item Description]="","",Table1[[#This Row],[Qty]]*Table1[[#This Row],[Unit Price]])</f>
        <v/>
      </c>
      <c r="Y172" s="93" t="str">
        <f>IF(Table1[Item Description]="","",Table1[[#This Row],[h_hargasebelumdiskon]]*Table1[[#This Row],[Disc 1]])</f>
        <v/>
      </c>
      <c r="Z172" s="93" t="str">
        <f>IF(Table1[Item Description]="","",Table1[[#This Row],[h_hargasebelumdiskon]]-Table1[[#This Row],[h_diskon]])</f>
        <v/>
      </c>
      <c r="AA172" s="93" t="str">
        <f>IF(Table1[//]="","",SUMIF(Table1[h_id],Table1[h_id],Table1[h_hargasetelahdiskon]))</f>
        <v/>
      </c>
      <c r="AB172" s="93"/>
      <c r="AC172" s="93" t="str">
        <f>Table1[[#This Row],[Item Description]]&amp;Table1[[#This Row],[Unit]]&amp;Table1[[#This Row],[Unit Price]]</f>
        <v/>
      </c>
    </row>
    <row r="173" spans="1:29" x14ac:dyDescent="0.25">
      <c r="A173" s="95">
        <f>IF(Table1[No. Invoice :]="","",ROW())</f>
        <v>173</v>
      </c>
      <c r="B173" s="291">
        <f>IF(Table1[h_Kode Sales :_1]="","",B$1+COUNT(B$2:B172))</f>
        <v>23020034</v>
      </c>
      <c r="C173" s="98">
        <v>44980</v>
      </c>
      <c r="D173" s="92" t="s">
        <v>142</v>
      </c>
      <c r="E173" s="97" t="s">
        <v>484</v>
      </c>
      <c r="F173" s="92" t="s">
        <v>97</v>
      </c>
      <c r="G173" s="95" t="str">
        <f>IF(Table1[[#This Row],[h_No. Invoice :]]="","",CONCATENATE("AM"," ",Table1[[#This Row],[h_No. Invoice :]]))</f>
        <v>AM 23020034</v>
      </c>
      <c r="H173" s="96" t="str">
        <f>CONCATENATE(UPPER(Table1[[#This Row],[h_Kode Sales :_1]])," ",Table1[[#This Row],[h_Kode Sales :_2]])</f>
        <v>KO 1125</v>
      </c>
      <c r="I173" s="95" t="str">
        <f>IF(Table1[[#This Row],[h_toko]]="","",INDEX(Table2[e],IF(Table1[[#This Row],[h_toko]]="","",MATCH(Table1[[#This Row],[h_toko]],Table2[a],0)),))</f>
        <v>SANTOSO BUDIONO (  ARMADA  ) PURWOKERTO</v>
      </c>
      <c r="J173" s="92">
        <v>72</v>
      </c>
      <c r="K173" s="92" t="s">
        <v>92</v>
      </c>
      <c r="L173" s="92">
        <v>1</v>
      </c>
      <c r="M173" s="92" t="s">
        <v>175</v>
      </c>
      <c r="N173" s="291" t="str">
        <f>IF(Table1[[#This Row],[h_Item Description]]="","",INDEX([1]!db[NB PAJAK],MATCH(Table1[[#This Row],[h_Item Description]],[1]!db[kode],0)))</f>
        <v>CORRECTION FLUID KENKO KE-01</v>
      </c>
      <c r="O173" s="92" t="s">
        <v>135</v>
      </c>
      <c r="P173" s="93">
        <v>54300</v>
      </c>
      <c r="Q173" s="94">
        <v>0.13500000000000001</v>
      </c>
      <c r="S173" s="294">
        <f>Table1[[#This Row],[h_hargasetelahdiskon]]</f>
        <v>3381804</v>
      </c>
      <c r="T173" s="93" t="s">
        <v>93</v>
      </c>
      <c r="V173" s="95">
        <f ca="1">IF(Table1[[#This Row],[Item Description]]="","",IF(Table1[[#This Row],[//]]="",INDIRECT(ADDRESS(ROW()-1,COLUMN())),Table1[[#This Row],[//]]))</f>
        <v>173</v>
      </c>
      <c r="W173" s="95">
        <f ca="1">IF(Table1[[#This Row],[h_id]]="","",COUNTIF(Table1[h_id],Table1[[#This Row],[h_id]]))</f>
        <v>1</v>
      </c>
      <c r="X173" s="93">
        <f>IF(Table1[Item Description]="","",Table1[[#This Row],[Qty]]*Table1[[#This Row],[Unit Price]])</f>
        <v>3909600</v>
      </c>
      <c r="Y173" s="93">
        <f>IF(Table1[Item Description]="","",Table1[[#This Row],[h_hargasebelumdiskon]]*Table1[[#This Row],[Disc 1]])</f>
        <v>527796</v>
      </c>
      <c r="Z173" s="93">
        <f>IF(Table1[Item Description]="","",Table1[[#This Row],[h_hargasebelumdiskon]]-Table1[[#This Row],[h_diskon]])</f>
        <v>3381804</v>
      </c>
      <c r="AA173" s="93">
        <f ca="1">IF(Table1[//]="","",SUMIF(Table1[h_id],Table1[h_id],Table1[h_hargasetelahdiskon]))</f>
        <v>3381804</v>
      </c>
      <c r="AB173" s="93"/>
      <c r="AC173" s="93" t="str">
        <f>Table1[[#This Row],[Item Description]]&amp;Table1[[#This Row],[Unit]]&amp;Table1[[#This Row],[Unit Price]]</f>
        <v>CORRECTION FLUID KENKO KE-01LSN54300</v>
      </c>
    </row>
    <row r="174" spans="1:29" x14ac:dyDescent="0.25">
      <c r="A174" s="95" t="str">
        <f>IF(Table1[No. Invoice :]="","",ROW())</f>
        <v/>
      </c>
      <c r="B174" s="291" t="str">
        <f>IF(Table1[h_Kode Sales :_1]="","",B$1+COUNT(B$2:B173))</f>
        <v/>
      </c>
      <c r="D174" s="292"/>
      <c r="E174" s="293"/>
      <c r="F174" s="292"/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M174" s="292"/>
      <c r="N174" s="291" t="str">
        <f>IF(Table1[[#This Row],[h_Item Description]]="","",INDEX([1]!db[NB PAJAK],MATCH(Table1[[#This Row],[h_Item Description]],[1]!db[kode],0)))</f>
        <v/>
      </c>
      <c r="P174" s="93"/>
      <c r="Q174" s="94"/>
      <c r="S174" s="294" t="str">
        <f>Table1[[#This Row],[h_hargasetelahdiskon]]</f>
        <v/>
      </c>
      <c r="V174" s="95" t="str">
        <f ca="1">IF(Table1[[#This Row],[Item Description]]="","",IF(Table1[[#This Row],[//]]="",INDIRECT(ADDRESS(ROW()-1,COLUMN())),Table1[[#This Row],[//]]))</f>
        <v/>
      </c>
      <c r="W174" s="95" t="str">
        <f ca="1">IF(Table1[[#This Row],[h_id]]="","",COUNTIF(Table1[h_id],Table1[[#This Row],[h_id]]))</f>
        <v/>
      </c>
      <c r="X174" s="93" t="str">
        <f>IF(Table1[Item Description]="","",Table1[[#This Row],[Qty]]*Table1[[#This Row],[Unit Price]])</f>
        <v/>
      </c>
      <c r="Y174" s="93" t="str">
        <f>IF(Table1[Item Description]="","",Table1[[#This Row],[h_hargasebelumdiskon]]*Table1[[#This Row],[Disc 1]])</f>
        <v/>
      </c>
      <c r="Z174" s="93" t="str">
        <f>IF(Table1[Item Description]="","",Table1[[#This Row],[h_hargasebelumdiskon]]-Table1[[#This Row],[h_diskon]])</f>
        <v/>
      </c>
      <c r="AA174" s="93" t="str">
        <f>IF(Table1[//]="","",SUMIF(Table1[h_id],Table1[h_id],Table1[h_hargasetelahdiskon]))</f>
        <v/>
      </c>
      <c r="AB174" s="93"/>
      <c r="AC174" s="93" t="str">
        <f>Table1[[#This Row],[Item Description]]&amp;Table1[[#This Row],[Unit]]&amp;Table1[[#This Row],[Unit Price]]</f>
        <v/>
      </c>
    </row>
    <row r="175" spans="1:29" x14ac:dyDescent="0.25">
      <c r="A175" s="95">
        <f>IF(Table1[No. Invoice :]="","",ROW())</f>
        <v>175</v>
      </c>
      <c r="B175" s="291">
        <f>IF(Table1[h_Kode Sales :_1]="","",B$1+COUNT(B$2:B174))</f>
        <v>23020035</v>
      </c>
      <c r="C175" s="98">
        <v>44981</v>
      </c>
      <c r="D175" s="92" t="s">
        <v>142</v>
      </c>
      <c r="E175" s="97" t="s">
        <v>485</v>
      </c>
      <c r="F175" s="92" t="s">
        <v>73</v>
      </c>
      <c r="G175" s="95" t="str">
        <f>IF(Table1[[#This Row],[h_No. Invoice :]]="","",CONCATENATE("AM"," ",Table1[[#This Row],[h_No. Invoice :]]))</f>
        <v>AM 23020035</v>
      </c>
      <c r="H175" s="96" t="str">
        <f>CONCATENATE(UPPER(Table1[[#This Row],[h_Kode Sales :_1]])," ",Table1[[#This Row],[h_Kode Sales :_2]])</f>
        <v>KO 1138</v>
      </c>
      <c r="I175" s="95" t="str">
        <f>IF(Table1[[#This Row],[h_toko]]="","",INDEX(Table2[e],IF(Table1[[#This Row],[h_toko]]="","",MATCH(Table1[[#This Row],[h_toko]],Table2[a],0)),))</f>
        <v>HARNOYO (BENDAN) PEKALONGAN</v>
      </c>
      <c r="J175" s="92">
        <v>20</v>
      </c>
      <c r="K175" s="92" t="s">
        <v>92</v>
      </c>
      <c r="L175" s="92">
        <v>1</v>
      </c>
      <c r="M175" s="92" t="s">
        <v>177</v>
      </c>
      <c r="N175" s="291" t="str">
        <f>IF(Table1[[#This Row],[h_Item Description]]="","",INDEX([1]!db[NB PAJAK],MATCH(Table1[[#This Row],[h_Item Description]],[1]!db[kode],0)))</f>
        <v>STAPLER KENKO HD-10</v>
      </c>
      <c r="O175" s="92" t="s">
        <v>137</v>
      </c>
      <c r="P175" s="93">
        <v>93000</v>
      </c>
      <c r="Q175" s="94">
        <v>0.14000000000000001</v>
      </c>
      <c r="S175" s="294">
        <f>Table1[[#This Row],[h_hargasetelahdiskon]]</f>
        <v>1599600</v>
      </c>
      <c r="T175" s="93" t="s">
        <v>93</v>
      </c>
      <c r="V175" s="95">
        <f ca="1">IF(Table1[[#This Row],[Item Description]]="","",IF(Table1[[#This Row],[//]]="",INDIRECT(ADDRESS(ROW()-1,COLUMN())),Table1[[#This Row],[//]]))</f>
        <v>175</v>
      </c>
      <c r="W175" s="95">
        <f ca="1">IF(Table1[[#This Row],[h_id]]="","",COUNTIF(Table1[h_id],Table1[[#This Row],[h_id]]))</f>
        <v>3</v>
      </c>
      <c r="X175" s="93">
        <f>IF(Table1[Item Description]="","",Table1[[#This Row],[Qty]]*Table1[[#This Row],[Unit Price]])</f>
        <v>1860000</v>
      </c>
      <c r="Y175" s="93">
        <f>IF(Table1[Item Description]="","",Table1[[#This Row],[h_hargasebelumdiskon]]*Table1[[#This Row],[Disc 1]])</f>
        <v>260400.00000000003</v>
      </c>
      <c r="Z175" s="93">
        <f>IF(Table1[Item Description]="","",Table1[[#This Row],[h_hargasebelumdiskon]]-Table1[[#This Row],[h_diskon]])</f>
        <v>1599600</v>
      </c>
      <c r="AA175" s="93">
        <f ca="1">IF(Table1[//]="","",SUMIF(Table1[h_id],Table1[h_id],Table1[h_hargasetelahdiskon]))</f>
        <v>4291400</v>
      </c>
      <c r="AB175" s="93"/>
      <c r="AC175" s="93" t="str">
        <f>Table1[[#This Row],[Item Description]]&amp;Table1[[#This Row],[Unit]]&amp;Table1[[#This Row],[Unit Price]]</f>
        <v>STAPLER KENKO HD-10LSN93000</v>
      </c>
    </row>
    <row r="176" spans="1:29" x14ac:dyDescent="0.25">
      <c r="A176" s="95" t="str">
        <f>IF(Table1[No. Invoice :]="","",ROW())</f>
        <v/>
      </c>
      <c r="B176" s="291" t="str">
        <f>IF(Table1[h_Kode Sales :_1]="","",B$1+COUNT(B$2:B175))</f>
        <v/>
      </c>
      <c r="D176" s="292"/>
      <c r="E176" s="293"/>
      <c r="F176" s="292"/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J176" s="92">
        <v>10</v>
      </c>
      <c r="K176" s="92" t="s">
        <v>92</v>
      </c>
      <c r="L176" s="92">
        <v>1</v>
      </c>
      <c r="M176" s="92" t="s">
        <v>176</v>
      </c>
      <c r="N176" s="291" t="str">
        <f>IF(Table1[[#This Row],[h_Item Description]]="","",INDEX([1]!db[NB PAJAK],MATCH(Table1[[#This Row],[h_Item Description]],[1]!db[kode],0)))</f>
        <v>STAPLER KENKO HD-50</v>
      </c>
      <c r="O176" s="92" t="s">
        <v>136</v>
      </c>
      <c r="P176" s="93">
        <v>228000</v>
      </c>
      <c r="Q176" s="94">
        <v>0.14000000000000001</v>
      </c>
      <c r="S176" s="294">
        <f>Table1[[#This Row],[h_hargasetelahdiskon]]</f>
        <v>1960800</v>
      </c>
      <c r="V176" s="95">
        <f ca="1">IF(Table1[[#This Row],[Item Description]]="","",IF(Table1[[#This Row],[//]]="",INDIRECT(ADDRESS(ROW()-1,COLUMN())),Table1[[#This Row],[//]]))</f>
        <v>175</v>
      </c>
      <c r="W176" s="95">
        <f ca="1">IF(Table1[[#This Row],[h_id]]="","",COUNTIF(Table1[h_id],Table1[[#This Row],[h_id]]))</f>
        <v>3</v>
      </c>
      <c r="X176" s="93">
        <f>IF(Table1[Item Description]="","",Table1[[#This Row],[Qty]]*Table1[[#This Row],[Unit Price]])</f>
        <v>2280000</v>
      </c>
      <c r="Y176" s="93">
        <f>IF(Table1[Item Description]="","",Table1[[#This Row],[h_hargasebelumdiskon]]*Table1[[#This Row],[Disc 1]])</f>
        <v>319200.00000000006</v>
      </c>
      <c r="Z176" s="93">
        <f>IF(Table1[Item Description]="","",Table1[[#This Row],[h_hargasebelumdiskon]]-Table1[[#This Row],[h_diskon]])</f>
        <v>1960800</v>
      </c>
      <c r="AA176" s="93" t="str">
        <f>IF(Table1[//]="","",SUMIF(Table1[h_id],Table1[h_id],Table1[h_hargasetelahdiskon]))</f>
        <v/>
      </c>
      <c r="AB176" s="93"/>
      <c r="AC176" s="93" t="str">
        <f>Table1[[#This Row],[Item Description]]&amp;Table1[[#This Row],[Unit]]&amp;Table1[[#This Row],[Unit Price]]</f>
        <v>STAPLER KENKO HD-50LSN228000</v>
      </c>
    </row>
    <row r="177" spans="1:29" x14ac:dyDescent="0.25">
      <c r="A177" s="95" t="str">
        <f>IF(Table1[No. Invoice :]="","",ROW())</f>
        <v/>
      </c>
      <c r="B177" s="291" t="str">
        <f>IF(Table1[h_Kode Sales :_1]="","",B$1+COUNT(B$2:B176))</f>
        <v/>
      </c>
      <c r="D177" s="292"/>
      <c r="E177" s="293"/>
      <c r="F177" s="292"/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J177" s="92">
        <v>500</v>
      </c>
      <c r="K177" s="92" t="s">
        <v>316</v>
      </c>
      <c r="L177" s="92">
        <v>1</v>
      </c>
      <c r="M177" s="92" t="s">
        <v>279</v>
      </c>
      <c r="N177" s="291" t="str">
        <f>IF(Table1[[#This Row],[h_Item Description]]="","",INDEX([1]!db[NB PAJAK],MATCH(Table1[[#This Row],[h_Item Description]],[1]!db[kode],0)))</f>
        <v>PAPER TRIGONAL CLIP KENKO NO. 1</v>
      </c>
      <c r="O177" s="92" t="s">
        <v>289</v>
      </c>
      <c r="P177" s="93">
        <v>1700</v>
      </c>
      <c r="Q177" s="94">
        <v>0.14000000000000001</v>
      </c>
      <c r="S177" s="294">
        <f>Table1[[#This Row],[h_hargasetelahdiskon]]</f>
        <v>731000</v>
      </c>
      <c r="V177" s="95">
        <f ca="1">IF(Table1[[#This Row],[Item Description]]="","",IF(Table1[[#This Row],[//]]="",INDIRECT(ADDRESS(ROW()-1,COLUMN())),Table1[[#This Row],[//]]))</f>
        <v>175</v>
      </c>
      <c r="W177" s="95">
        <f ca="1">IF(Table1[[#This Row],[h_id]]="","",COUNTIF(Table1[h_id],Table1[[#This Row],[h_id]]))</f>
        <v>3</v>
      </c>
      <c r="X177" s="93">
        <f>IF(Table1[Item Description]="","",Table1[[#This Row],[Qty]]*Table1[[#This Row],[Unit Price]])</f>
        <v>850000</v>
      </c>
      <c r="Y177" s="93">
        <f>IF(Table1[Item Description]="","",Table1[[#This Row],[h_hargasebelumdiskon]]*Table1[[#This Row],[Disc 1]])</f>
        <v>119000.00000000001</v>
      </c>
      <c r="Z177" s="93">
        <f>IF(Table1[Item Description]="","",Table1[[#This Row],[h_hargasebelumdiskon]]-Table1[[#This Row],[h_diskon]])</f>
        <v>731000</v>
      </c>
      <c r="AA177" s="93" t="str">
        <f>IF(Table1[//]="","",SUMIF(Table1[h_id],Table1[h_id],Table1[h_hargasetelahdiskon]))</f>
        <v/>
      </c>
      <c r="AB177" s="93"/>
      <c r="AC177" s="93" t="str">
        <f>Table1[[#This Row],[Item Description]]&amp;Table1[[#This Row],[Unit]]&amp;Table1[[#This Row],[Unit Price]]</f>
        <v>PAPER TRIGONAL CLIP KENKO NO. 1PAK1700</v>
      </c>
    </row>
    <row r="178" spans="1:29" x14ac:dyDescent="0.25">
      <c r="A178" s="95" t="str">
        <f>IF(Table1[No. Invoice :]="","",ROW())</f>
        <v/>
      </c>
      <c r="B178" s="291" t="str">
        <f>IF(Table1[h_Kode Sales :_1]="","",B$1+COUNT(B$2:B177))</f>
        <v/>
      </c>
      <c r="D178" s="292"/>
      <c r="E178" s="293"/>
      <c r="F178" s="292"/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M178" s="292"/>
      <c r="N178" s="291" t="str">
        <f>IF(Table1[[#This Row],[h_Item Description]]="","",INDEX([1]!db[NB PAJAK],MATCH(Table1[[#This Row],[h_Item Description]],[1]!db[kode],0)))</f>
        <v/>
      </c>
      <c r="P178" s="93"/>
      <c r="Q178" s="94"/>
      <c r="S178" s="294" t="str">
        <f>Table1[[#This Row],[h_hargasetelahdiskon]]</f>
        <v/>
      </c>
      <c r="V178" s="95" t="str">
        <f ca="1">IF(Table1[[#This Row],[Item Description]]="","",IF(Table1[[#This Row],[//]]="",INDIRECT(ADDRESS(ROW()-1,COLUMN())),Table1[[#This Row],[//]]))</f>
        <v/>
      </c>
      <c r="W178" s="95" t="str">
        <f ca="1"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IF(Table1[Item Description]="","",Table1[[#This Row],[h_hargasebelumdiskon]]*Table1[[#This Row],[Disc 1]])</f>
        <v/>
      </c>
      <c r="Z178" s="93" t="str">
        <f>IF(Table1[Item Description]="","",Table1[[#This Row],[h_hargasebelumdiskon]]-Table1[[#This Row],[h_diskon]])</f>
        <v/>
      </c>
      <c r="AA178" s="93" t="str">
        <f>IF(Table1[//]="","",SUMIF(Table1[h_id],Table1[h_id],Table1[h_hargasetelahdiskon]))</f>
        <v/>
      </c>
      <c r="AB178" s="93"/>
      <c r="AC178" s="93" t="str">
        <f>Table1[[#This Row],[Item Description]]&amp;Table1[[#This Row],[Unit]]&amp;Table1[[#This Row],[Unit Price]]</f>
        <v/>
      </c>
    </row>
    <row r="179" spans="1:29" x14ac:dyDescent="0.25">
      <c r="A179" s="95">
        <f>IF(Table1[No. Invoice :]="","",ROW())</f>
        <v>179</v>
      </c>
      <c r="B179" s="291">
        <f>IF(Table1[h_Kode Sales :_1]="","",B$1+COUNT(B$2:B178))</f>
        <v>23020036</v>
      </c>
      <c r="C179" s="98">
        <v>44982</v>
      </c>
      <c r="D179" s="92" t="s">
        <v>142</v>
      </c>
      <c r="E179" s="97" t="s">
        <v>487</v>
      </c>
      <c r="F179" s="92" t="s">
        <v>73</v>
      </c>
      <c r="G179" s="95" t="str">
        <f>IF(Table1[[#This Row],[h_No. Invoice :]]="","",CONCATENATE("AM"," ",Table1[[#This Row],[h_No. Invoice :]]))</f>
        <v>AM 23020036</v>
      </c>
      <c r="H179" s="96" t="str">
        <f>CONCATENATE(UPPER(Table1[[#This Row],[h_Kode Sales :_1]])," ",Table1[[#This Row],[h_Kode Sales :_2]])</f>
        <v>KO 1146</v>
      </c>
      <c r="I179" s="95" t="str">
        <f>IF(Table1[[#This Row],[h_toko]]="","",INDEX(Table2[e],IF(Table1[[#This Row],[h_toko]]="","",MATCH(Table1[[#This Row],[h_toko]],Table2[a],0)),))</f>
        <v>HARNOYO (BENDAN) PEKALONGAN</v>
      </c>
      <c r="J179" s="92">
        <v>5</v>
      </c>
      <c r="K179" s="92" t="s">
        <v>131</v>
      </c>
      <c r="L179" s="92">
        <v>1</v>
      </c>
      <c r="M179" s="92" t="s">
        <v>173</v>
      </c>
      <c r="N179" s="291" t="str">
        <f>IF(Table1[[#This Row],[h_Item Description]]="","",INDEX([1]!db[NB PAJAK],MATCH(Table1[[#This Row],[h_Item Description]],[1]!db[kode],0)))</f>
        <v>BINDER CLIP KENKO NO. 260</v>
      </c>
      <c r="O179" s="92" t="s">
        <v>129</v>
      </c>
      <c r="P179" s="93">
        <v>180000</v>
      </c>
      <c r="Q179" s="94">
        <v>0.14000000000000001</v>
      </c>
      <c r="S179" s="294">
        <f>Table1[[#This Row],[h_hargasetelahdiskon]]</f>
        <v>774000</v>
      </c>
      <c r="T179" s="93" t="s">
        <v>93</v>
      </c>
      <c r="V179" s="95">
        <f ca="1">IF(Table1[[#This Row],[Item Description]]="","",IF(Table1[[#This Row],[//]]="",INDIRECT(ADDRESS(ROW()-1,COLUMN())),Table1[[#This Row],[//]]))</f>
        <v>179</v>
      </c>
      <c r="W179" s="95">
        <f ca="1">IF(Table1[[#This Row],[h_id]]="","",COUNTIF(Table1[h_id],Table1[[#This Row],[h_id]]))</f>
        <v>1</v>
      </c>
      <c r="X179" s="93">
        <f>IF(Table1[Item Description]="","",Table1[[#This Row],[Qty]]*Table1[[#This Row],[Unit Price]])</f>
        <v>900000</v>
      </c>
      <c r="Y179" s="93">
        <f>IF(Table1[Item Description]="","",Table1[[#This Row],[h_hargasebelumdiskon]]*Table1[[#This Row],[Disc 1]])</f>
        <v>126000.00000000001</v>
      </c>
      <c r="Z179" s="93">
        <f>IF(Table1[Item Description]="","",Table1[[#This Row],[h_hargasebelumdiskon]]-Table1[[#This Row],[h_diskon]])</f>
        <v>774000</v>
      </c>
      <c r="AA179" s="93">
        <f ca="1">IF(Table1[//]="","",SUMIF(Table1[h_id],Table1[h_id],Table1[h_hargasetelahdiskon]))</f>
        <v>774000</v>
      </c>
      <c r="AB179" s="93"/>
      <c r="AC179" s="93" t="str">
        <f>Table1[[#This Row],[Item Description]]&amp;Table1[[#This Row],[Unit]]&amp;Table1[[#This Row],[Unit Price]]</f>
        <v>BINDER CLIP KENKO NO. 260GRS180000</v>
      </c>
    </row>
    <row r="180" spans="1:29" x14ac:dyDescent="0.25">
      <c r="A180" s="95" t="str">
        <f>IF(Table1[No. Invoice :]="","",ROW())</f>
        <v/>
      </c>
      <c r="B180" s="291" t="str">
        <f>IF(Table1[h_Kode Sales :_1]="","",B$1+COUNT(B$2:B179))</f>
        <v/>
      </c>
      <c r="D180" s="292"/>
      <c r="E180" s="293"/>
      <c r="F180" s="292"/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M180" s="292"/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 ca="1">IF(Table1[[#This Row],[Item Description]]="","",IF(Table1[[#This Row],[//]]="",INDIRECT(ADDRESS(ROW()-1,COLUMN())),Table1[[#This Row],[//]]))</f>
        <v/>
      </c>
      <c r="W180" s="95" t="str">
        <f ca="1"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IF(Table1[Item Description]="","",Table1[[#This Row],[h_hargasebelumdiskon]]*Table1[[#This Row],[Disc 1]])</f>
        <v/>
      </c>
      <c r="Z180" s="93" t="str">
        <f>IF(Table1[Item Description]="","",Table1[[#This Row],[h_hargasebelumdiskon]]-Table1[[#This Row],[h_diskon]])</f>
        <v/>
      </c>
      <c r="AA180" s="93" t="str">
        <f>IF(Table1[//]="","",SUMIF(Table1[h_id],Table1[h_id],Table1[h_hargasetelahdiskon]))</f>
        <v/>
      </c>
      <c r="AB180" s="93"/>
      <c r="AC180" s="93" t="str">
        <f>Table1[[#This Row],[Item Description]]&amp;Table1[[#This Row],[Unit]]&amp;Table1[[#This Row],[Unit Price]]</f>
        <v/>
      </c>
    </row>
    <row r="181" spans="1:29" x14ac:dyDescent="0.25">
      <c r="A181" s="95" t="str">
        <f>IF(Table1[No. Invoice :]="","",ROW())</f>
        <v/>
      </c>
      <c r="B181" s="291" t="str">
        <f>IF(Table1[h_Kode Sales :_1]="","",B$1+COUNT(B$2:B180))</f>
        <v/>
      </c>
      <c r="D181" s="292"/>
      <c r="E181" s="293"/>
      <c r="F181" s="292"/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M181" s="292"/>
      <c r="N181" s="291" t="str">
        <f>IF(Table1[[#This Row],[h_Item Description]]="","",INDEX([1]!db[NB PAJAK],MATCH(Table1[[#This Row],[h_Item Description]],[1]!db[kode],0)))</f>
        <v/>
      </c>
      <c r="P181" s="93"/>
      <c r="Q181" s="94"/>
      <c r="S181" s="294" t="str">
        <f>Table1[[#This Row],[h_hargasetelahdiskon]]</f>
        <v/>
      </c>
      <c r="V181" s="95" t="str">
        <f ca="1">IF(Table1[[#This Row],[Item Description]]="","",IF(Table1[[#This Row],[//]]="",INDIRECT(ADDRESS(ROW()-1,COLUMN())),Table1[[#This Row],[//]]))</f>
        <v/>
      </c>
      <c r="W181" s="95" t="str">
        <f ca="1">IF(Table1[[#This Row],[h_id]]="","",COUNTIF(Table1[h_id],Table1[[#This Row],[h_id]]))</f>
        <v/>
      </c>
      <c r="X181" s="93" t="str">
        <f>IF(Table1[Item Description]="","",Table1[[#This Row],[Qty]]*Table1[[#This Row],[Unit Price]])</f>
        <v/>
      </c>
      <c r="Y181" s="93" t="str">
        <f>IF(Table1[Item Description]="","",Table1[[#This Row],[h_hargasebelumdiskon]]*Table1[[#This Row],[Disc 1]])</f>
        <v/>
      </c>
      <c r="Z181" s="93" t="str">
        <f>IF(Table1[Item Description]="","",Table1[[#This Row],[h_hargasebelumdiskon]]-Table1[[#This Row],[h_diskon]])</f>
        <v/>
      </c>
      <c r="AA181" s="93" t="str">
        <f>IF(Table1[//]="","",SUMIF(Table1[h_id],Table1[h_id],Table1[h_hargasetelahdiskon]))</f>
        <v/>
      </c>
      <c r="AB181" s="93"/>
      <c r="AC181" s="93" t="str">
        <f>Table1[[#This Row],[Item Description]]&amp;Table1[[#This Row],[Unit]]&amp;Table1[[#This Row],[Unit Price]]</f>
        <v/>
      </c>
    </row>
    <row r="182" spans="1:29" x14ac:dyDescent="0.25">
      <c r="A182" s="95" t="str">
        <f>IF(Table1[No. Invoice :]="","",ROW())</f>
        <v/>
      </c>
      <c r="B182" s="291" t="str">
        <f>IF(Table1[h_Kode Sales :_1]="","",B$1+COUNT(B$2:B181))</f>
        <v/>
      </c>
      <c r="D182" s="292"/>
      <c r="E182" s="293"/>
      <c r="F182" s="292"/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M182" s="292"/>
      <c r="N182" s="291" t="str">
        <f>IF(Table1[[#This Row],[h_Item Description]]="","",INDEX([1]!db[NB PAJAK],MATCH(Table1[[#This Row],[h_Item Description]],[1]!db[kode],0)))</f>
        <v/>
      </c>
      <c r="P182" s="93"/>
      <c r="Q182" s="94"/>
      <c r="S182" s="294" t="str">
        <f>Table1[[#This Row],[h_hargasetelahdiskon]]</f>
        <v/>
      </c>
      <c r="V182" s="95" t="str">
        <f ca="1">IF(Table1[[#This Row],[Item Description]]="","",IF(Table1[[#This Row],[//]]="",INDIRECT(ADDRESS(ROW()-1,COLUMN())),Table1[[#This Row],[//]]))</f>
        <v/>
      </c>
      <c r="W182" s="95" t="str">
        <f ca="1">IF(Table1[[#This Row],[h_id]]="","",COUNTIF(Table1[h_id],Table1[[#This Row],[h_id]]))</f>
        <v/>
      </c>
      <c r="X182" s="93" t="str">
        <f>IF(Table1[Item Description]="","",Table1[[#This Row],[Qty]]*Table1[[#This Row],[Unit Price]])</f>
        <v/>
      </c>
      <c r="Y182" s="93" t="str">
        <f>IF(Table1[Item Description]="","",Table1[[#This Row],[h_hargasebelumdiskon]]*Table1[[#This Row],[Disc 1]])</f>
        <v/>
      </c>
      <c r="Z182" s="93" t="str">
        <f>IF(Table1[Item Description]="","",Table1[[#This Row],[h_hargasebelumdiskon]]-Table1[[#This Row],[h_diskon]])</f>
        <v/>
      </c>
      <c r="AA182" s="93" t="str">
        <f>IF(Table1[//]="","",SUMIF(Table1[h_id],Table1[h_id],Table1[h_hargasetelahdiskon]))</f>
        <v/>
      </c>
      <c r="AB182" s="93"/>
      <c r="AC182" s="93" t="str">
        <f>Table1[[#This Row],[Item Description]]&amp;Table1[[#This Row],[Unit]]&amp;Table1[[#This Row],[Unit Price]]</f>
        <v/>
      </c>
    </row>
    <row r="183" spans="1:29" x14ac:dyDescent="0.25">
      <c r="A183" s="95" t="str">
        <f>IF(Table1[No. Invoice :]="","",ROW())</f>
        <v/>
      </c>
      <c r="B183" s="291" t="str">
        <f>IF(Table1[h_Kode Sales :_1]="","",B$1+COUNT(B$2:B182))</f>
        <v/>
      </c>
      <c r="D183" s="292"/>
      <c r="E183" s="293"/>
      <c r="F183" s="292"/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M183" s="292"/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 ca="1">IF(Table1[[#This Row],[Item Description]]="","",IF(Table1[[#This Row],[//]]="",INDIRECT(ADDRESS(ROW()-1,COLUMN())),Table1[[#This Row],[//]]))</f>
        <v/>
      </c>
      <c r="W183" s="95" t="str">
        <f ca="1"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IF(Table1[Item Description]="","",Table1[[#This Row],[h_hargasebelumdiskon]]*Table1[[#This Row],[Disc 1]])</f>
        <v/>
      </c>
      <c r="Z183" s="93" t="str">
        <f>IF(Table1[Item Description]="","",Table1[[#This Row],[h_hargasebelumdiskon]]-Table1[[#This Row],[h_diskon]])</f>
        <v/>
      </c>
      <c r="AA183" s="93" t="str">
        <f>IF(Table1[//]="","",SUMIF(Table1[h_id],Table1[h_id],Table1[h_hargasetelahdiskon]))</f>
        <v/>
      </c>
      <c r="AB183" s="93"/>
      <c r="AC183" s="93" t="str">
        <f>Table1[[#This Row],[Item Description]]&amp;Table1[[#This Row],[Unit]]&amp;Table1[[#This Row],[Unit Price]]</f>
        <v/>
      </c>
    </row>
    <row r="184" spans="1:29" x14ac:dyDescent="0.25">
      <c r="A184" s="95" t="str">
        <f>IF(Table1[No. Invoice :]="","",ROW())</f>
        <v/>
      </c>
      <c r="B184" s="291" t="str">
        <f>IF(Table1[h_Kode Sales :_1]="","",B$1+COUNT(B$2:B183))</f>
        <v/>
      </c>
      <c r="D184" s="292"/>
      <c r="E184" s="293"/>
      <c r="F184" s="292"/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M184" s="292"/>
      <c r="N184" s="291" t="str">
        <f>IF(Table1[[#This Row],[h_Item Description]]="","",INDEX([1]!db[NB PAJAK],MATCH(Table1[[#This Row],[h_Item Description]],[1]!db[kode],0)))</f>
        <v/>
      </c>
      <c r="P184" s="93"/>
      <c r="Q184" s="94"/>
      <c r="S184" s="294" t="str">
        <f>Table1[[#This Row],[h_hargasetelahdiskon]]</f>
        <v/>
      </c>
      <c r="V184" s="95" t="str">
        <f ca="1">IF(Table1[[#This Row],[Item Description]]="","",IF(Table1[[#This Row],[//]]="",INDIRECT(ADDRESS(ROW()-1,COLUMN())),Table1[[#This Row],[//]]))</f>
        <v/>
      </c>
      <c r="W184" s="95" t="str">
        <f ca="1"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IF(Table1[Item Description]="","",Table1[[#This Row],[h_hargasebelumdiskon]]*Table1[[#This Row],[Disc 1]])</f>
        <v/>
      </c>
      <c r="Z184" s="93" t="str">
        <f>IF(Table1[Item Description]="","",Table1[[#This Row],[h_hargasebelumdiskon]]-Table1[[#This Row],[h_diskon]])</f>
        <v/>
      </c>
      <c r="AA184" s="93" t="str">
        <f>IF(Table1[//]="","",SUMIF(Table1[h_id],Table1[h_id],Table1[h_hargasetelahdiskon]))</f>
        <v/>
      </c>
      <c r="AB184" s="93"/>
      <c r="AC184" s="93" t="str">
        <f>Table1[[#This Row],[Item Description]]&amp;Table1[[#This Row],[Unit]]&amp;Table1[[#This Row],[Unit Price]]</f>
        <v/>
      </c>
    </row>
    <row r="185" spans="1:29" x14ac:dyDescent="0.25">
      <c r="A185" s="95" t="str">
        <f>IF(Table1[No. Invoice :]="","",ROW())</f>
        <v/>
      </c>
      <c r="B185" s="291" t="str">
        <f>IF(Table1[h_Kode Sales :_1]="","",B$1+COUNT(B$2:B184))</f>
        <v/>
      </c>
      <c r="D185" s="292"/>
      <c r="E185" s="293"/>
      <c r="F185" s="292"/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M185" s="292"/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 ca="1">IF(Table1[[#This Row],[Item Description]]="","",IF(Table1[[#This Row],[//]]="",INDIRECT(ADDRESS(ROW()-1,COLUMN())),Table1[[#This Row],[//]]))</f>
        <v/>
      </c>
      <c r="W185" s="95" t="str">
        <f ca="1"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IF(Table1[Item Description]="","",Table1[[#This Row],[h_hargasebelumdiskon]]*Table1[[#This Row],[Disc 1]])</f>
        <v/>
      </c>
      <c r="Z185" s="93" t="str">
        <f>IF(Table1[Item Description]="","",Table1[[#This Row],[h_hargasebelumdiskon]]-Table1[[#This Row],[h_diskon]])</f>
        <v/>
      </c>
      <c r="AA185" s="93" t="str">
        <f>IF(Table1[//]="","",SUMIF(Table1[h_id],Table1[h_id],Table1[h_hargasetelahdiskon]))</f>
        <v/>
      </c>
      <c r="AB185" s="93"/>
      <c r="AC185" s="93" t="str">
        <f>Table1[[#This Row],[Item Description]]&amp;Table1[[#This Row],[Unit]]&amp;Table1[[#This Row],[Unit Price]]</f>
        <v/>
      </c>
    </row>
    <row r="186" spans="1:29" x14ac:dyDescent="0.25">
      <c r="A186" s="95" t="str">
        <f>IF(Table1[No. Invoice :]="","",ROW())</f>
        <v/>
      </c>
      <c r="B186" s="291" t="str">
        <f>IF(Table1[h_Kode Sales :_1]="","",B$1+COUNT(B$2:B185))</f>
        <v/>
      </c>
      <c r="D186" s="292"/>
      <c r="E186" s="293"/>
      <c r="F186" s="292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M186" s="292"/>
      <c r="N186" s="291" t="str">
        <f>IF(Table1[[#This Row],[h_Item Description]]="","",INDEX([1]!db[NB PAJAK],MATCH(Table1[[#This Row],[h_Item Description]],[1]!db[kode],0)))</f>
        <v/>
      </c>
      <c r="P186" s="93"/>
      <c r="Q186" s="94"/>
      <c r="S186" s="294" t="str">
        <f>Table1[[#This Row],[h_hargasetelahdiskon]]</f>
        <v/>
      </c>
      <c r="V186" s="95" t="str">
        <f ca="1">IF(Table1[[#This Row],[Item Description]]="","",IF(Table1[[#This Row],[//]]="",INDIRECT(ADDRESS(ROW()-1,COLUMN())),Table1[[#This Row],[//]]))</f>
        <v/>
      </c>
      <c r="W186" s="95" t="str">
        <f ca="1">IF(Table1[[#This Row],[h_id]]="","",COUNTIF(Table1[h_id],Table1[[#This Row],[h_id]]))</f>
        <v/>
      </c>
      <c r="X186" s="93" t="str">
        <f>IF(Table1[Item Description]="","",Table1[[#This Row],[Qty]]*Table1[[#This Row],[Unit Price]])</f>
        <v/>
      </c>
      <c r="Y186" s="93" t="str">
        <f>IF(Table1[Item Description]="","",Table1[[#This Row],[h_hargasebelumdiskon]]*Table1[[#This Row],[Disc 1]])</f>
        <v/>
      </c>
      <c r="Z186" s="93" t="str">
        <f>IF(Table1[Item Description]="","",Table1[[#This Row],[h_hargasebelumdiskon]]-Table1[[#This Row],[h_diskon]])</f>
        <v/>
      </c>
      <c r="AA186" s="93" t="str">
        <f>IF(Table1[//]="","",SUMIF(Table1[h_id],Table1[h_id],Table1[h_hargasetelahdiskon]))</f>
        <v/>
      </c>
      <c r="AB186" s="93"/>
      <c r="AC186" s="93" t="str">
        <f>Table1[[#This Row],[Item Description]]&amp;Table1[[#This Row],[Unit]]&amp;Table1[[#This Row],[Unit Price]]</f>
        <v/>
      </c>
    </row>
    <row r="187" spans="1:29" x14ac:dyDescent="0.25">
      <c r="A187" s="95" t="str">
        <f>IF(Table1[No. Invoice :]="","",ROW())</f>
        <v/>
      </c>
      <c r="B187" s="291" t="str">
        <f>IF(Table1[h_Kode Sales :_1]="","",B$1+COUNT(B$2:B186))</f>
        <v/>
      </c>
      <c r="D187" s="292"/>
      <c r="E187" s="293"/>
      <c r="F187" s="292"/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M187" s="292"/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 ca="1">IF(Table1[[#This Row],[Item Description]]="","",IF(Table1[[#This Row],[//]]="",INDIRECT(ADDRESS(ROW()-1,COLUMN())),Table1[[#This Row],[//]]))</f>
        <v/>
      </c>
      <c r="W187" s="95" t="str">
        <f ca="1"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IF(Table1[Item Description]="","",Table1[[#This Row],[h_hargasebelumdiskon]]*Table1[[#This Row],[Disc 1]])</f>
        <v/>
      </c>
      <c r="Z187" s="93" t="str">
        <f>IF(Table1[Item Description]="","",Table1[[#This Row],[h_hargasebelumdiskon]]-Table1[[#This Row],[h_diskon]])</f>
        <v/>
      </c>
      <c r="AA187" s="93" t="str">
        <f>IF(Table1[//]="","",SUMIF(Table1[h_id],Table1[h_id],Table1[h_hargasetelahdiskon]))</f>
        <v/>
      </c>
      <c r="AB187" s="93"/>
      <c r="AC187" s="93" t="str">
        <f>Table1[[#This Row],[Item Description]]&amp;Table1[[#This Row],[Unit]]&amp;Table1[[#This Row],[Unit Price]]</f>
        <v/>
      </c>
    </row>
    <row r="188" spans="1:29" x14ac:dyDescent="0.25">
      <c r="A188" s="95" t="str">
        <f>IF(Table1[No. Invoice :]="","",ROW())</f>
        <v/>
      </c>
      <c r="B188" s="291" t="str">
        <f>IF(Table1[h_Kode Sales :_1]="","",B$1+COUNT(B$2:B187))</f>
        <v/>
      </c>
      <c r="D188" s="292"/>
      <c r="E188" s="293"/>
      <c r="F188" s="292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M188" s="292"/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 ca="1">IF(Table1[[#This Row],[Item Description]]="","",IF(Table1[[#This Row],[//]]="",INDIRECT(ADDRESS(ROW()-1,COLUMN())),Table1[[#This Row],[//]]))</f>
        <v/>
      </c>
      <c r="W188" s="95" t="str">
        <f ca="1"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IF(Table1[Item Description]="","",Table1[[#This Row],[h_hargasebelumdiskon]]*Table1[[#This Row],[Disc 1]])</f>
        <v/>
      </c>
      <c r="Z188" s="93" t="str">
        <f>IF(Table1[Item Description]="","",Table1[[#This Row],[h_hargasebelumdiskon]]-Table1[[#This Row],[h_diskon]])</f>
        <v/>
      </c>
      <c r="AA188" s="93" t="str">
        <f>IF(Table1[//]="","",SUMIF(Table1[h_id],Table1[h_id],Table1[h_hargasetelahdiskon]))</f>
        <v/>
      </c>
      <c r="AB188" s="93"/>
      <c r="AC188" s="93" t="str">
        <f>Table1[[#This Row],[Item Description]]&amp;Table1[[#This Row],[Unit]]&amp;Table1[[#This Row],[Unit Price]]</f>
        <v/>
      </c>
    </row>
    <row r="189" spans="1:29" x14ac:dyDescent="0.25">
      <c r="A189" s="95" t="str">
        <f>IF(Table1[No. Invoice :]="","",ROW())</f>
        <v/>
      </c>
      <c r="B189" s="291" t="str">
        <f>IF(Table1[h_Kode Sales :_1]="","",B$1+COUNT(B$2:B188))</f>
        <v/>
      </c>
      <c r="D189" s="292"/>
      <c r="E189" s="293"/>
      <c r="F189" s="292"/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M189" s="292"/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 ca="1">IF(Table1[[#This Row],[Item Description]]="","",IF(Table1[[#This Row],[//]]="",INDIRECT(ADDRESS(ROW()-1,COLUMN())),Table1[[#This Row],[//]]))</f>
        <v/>
      </c>
      <c r="W189" s="95" t="str">
        <f ca="1"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IF(Table1[Item Description]="","",Table1[[#This Row],[h_hargasebelumdiskon]]*Table1[[#This Row],[Disc 1]])</f>
        <v/>
      </c>
      <c r="Z189" s="93" t="str">
        <f>IF(Table1[Item Description]="","",Table1[[#This Row],[h_hargasebelumdiskon]]-Table1[[#This Row],[h_diskon]])</f>
        <v/>
      </c>
      <c r="AA189" s="93" t="str">
        <f>IF(Table1[//]="","",SUMIF(Table1[h_id],Table1[h_id],Table1[h_hargasetelahdiskon]))</f>
        <v/>
      </c>
      <c r="AB189" s="93"/>
      <c r="AC189" s="93" t="str">
        <f>Table1[[#This Row],[Item Description]]&amp;Table1[[#This Row],[Unit]]&amp;Table1[[#This Row],[Unit Price]]</f>
        <v/>
      </c>
    </row>
    <row r="190" spans="1:29" x14ac:dyDescent="0.25">
      <c r="A190" s="95" t="str">
        <f>IF(Table1[No. Invoice :]="","",ROW())</f>
        <v/>
      </c>
      <c r="B190" s="291" t="str">
        <f>IF(Table1[h_Kode Sales :_1]="","",B$1+COUNT(B$2:B189))</f>
        <v/>
      </c>
      <c r="D190" s="292"/>
      <c r="E190" s="293"/>
      <c r="F190" s="292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M190" s="292"/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 ca="1">IF(Table1[[#This Row],[Item Description]]="","",IF(Table1[[#This Row],[//]]="",INDIRECT(ADDRESS(ROW()-1,COLUMN())),Table1[[#This Row],[//]]))</f>
        <v/>
      </c>
      <c r="W190" s="95" t="str">
        <f ca="1"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IF(Table1[Item Description]="","",Table1[[#This Row],[h_hargasebelumdiskon]]*Table1[[#This Row],[Disc 1]])</f>
        <v/>
      </c>
      <c r="Z190" s="93" t="str">
        <f>IF(Table1[Item Description]="","",Table1[[#This Row],[h_hargasebelumdiskon]]-Table1[[#This Row],[h_diskon]])</f>
        <v/>
      </c>
      <c r="AA190" s="93" t="str">
        <f>IF(Table1[//]="","",SUMIF(Table1[h_id],Table1[h_id],Table1[h_hargasetelahdiskon]))</f>
        <v/>
      </c>
      <c r="AB190" s="93"/>
      <c r="AC190" s="93" t="str">
        <f>Table1[[#This Row],[Item Description]]&amp;Table1[[#This Row],[Unit]]&amp;Table1[[#This Row],[Unit Price]]</f>
        <v/>
      </c>
    </row>
    <row r="191" spans="1:29" x14ac:dyDescent="0.25">
      <c r="A191" s="95" t="str">
        <f>IF(Table1[No. Invoice :]="","",ROW())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M191" s="292"/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 ca="1">IF(Table1[[#This Row],[Item Description]]="","",IF(Table1[[#This Row],[//]]="",INDIRECT(ADDRESS(ROW()-1,COLUMN())),Table1[[#This Row],[//]]))</f>
        <v/>
      </c>
      <c r="W191" s="95" t="str">
        <f ca="1"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IF(Table1[Item Description]="","",Table1[[#This Row],[h_hargasebelumdiskon]]*Table1[[#This Row],[Disc 1]])</f>
        <v/>
      </c>
      <c r="Z191" s="93" t="str">
        <f>IF(Table1[Item Description]="","",Table1[[#This Row],[h_hargasebelumdiskon]]-Table1[[#This Row],[h_diskon]])</f>
        <v/>
      </c>
      <c r="AA191" s="93" t="str">
        <f>IF(Table1[//]="","",SUMIF(Table1[h_id],Table1[h_id],Table1[h_hargasetelahdiskon]))</f>
        <v/>
      </c>
      <c r="AB191" s="93"/>
      <c r="AC191" s="93" t="str">
        <f>Table1[[#This Row],[Item Description]]&amp;Table1[[#This Row],[Unit]]&amp;Table1[[#This Row],[Unit Price]]</f>
        <v/>
      </c>
    </row>
    <row r="192" spans="1:29" x14ac:dyDescent="0.25">
      <c r="A192" s="95" t="str">
        <f>IF(Table1[No. Invoice :]="","",ROW())</f>
        <v/>
      </c>
      <c r="B192" s="291" t="str">
        <f>IF(Table1[h_Kode Sales :_1]="","",B$1+COUNT(B$2:B191))</f>
        <v/>
      </c>
      <c r="D192" s="292"/>
      <c r="E192" s="293"/>
      <c r="F192" s="292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M192" s="292"/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 ca="1">IF(Table1[[#This Row],[Item Description]]="","",IF(Table1[[#This Row],[//]]="",INDIRECT(ADDRESS(ROW()-1,COLUMN())),Table1[[#This Row],[//]]))</f>
        <v/>
      </c>
      <c r="W192" s="95" t="str">
        <f ca="1"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IF(Table1[Item Description]="","",Table1[[#This Row],[h_hargasebelumdiskon]]*Table1[[#This Row],[Disc 1]])</f>
        <v/>
      </c>
      <c r="Z192" s="93" t="str">
        <f>IF(Table1[Item Description]="","",Table1[[#This Row],[h_hargasebelumdiskon]]-Table1[[#This Row],[h_diskon]])</f>
        <v/>
      </c>
      <c r="AA192" s="93" t="str">
        <f>IF(Table1[//]="","",SUMIF(Table1[h_id],Table1[h_id],Table1[h_hargasetelahdiskon]))</f>
        <v/>
      </c>
      <c r="AB192" s="93"/>
      <c r="AC192" s="93" t="str">
        <f>Table1[[#This Row],[Item Description]]&amp;Table1[[#This Row],[Unit]]&amp;Table1[[#This Row],[Unit Price]]</f>
        <v/>
      </c>
    </row>
    <row r="193" spans="1:29" x14ac:dyDescent="0.25">
      <c r="A193" s="95" t="str">
        <f>IF(Table1[No. Invoice :]="","",ROW())</f>
        <v/>
      </c>
      <c r="B193" s="291" t="str">
        <f>IF(Table1[h_Kode Sales :_1]="","",B$1+COUNT(B$2:B192))</f>
        <v/>
      </c>
      <c r="D193" s="292"/>
      <c r="E193" s="293"/>
      <c r="F193" s="292"/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M193" s="292"/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 ca="1">IF(Table1[[#This Row],[Item Description]]="","",IF(Table1[[#This Row],[//]]="",INDIRECT(ADDRESS(ROW()-1,COLUMN())),Table1[[#This Row],[//]]))</f>
        <v/>
      </c>
      <c r="W193" s="95" t="str">
        <f ca="1"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IF(Table1[Item Description]="","",Table1[[#This Row],[h_hargasebelumdiskon]]*Table1[[#This Row],[Disc 1]])</f>
        <v/>
      </c>
      <c r="Z193" s="93" t="str">
        <f>IF(Table1[Item Description]="","",Table1[[#This Row],[h_hargasebelumdiskon]]-Table1[[#This Row],[h_diskon]])</f>
        <v/>
      </c>
      <c r="AA193" s="93" t="str">
        <f>IF(Table1[//]="","",SUMIF(Table1[h_id],Table1[h_id],Table1[h_hargasetelahdiskon]))</f>
        <v/>
      </c>
      <c r="AB193" s="93"/>
      <c r="AC193" s="93" t="str">
        <f>Table1[[#This Row],[Item Description]]&amp;Table1[[#This Row],[Unit]]&amp;Table1[[#This Row],[Unit Price]]</f>
        <v/>
      </c>
    </row>
    <row r="194" spans="1:29" x14ac:dyDescent="0.25">
      <c r="A194" s="95" t="str">
        <f>IF(Table1[No. Invoice :]="","",ROW())</f>
        <v/>
      </c>
      <c r="B194" s="291" t="str">
        <f>IF(Table1[h_Kode Sales :_1]="","",B$1+COUNT(B$2:B193))</f>
        <v/>
      </c>
      <c r="D194" s="292"/>
      <c r="E194" s="293"/>
      <c r="F194" s="292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M194" s="292"/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 ca="1">IF(Table1[[#This Row],[Item Description]]="","",IF(Table1[[#This Row],[//]]="",INDIRECT(ADDRESS(ROW()-1,COLUMN())),Table1[[#This Row],[//]]))</f>
        <v/>
      </c>
      <c r="W194" s="95" t="str">
        <f ca="1"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IF(Table1[Item Description]="","",Table1[[#This Row],[h_hargasebelumdiskon]]*Table1[[#This Row],[Disc 1]])</f>
        <v/>
      </c>
      <c r="Z194" s="93" t="str">
        <f>IF(Table1[Item Description]="","",Table1[[#This Row],[h_hargasebelumdiskon]]-Table1[[#This Row],[h_diskon]])</f>
        <v/>
      </c>
      <c r="AA194" s="93" t="str">
        <f>IF(Table1[//]="","",SUMIF(Table1[h_id],Table1[h_id],Table1[h_hargasetelahdiskon]))</f>
        <v/>
      </c>
      <c r="AB194" s="93"/>
      <c r="AC194" s="93" t="str">
        <f>Table1[[#This Row],[Item Description]]&amp;Table1[[#This Row],[Unit]]&amp;Table1[[#This Row],[Unit Price]]</f>
        <v/>
      </c>
    </row>
    <row r="195" spans="1:29" x14ac:dyDescent="0.25">
      <c r="A195" s="95" t="str">
        <f>IF(Table1[No. Invoice :]="","",ROW())</f>
        <v/>
      </c>
      <c r="B195" s="291" t="str">
        <f>IF(Table1[h_Kode Sales :_1]="","",B$1+COUNT(B$2:B194))</f>
        <v/>
      </c>
      <c r="D195" s="292"/>
      <c r="E195" s="293"/>
      <c r="F195" s="292"/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M195" s="292"/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 ca="1">IF(Table1[[#This Row],[Item Description]]="","",IF(Table1[[#This Row],[//]]="",INDIRECT(ADDRESS(ROW()-1,COLUMN())),Table1[[#This Row],[//]]))</f>
        <v/>
      </c>
      <c r="W195" s="95" t="str">
        <f ca="1"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IF(Table1[Item Description]="","",Table1[[#This Row],[h_hargasebelumdiskon]]*Table1[[#This Row],[Disc 1]])</f>
        <v/>
      </c>
      <c r="Z195" s="93" t="str">
        <f>IF(Table1[Item Description]="","",Table1[[#This Row],[h_hargasebelumdiskon]]-Table1[[#This Row],[h_diskon]])</f>
        <v/>
      </c>
      <c r="AA195" s="93" t="str">
        <f>IF(Table1[//]="","",SUMIF(Table1[h_id],Table1[h_id],Table1[h_hargasetelahdiskon]))</f>
        <v/>
      </c>
      <c r="AB195" s="93"/>
      <c r="AC195" s="93" t="str">
        <f>Table1[[#This Row],[Item Description]]&amp;Table1[[#This Row],[Unit]]&amp;Table1[[#This Row],[Unit Price]]</f>
        <v/>
      </c>
    </row>
    <row r="196" spans="1:29" x14ac:dyDescent="0.25">
      <c r="A196" s="95" t="str">
        <f>IF(Table1[No. Invoice :]="","",ROW())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M196" s="292"/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 ca="1">IF(Table1[[#This Row],[Item Description]]="","",IF(Table1[[#This Row],[//]]="",INDIRECT(ADDRESS(ROW()-1,COLUMN())),Table1[[#This Row],[//]]))</f>
        <v/>
      </c>
      <c r="W196" s="95" t="str">
        <f ca="1"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IF(Table1[Item Description]="","",Table1[[#This Row],[h_hargasebelumdiskon]]*Table1[[#This Row],[Disc 1]])</f>
        <v/>
      </c>
      <c r="Z196" s="93" t="str">
        <f>IF(Table1[Item Description]="","",Table1[[#This Row],[h_hargasebelumdiskon]]-Table1[[#This Row],[h_diskon]])</f>
        <v/>
      </c>
      <c r="AA196" s="93" t="str">
        <f>IF(Table1[//]="","",SUMIF(Table1[h_id],Table1[h_id],Table1[h_hargasetelahdiskon]))</f>
        <v/>
      </c>
      <c r="AB196" s="93"/>
      <c r="AC196" s="93" t="str">
        <f>Table1[[#This Row],[Item Description]]&amp;Table1[[#This Row],[Unit]]&amp;Table1[[#This Row],[Unit Price]]</f>
        <v/>
      </c>
    </row>
    <row r="197" spans="1:29" x14ac:dyDescent="0.25">
      <c r="A197" s="95" t="str">
        <f>IF(Table1[No. Invoice :]="","",ROW())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M197" s="292"/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 ca="1">IF(Table1[[#This Row],[Item Description]]="","",IF(Table1[[#This Row],[//]]="",INDIRECT(ADDRESS(ROW()-1,COLUMN())),Table1[[#This Row],[//]]))</f>
        <v/>
      </c>
      <c r="W197" s="95" t="str">
        <f ca="1"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IF(Table1[Item Description]="","",Table1[[#This Row],[h_hargasebelumdiskon]]*Table1[[#This Row],[Disc 1]])</f>
        <v/>
      </c>
      <c r="Z197" s="93" t="str">
        <f>IF(Table1[Item Description]="","",Table1[[#This Row],[h_hargasebelumdiskon]]-Table1[[#This Row],[h_diskon]])</f>
        <v/>
      </c>
      <c r="AA197" s="93" t="str">
        <f>IF(Table1[//]="","",SUMIF(Table1[h_id],Table1[h_id],Table1[h_hargasetelahdiskon]))</f>
        <v/>
      </c>
      <c r="AB197" s="93"/>
      <c r="AC197" s="93" t="str">
        <f>Table1[[#This Row],[Item Description]]&amp;Table1[[#This Row],[Unit]]&amp;Table1[[#This Row],[Unit Price]]</f>
        <v/>
      </c>
    </row>
    <row r="198" spans="1:29" x14ac:dyDescent="0.25">
      <c r="A198" s="95" t="str">
        <f>IF(Table1[No. Invoice :]="","",ROW())</f>
        <v/>
      </c>
      <c r="B198" s="291" t="str">
        <f>IF(Table1[h_Kode Sales :_1]="","",B$1+COUNT(B$2:B197))</f>
        <v/>
      </c>
      <c r="D198" s="292"/>
      <c r="E198" s="293"/>
      <c r="F198" s="292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M198" s="292"/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 ca="1">IF(Table1[[#This Row],[Item Description]]="","",IF(Table1[[#This Row],[//]]="",INDIRECT(ADDRESS(ROW()-1,COLUMN())),Table1[[#This Row],[//]]))</f>
        <v/>
      </c>
      <c r="W198" s="95" t="str">
        <f ca="1"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IF(Table1[Item Description]="","",Table1[[#This Row],[h_hargasebelumdiskon]]*Table1[[#This Row],[Disc 1]])</f>
        <v/>
      </c>
      <c r="Z198" s="93" t="str">
        <f>IF(Table1[Item Description]="","",Table1[[#This Row],[h_hargasebelumdiskon]]-Table1[[#This Row],[h_diskon]])</f>
        <v/>
      </c>
      <c r="AA198" s="93" t="str">
        <f>IF(Table1[//]="","",SUMIF(Table1[h_id],Table1[h_id],Table1[h_hargasetelahdiskon]))</f>
        <v/>
      </c>
      <c r="AB198" s="93"/>
      <c r="AC198" s="93" t="str">
        <f>Table1[[#This Row],[Item Description]]&amp;Table1[[#This Row],[Unit]]&amp;Table1[[#This Row],[Unit Price]]</f>
        <v/>
      </c>
    </row>
    <row r="199" spans="1:29" x14ac:dyDescent="0.25">
      <c r="A199" s="95" t="str">
        <f>IF(Table1[No. Invoice :]="","",ROW())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M199" s="292"/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 ca="1">IF(Table1[[#This Row],[Item Description]]="","",IF(Table1[[#This Row],[//]]="",INDIRECT(ADDRESS(ROW()-1,COLUMN())),Table1[[#This Row],[//]]))</f>
        <v/>
      </c>
      <c r="W199" s="95" t="str">
        <f ca="1"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IF(Table1[Item Description]="","",Table1[[#This Row],[h_hargasebelumdiskon]]*Table1[[#This Row],[Disc 1]])</f>
        <v/>
      </c>
      <c r="Z199" s="93" t="str">
        <f>IF(Table1[Item Description]="","",Table1[[#This Row],[h_hargasebelumdiskon]]-Table1[[#This Row],[h_diskon]])</f>
        <v/>
      </c>
      <c r="AA199" s="93" t="str">
        <f>IF(Table1[//]="","",SUMIF(Table1[h_id],Table1[h_id],Table1[h_hargasetelahdiskon]))</f>
        <v/>
      </c>
      <c r="AB199" s="93"/>
      <c r="AC199" s="93" t="str">
        <f>Table1[[#This Row],[Item Description]]&amp;Table1[[#This Row],[Unit]]&amp;Table1[[#This Row],[Unit Price]]</f>
        <v/>
      </c>
    </row>
    <row r="200" spans="1:29" x14ac:dyDescent="0.25">
      <c r="A200" s="95" t="str">
        <f>IF(Table1[No. Invoice :]="","",ROW())</f>
        <v/>
      </c>
      <c r="B200" s="291" t="str">
        <f>IF(Table1[h_Kode Sales :_1]="","",B$1+COUNT(B$2:B199))</f>
        <v/>
      </c>
      <c r="D200" s="292"/>
      <c r="E200" s="293"/>
      <c r="F200" s="292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M200" s="292"/>
      <c r="N200" s="291" t="str">
        <f>IF(Table1[[#This Row],[h_Item Description]]="","",INDEX([1]!db[NB PAJAK],MATCH(Table1[[#This Row],[h_Item Description]],[1]!db[kode],0)))</f>
        <v/>
      </c>
      <c r="P200" s="93"/>
      <c r="Q200" s="94"/>
      <c r="S200" s="294" t="str">
        <f>Table1[[#This Row],[h_hargasetelahdiskon]]</f>
        <v/>
      </c>
      <c r="V200" s="95" t="str">
        <f ca="1">IF(Table1[[#This Row],[Item Description]]="","",IF(Table1[[#This Row],[//]]="",INDIRECT(ADDRESS(ROW()-1,COLUMN())),Table1[[#This Row],[//]]))</f>
        <v/>
      </c>
      <c r="W200" s="95" t="str">
        <f ca="1"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IF(Table1[Item Description]="","",Table1[[#This Row],[h_hargasebelumdiskon]]*Table1[[#This Row],[Disc 1]])</f>
        <v/>
      </c>
      <c r="Z200" s="93" t="str">
        <f>IF(Table1[Item Description]="","",Table1[[#This Row],[h_hargasebelumdiskon]]-Table1[[#This Row],[h_diskon]])</f>
        <v/>
      </c>
      <c r="AA200" s="93" t="str">
        <f>IF(Table1[//]="","",SUMIF(Table1[h_id],Table1[h_id],Table1[h_hargasetelahdiskon]))</f>
        <v/>
      </c>
      <c r="AB200" s="93"/>
      <c r="AC200" s="93" t="str">
        <f>Table1[[#This Row],[Item Description]]&amp;Table1[[#This Row],[Unit]]&amp;Table1[[#This Row],[Unit Price]]</f>
        <v/>
      </c>
    </row>
    <row r="201" spans="1:29" x14ac:dyDescent="0.25">
      <c r="A201" s="95" t="str">
        <f>IF(Table1[No. Invoice :]="","",ROW())</f>
        <v/>
      </c>
      <c r="B201" s="291" t="str">
        <f>IF(Table1[h_Kode Sales :_1]="","",B$1+COUNT(B$2:B200))</f>
        <v/>
      </c>
      <c r="D201" s="292"/>
      <c r="E201" s="293"/>
      <c r="F201" s="292"/>
      <c r="G201" s="95" t="str">
        <f>IF(Table1[[#This Row],[h_No. Invoice :]]="","",CONCATENATE("AM"," ",Table1[[#This Row],[h_No. Invoice :]]))</f>
        <v/>
      </c>
      <c r="H201" s="96" t="str">
        <f>CONCATENATE(UPPER(Table1[[#This Row],[h_Kode Sales :_1]])," ",Table1[[#This Row],[h_Kode Sales :_2]])</f>
        <v xml:space="preserve"> </v>
      </c>
      <c r="I201" s="95" t="str">
        <f>IF(Table1[[#This Row],[h_toko]]="","",INDEX(Table2[e],IF(Table1[[#This Row],[h_toko]]="","",MATCH(Table1[[#This Row],[h_toko]],Table2[a],0)),))</f>
        <v/>
      </c>
      <c r="M201" s="292"/>
      <c r="N201" s="291" t="str">
        <f>IF(Table1[[#This Row],[h_Item Description]]="","",INDEX([1]!db[NB PAJAK],MATCH(Table1[[#This Row],[h_Item Description]],[1]!db[kode],0)))</f>
        <v/>
      </c>
      <c r="P201" s="93"/>
      <c r="Q201" s="94"/>
      <c r="S201" s="294" t="str">
        <f>Table1[[#This Row],[h_hargasetelahdiskon]]</f>
        <v/>
      </c>
      <c r="V201" s="95" t="str">
        <f ca="1">IF(Table1[[#This Row],[Item Description]]="","",IF(Table1[[#This Row],[//]]="",INDIRECT(ADDRESS(ROW()-1,COLUMN())),Table1[[#This Row],[//]]))</f>
        <v/>
      </c>
      <c r="W201" s="95" t="str">
        <f ca="1">IF(Table1[[#This Row],[h_id]]="","",COUNTIF(Table1[h_id],Table1[[#This Row],[h_id]]))</f>
        <v/>
      </c>
      <c r="X201" s="93" t="str">
        <f>IF(Table1[Item Description]="","",Table1[[#This Row],[Qty]]*Table1[[#This Row],[Unit Price]])</f>
        <v/>
      </c>
      <c r="Y201" s="93" t="str">
        <f>IF(Table1[Item Description]="","",Table1[[#This Row],[h_hargasebelumdiskon]]*Table1[[#This Row],[Disc 1]])</f>
        <v/>
      </c>
      <c r="Z201" s="93" t="str">
        <f>IF(Table1[Item Description]="","",Table1[[#This Row],[h_hargasebelumdiskon]]-Table1[[#This Row],[h_diskon]])</f>
        <v/>
      </c>
      <c r="AA201" s="93" t="str">
        <f>IF(Table1[//]="","",SUMIF(Table1[h_id],Table1[h_id],Table1[h_hargasetelahdiskon]))</f>
        <v/>
      </c>
      <c r="AB201" s="93"/>
      <c r="AC201" s="93" t="str">
        <f>Table1[[#This Row],[Item Description]]&amp;Table1[[#This Row],[Unit]]&amp;Table1[[#This Row],[Unit Price]]</f>
        <v/>
      </c>
    </row>
    <row r="202" spans="1:29" x14ac:dyDescent="0.25">
      <c r="A202" s="95" t="str">
        <f>IF(Table1[No. Invoice :]="","",ROW())</f>
        <v/>
      </c>
      <c r="B202" s="291" t="str">
        <f>IF(Table1[h_Kode Sales :_1]="","",B$1+COUNT(B$2:B201))</f>
        <v/>
      </c>
      <c r="D202" s="292"/>
      <c r="E202" s="293"/>
      <c r="F202" s="292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M202" s="292"/>
      <c r="N202" s="291" t="str">
        <f>IF(Table1[[#This Row],[h_Item Description]]="","",INDEX([1]!db[NB PAJAK],MATCH(Table1[[#This Row],[h_Item Description]],[1]!db[kode],0)))</f>
        <v/>
      </c>
      <c r="P202" s="93"/>
      <c r="Q202" s="94"/>
      <c r="S202" s="294" t="str">
        <f>Table1[[#This Row],[h_hargasetelahdiskon]]</f>
        <v/>
      </c>
      <c r="V202" s="95" t="str">
        <f ca="1">IF(Table1[[#This Row],[Item Description]]="","",IF(Table1[[#This Row],[//]]="",INDIRECT(ADDRESS(ROW()-1,COLUMN())),Table1[[#This Row],[//]]))</f>
        <v/>
      </c>
      <c r="W202" s="95" t="str">
        <f ca="1">IF(Table1[[#This Row],[h_id]]="","",COUNTIF(Table1[h_id],Table1[[#This Row],[h_id]]))</f>
        <v/>
      </c>
      <c r="X202" s="93" t="str">
        <f>IF(Table1[Item Description]="","",Table1[[#This Row],[Qty]]*Table1[[#This Row],[Unit Price]])</f>
        <v/>
      </c>
      <c r="Y202" s="93" t="str">
        <f>IF(Table1[Item Description]="","",Table1[[#This Row],[h_hargasebelumdiskon]]*Table1[[#This Row],[Disc 1]])</f>
        <v/>
      </c>
      <c r="Z202" s="93" t="str">
        <f>IF(Table1[Item Description]="","",Table1[[#This Row],[h_hargasebelumdiskon]]-Table1[[#This Row],[h_diskon]])</f>
        <v/>
      </c>
      <c r="AA202" s="93" t="str">
        <f>IF(Table1[//]="","",SUMIF(Table1[h_id],Table1[h_id],Table1[h_hargasetelahdiskon]))</f>
        <v/>
      </c>
      <c r="AB202" s="93"/>
      <c r="AC202" s="93" t="str">
        <f>Table1[[#This Row],[Item Description]]&amp;Table1[[#This Row],[Unit]]&amp;Table1[[#This Row],[Unit Price]]</f>
        <v/>
      </c>
    </row>
    <row r="203" spans="1:29" x14ac:dyDescent="0.25">
      <c r="A203" s="95" t="str">
        <f>IF(Table1[No. Invoice :]="","",ROW())</f>
        <v/>
      </c>
      <c r="B203" s="291" t="str">
        <f>IF(Table1[h_Kode Sales :_1]="","",B$1+COUNT(B$2:B202))</f>
        <v/>
      </c>
      <c r="D203" s="292"/>
      <c r="E203" s="293"/>
      <c r="F203" s="292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M203" s="292"/>
      <c r="N203" s="291" t="str">
        <f>IF(Table1[[#This Row],[h_Item Description]]="","",INDEX([1]!db[NB PAJAK],MATCH(Table1[[#This Row],[h_Item Description]],[1]!db[kode],0)))</f>
        <v/>
      </c>
      <c r="P203" s="93"/>
      <c r="Q203" s="94"/>
      <c r="S203" s="294" t="str">
        <f>Table1[[#This Row],[h_hargasetelahdiskon]]</f>
        <v/>
      </c>
      <c r="V203" s="95" t="str">
        <f ca="1">IF(Table1[[#This Row],[Item Description]]="","",IF(Table1[[#This Row],[//]]="",INDIRECT(ADDRESS(ROW()-1,COLUMN())),Table1[[#This Row],[//]]))</f>
        <v/>
      </c>
      <c r="W203" s="95" t="str">
        <f ca="1">IF(Table1[[#This Row],[h_id]]="","",COUNTIF(Table1[h_id],Table1[[#This Row],[h_id]]))</f>
        <v/>
      </c>
      <c r="X203" s="93" t="str">
        <f>IF(Table1[Item Description]="","",Table1[[#This Row],[Qty]]*Table1[[#This Row],[Unit Price]])</f>
        <v/>
      </c>
      <c r="Y203" s="93" t="str">
        <f>IF(Table1[Item Description]="","",Table1[[#This Row],[h_hargasebelumdiskon]]*Table1[[#This Row],[Disc 1]])</f>
        <v/>
      </c>
      <c r="Z203" s="93" t="str">
        <f>IF(Table1[Item Description]="","",Table1[[#This Row],[h_hargasebelumdiskon]]-Table1[[#This Row],[h_diskon]])</f>
        <v/>
      </c>
      <c r="AA203" s="93" t="str">
        <f>IF(Table1[//]="","",SUMIF(Table1[h_id],Table1[h_id],Table1[h_hargasetelahdiskon]))</f>
        <v/>
      </c>
      <c r="AB203" s="93"/>
      <c r="AC203" s="93" t="str">
        <f>Table1[[#This Row],[Item Description]]&amp;Table1[[#This Row],[Unit]]&amp;Table1[[#This Row],[Unit Price]]</f>
        <v/>
      </c>
    </row>
    <row r="204" spans="1:29" x14ac:dyDescent="0.25">
      <c r="A204" s="95" t="str">
        <f>IF(Table1[No. Invoice :]="","",ROW())</f>
        <v/>
      </c>
      <c r="B204" s="291" t="str">
        <f>IF(Table1[h_Kode Sales :_1]="","",B$1+COUNT(B$2:B203))</f>
        <v/>
      </c>
      <c r="D204" s="292"/>
      <c r="E204" s="293"/>
      <c r="F204" s="292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M204" s="292"/>
      <c r="N204" s="291" t="str">
        <f>IF(Table1[[#This Row],[h_Item Description]]="","",INDEX([1]!db[NB PAJAK],MATCH(Table1[[#This Row],[h_Item Description]],[1]!db[kode],0)))</f>
        <v/>
      </c>
      <c r="P204" s="93"/>
      <c r="Q204" s="94"/>
      <c r="S204" s="294" t="str">
        <f>Table1[[#This Row],[h_hargasetelahdiskon]]</f>
        <v/>
      </c>
      <c r="V204" s="95" t="str">
        <f ca="1">IF(Table1[[#This Row],[Item Description]]="","",IF(Table1[[#This Row],[//]]="",INDIRECT(ADDRESS(ROW()-1,COLUMN())),Table1[[#This Row],[//]]))</f>
        <v/>
      </c>
      <c r="W204" s="95" t="str">
        <f ca="1"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IF(Table1[Item Description]="","",Table1[[#This Row],[h_hargasebelumdiskon]]*Table1[[#This Row],[Disc 1]])</f>
        <v/>
      </c>
      <c r="Z204" s="93" t="str">
        <f>IF(Table1[Item Description]="","",Table1[[#This Row],[h_hargasebelumdiskon]]-Table1[[#This Row],[h_diskon]])</f>
        <v/>
      </c>
      <c r="AA204" s="93" t="str">
        <f>IF(Table1[//]="","",SUMIF(Table1[h_id],Table1[h_id],Table1[h_hargasetelahdiskon]))</f>
        <v/>
      </c>
      <c r="AB204" s="93"/>
      <c r="AC204" s="93" t="str">
        <f>Table1[[#This Row],[Item Description]]&amp;Table1[[#This Row],[Unit]]&amp;Table1[[#This Row],[Unit Price]]</f>
        <v/>
      </c>
    </row>
    <row r="205" spans="1:29" x14ac:dyDescent="0.25">
      <c r="A205" s="95" t="str">
        <f>IF(Table1[No. Invoice :]="","",ROW())</f>
        <v/>
      </c>
      <c r="B205" s="291" t="str">
        <f>IF(Table1[h_Kode Sales :_1]="","",B$1+COUNT(B$2:B204))</f>
        <v/>
      </c>
      <c r="D205" s="292"/>
      <c r="E205" s="293"/>
      <c r="F205" s="292"/>
      <c r="G205" s="95" t="str">
        <f>IF(Table1[[#This Row],[h_No. Invoice :]]="","",CONCATENATE("AM"," ",Table1[[#This Row],[h_No. Invoice :]]))</f>
        <v/>
      </c>
      <c r="H205" s="96" t="str">
        <f>CONCATENATE(UPPER(Table1[[#This Row],[h_Kode Sales :_1]])," ",Table1[[#This Row],[h_Kode Sales :_2]])</f>
        <v xml:space="preserve"> </v>
      </c>
      <c r="I205" s="95" t="str">
        <f>IF(Table1[[#This Row],[h_toko]]="","",INDEX(Table2[e],IF(Table1[[#This Row],[h_toko]]="","",MATCH(Table1[[#This Row],[h_toko]],Table2[a],0)),))</f>
        <v/>
      </c>
      <c r="M205" s="292"/>
      <c r="N205" s="291" t="str">
        <f>IF(Table1[[#This Row],[h_Item Description]]="","",INDEX([1]!db[NB PAJAK],MATCH(Table1[[#This Row],[h_Item Description]],[1]!db[kode],0)))</f>
        <v/>
      </c>
      <c r="P205" s="93"/>
      <c r="Q205" s="94"/>
      <c r="S205" s="294" t="str">
        <f>Table1[[#This Row],[h_hargasetelahdiskon]]</f>
        <v/>
      </c>
      <c r="V205" s="95" t="str">
        <f ca="1">IF(Table1[[#This Row],[Item Description]]="","",IF(Table1[[#This Row],[//]]="",INDIRECT(ADDRESS(ROW()-1,COLUMN())),Table1[[#This Row],[//]]))</f>
        <v/>
      </c>
      <c r="W205" s="95" t="str">
        <f ca="1">IF(Table1[[#This Row],[h_id]]="","",COUNTIF(Table1[h_id],Table1[[#This Row],[h_id]]))</f>
        <v/>
      </c>
      <c r="X205" s="93" t="str">
        <f>IF(Table1[Item Description]="","",Table1[[#This Row],[Qty]]*Table1[[#This Row],[Unit Price]])</f>
        <v/>
      </c>
      <c r="Y205" s="93" t="str">
        <f>IF(Table1[Item Description]="","",Table1[[#This Row],[h_hargasebelumdiskon]]*Table1[[#This Row],[Disc 1]])</f>
        <v/>
      </c>
      <c r="Z205" s="93" t="str">
        <f>IF(Table1[Item Description]="","",Table1[[#This Row],[h_hargasebelumdiskon]]-Table1[[#This Row],[h_diskon]])</f>
        <v/>
      </c>
      <c r="AA205" s="93" t="str">
        <f>IF(Table1[//]="","",SUMIF(Table1[h_id],Table1[h_id],Table1[h_hargasetelahdiskon]))</f>
        <v/>
      </c>
      <c r="AB205" s="93"/>
      <c r="AC205" s="93" t="str">
        <f>Table1[[#This Row],[Item Description]]&amp;Table1[[#This Row],[Unit]]&amp;Table1[[#This Row],[Unit Price]]</f>
        <v/>
      </c>
    </row>
    <row r="206" spans="1:29" x14ac:dyDescent="0.25">
      <c r="A206" s="95" t="str">
        <f>IF(Table1[No. Invoice :]="","",ROW())</f>
        <v/>
      </c>
      <c r="B206" s="291" t="str">
        <f>IF(Table1[h_Kode Sales :_1]="","",B$1+COUNT(B$2:B205))</f>
        <v/>
      </c>
      <c r="D206" s="292"/>
      <c r="E206" s="293"/>
      <c r="F206" s="292"/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M206" s="292"/>
      <c r="N206" s="291" t="str">
        <f>IF(Table1[[#This Row],[h_Item Description]]="","",INDEX([1]!db[NB PAJAK],MATCH(Table1[[#This Row],[h_Item Description]],[1]!db[kode],0)))</f>
        <v/>
      </c>
      <c r="P206" s="93"/>
      <c r="Q206" s="94"/>
      <c r="S206" s="294" t="str">
        <f>Table1[[#This Row],[h_hargasetelahdiskon]]</f>
        <v/>
      </c>
      <c r="V206" s="95" t="str">
        <f ca="1">IF(Table1[[#This Row],[Item Description]]="","",IF(Table1[[#This Row],[//]]="",INDIRECT(ADDRESS(ROW()-1,COLUMN())),Table1[[#This Row],[//]]))</f>
        <v/>
      </c>
      <c r="W206" s="95" t="str">
        <f ca="1"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IF(Table1[Item Description]="","",Table1[[#This Row],[h_hargasebelumdiskon]]*Table1[[#This Row],[Disc 1]])</f>
        <v/>
      </c>
      <c r="Z206" s="93" t="str">
        <f>IF(Table1[Item Description]="","",Table1[[#This Row],[h_hargasebelumdiskon]]-Table1[[#This Row],[h_diskon]])</f>
        <v/>
      </c>
      <c r="AA206" s="93" t="str">
        <f>IF(Table1[//]="","",SUMIF(Table1[h_id],Table1[h_id],Table1[h_hargasetelahdiskon]))</f>
        <v/>
      </c>
      <c r="AB206" s="93"/>
      <c r="AC206" s="93" t="str">
        <f>Table1[[#This Row],[Item Description]]&amp;Table1[[#This Row],[Unit]]&amp;Table1[[#This Row],[Unit Price]]</f>
        <v/>
      </c>
    </row>
    <row r="207" spans="1:29" x14ac:dyDescent="0.25">
      <c r="A207" s="95" t="str">
        <f>IF(Table1[No. Invoice :]="","",ROW())</f>
        <v/>
      </c>
      <c r="B207" s="291" t="str">
        <f>IF(Table1[h_Kode Sales :_1]="","",B$1+COUNT(B$2:B206))</f>
        <v/>
      </c>
      <c r="D207" s="292"/>
      <c r="E207" s="293"/>
      <c r="F207" s="292"/>
      <c r="G207" s="95" t="str">
        <f>IF(Table1[[#This Row],[h_No. Invoice :]]="","",CONCATENATE("AM"," ",Table1[[#This Row],[h_No. Invoice :]]))</f>
        <v/>
      </c>
      <c r="H207" s="96" t="str">
        <f>CONCATENATE(UPPER(Table1[[#This Row],[h_Kode Sales :_1]])," ",Table1[[#This Row],[h_Kode Sales :_2]])</f>
        <v xml:space="preserve"> </v>
      </c>
      <c r="I207" s="95" t="str">
        <f>IF(Table1[[#This Row],[h_toko]]="","",INDEX(Table2[e],IF(Table1[[#This Row],[h_toko]]="","",MATCH(Table1[[#This Row],[h_toko]],Table2[a],0)),))</f>
        <v/>
      </c>
      <c r="M207" s="292"/>
      <c r="N207" s="291" t="str">
        <f>IF(Table1[[#This Row],[h_Item Description]]="","",INDEX([1]!db[NB PAJAK],MATCH(Table1[[#This Row],[h_Item Description]],[1]!db[kode],0)))</f>
        <v/>
      </c>
      <c r="P207" s="93"/>
      <c r="Q207" s="94"/>
      <c r="S207" s="294" t="str">
        <f>Table1[[#This Row],[h_hargasetelahdiskon]]</f>
        <v/>
      </c>
      <c r="V207" s="95" t="str">
        <f ca="1">IF(Table1[[#This Row],[Item Description]]="","",IF(Table1[[#This Row],[//]]="",INDIRECT(ADDRESS(ROW()-1,COLUMN())),Table1[[#This Row],[//]]))</f>
        <v/>
      </c>
      <c r="W207" s="95" t="str">
        <f ca="1">IF(Table1[[#This Row],[h_id]]="","",COUNTIF(Table1[h_id],Table1[[#This Row],[h_id]]))</f>
        <v/>
      </c>
      <c r="X207" s="93" t="str">
        <f>IF(Table1[Item Description]="","",Table1[[#This Row],[Qty]]*Table1[[#This Row],[Unit Price]])</f>
        <v/>
      </c>
      <c r="Y207" s="93" t="str">
        <f>IF(Table1[Item Description]="","",Table1[[#This Row],[h_hargasebelumdiskon]]*Table1[[#This Row],[Disc 1]])</f>
        <v/>
      </c>
      <c r="Z207" s="93" t="str">
        <f>IF(Table1[Item Description]="","",Table1[[#This Row],[h_hargasebelumdiskon]]-Table1[[#This Row],[h_diskon]])</f>
        <v/>
      </c>
      <c r="AA207" s="93" t="str">
        <f>IF(Table1[//]="","",SUMIF(Table1[h_id],Table1[h_id],Table1[h_hargasetelahdiskon]))</f>
        <v/>
      </c>
      <c r="AB207" s="93"/>
      <c r="AC207" s="93" t="str">
        <f>Table1[[#This Row],[Item Description]]&amp;Table1[[#This Row],[Unit]]&amp;Table1[[#This Row],[Unit Price]]</f>
        <v/>
      </c>
    </row>
    <row r="208" spans="1:29" x14ac:dyDescent="0.25">
      <c r="A208" s="95" t="str">
        <f>IF(Table1[No. Invoice :]="","",ROW())</f>
        <v/>
      </c>
      <c r="B208" s="291" t="str">
        <f>IF(Table1[h_Kode Sales :_1]="","",B$1+COUNT(B$2:B207))</f>
        <v/>
      </c>
      <c r="D208" s="292"/>
      <c r="E208" s="293"/>
      <c r="F208" s="292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M208" s="292"/>
      <c r="N208" s="291" t="str">
        <f>IF(Table1[[#This Row],[h_Item Description]]="","",INDEX([1]!db[NB PAJAK],MATCH(Table1[[#This Row],[h_Item Description]],[1]!db[kode],0)))</f>
        <v/>
      </c>
      <c r="P208" s="93"/>
      <c r="Q208" s="94"/>
      <c r="S208" s="294" t="str">
        <f>Table1[[#This Row],[h_hargasetelahdiskon]]</f>
        <v/>
      </c>
      <c r="V208" s="95" t="str">
        <f ca="1">IF(Table1[[#This Row],[Item Description]]="","",IF(Table1[[#This Row],[//]]="",INDIRECT(ADDRESS(ROW()-1,COLUMN())),Table1[[#This Row],[//]]))</f>
        <v/>
      </c>
      <c r="W208" s="95" t="str">
        <f ca="1"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IF(Table1[Item Description]="","",Table1[[#This Row],[h_hargasebelumdiskon]]*Table1[[#This Row],[Disc 1]])</f>
        <v/>
      </c>
      <c r="Z208" s="93" t="str">
        <f>IF(Table1[Item Description]="","",Table1[[#This Row],[h_hargasebelumdiskon]]-Table1[[#This Row],[h_diskon]])</f>
        <v/>
      </c>
      <c r="AA208" s="93" t="str">
        <f>IF(Table1[//]="","",SUMIF(Table1[h_id],Table1[h_id],Table1[h_hargasetelahdiskon]))</f>
        <v/>
      </c>
      <c r="AB208" s="93"/>
      <c r="AC208" s="93" t="str">
        <f>Table1[[#This Row],[Item Description]]&amp;Table1[[#This Row],[Unit]]&amp;Table1[[#This Row],[Unit Price]]</f>
        <v/>
      </c>
    </row>
    <row r="209" spans="1:29" x14ac:dyDescent="0.25">
      <c r="A209" s="95" t="str">
        <f>IF(Table1[No. Invoice :]="","",ROW())</f>
        <v/>
      </c>
      <c r="B209" s="291" t="str">
        <f>IF(Table1[h_Kode Sales :_1]="","",B$1+COUNT(B$2:B208))</f>
        <v/>
      </c>
      <c r="D209" s="292"/>
      <c r="E209" s="293"/>
      <c r="F209" s="292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2"/>
      <c r="N209" s="291" t="str">
        <f>IF(Table1[[#This Row],[h_Item Description]]="","",INDEX([1]!db[NB PAJAK],MATCH(Table1[[#This Row],[h_Item Description]],[1]!db[kode],0)))</f>
        <v/>
      </c>
      <c r="P209" s="93"/>
      <c r="Q209" s="94"/>
      <c r="S209" s="294" t="str">
        <f>Table1[[#This Row],[h_hargasetelahdiskon]]</f>
        <v/>
      </c>
      <c r="V209" s="95" t="str">
        <f ca="1">IF(Table1[[#This Row],[Item Description]]="","",IF(Table1[[#This Row],[//]]="",INDIRECT(ADDRESS(ROW()-1,COLUMN())),Table1[[#This Row],[//]]))</f>
        <v/>
      </c>
      <c r="W209" s="95" t="str">
        <f ca="1"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IF(Table1[Item Description]="","",Table1[[#This Row],[h_hargasebelumdiskon]]*Table1[[#This Row],[Disc 1]])</f>
        <v/>
      </c>
      <c r="Z209" s="93" t="str">
        <f>IF(Table1[Item Description]="","",Table1[[#This Row],[h_hargasebelumdiskon]]-Table1[[#This Row],[h_diskon]])</f>
        <v/>
      </c>
      <c r="AA209" s="93" t="str">
        <f>IF(Table1[//]="","",SUMIF(Table1[h_id],Table1[h_id],Table1[h_hargasetelahdiskon]))</f>
        <v/>
      </c>
      <c r="AB209" s="93"/>
      <c r="AC209" s="93" t="str">
        <f>Table1[[#This Row],[Item Description]]&amp;Table1[[#This Row],[Unit]]&amp;Table1[[#This Row],[Unit Price]]</f>
        <v/>
      </c>
    </row>
    <row r="210" spans="1:29" x14ac:dyDescent="0.25">
      <c r="A210" s="95" t="str">
        <f>IF(Table1[No. Invoice :]="","",ROW())</f>
        <v/>
      </c>
      <c r="B210" s="291" t="str">
        <f>IF(Table1[h_Kode Sales :_1]="","",B$1+COUNT(B$2:B209))</f>
        <v/>
      </c>
      <c r="D210" s="292"/>
      <c r="E210" s="293"/>
      <c r="F210" s="292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2"/>
      <c r="N210" s="291" t="str">
        <f>IF(Table1[[#This Row],[h_Item Description]]="","",INDEX([1]!db[NB PAJAK],MATCH(Table1[[#This Row],[h_Item Description]],[1]!db[kode],0)))</f>
        <v/>
      </c>
      <c r="P210" s="93"/>
      <c r="Q210" s="94"/>
      <c r="S210" s="294" t="str">
        <f>Table1[[#This Row],[h_hargasetelahdiskon]]</f>
        <v/>
      </c>
      <c r="V210" s="95" t="str">
        <f ca="1">IF(Table1[[#This Row],[Item Description]]="","",IF(Table1[[#This Row],[//]]="",INDIRECT(ADDRESS(ROW()-1,COLUMN())),Table1[[#This Row],[//]]))</f>
        <v/>
      </c>
      <c r="W210" s="95" t="str">
        <f ca="1"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IF(Table1[Item Description]="","",Table1[[#This Row],[h_hargasebelumdiskon]]*Table1[[#This Row],[Disc 1]])</f>
        <v/>
      </c>
      <c r="Z210" s="93" t="str">
        <f>IF(Table1[Item Description]="","",Table1[[#This Row],[h_hargasebelumdiskon]]-Table1[[#This Row],[h_diskon]])</f>
        <v/>
      </c>
      <c r="AA210" s="93" t="str">
        <f>IF(Table1[//]="","",SUMIF(Table1[h_id],Table1[h_id],Table1[h_hargasetelahdiskon]))</f>
        <v/>
      </c>
      <c r="AB210" s="93"/>
      <c r="AC210" s="93" t="str">
        <f>Table1[[#This Row],[Item Description]]&amp;Table1[[#This Row],[Unit]]&amp;Table1[[#This Row],[Unit Price]]</f>
        <v/>
      </c>
    </row>
    <row r="211" spans="1:29" x14ac:dyDescent="0.25">
      <c r="A211" s="95" t="str">
        <f>IF(Table1[No. Invoice :]="","",ROW())</f>
        <v/>
      </c>
      <c r="B211" s="291" t="str">
        <f>IF(Table1[h_Kode Sales :_1]="","",B$1+COUNT(B$2:B210))</f>
        <v/>
      </c>
      <c r="D211" s="292"/>
      <c r="E211" s="293"/>
      <c r="F211" s="292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2"/>
      <c r="N211" s="291" t="str">
        <f>IF(Table1[[#This Row],[h_Item Description]]="","",INDEX([1]!db[NB PAJAK],MATCH(Table1[[#This Row],[h_Item Description]],[1]!db[kode],0)))</f>
        <v/>
      </c>
      <c r="P211" s="93"/>
      <c r="Q211" s="94"/>
      <c r="S211" s="294" t="str">
        <f>Table1[[#This Row],[h_hargasetelahdiskon]]</f>
        <v/>
      </c>
      <c r="V211" s="95" t="str">
        <f ca="1">IF(Table1[[#This Row],[Item Description]]="","",IF(Table1[[#This Row],[//]]="",INDIRECT(ADDRESS(ROW()-1,COLUMN())),Table1[[#This Row],[//]]))</f>
        <v/>
      </c>
      <c r="W211" s="95" t="str">
        <f ca="1"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IF(Table1[Item Description]="","",Table1[[#This Row],[h_hargasebelumdiskon]]*Table1[[#This Row],[Disc 1]])</f>
        <v/>
      </c>
      <c r="Z211" s="93" t="str">
        <f>IF(Table1[Item Description]="","",Table1[[#This Row],[h_hargasebelumdiskon]]-Table1[[#This Row],[h_diskon]])</f>
        <v/>
      </c>
      <c r="AA211" s="93" t="str">
        <f>IF(Table1[//]="","",SUMIF(Table1[h_id],Table1[h_id],Table1[h_hargasetelahdiskon]))</f>
        <v/>
      </c>
      <c r="AB211" s="93"/>
      <c r="AC211" s="93" t="str">
        <f>Table1[[#This Row],[Item Description]]&amp;Table1[[#This Row],[Unit]]&amp;Table1[[#This Row],[Unit Price]]</f>
        <v/>
      </c>
    </row>
    <row r="212" spans="1:29" x14ac:dyDescent="0.25">
      <c r="A212" s="95" t="str">
        <f>IF(Table1[No. Invoice :]="","",ROW())</f>
        <v/>
      </c>
      <c r="B212" s="291" t="str">
        <f>IF(Table1[h_Kode Sales :_1]="","",B$1+COUNT(B$2:B211))</f>
        <v/>
      </c>
      <c r="D212" s="292"/>
      <c r="E212" s="293"/>
      <c r="F212" s="292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2"/>
      <c r="N212" s="291" t="str">
        <f>IF(Table1[[#This Row],[h_Item Description]]="","",INDEX([1]!db[NB PAJAK],MATCH(Table1[[#This Row],[h_Item Description]],[1]!db[kode],0)))</f>
        <v/>
      </c>
      <c r="P212" s="93"/>
      <c r="Q212" s="94"/>
      <c r="S212" s="294" t="str">
        <f>Table1[[#This Row],[h_hargasetelahdiskon]]</f>
        <v/>
      </c>
      <c r="V212" s="95" t="str">
        <f ca="1">IF(Table1[[#This Row],[Item Description]]="","",IF(Table1[[#This Row],[//]]="",INDIRECT(ADDRESS(ROW()-1,COLUMN())),Table1[[#This Row],[//]]))</f>
        <v/>
      </c>
      <c r="W212" s="95" t="str">
        <f ca="1"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IF(Table1[Item Description]="","",Table1[[#This Row],[h_hargasebelumdiskon]]*Table1[[#This Row],[Disc 1]])</f>
        <v/>
      </c>
      <c r="Z212" s="93" t="str">
        <f>IF(Table1[Item Description]="","",Table1[[#This Row],[h_hargasebelumdiskon]]-Table1[[#This Row],[h_diskon]])</f>
        <v/>
      </c>
      <c r="AA212" s="93" t="str">
        <f>IF(Table1[//]="","",SUMIF(Table1[h_id],Table1[h_id],Table1[h_hargasetelahdiskon]))</f>
        <v/>
      </c>
      <c r="AB212" s="93"/>
      <c r="AC212" s="93" t="str">
        <f>Table1[[#This Row],[Item Description]]&amp;Table1[[#This Row],[Unit]]&amp;Table1[[#This Row],[Unit Price]]</f>
        <v/>
      </c>
    </row>
    <row r="213" spans="1:29" x14ac:dyDescent="0.25">
      <c r="A213" s="95"/>
      <c r="B213" s="95"/>
      <c r="G213" s="95"/>
      <c r="H213" s="96"/>
      <c r="I213" s="95"/>
      <c r="N213" s="95"/>
      <c r="P213" s="93"/>
      <c r="Q213" s="94"/>
      <c r="S213" s="93"/>
      <c r="V213" s="95"/>
      <c r="W213" s="95"/>
      <c r="X213" s="93"/>
      <c r="AB213" s="93"/>
      <c r="AC213" s="93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56"/>
  <sheetViews>
    <sheetView tabSelected="1" topLeftCell="A7" zoomScaleNormal="100" workbookViewId="0">
      <selection activeCell="A25" sqref="A25"/>
    </sheetView>
  </sheetViews>
  <sheetFormatPr defaultRowHeight="15" x14ac:dyDescent="0.25"/>
  <cols>
    <col min="1" max="1" width="13.140625" bestFit="1" customWidth="1"/>
    <col min="2" max="2" width="13.140625" customWidth="1"/>
    <col min="4" max="4" width="5.42578125" customWidth="1"/>
    <col min="5" max="5" width="12.42578125" customWidth="1"/>
    <col min="6" max="6" width="10.7109375" style="90" customWidth="1"/>
    <col min="7" max="7" width="8" customWidth="1"/>
    <col min="8" max="8" width="50.85546875" customWidth="1"/>
    <col min="9" max="9" width="15.28515625" style="89" customWidth="1"/>
    <col min="10" max="10" width="14.2851562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6" width="8.140625" style="86" customWidth="1"/>
    <col min="18" max="19" width="11" customWidth="1"/>
    <col min="22" max="22" width="14.5703125" customWidth="1"/>
    <col min="23" max="23" width="15.28515625" bestFit="1" customWidth="1"/>
  </cols>
  <sheetData>
    <row r="1" spans="1:23" x14ac:dyDescent="0.25">
      <c r="D1" t="s">
        <v>56</v>
      </c>
      <c r="E1">
        <f>COUNT(Table1[//])</f>
        <v>36</v>
      </c>
    </row>
    <row r="2" spans="1:23" x14ac:dyDescent="0.25">
      <c r="A2" s="87" t="s">
        <v>54</v>
      </c>
      <c r="D2" t="s">
        <v>14</v>
      </c>
      <c r="E2" t="s">
        <v>1</v>
      </c>
      <c r="F2" s="90" t="s">
        <v>2</v>
      </c>
      <c r="G2" t="s">
        <v>3</v>
      </c>
      <c r="H2" t="s">
        <v>4</v>
      </c>
      <c r="I2" s="89" t="s">
        <v>51</v>
      </c>
      <c r="J2" s="89" t="s">
        <v>57</v>
      </c>
      <c r="K2" s="89" t="s">
        <v>50</v>
      </c>
      <c r="L2" s="89" t="s">
        <v>52</v>
      </c>
      <c r="M2" s="89" t="s">
        <v>53</v>
      </c>
      <c r="N2" s="86" t="s">
        <v>58</v>
      </c>
      <c r="O2" s="86" t="s">
        <v>59</v>
      </c>
      <c r="R2" t="s">
        <v>86</v>
      </c>
      <c r="S2" t="s">
        <v>87</v>
      </c>
      <c r="T2" t="s">
        <v>88</v>
      </c>
      <c r="V2" t="s">
        <v>26</v>
      </c>
      <c r="W2" s="89">
        <f ca="1">SUM(pajak[Total Invoice])</f>
        <v>387024998</v>
      </c>
    </row>
    <row r="3" spans="1:23" x14ac:dyDescent="0.25">
      <c r="A3" s="88">
        <v>3</v>
      </c>
      <c r="D3">
        <f t="shared" ref="D3:D14" si="0">IF(ROW()-2&lt;=jNota,A3,"")</f>
        <v>3</v>
      </c>
      <c r="E3" t="str">
        <f>IF(pajak[[#This Row],[//]]="","",INDEX(Table1[No. Invoice :],pajak[//]-offset))</f>
        <v>AM 23020001</v>
      </c>
      <c r="F3" s="90">
        <f>IF(pajak[[#This Row],[//]]="","",INDEX(Table1[Tgl Invoice :],pajak[//]-offset))</f>
        <v>44959</v>
      </c>
      <c r="G3" t="str">
        <f>IF(pajak[[#This Row],[//]]="","",INDEX(Table1[Kode Sales :],pajak[//]-offset))</f>
        <v>KO 0855</v>
      </c>
      <c r="H3" t="str">
        <f>IF(pajak[[#This Row],[//]]="","",INDEX(Table1[Toko],pajak[//]-offset))</f>
        <v>CV TRINITY CENTRAAL PURWOKERTO</v>
      </c>
      <c r="I3" s="89">
        <f ca="1">IF(pajak[[#This Row],[//]]="","",SUMIF(Table1[h_id],pajak[[#This Row],[//]],Table1[h_hargasebelumdiskon]))</f>
        <v>1987200</v>
      </c>
      <c r="J3" s="89">
        <f ca="1">IF(pajak[[#This Row],[//]]="","",SUMIF(Table1[h_id],pajak[[#This Row],[//]],Table1[h_diskon]))</f>
        <v>258336</v>
      </c>
      <c r="K3" s="89">
        <f ca="1">IF(pajak[[#This Row],[//]]="","",SUMIF(Table1[h_id],pajak[[#This Row],[//]],Table1[h_hargasetelahdiskon]))</f>
        <v>1728864</v>
      </c>
      <c r="L3" s="89">
        <f ca="1">IF(pajak[//]="","",pajak[[#This Row],[Sub Total]]/1.11*11%)</f>
        <v>171328.86486486485</v>
      </c>
      <c r="M3" s="89">
        <f ca="1">pajak[[#This Row],[Sub Total]]</f>
        <v>1728864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R3">
        <f>IF(pajak[[#This Row],[Kode Sales :]]="","",MATCH(pajak[[#This Row],[Kode Sales :]],[2]Invoice!$D:$D,0))</f>
        <v>6</v>
      </c>
      <c r="S3">
        <f>Table4[[#This Row],[cek_ppn]]+28</f>
        <v>34</v>
      </c>
      <c r="T3" s="86" t="str">
        <f ca="1">IF(INDEX([2]Invoice!$K:$K,Table4[[#This Row],[cek_rekap(share)]])=pajak[[#This Row],[Total Invoice]],"-",FALSE)</f>
        <v>-</v>
      </c>
      <c r="V3" t="s">
        <v>25</v>
      </c>
      <c r="W3" s="89">
        <f ca="1">SUM(pajak[PPN 11%])</f>
        <v>38353828.63063062</v>
      </c>
    </row>
    <row r="4" spans="1:23" x14ac:dyDescent="0.25">
      <c r="A4" s="88">
        <v>6</v>
      </c>
      <c r="D4">
        <f t="shared" si="0"/>
        <v>6</v>
      </c>
      <c r="E4" t="str">
        <f>IF(pajak[[#This Row],[//]]="","",INDEX(Table1[No. Invoice :],pajak[//]-offset))</f>
        <v>AM 23020002</v>
      </c>
      <c r="F4" s="90">
        <f>IF(pajak[[#This Row],[//]]="","",INDEX(Table1[Tgl Invoice :],pajak[//]-offset))</f>
        <v>44960</v>
      </c>
      <c r="G4" t="str">
        <f>IF(pajak[[#This Row],[//]]="","",INDEX(Table1[Kode Sales :],pajak[//]-offset))</f>
        <v>KO 0832</v>
      </c>
      <c r="H4" t="str">
        <f>IF(pajak[[#This Row],[//]]="","",INDEX(Table1[Toko],pajak[//]-offset))</f>
        <v>HARNOYO (BENDAN) PEKALONGAN</v>
      </c>
      <c r="I4" s="89">
        <f ca="1">IF(pajak[[#This Row],[//]]="","",SUMIF(Table1[h_id],pajak[[#This Row],[//]],Table1[h_hargasebelumdiskon]))</f>
        <v>3900000</v>
      </c>
      <c r="J4" s="89">
        <f ca="1">IF(pajak[[#This Row],[//]]="","",SUMIF(Table1[h_id],pajak[[#This Row],[//]],Table1[h_diskon]))</f>
        <v>546000.00000000012</v>
      </c>
      <c r="K4" s="89">
        <f ca="1">IF(pajak[[#This Row],[//]]="","",SUMIF(Table1[h_id],pajak[[#This Row],[//]],Table1[h_hargasetelahdiskon]))</f>
        <v>3354000</v>
      </c>
      <c r="L4" s="89">
        <f ca="1">IF(pajak[//]="","",pajak[[#This Row],[Sub Total]]/1.11*11%)</f>
        <v>332378.37837837834</v>
      </c>
      <c r="M4" s="89">
        <f ca="1">pajak[[#This Row],[Sub Total]]</f>
        <v>3354000</v>
      </c>
      <c r="N4" s="86" t="str">
        <f>IF(pajak[[#This Row],[//]]="","",INDEX(Table1[pembuat nota :],pajak[//]-offset))</f>
        <v>NOVI / YO</v>
      </c>
      <c r="O4" s="86" t="str">
        <f>IF(pajak[[#This Row],[//]]="","",IF(INDEX(Table1[edited :],pajak[//]-offset)="","",INDEX(Table1[edited :],pajak[//]-offset)))</f>
        <v/>
      </c>
      <c r="R4">
        <f>IF(pajak[[#This Row],[Kode Sales :]]="","",MATCH(pajak[[#This Row],[Kode Sales :]],[2]Invoice!$D:$D,0))</f>
        <v>120</v>
      </c>
      <c r="S4">
        <f>Table4[[#This Row],[cek_ppn]]+28</f>
        <v>148</v>
      </c>
      <c r="T4" s="86" t="str">
        <f ca="1">IF(INDEX([2]Invoice!$K:$K,Table4[[#This Row],[cek_rekap(share)]])=pajak[[#This Row],[Total Invoice]],"-",FALSE)</f>
        <v>-</v>
      </c>
      <c r="W4" s="89">
        <f ca="1">(W2/1.11)*11%</f>
        <v>38353828.630630627</v>
      </c>
    </row>
    <row r="5" spans="1:23" x14ac:dyDescent="0.25">
      <c r="A5" s="88">
        <v>9</v>
      </c>
      <c r="D5">
        <f t="shared" si="0"/>
        <v>9</v>
      </c>
      <c r="E5" t="str">
        <f>IF(pajak[[#This Row],[//]]="","",INDEX(Table1[No. Invoice :],pajak[//]-offset))</f>
        <v>AM 23020003</v>
      </c>
      <c r="F5" s="90">
        <f>IF(pajak[[#This Row],[//]]="","",INDEX(Table1[Tgl Invoice :],pajak[//]-offset))</f>
        <v>44960</v>
      </c>
      <c r="G5" t="str">
        <f>IF(pajak[[#This Row],[//]]="","",INDEX(Table1[Kode Sales :],pajak[//]-offset))</f>
        <v>KO 0834</v>
      </c>
      <c r="H5" t="str">
        <f>IF(pajak[[#This Row],[//]]="","",INDEX(Table1[Toko],pajak[//]-offset))</f>
        <v>CV PELITA JAYA (ANUGERAH SEJAHTERA) PURWOKERTO</v>
      </c>
      <c r="I5" s="89">
        <f ca="1">IF(pajak[[#This Row],[//]]="","",SUMIF(Table1[h_id],pajak[[#This Row],[//]],Table1[h_hargasebelumdiskon]))</f>
        <v>34632000</v>
      </c>
      <c r="J5" s="89">
        <f ca="1">IF(pajak[[#This Row],[//]]="","",SUMIF(Table1[h_id],pajak[[#This Row],[//]],Table1[h_diskon]))</f>
        <v>4675320</v>
      </c>
      <c r="K5" s="89">
        <f ca="1">IF(pajak[[#This Row],[//]]="","",SUMIF(Table1[h_id],pajak[[#This Row],[//]],Table1[h_hargasetelahdiskon]))</f>
        <v>29956680</v>
      </c>
      <c r="L5" s="89">
        <f ca="1">IF(pajak[//]="","",pajak[[#This Row],[Sub Total]]/1.11*11%)</f>
        <v>2968679.9999999995</v>
      </c>
      <c r="M5" s="89">
        <f ca="1">pajak[[#This Row],[Sub Total]]</f>
        <v>29956680</v>
      </c>
      <c r="N5" s="86" t="str">
        <f>IF(pajak[[#This Row],[//]]="","",INDEX(Table1[pembuat nota :],pajak[//]-offset))</f>
        <v>NOVI / YO</v>
      </c>
      <c r="O5" s="86" t="str">
        <f>IF(pajak[[#This Row],[//]]="","",IF(INDEX(Table1[edited :],pajak[//]-offset)="","",INDEX(Table1[edited :],pajak[//]-offset)))</f>
        <v/>
      </c>
      <c r="R5">
        <f>IF(pajak[[#This Row],[Kode Sales :]]="","",MATCH(pajak[[#This Row],[Kode Sales :]],[2]Invoice!$D:$D,0))</f>
        <v>234</v>
      </c>
      <c r="S5">
        <f>Table4[[#This Row],[cek_ppn]]+28</f>
        <v>262</v>
      </c>
      <c r="T5" s="86" t="str">
        <f ca="1">IF(INDEX([2]Invoice!$K:$K,Table4[[#This Row],[cek_rekap(share)]])=pajak[[#This Row],[Total Invoice]],"-",FALSE)</f>
        <v>-</v>
      </c>
    </row>
    <row r="6" spans="1:23" x14ac:dyDescent="0.25">
      <c r="A6" s="88">
        <v>15</v>
      </c>
      <c r="D6">
        <f t="shared" si="0"/>
        <v>15</v>
      </c>
      <c r="E6" t="str">
        <f>IF(pajak[[#This Row],[//]]="","",INDEX(Table1[No. Invoice :],pajak[//]-offset))</f>
        <v>AM 23020004</v>
      </c>
      <c r="F6" s="90">
        <f>IF(pajak[[#This Row],[//]]="","",INDEX(Table1[Tgl Invoice :],pajak[//]-offset))</f>
        <v>44961</v>
      </c>
      <c r="G6" t="str">
        <f>IF(pajak[[#This Row],[//]]="","",INDEX(Table1[Kode Sales :],pajak[//]-offset))</f>
        <v>KO 0862</v>
      </c>
      <c r="H6" t="str">
        <f>IF(pajak[[#This Row],[//]]="","",INDEX(Table1[Toko],pajak[//]-offset))</f>
        <v>CV TRINITY CENTRAAL PURWOKERTO</v>
      </c>
      <c r="I6" s="89">
        <f ca="1">IF(pajak[[#This Row],[//]]="","",SUMIF(Table1[h_id],pajak[[#This Row],[//]],Table1[h_hargasebelumdiskon]))</f>
        <v>17448400</v>
      </c>
      <c r="J6" s="89">
        <f ca="1">IF(pajak[[#This Row],[//]]="","",SUMIF(Table1[h_id],pajak[[#This Row],[//]],Table1[h_diskon]))</f>
        <v>2268292</v>
      </c>
      <c r="K6" s="89">
        <f ca="1">IF(pajak[[#This Row],[//]]="","",SUMIF(Table1[h_id],pajak[[#This Row],[//]],Table1[h_hargasetelahdiskon]))</f>
        <v>15180108</v>
      </c>
      <c r="L6" s="89">
        <f ca="1">IF(pajak[//]="","",pajak[[#This Row],[Sub Total]]/1.11*11%)</f>
        <v>1504335.027027027</v>
      </c>
      <c r="M6" s="89">
        <f ca="1">pajak[[#This Row],[Sub Total]]</f>
        <v>15180108</v>
      </c>
      <c r="N6" s="86" t="str">
        <f>IF(pajak[[#This Row],[//]]="","",INDEX(Table1[pembuat nota :],pajak[//]-offset))</f>
        <v>NOVI / CONDRO</v>
      </c>
      <c r="O6" s="86" t="str">
        <f>IF(pajak[[#This Row],[//]]="","",IF(INDEX(Table1[edited :],pajak[//]-offset)="","",INDEX(Table1[edited :],pajak[//]-offset)))</f>
        <v/>
      </c>
      <c r="R6">
        <f>IF(pajak[[#This Row],[Kode Sales :]]="","",MATCH(pajak[[#This Row],[Kode Sales :]],[2]Invoice!$D:$D,0))</f>
        <v>348</v>
      </c>
      <c r="S6">
        <f>Table4[[#This Row],[cek_ppn]]+28</f>
        <v>376</v>
      </c>
      <c r="T6" s="86" t="str">
        <f ca="1">IF(INDEX([2]Invoice!$K:$K,Table4[[#This Row],[cek_rekap(share)]])=pajak[[#This Row],[Total Invoice]],"-",FALSE)</f>
        <v>-</v>
      </c>
    </row>
    <row r="7" spans="1:23" x14ac:dyDescent="0.25">
      <c r="A7" s="88">
        <v>23</v>
      </c>
      <c r="D7">
        <f t="shared" si="0"/>
        <v>23</v>
      </c>
      <c r="E7" t="str">
        <f>IF(pajak[[#This Row],[//]]="","",INDEX(Table1[No. Invoice :],pajak[//]-offset))</f>
        <v>AM 23020005</v>
      </c>
      <c r="F7" s="90">
        <f>IF(pajak[[#This Row],[//]]="","",INDEX(Table1[Tgl Invoice :],pajak[//]-offset))</f>
        <v>44961</v>
      </c>
      <c r="G7" t="str">
        <f>IF(pajak[[#This Row],[//]]="","",INDEX(Table1[Kode Sales :],pajak[//]-offset))</f>
        <v>KO 0863</v>
      </c>
      <c r="H7" t="str">
        <f>IF(pajak[[#This Row],[//]]="","",INDEX(Table1[Toko],pajak[//]-offset))</f>
        <v>CV PELITA JAYA (ANUGERAH SEJAHTERA) PURWOKERTO</v>
      </c>
      <c r="I7" s="89">
        <f ca="1">IF(pajak[[#This Row],[//]]="","",SUMIF(Table1[h_id],pajak[[#This Row],[//]],Table1[h_hargasebelumdiskon]))</f>
        <v>6350400</v>
      </c>
      <c r="J7" s="89">
        <f ca="1">IF(pajak[[#This Row],[//]]="","",SUMIF(Table1[h_id],pajak[[#This Row],[//]],Table1[h_diskon]))</f>
        <v>857304</v>
      </c>
      <c r="K7" s="89">
        <f ca="1">IF(pajak[[#This Row],[//]]="","",SUMIF(Table1[h_id],pajak[[#This Row],[//]],Table1[h_hargasetelahdiskon]))</f>
        <v>5493096</v>
      </c>
      <c r="L7" s="89">
        <f ca="1">IF(pajak[//]="","",pajak[[#This Row],[Sub Total]]/1.11*11%)</f>
        <v>544360.86486486485</v>
      </c>
      <c r="M7" s="89">
        <f ca="1">pajak[[#This Row],[Sub Total]]</f>
        <v>5493096</v>
      </c>
      <c r="N7" s="86" t="str">
        <f>IF(pajak[[#This Row],[//]]="","",INDEX(Table1[pembuat nota :],pajak[//]-offset))</f>
        <v>NOVI / CONDRO</v>
      </c>
      <c r="O7" s="86" t="str">
        <f>IF(pajak[[#This Row],[//]]="","",IF(INDEX(Table1[edited :],pajak[//]-offset)="","",INDEX(Table1[edited :],pajak[//]-offset)))</f>
        <v/>
      </c>
      <c r="R7">
        <f>IF(pajak[[#This Row],[Kode Sales :]]="","",MATCH(pajak[[#This Row],[Kode Sales :]],[2]Invoice!$D:$D,0))</f>
        <v>462</v>
      </c>
      <c r="S7">
        <f>Table4[[#This Row],[cek_ppn]]+28</f>
        <v>490</v>
      </c>
      <c r="T7" s="86" t="str">
        <f ca="1">IF(INDEX([2]Invoice!$K:$K,Table4[[#This Row],[cek_rekap(share)]])=pajak[[#This Row],[Total Invoice]],"-",FALSE)</f>
        <v>-</v>
      </c>
    </row>
    <row r="8" spans="1:23" x14ac:dyDescent="0.25">
      <c r="A8" s="88">
        <v>26</v>
      </c>
      <c r="D8">
        <f t="shared" si="0"/>
        <v>26</v>
      </c>
      <c r="E8" t="str">
        <f>IF(pajak[[#This Row],[//]]="","",INDEX(Table1[No. Invoice :],pajak[//]-offset))</f>
        <v>AM 23020006</v>
      </c>
      <c r="F8" s="90">
        <f>IF(pajak[[#This Row],[//]]="","",INDEX(Table1[Tgl Invoice :],pajak[//]-offset))</f>
        <v>44963</v>
      </c>
      <c r="G8" t="str">
        <f>IF(pajak[[#This Row],[//]]="","",INDEX(Table1[Kode Sales :],pajak[//]-offset))</f>
        <v>G 0793</v>
      </c>
      <c r="H8" t="str">
        <f>IF(pajak[[#This Row],[//]]="","",INDEX(Table1[Toko],pajak[//]-offset))</f>
        <v>LILY JULIAWATI (REJO AGUNG) JOMBANG</v>
      </c>
      <c r="I8" s="89">
        <f ca="1">IF(pajak[[#This Row],[//]]="","",SUMIF(Table1[h_id],pajak[[#This Row],[//]],Table1[h_hargasebelumdiskon]))</f>
        <v>11246400</v>
      </c>
      <c r="J8" s="89">
        <f ca="1">IF(pajak[[#This Row],[//]]="","",SUMIF(Table1[h_id],pajak[[#This Row],[//]],Table1[h_diskon]))</f>
        <v>1405800</v>
      </c>
      <c r="K8" s="89">
        <f ca="1">IF(pajak[[#This Row],[//]]="","",SUMIF(Table1[h_id],pajak[[#This Row],[//]],Table1[h_hargasetelahdiskon]))</f>
        <v>9840600</v>
      </c>
      <c r="L8" s="89">
        <f ca="1">IF(pajak[//]="","",pajak[[#This Row],[Sub Total]]/1.11*11%)</f>
        <v>975194.59459459444</v>
      </c>
      <c r="M8" s="89">
        <f ca="1">pajak[[#This Row],[Sub Total]]</f>
        <v>9840600</v>
      </c>
      <c r="N8" s="86" t="str">
        <f>IF(pajak[[#This Row],[//]]="","",INDEX(Table1[pembuat nota :],pajak[//]-offset))</f>
        <v>NOVI / CONDRO</v>
      </c>
      <c r="O8" s="86" t="str">
        <f>IF(pajak[[#This Row],[//]]="","",IF(INDEX(Table1[edited :],pajak[//]-offset)="","",INDEX(Table1[edited :],pajak[//]-offset)))</f>
        <v/>
      </c>
      <c r="R8">
        <f>IF(pajak[[#This Row],[Kode Sales :]]="","",MATCH(pajak[[#This Row],[Kode Sales :]],[2]Invoice!$D:$D,0))</f>
        <v>576</v>
      </c>
      <c r="S8">
        <f>Table4[[#This Row],[cek_ppn]]+28</f>
        <v>604</v>
      </c>
      <c r="T8" s="86" t="str">
        <f ca="1">IF(INDEX([2]Invoice!$K:$K,Table4[[#This Row],[cek_rekap(share)]])=pajak[[#This Row],[Total Invoice]],"-",FALSE)</f>
        <v>-</v>
      </c>
    </row>
    <row r="9" spans="1:23" x14ac:dyDescent="0.25">
      <c r="A9" s="88">
        <v>32</v>
      </c>
      <c r="D9">
        <f t="shared" si="0"/>
        <v>32</v>
      </c>
      <c r="E9" t="str">
        <f>IF(pajak[[#This Row],[//]]="","",INDEX(Table1[No. Invoice :],pajak[//]-offset))</f>
        <v>AM 23020007</v>
      </c>
      <c r="F9" s="90">
        <f>IF(pajak[[#This Row],[//]]="","",INDEX(Table1[Tgl Invoice :],pajak[//]-offset))</f>
        <v>44961</v>
      </c>
      <c r="G9" t="str">
        <f>IF(pajak[[#This Row],[//]]="","",INDEX(Table1[Kode Sales :],pajak[//]-offset))</f>
        <v>KO 2887</v>
      </c>
      <c r="H9" t="str">
        <f>IF(pajak[[#This Row],[//]]="","",INDEX(Table1[Toko],pajak[//]-offset))</f>
        <v>CV RAINBOW NUSANTARA SIDOARJO</v>
      </c>
      <c r="I9" s="89">
        <f ca="1">IF(pajak[[#This Row],[//]]="","",SUMIF(Table1[h_id],pajak[[#This Row],[//]],Table1[h_hargasebelumdiskon]))</f>
        <v>4095200</v>
      </c>
      <c r="J9" s="89">
        <f ca="1">IF(pajak[[#This Row],[//]]="","",SUMIF(Table1[h_id],pajak[[#This Row],[//]],Table1[h_diskon]))</f>
        <v>593804</v>
      </c>
      <c r="K9" s="89">
        <f ca="1">IF(pajak[[#This Row],[//]]="","",SUMIF(Table1[h_id],pajak[[#This Row],[//]],Table1[h_hargasetelahdiskon]))</f>
        <v>3501396</v>
      </c>
      <c r="L9" s="89">
        <f ca="1">IF(pajak[//]="","",pajak[[#This Row],[Sub Total]]/1.11*11%)</f>
        <v>346985.18918918917</v>
      </c>
      <c r="M9" s="89">
        <f ca="1">pajak[[#This Row],[Sub Total]]</f>
        <v>3501396</v>
      </c>
      <c r="N9" s="86" t="str">
        <f>IF(pajak[[#This Row],[//]]="","",INDEX(Table1[pembuat nota :],pajak[//]-offset))</f>
        <v>NOVI / CONDRO</v>
      </c>
      <c r="O9" s="86" t="str">
        <f>IF(pajak[[#This Row],[//]]="","",IF(INDEX(Table1[edited :],pajak[//]-offset)="","",INDEX(Table1[edited :],pajak[//]-offset)))</f>
        <v/>
      </c>
      <c r="R9">
        <f>IF(pajak[[#This Row],[Kode Sales :]]="","",MATCH(pajak[[#This Row],[Kode Sales :]],[2]Invoice!$D:$D,0))</f>
        <v>690</v>
      </c>
      <c r="S9">
        <f>Table4[[#This Row],[cek_ppn]]+28</f>
        <v>718</v>
      </c>
      <c r="T9" s="86" t="str">
        <f ca="1">IF(INDEX([2]Invoice!$K:$K,Table4[[#This Row],[cek_rekap(share)]])=pajak[[#This Row],[Total Invoice]],"-",FALSE)</f>
        <v>-</v>
      </c>
    </row>
    <row r="10" spans="1:23" x14ac:dyDescent="0.25">
      <c r="A10" s="88">
        <v>41</v>
      </c>
      <c r="D10">
        <f t="shared" si="0"/>
        <v>41</v>
      </c>
      <c r="E10" t="str">
        <f>IF(pajak[[#This Row],[//]]="","",INDEX(Table1[No. Invoice :],pajak[//]-offset))</f>
        <v>AM 23020008</v>
      </c>
      <c r="F10" s="90">
        <f>IF(pajak[[#This Row],[//]]="","",INDEX(Table1[Tgl Invoice :],pajak[//]-offset))</f>
        <v>44963</v>
      </c>
      <c r="G10" t="str">
        <f>IF(pajak[[#This Row],[//]]="","",INDEX(Table1[Kode Sales :],pajak[//]-offset))</f>
        <v>KO 0841</v>
      </c>
      <c r="H10" t="str">
        <f>IF(pajak[[#This Row],[//]]="","",INDEX(Table1[Toko],pajak[//]-offset))</f>
        <v>CV  WISUDA PURWOKERTO</v>
      </c>
      <c r="I10" s="89">
        <f ca="1">IF(pajak[[#This Row],[//]]="","",SUMIF(Table1[h_id],pajak[[#This Row],[//]],Table1[h_hargasebelumdiskon]))</f>
        <v>3532000</v>
      </c>
      <c r="J10" s="89">
        <f ca="1">IF(pajak[[#This Row],[//]]="","",SUMIF(Table1[h_id],pajak[[#This Row],[//]],Table1[h_diskon]))</f>
        <v>353200</v>
      </c>
      <c r="K10" s="89">
        <f ca="1">IF(pajak[[#This Row],[//]]="","",SUMIF(Table1[h_id],pajak[[#This Row],[//]],Table1[h_hargasetelahdiskon]))</f>
        <v>3178800</v>
      </c>
      <c r="L10" s="89">
        <f ca="1">IF(pajak[//]="","",pajak[[#This Row],[Sub Total]]/1.11*11%)</f>
        <v>315016.21621621621</v>
      </c>
      <c r="M10" s="89">
        <f ca="1">pajak[[#This Row],[Sub Total]]</f>
        <v>3178800</v>
      </c>
      <c r="N10" s="86" t="str">
        <f>IF(pajak[[#This Row],[//]]="","",INDEX(Table1[pembuat nota :],pajak[//]-offset))</f>
        <v>RISMA / CONDRO</v>
      </c>
      <c r="O10" s="86" t="str">
        <f>IF(pajak[[#This Row],[//]]="","",IF(INDEX(Table1[edited :],pajak[//]-offset)="","",INDEX(Table1[edited :],pajak[//]-offset)))</f>
        <v/>
      </c>
      <c r="R10">
        <f>IF(pajak[[#This Row],[Kode Sales :]]="","",MATCH(pajak[[#This Row],[Kode Sales :]],[2]Invoice!$D:$D,0))</f>
        <v>804</v>
      </c>
      <c r="S10">
        <f>Table4[[#This Row],[cek_ppn]]+28</f>
        <v>832</v>
      </c>
      <c r="T10" s="86" t="str">
        <f ca="1">IF(INDEX([2]Invoice!$K:$K,Table4[[#This Row],[cek_rekap(share)]])=pajak[[#This Row],[Total Invoice]],"-",FALSE)</f>
        <v>-</v>
      </c>
    </row>
    <row r="11" spans="1:23" x14ac:dyDescent="0.25">
      <c r="A11" s="88">
        <v>48</v>
      </c>
      <c r="D11">
        <f t="shared" si="0"/>
        <v>48</v>
      </c>
      <c r="E11" t="str">
        <f>IF(pajak[[#This Row],[//]]="","",INDEX(Table1[No. Invoice :],pajak[//]-offset))</f>
        <v>AM 23020009</v>
      </c>
      <c r="F11" s="90">
        <f>IF(pajak[[#This Row],[//]]="","",INDEX(Table1[Tgl Invoice :],pajak[//]-offset))</f>
        <v>44963</v>
      </c>
      <c r="G11" t="str">
        <f>IF(pajak[[#This Row],[//]]="","",INDEX(Table1[Kode Sales :],pajak[//]-offset))</f>
        <v>KO 0843</v>
      </c>
      <c r="H11" t="str">
        <f>IF(pajak[[#This Row],[//]]="","",INDEX(Table1[Toko],pajak[//]-offset))</f>
        <v>CV TRINITY CENTRAAL PURWOKERTO</v>
      </c>
      <c r="I11" s="89">
        <f ca="1">IF(pajak[[#This Row],[//]]="","",SUMIF(Table1[h_id],pajak[[#This Row],[//]],Table1[h_hargasebelumdiskon]))</f>
        <v>5616000</v>
      </c>
      <c r="J11" s="89">
        <f ca="1">IF(pajak[[#This Row],[//]]="","",SUMIF(Table1[h_id],pajak[[#This Row],[//]],Table1[h_diskon]))</f>
        <v>730080</v>
      </c>
      <c r="K11" s="89">
        <f ca="1">IF(pajak[[#This Row],[//]]="","",SUMIF(Table1[h_id],pajak[[#This Row],[//]],Table1[h_hargasetelahdiskon]))</f>
        <v>4885920</v>
      </c>
      <c r="L11" s="89">
        <f ca="1">IF(pajak[//]="","",pajak[[#This Row],[Sub Total]]/1.11*11%)</f>
        <v>484190.2702702703</v>
      </c>
      <c r="M11" s="89">
        <f ca="1">pajak[[#This Row],[Sub Total]]</f>
        <v>4885920</v>
      </c>
      <c r="N11" s="86" t="str">
        <f>IF(pajak[[#This Row],[//]]="","",INDEX(Table1[pembuat nota :],pajak[//]-offset))</f>
        <v>NOVI / CONDRO</v>
      </c>
      <c r="O11" s="86" t="str">
        <f>IF(pajak[[#This Row],[//]]="","",IF(INDEX(Table1[edited :],pajak[//]-offset)="","",INDEX(Table1[edited :],pajak[//]-offset)))</f>
        <v/>
      </c>
      <c r="R11">
        <f>IF(pajak[[#This Row],[Kode Sales :]]="","",MATCH(pajak[[#This Row],[Kode Sales :]],[2]Invoice!$D:$D,0))</f>
        <v>918</v>
      </c>
      <c r="S11">
        <f>Table4[[#This Row],[cek_ppn]]+28</f>
        <v>946</v>
      </c>
      <c r="T11" s="86" t="str">
        <f ca="1">IF(INDEX([2]Invoice!$K:$K,Table4[[#This Row],[cek_rekap(share)]])=pajak[[#This Row],[Total Invoice]],"-",FALSE)</f>
        <v>-</v>
      </c>
    </row>
    <row r="12" spans="1:23" x14ac:dyDescent="0.25">
      <c r="A12" s="88">
        <v>50</v>
      </c>
      <c r="D12" s="86">
        <f t="shared" si="0"/>
        <v>50</v>
      </c>
      <c r="E12" s="86" t="str">
        <f>IF(pajak[[#This Row],[//]]="","",INDEX(Table1[No. Invoice :],pajak[//]-offset))</f>
        <v>AM 23020010</v>
      </c>
      <c r="F12" s="90">
        <f>IF(pajak[[#This Row],[//]]="","",INDEX(Table1[Tgl Invoice :],pajak[//]-offset))</f>
        <v>44963</v>
      </c>
      <c r="G12" s="86" t="str">
        <f>IF(pajak[[#This Row],[//]]="","",INDEX(Table1[Kode Sales :],pajak[//]-offset))</f>
        <v>KO 0844</v>
      </c>
      <c r="H12" s="86" t="str">
        <f>IF(pajak[[#This Row],[//]]="","",INDEX(Table1[Toko],pajak[//]-offset))</f>
        <v>SANTOSO BUDIONO (  ARMADA  ) PURWOKERTO</v>
      </c>
      <c r="I12" s="89">
        <f ca="1">IF(pajak[[#This Row],[//]]="","",SUMIF(Table1[h_id],pajak[[#This Row],[//]],Table1[h_hargasebelumdiskon]))</f>
        <v>5616000</v>
      </c>
      <c r="J12" s="89">
        <f ca="1">IF(pajak[[#This Row],[//]]="","",SUMIF(Table1[h_id],pajak[[#This Row],[//]],Table1[h_diskon]))</f>
        <v>758160</v>
      </c>
      <c r="K12" s="89">
        <f ca="1">IF(pajak[[#This Row],[//]]="","",SUMIF(Table1[h_id],pajak[[#This Row],[//]],Table1[h_hargasetelahdiskon]))</f>
        <v>4857840</v>
      </c>
      <c r="L12" s="89">
        <f ca="1">IF(pajak[//]="","",pajak[[#This Row],[Sub Total]]/1.11*11%)</f>
        <v>481407.56756756752</v>
      </c>
      <c r="M12" s="89">
        <f ca="1">pajak[[#This Row],[Sub Total]]</f>
        <v>4857840</v>
      </c>
      <c r="N12" s="86" t="str">
        <f>IF(pajak[[#This Row],[//]]="","",INDEX(Table1[pembuat nota :],pajak[//]-offset))</f>
        <v>NOVI / CONDRO</v>
      </c>
      <c r="O12" s="86" t="str">
        <f>IF(pajak[[#This Row],[//]]="","",IF(INDEX(Table1[edited :],pajak[//]-offset)="","",INDEX(Table1[edited :],pajak[//]-offset)))</f>
        <v/>
      </c>
      <c r="R12">
        <f>IF(pajak[[#This Row],[Kode Sales :]]="","",MATCH(pajak[[#This Row],[Kode Sales :]],[2]Invoice!$D:$D,0))</f>
        <v>1032</v>
      </c>
      <c r="S12">
        <f>Table4[[#This Row],[cek_ppn]]+28</f>
        <v>1060</v>
      </c>
      <c r="T12" s="86" t="str">
        <f ca="1">IF(INDEX([2]Invoice!$K:$K,Table4[[#This Row],[cek_rekap(share)]])=pajak[[#This Row],[Total Invoice]],"-",FALSE)</f>
        <v>-</v>
      </c>
    </row>
    <row r="13" spans="1:23" x14ac:dyDescent="0.25">
      <c r="A13" s="88">
        <v>52</v>
      </c>
      <c r="D13" s="86">
        <f t="shared" si="0"/>
        <v>52</v>
      </c>
      <c r="E13" s="86" t="str">
        <f>IF(pajak[[#This Row],[//]]="","",INDEX(Table1[No. Invoice :],pajak[//]-offset))</f>
        <v>AM 23020011</v>
      </c>
      <c r="F13" s="90">
        <f>IF(pajak[[#This Row],[//]]="","",INDEX(Table1[Tgl Invoice :],pajak[//]-offset))</f>
        <v>44963</v>
      </c>
      <c r="G13" s="86" t="str">
        <f>IF(pajak[[#This Row],[//]]="","",INDEX(Table1[Kode Sales :],pajak[//]-offset))</f>
        <v>KO 0847</v>
      </c>
      <c r="H13" s="86" t="str">
        <f>IF(pajak[[#This Row],[//]]="","",INDEX(Table1[Toko],pajak[//]-offset))</f>
        <v>CV PELITA JAYA (ANUGERAH SEJAHTERA) PURWOKERTO</v>
      </c>
      <c r="I13" s="89">
        <f ca="1">IF(pajak[[#This Row],[//]]="","",SUMIF(Table1[h_id],pajak[[#This Row],[//]],Table1[h_hargasebelumdiskon]))</f>
        <v>28080000</v>
      </c>
      <c r="J13" s="89">
        <f ca="1">IF(pajak[[#This Row],[//]]="","",SUMIF(Table1[h_id],pajak[[#This Row],[//]],Table1[h_diskon]))</f>
        <v>3790800.0000000005</v>
      </c>
      <c r="K13" s="89">
        <f ca="1">IF(pajak[[#This Row],[//]]="","",SUMIF(Table1[h_id],pajak[[#This Row],[//]],Table1[h_hargasetelahdiskon]))</f>
        <v>24289200</v>
      </c>
      <c r="L13" s="89">
        <f ca="1">IF(pajak[//]="","",pajak[[#This Row],[Sub Total]]/1.11*11%)</f>
        <v>2407037.8378378376</v>
      </c>
      <c r="M13" s="89">
        <f ca="1">pajak[[#This Row],[Sub Total]]</f>
        <v>24289200</v>
      </c>
      <c r="N13" s="86" t="str">
        <f>IF(pajak[[#This Row],[//]]="","",INDEX(Table1[pembuat nota :],pajak[//]-offset))</f>
        <v>NOVI / CONDRO</v>
      </c>
      <c r="O13" s="86" t="str">
        <f>IF(pajak[[#This Row],[//]]="","",IF(INDEX(Table1[edited :],pajak[//]-offset)="","",INDEX(Table1[edited :],pajak[//]-offset)))</f>
        <v/>
      </c>
      <c r="R13">
        <f>IF(pajak[[#This Row],[Kode Sales :]]="","",MATCH(pajak[[#This Row],[Kode Sales :]],[2]Invoice!$D:$D,0))</f>
        <v>1146</v>
      </c>
      <c r="S13">
        <f>Table4[[#This Row],[cek_ppn]]+28</f>
        <v>1174</v>
      </c>
      <c r="T13" s="86" t="str">
        <f ca="1">IF(INDEX([2]Invoice!$K:$K,Table4[[#This Row],[cek_rekap(share)]])=pajak[[#This Row],[Total Invoice]],"-",FALSE)</f>
        <v>-</v>
      </c>
    </row>
    <row r="14" spans="1:23" x14ac:dyDescent="0.25">
      <c r="A14" s="88">
        <v>54</v>
      </c>
      <c r="D14" s="86">
        <f t="shared" si="0"/>
        <v>54</v>
      </c>
      <c r="E14" s="86" t="str">
        <f>IF(pajak[[#This Row],[//]]="","",INDEX(Table1[No. Invoice :],pajak[//]-offset))</f>
        <v>AM 23020012</v>
      </c>
      <c r="F14" s="90">
        <f>IF(pajak[[#This Row],[//]]="","",INDEX(Table1[Tgl Invoice :],pajak[//]-offset))</f>
        <v>44964</v>
      </c>
      <c r="G14" s="86" t="str">
        <f>IF(pajak[[#This Row],[//]]="","",INDEX(Table1[Kode Sales :],pajak[//]-offset))</f>
        <v>KO 0707</v>
      </c>
      <c r="H14" s="86" t="str">
        <f>IF(pajak[[#This Row],[//]]="","",INDEX(Table1[Toko],pajak[//]-offset))</f>
        <v>SOEYANTO LOPULUSI ( LANCAR ) MALANG</v>
      </c>
      <c r="I14" s="89">
        <f ca="1">IF(pajak[[#This Row],[//]]="","",SUMIF(Table1[h_id],pajak[[#This Row],[//]],Table1[h_hargasebelumdiskon]))</f>
        <v>1526400</v>
      </c>
      <c r="J14" s="89">
        <f ca="1">IF(pajak[[#This Row],[//]]="","",SUMIF(Table1[h_id],pajak[[#This Row],[//]],Table1[h_diskon]))</f>
        <v>190800</v>
      </c>
      <c r="K14" s="89">
        <f ca="1">IF(pajak[[#This Row],[//]]="","",SUMIF(Table1[h_id],pajak[[#This Row],[//]],Table1[h_hargasetelahdiskon]))</f>
        <v>1335600</v>
      </c>
      <c r="L14" s="89">
        <f ca="1">IF(pajak[//]="","",pajak[[#This Row],[Sub Total]]/1.11*11%)</f>
        <v>132356.75675675675</v>
      </c>
      <c r="M14" s="89">
        <f ca="1">pajak[[#This Row],[Sub Total]]</f>
        <v>1335600</v>
      </c>
      <c r="N14" s="86" t="str">
        <f>IF(pajak[[#This Row],[//]]="","",INDEX(Table1[pembuat nota :],pajak[//]-offset))</f>
        <v>NOVI / CONDRO</v>
      </c>
      <c r="O14" s="86" t="str">
        <f>IF(pajak[[#This Row],[//]]="","",IF(INDEX(Table1[edited :],pajak[//]-offset)="","",INDEX(Table1[edited :],pajak[//]-offset)))</f>
        <v/>
      </c>
      <c r="R14">
        <f>IF(pajak[[#This Row],[Kode Sales :]]="","",MATCH(pajak[[#This Row],[Kode Sales :]],[2]Invoice!$D:$D,0))</f>
        <v>1260</v>
      </c>
      <c r="S14">
        <f>Table4[[#This Row],[cek_ppn]]+28</f>
        <v>1288</v>
      </c>
      <c r="T14" s="86" t="str">
        <f ca="1">IF(INDEX([2]Invoice!$K:$K,Table4[[#This Row],[cek_rekap(share)]])=pajak[[#This Row],[Total Invoice]],"-",FALSE)</f>
        <v>-</v>
      </c>
    </row>
    <row r="15" spans="1:23" x14ac:dyDescent="0.25">
      <c r="A15" s="88">
        <v>56</v>
      </c>
      <c r="D15" s="86">
        <f t="shared" ref="D15:D27" si="1">IF(ROW()-2&lt;=jNota,A15,"")</f>
        <v>56</v>
      </c>
      <c r="E15" s="86" t="str">
        <f>IF(pajak[[#This Row],[//]]="","",INDEX(Table1[No. Invoice :],pajak[//]-offset))</f>
        <v>AM 23020013</v>
      </c>
      <c r="F15" s="90">
        <f>IF(pajak[[#This Row],[//]]="","",INDEX(Table1[Tgl Invoice :],pajak[//]-offset))</f>
        <v>44964</v>
      </c>
      <c r="G15" s="86" t="str">
        <f>IF(pajak[[#This Row],[//]]="","",INDEX(Table1[Kode Sales :],pajak[//]-offset))</f>
        <v>KO 0872</v>
      </c>
      <c r="H15" s="86" t="str">
        <f>IF(pajak[[#This Row],[//]]="","",INDEX(Table1[Toko],pajak[//]-offset))</f>
        <v>CV PELITA JAYA (ANUGERAH SEJAHTERA) PURWOKERTO</v>
      </c>
      <c r="I15" s="89">
        <f ca="1">IF(pajak[[#This Row],[//]]="","",SUMIF(Table1[h_id],pajak[[#This Row],[//]],Table1[h_hargasebelumdiskon]))</f>
        <v>2050000</v>
      </c>
      <c r="J15" s="89">
        <f ca="1">IF(pajak[[#This Row],[//]]="","",SUMIF(Table1[h_id],pajak[[#This Row],[//]],Table1[h_diskon]))</f>
        <v>276750</v>
      </c>
      <c r="K15" s="89">
        <f ca="1">IF(pajak[[#This Row],[//]]="","",SUMIF(Table1[h_id],pajak[[#This Row],[//]],Table1[h_hargasetelahdiskon]))</f>
        <v>1773250</v>
      </c>
      <c r="L15" s="89">
        <f ca="1">IF(pajak[//]="","",pajak[[#This Row],[Sub Total]]/1.11*11%)</f>
        <v>175727.47747747746</v>
      </c>
      <c r="M15" s="89">
        <f ca="1">pajak[[#This Row],[Sub Total]]</f>
        <v>1773250</v>
      </c>
      <c r="N15" s="86" t="str">
        <f>IF(pajak[[#This Row],[//]]="","",INDEX(Table1[pembuat nota :],pajak[//]-offset))</f>
        <v>NOVI / CONDRO</v>
      </c>
      <c r="O15" s="86" t="str">
        <f>IF(pajak[[#This Row],[//]]="","",IF(INDEX(Table1[edited :],pajak[//]-offset)="","",INDEX(Table1[edited :],pajak[//]-offset)))</f>
        <v/>
      </c>
      <c r="R15">
        <f>IF(pajak[[#This Row],[Kode Sales :]]="","",MATCH(pajak[[#This Row],[Kode Sales :]],[2]Invoice!$D:$D,0))</f>
        <v>1374</v>
      </c>
      <c r="S15">
        <f>Table4[[#This Row],[cek_ppn]]+28</f>
        <v>1402</v>
      </c>
      <c r="T15" s="86" t="str">
        <f ca="1">IF(INDEX([2]Invoice!$K:$K,Table4[[#This Row],[cek_rekap(share)]])=pajak[[#This Row],[Total Invoice]],"-",FALSE)</f>
        <v>-</v>
      </c>
    </row>
    <row r="16" spans="1:23" x14ac:dyDescent="0.25">
      <c r="A16" s="88">
        <v>58</v>
      </c>
      <c r="D16" s="86">
        <f t="shared" si="1"/>
        <v>58</v>
      </c>
      <c r="E16" s="86" t="str">
        <f>IF(pajak[[#This Row],[//]]="","",INDEX(Table1[No. Invoice :],pajak[//]-offset))</f>
        <v>AM 23020014</v>
      </c>
      <c r="F16" s="90">
        <f>IF(pajak[[#This Row],[//]]="","",INDEX(Table1[Tgl Invoice :],pajak[//]-offset))</f>
        <v>44964</v>
      </c>
      <c r="G16" s="86" t="str">
        <f>IF(pajak[[#This Row],[//]]="","",INDEX(Table1[Kode Sales :],pajak[//]-offset))</f>
        <v>KO 0873</v>
      </c>
      <c r="H16" s="86" t="str">
        <f>IF(pajak[[#This Row],[//]]="","",INDEX(Table1[Toko],pajak[//]-offset))</f>
        <v>CV TRINITY CENTRAAL PURWOKERTO</v>
      </c>
      <c r="I16" s="89">
        <f ca="1">IF(pajak[[#This Row],[//]]="","",SUMIF(Table1[h_id],pajak[[#This Row],[//]],Table1[h_hargasebelumdiskon]))</f>
        <v>792000</v>
      </c>
      <c r="J16" s="89">
        <f ca="1">IF(pajak[[#This Row],[//]]="","",SUMIF(Table1[h_id],pajak[[#This Row],[//]],Table1[h_diskon]))</f>
        <v>102960</v>
      </c>
      <c r="K16" s="89">
        <f ca="1">IF(pajak[[#This Row],[//]]="","",SUMIF(Table1[h_id],pajak[[#This Row],[//]],Table1[h_hargasetelahdiskon]))</f>
        <v>689040</v>
      </c>
      <c r="L16" s="89">
        <f ca="1">IF(pajak[//]="","",pajak[[#This Row],[Sub Total]]/1.11*11%)</f>
        <v>68283.24324324324</v>
      </c>
      <c r="M16" s="89">
        <f ca="1">pajak[[#This Row],[Sub Total]]</f>
        <v>689040</v>
      </c>
      <c r="N16" s="86" t="str">
        <f>IF(pajak[[#This Row],[//]]="","",INDEX(Table1[pembuat nota :],pajak[//]-offset))</f>
        <v>NOVI / CONDRO</v>
      </c>
      <c r="O16" s="86" t="str">
        <f>IF(pajak[[#This Row],[//]]="","",IF(INDEX(Table1[edited :],pajak[//]-offset)="","",INDEX(Table1[edited :],pajak[//]-offset)))</f>
        <v/>
      </c>
      <c r="R16">
        <f>IF(pajak[[#This Row],[Kode Sales :]]="","",MATCH(pajak[[#This Row],[Kode Sales :]],[2]Invoice!$D:$D,0))</f>
        <v>1488</v>
      </c>
      <c r="S16">
        <f>Table4[[#This Row],[cek_ppn]]+28</f>
        <v>1516</v>
      </c>
      <c r="T16" s="86" t="str">
        <f ca="1">IF(INDEX([2]Invoice!$K:$K,Table4[[#This Row],[cek_rekap(share)]])=pajak[[#This Row],[Total Invoice]],"-",FALSE)</f>
        <v>-</v>
      </c>
    </row>
    <row r="17" spans="1:20" x14ac:dyDescent="0.25">
      <c r="A17" s="88">
        <v>60</v>
      </c>
      <c r="D17" s="86">
        <f t="shared" si="1"/>
        <v>60</v>
      </c>
      <c r="E17" s="86" t="str">
        <f>IF(pajak[[#This Row],[//]]="","",INDEX(Table1[No. Invoice :],pajak[//]-offset))</f>
        <v>AM 23020015</v>
      </c>
      <c r="F17" s="90">
        <f>IF(pajak[[#This Row],[//]]="","",INDEX(Table1[Tgl Invoice :],pajak[//]-offset))</f>
        <v>44965</v>
      </c>
      <c r="G17" s="86" t="str">
        <f>IF(pajak[[#This Row],[//]]="","",INDEX(Table1[Kode Sales :],pajak[//]-offset))</f>
        <v>G 0877</v>
      </c>
      <c r="H17" s="86" t="str">
        <f>IF(pajak[[#This Row],[//]]="","",INDEX(Table1[Toko],pajak[//]-offset))</f>
        <v>LILY JULIAWATI (REJO AGUNG) JOMBANG</v>
      </c>
      <c r="I17" s="89">
        <f ca="1">IF(pajak[[#This Row],[//]]="","",SUMIF(Table1[h_id],pajak[[#This Row],[//]],Table1[h_hargasebelumdiskon]))</f>
        <v>55790800</v>
      </c>
      <c r="J17" s="89">
        <f ca="1">IF(pajak[[#This Row],[//]]="","",SUMIF(Table1[h_id],pajak[[#This Row],[//]],Table1[h_diskon]))</f>
        <v>6973850</v>
      </c>
      <c r="K17" s="89">
        <f ca="1">IF(pajak[[#This Row],[//]]="","",SUMIF(Table1[h_id],pajak[[#This Row],[//]],Table1[h_hargasetelahdiskon]))</f>
        <v>48816950</v>
      </c>
      <c r="L17" s="89">
        <f ca="1">IF(pajak[//]="","",pajak[[#This Row],[Sub Total]]/1.11*11%)</f>
        <v>4837715.7657657648</v>
      </c>
      <c r="M17" s="89">
        <f ca="1">pajak[[#This Row],[Sub Total]]</f>
        <v>48816950</v>
      </c>
      <c r="N17" s="86" t="str">
        <f>IF(pajak[[#This Row],[//]]="","",INDEX(Table1[pembuat nota :],pajak[//]-offset))</f>
        <v>NOVI / CONDRO</v>
      </c>
      <c r="O17" s="86" t="str">
        <f>IF(pajak[[#This Row],[//]]="","",IF(INDEX(Table1[edited :],pajak[//]-offset)="","",INDEX(Table1[edited :],pajak[//]-offset)))</f>
        <v/>
      </c>
      <c r="R17">
        <f>IF(pajak[[#This Row],[Kode Sales :]]="","",MATCH(pajak[[#This Row],[Kode Sales :]],[2]Invoice!$D:$D,0))</f>
        <v>1602</v>
      </c>
      <c r="S17">
        <f>Table4[[#This Row],[cek_ppn]]+28</f>
        <v>1630</v>
      </c>
      <c r="T17" s="86" t="str">
        <f ca="1">IF(INDEX([2]Invoice!$K:$K,Table4[[#This Row],[cek_rekap(share)]])=pajak[[#This Row],[Total Invoice]],"-",FALSE)</f>
        <v>-</v>
      </c>
    </row>
    <row r="18" spans="1:20" x14ac:dyDescent="0.25">
      <c r="A18" s="88">
        <v>71</v>
      </c>
      <c r="D18" s="86">
        <f t="shared" si="1"/>
        <v>71</v>
      </c>
      <c r="E18" s="86" t="str">
        <f>IF(pajak[[#This Row],[//]]="","",INDEX(Table1[No. Invoice :],pajak[//]-offset))</f>
        <v>AM 23020016</v>
      </c>
      <c r="F18" s="90">
        <f>IF(pajak[[#This Row],[//]]="","",INDEX(Table1[Tgl Invoice :],pajak[//]-offset))</f>
        <v>44966</v>
      </c>
      <c r="G18" s="86" t="str">
        <f>IF(pajak[[#This Row],[//]]="","",INDEX(Table1[Kode Sales :],pajak[//]-offset))</f>
        <v>KO 0908</v>
      </c>
      <c r="H18" s="86" t="str">
        <f>IF(pajak[[#This Row],[//]]="","",INDEX(Table1[Toko],pajak[//]-offset))</f>
        <v>CV PELITA JAYA (ANUGERAH SEJAHTERA) PURWOKERTO</v>
      </c>
      <c r="I18" s="89">
        <f ca="1">IF(pajak[[#This Row],[//]]="","",SUMIF(Table1[h_id],pajak[[#This Row],[//]],Table1[h_hargasebelumdiskon]))</f>
        <v>21990400</v>
      </c>
      <c r="J18" s="89">
        <f ca="1">IF(pajak[[#This Row],[//]]="","",SUMIF(Table1[h_id],pajak[[#This Row],[//]],Table1[h_diskon]))</f>
        <v>2968704</v>
      </c>
      <c r="K18" s="89">
        <f ca="1">IF(pajak[[#This Row],[//]]="","",SUMIF(Table1[h_id],pajak[[#This Row],[//]],Table1[h_hargasetelahdiskon]))</f>
        <v>19021696</v>
      </c>
      <c r="L18" s="89">
        <f ca="1">IF(pajak[//]="","",pajak[[#This Row],[Sub Total]]/1.11*11%)</f>
        <v>1885032.9369369368</v>
      </c>
      <c r="M18" s="89">
        <f ca="1">pajak[[#This Row],[Sub Total]]</f>
        <v>19021696</v>
      </c>
      <c r="N18" s="86" t="str">
        <f>IF(pajak[[#This Row],[//]]="","",INDEX(Table1[pembuat nota :],pajak[//]-offset))</f>
        <v>NOVI / CONDRO</v>
      </c>
      <c r="O18" s="86" t="str">
        <f>IF(pajak[[#This Row],[//]]="","",IF(INDEX(Table1[edited :],pajak[//]-offset)="","",INDEX(Table1[edited :],pajak[//]-offset)))</f>
        <v/>
      </c>
      <c r="R18">
        <f>IF(pajak[[#This Row],[Kode Sales :]]="","",MATCH(pajak[[#This Row],[Kode Sales :]],[2]Invoice!$D:$D,0))</f>
        <v>1716</v>
      </c>
      <c r="S18">
        <f>Table4[[#This Row],[cek_ppn]]+28</f>
        <v>1744</v>
      </c>
      <c r="T18" s="86" t="str">
        <f ca="1">IF(INDEX([2]Invoice!$K:$K,Table4[[#This Row],[cek_rekap(share)]])=pajak[[#This Row],[Total Invoice]],"-",FALSE)</f>
        <v>-</v>
      </c>
    </row>
    <row r="19" spans="1:20" x14ac:dyDescent="0.25">
      <c r="A19" s="88">
        <v>81</v>
      </c>
      <c r="D19" s="86">
        <f t="shared" si="1"/>
        <v>81</v>
      </c>
      <c r="E19" s="86" t="str">
        <f>IF(pajak[[#This Row],[//]]="","",INDEX(Table1[No. Invoice :],pajak[//]-offset))</f>
        <v>AM 23020017</v>
      </c>
      <c r="F19" s="90">
        <f>IF(pajak[[#This Row],[//]]="","",INDEX(Table1[Tgl Invoice :],pajak[//]-offset))</f>
        <v>44966</v>
      </c>
      <c r="G19" s="86" t="str">
        <f>IF(pajak[[#This Row],[//]]="","",INDEX(Table1[Kode Sales :],pajak[//]-offset))</f>
        <v>KO 0910</v>
      </c>
      <c r="H19" s="86" t="str">
        <f>IF(pajak[[#This Row],[//]]="","",INDEX(Table1[Toko],pajak[//]-offset))</f>
        <v>HARNOYO (BENDAN) PEKALONGAN</v>
      </c>
      <c r="I19" s="89">
        <f ca="1">IF(pajak[[#This Row],[//]]="","",SUMIF(Table1[h_id],pajak[[#This Row],[//]],Table1[h_hargasebelumdiskon]))</f>
        <v>2952000</v>
      </c>
      <c r="J19" s="89">
        <f ca="1">IF(pajak[[#This Row],[//]]="","",SUMIF(Table1[h_id],pajak[[#This Row],[//]],Table1[h_diskon]))</f>
        <v>413280.00000000006</v>
      </c>
      <c r="K19" s="89">
        <f ca="1">IF(pajak[[#This Row],[//]]="","",SUMIF(Table1[h_id],pajak[[#This Row],[//]],Table1[h_hargasetelahdiskon]))</f>
        <v>2538720</v>
      </c>
      <c r="L19" s="89">
        <f ca="1">IF(pajak[//]="","",pajak[[#This Row],[Sub Total]]/1.11*11%)</f>
        <v>251584.86486486488</v>
      </c>
      <c r="M19" s="89">
        <f ca="1">pajak[[#This Row],[Sub Total]]</f>
        <v>2538720</v>
      </c>
      <c r="N19" s="86" t="str">
        <f>IF(pajak[[#This Row],[//]]="","",INDEX(Table1[pembuat nota :],pajak[//]-offset))</f>
        <v>NOVI / CONDRO</v>
      </c>
      <c r="O19" s="86" t="str">
        <f>IF(pajak[[#This Row],[//]]="","",IF(INDEX(Table1[edited :],pajak[//]-offset)="","",INDEX(Table1[edited :],pajak[//]-offset)))</f>
        <v/>
      </c>
      <c r="R19">
        <f>IF(pajak[[#This Row],[Kode Sales :]]="","",MATCH(pajak[[#This Row],[Kode Sales :]],[2]Invoice!$D:$D,0))</f>
        <v>1830</v>
      </c>
      <c r="S19">
        <f>Table4[[#This Row],[cek_ppn]]+28</f>
        <v>1858</v>
      </c>
      <c r="T19" s="86" t="str">
        <f ca="1">IF(INDEX([2]Invoice!$K:$K,Table4[[#This Row],[cek_rekap(share)]])=pajak[[#This Row],[Total Invoice]],"-",FALSE)</f>
        <v>-</v>
      </c>
    </row>
    <row r="20" spans="1:20" x14ac:dyDescent="0.25">
      <c r="A20" s="88">
        <v>84</v>
      </c>
      <c r="B20" s="88"/>
      <c r="D20" s="86">
        <f t="shared" si="1"/>
        <v>84</v>
      </c>
      <c r="E20" s="86" t="str">
        <f>IF(pajak[[#This Row],[//]]="","",INDEX(Table1[No. Invoice :],pajak[//]-offset))</f>
        <v>AM 23020018</v>
      </c>
      <c r="F20" s="90">
        <f>IF(pajak[[#This Row],[//]]="","",INDEX(Table1[Tgl Invoice :],pajak[//]-offset))</f>
        <v>44968</v>
      </c>
      <c r="G20" s="86" t="str">
        <f>IF(pajak[[#This Row],[//]]="","",INDEX(Table1[Kode Sales :],pajak[//]-offset))</f>
        <v>KO 0716</v>
      </c>
      <c r="H20" s="86" t="str">
        <f>IF(pajak[[#This Row],[//]]="","",INDEX(Table1[Toko],pajak[//]-offset))</f>
        <v>SOEYANTO LOPULUSI ( LANCAR ) MALANG</v>
      </c>
      <c r="I20" s="89">
        <f ca="1">IF(pajak[[#This Row],[//]]="","",SUMIF(Table1[h_id],pajak[[#This Row],[//]],Table1[h_hargasebelumdiskon]))</f>
        <v>22464000</v>
      </c>
      <c r="J20" s="89">
        <f ca="1">IF(pajak[[#This Row],[//]]="","",SUMIF(Table1[h_id],pajak[[#This Row],[//]],Table1[h_diskon]))</f>
        <v>2808000</v>
      </c>
      <c r="K20" s="89">
        <f ca="1">IF(pajak[[#This Row],[//]]="","",SUMIF(Table1[h_id],pajak[[#This Row],[//]],Table1[h_hargasetelahdiskon]))</f>
        <v>19656000</v>
      </c>
      <c r="L20" s="89">
        <f ca="1">IF(pajak[//]="","",pajak[[#This Row],[Sub Total]]/1.11*11%)</f>
        <v>1947891.8918918918</v>
      </c>
      <c r="M20" s="89">
        <f ca="1">pajak[[#This Row],[Sub Total]]</f>
        <v>19656000</v>
      </c>
      <c r="N20" s="86" t="str">
        <f>IF(pajak[[#This Row],[//]]="","",INDEX(Table1[pembuat nota :],pajak[//]-offset))</f>
        <v>NOVI / CONDRO</v>
      </c>
      <c r="O20" s="86" t="str">
        <f>IF(pajak[[#This Row],[//]]="","",IF(INDEX(Table1[edited :],pajak[//]-offset)="","",INDEX(Table1[edited :],pajak[//]-offset)))</f>
        <v/>
      </c>
      <c r="R20">
        <f>IF(pajak[[#This Row],[Kode Sales :]]="","",MATCH(pajak[[#This Row],[Kode Sales :]],[2]Invoice!$D:$D,0))</f>
        <v>1944</v>
      </c>
      <c r="S20">
        <f>Table4[[#This Row],[cek_ppn]]+28</f>
        <v>1972</v>
      </c>
      <c r="T20" s="86" t="str">
        <f ca="1">IF(INDEX([2]Invoice!$K:$K,Table4[[#This Row],[cek_rekap(share)]])=pajak[[#This Row],[Total Invoice]],"-",FALSE)</f>
        <v>-</v>
      </c>
    </row>
    <row r="21" spans="1:20" x14ac:dyDescent="0.25">
      <c r="A21" s="88">
        <v>87</v>
      </c>
      <c r="B21" s="88"/>
      <c r="D21" s="86">
        <f t="shared" si="1"/>
        <v>87</v>
      </c>
      <c r="E21" s="86" t="str">
        <f>IF(pajak[[#This Row],[//]]="","",INDEX(Table1[No. Invoice :],pajak[//]-offset))</f>
        <v>AM 23020019</v>
      </c>
      <c r="F21" s="90">
        <f>IF(pajak[[#This Row],[//]]="","",INDEX(Table1[Tgl Invoice :],pajak[//]-offset))</f>
        <v>44968</v>
      </c>
      <c r="G21" s="86" t="str">
        <f>IF(pajak[[#This Row],[//]]="","",INDEX(Table1[Kode Sales :],pajak[//]-offset))</f>
        <v>G 0918</v>
      </c>
      <c r="H21" s="86" t="str">
        <f>IF(pajak[[#This Row],[//]]="","",INDEX(Table1[Toko],pajak[//]-offset))</f>
        <v>CV UTAMA PUTRA TULUNG AGUNG</v>
      </c>
      <c r="I21" s="89">
        <f ca="1">IF(pajak[[#This Row],[//]]="","",SUMIF(Table1[h_id],pajak[[#This Row],[//]],Table1[h_hargasebelumdiskon]))</f>
        <v>500000</v>
      </c>
      <c r="J21" s="89">
        <f ca="1">IF(pajak[[#This Row],[//]]="","",SUMIF(Table1[h_id],pajak[[#This Row],[//]],Table1[h_diskon]))</f>
        <v>0</v>
      </c>
      <c r="K21" s="89">
        <f ca="1">IF(pajak[[#This Row],[//]]="","",SUMIF(Table1[h_id],pajak[[#This Row],[//]],Table1[h_hargasetelahdiskon]))</f>
        <v>500000</v>
      </c>
      <c r="L21" s="89">
        <f ca="1">IF(pajak[//]="","",pajak[[#This Row],[Sub Total]]/1.11*11%)</f>
        <v>49549.549549549549</v>
      </c>
      <c r="M21" s="89">
        <f ca="1">pajak[[#This Row],[Sub Total]]</f>
        <v>500000</v>
      </c>
      <c r="N21" s="86" t="str">
        <f>IF(pajak[[#This Row],[//]]="","",INDEX(Table1[pembuat nota :],pajak[//]-offset))</f>
        <v>NOVI / CONDRO</v>
      </c>
      <c r="O21" s="86" t="str">
        <f>IF(pajak[[#This Row],[//]]="","",IF(INDEX(Table1[edited :],pajak[//]-offset)="","",INDEX(Table1[edited :],pajak[//]-offset)))</f>
        <v/>
      </c>
      <c r="R21">
        <f>IF(pajak[[#This Row],[Kode Sales :]]="","",MATCH(pajak[[#This Row],[Kode Sales :]],[2]Invoice!$D:$D,0))</f>
        <v>2058</v>
      </c>
      <c r="S21">
        <f>Table4[[#This Row],[cek_ppn]]+28</f>
        <v>2086</v>
      </c>
      <c r="T21" s="86" t="str">
        <f ca="1">IF(INDEX([2]Invoice!$K:$K,Table4[[#This Row],[cek_rekap(share)]])=pajak[[#This Row],[Total Invoice]],"-",FALSE)</f>
        <v>-</v>
      </c>
    </row>
    <row r="22" spans="1:20" x14ac:dyDescent="0.25">
      <c r="A22" s="88">
        <v>89</v>
      </c>
      <c r="B22" s="88"/>
      <c r="D22" s="86">
        <f t="shared" si="1"/>
        <v>89</v>
      </c>
      <c r="E22" s="86" t="str">
        <f>IF(pajak[[#This Row],[//]]="","",INDEX(Table1[No. Invoice :],pajak[//]-offset))</f>
        <v>AM 23020020</v>
      </c>
      <c r="F22" s="90">
        <f>IF(pajak[[#This Row],[//]]="","",INDEX(Table1[Tgl Invoice :],pajak[//]-offset))</f>
        <v>44970</v>
      </c>
      <c r="G22" s="86" t="str">
        <f>IF(pajak[[#This Row],[//]]="","",INDEX(Table1[Kode Sales :],pajak[//]-offset))</f>
        <v>KO 0887</v>
      </c>
      <c r="H22" s="86" t="str">
        <f>IF(pajak[[#This Row],[//]]="","",INDEX(Table1[Toko],pajak[//]-offset))</f>
        <v>CV TRINITY CENTRAAL PURWOKERTO</v>
      </c>
      <c r="I22" s="89">
        <f ca="1">IF(pajak[[#This Row],[//]]="","",SUMIF(Table1[h_id],pajak[[#This Row],[//]],Table1[h_hargasebelumdiskon]))</f>
        <v>4136000</v>
      </c>
      <c r="J22" s="89">
        <f ca="1">IF(pajak[[#This Row],[//]]="","",SUMIF(Table1[h_id],pajak[[#This Row],[//]],Table1[h_diskon]))</f>
        <v>537680</v>
      </c>
      <c r="K22" s="89">
        <f ca="1">IF(pajak[[#This Row],[//]]="","",SUMIF(Table1[h_id],pajak[[#This Row],[//]],Table1[h_hargasetelahdiskon]))</f>
        <v>3598320</v>
      </c>
      <c r="L22" s="89">
        <f ca="1">IF(pajak[//]="","",pajak[[#This Row],[Sub Total]]/1.11*11%)</f>
        <v>356590.27027027024</v>
      </c>
      <c r="M22" s="89">
        <f ca="1">pajak[[#This Row],[Sub Total]]</f>
        <v>3598320</v>
      </c>
      <c r="N22" s="86" t="str">
        <f>IF(pajak[[#This Row],[//]]="","",INDEX(Table1[pembuat nota :],pajak[//]-offset))</f>
        <v>NOVI / CONDRO</v>
      </c>
      <c r="O22" s="86" t="str">
        <f>IF(pajak[[#This Row],[//]]="","",IF(INDEX(Table1[edited :],pajak[//]-offset)="","",INDEX(Table1[edited :],pajak[//]-offset)))</f>
        <v/>
      </c>
      <c r="R22">
        <f>IF(pajak[[#This Row],[Kode Sales :]]="","",MATCH(pajak[[#This Row],[Kode Sales :]],[2]Invoice!$D:$D,0))</f>
        <v>2172</v>
      </c>
      <c r="S22">
        <f>Table4[[#This Row],[cek_ppn]]+28</f>
        <v>2200</v>
      </c>
      <c r="T22" s="86" t="str">
        <f ca="1">IF(INDEX([2]Invoice!$K:$K,Table4[[#This Row],[cek_rekap(share)]])=pajak[[#This Row],[Total Invoice]],"-",FALSE)</f>
        <v>-</v>
      </c>
    </row>
    <row r="23" spans="1:20" x14ac:dyDescent="0.25">
      <c r="A23" s="88">
        <v>93</v>
      </c>
      <c r="B23" s="88"/>
      <c r="D23" s="86">
        <f t="shared" si="1"/>
        <v>93</v>
      </c>
      <c r="E23" s="86" t="str">
        <f>IF(pajak[[#This Row],[//]]="","",INDEX(Table1[No. Invoice :],pajak[//]-offset))</f>
        <v>AM 23020021</v>
      </c>
      <c r="F23" s="90">
        <f>IF(pajak[[#This Row],[//]]="","",INDEX(Table1[Tgl Invoice :],pajak[//]-offset))</f>
        <v>44970</v>
      </c>
      <c r="G23" s="86" t="str">
        <f>IF(pajak[[#This Row],[//]]="","",INDEX(Table1[Kode Sales :],pajak[//]-offset))</f>
        <v>G 0890</v>
      </c>
      <c r="H23" s="86" t="str">
        <f>IF(pajak[[#This Row],[//]]="","",INDEX(Table1[Toko],pajak[//]-offset))</f>
        <v>LILY JULIAWATI (REJO AGUNG) JOMBANG</v>
      </c>
      <c r="I23" s="89">
        <f ca="1">IF(pajak[[#This Row],[//]]="","",SUMIF(Table1[h_id],pajak[[#This Row],[//]],Table1[h_hargasebelumdiskon]))</f>
        <v>101344800</v>
      </c>
      <c r="J23" s="89">
        <f ca="1">IF(pajak[[#This Row],[//]]="","",SUMIF(Table1[h_id],pajak[[#This Row],[//]],Table1[h_diskon]))</f>
        <v>12668100</v>
      </c>
      <c r="K23" s="89">
        <f ca="1">IF(pajak[[#This Row],[//]]="","",SUMIF(Table1[h_id],pajak[[#This Row],[//]],Table1[h_hargasetelahdiskon]))</f>
        <v>88676700</v>
      </c>
      <c r="L23" s="89">
        <f ca="1">IF(pajak[//]="","",pajak[[#This Row],[Sub Total]]/1.11*11%)</f>
        <v>8787781.0810810793</v>
      </c>
      <c r="M23" s="89">
        <f ca="1">pajak[[#This Row],[Sub Total]]</f>
        <v>88676700</v>
      </c>
      <c r="N23" s="86" t="str">
        <f>IF(pajak[[#This Row],[//]]="","",INDEX(Table1[pembuat nota :],pajak[//]-offset))</f>
        <v>NOVI / CONDRO</v>
      </c>
      <c r="O23" s="86" t="str">
        <f>IF(pajak[[#This Row],[//]]="","",IF(INDEX(Table1[edited :],pajak[//]-offset)="","",INDEX(Table1[edited :],pajak[//]-offset)))</f>
        <v/>
      </c>
      <c r="R23">
        <f>IF(pajak[[#This Row],[Kode Sales :]]="","",MATCH(pajak[[#This Row],[Kode Sales :]],[2]Invoice!$D:$D,0))</f>
        <v>2286</v>
      </c>
      <c r="S23">
        <f>Table4[[#This Row],[cek_ppn]]+28</f>
        <v>2314</v>
      </c>
      <c r="T23" s="86" t="str">
        <f ca="1">IF(INDEX([2]Invoice!$K:$K,Table4[[#This Row],[cek_rekap(share)]])=pajak[[#This Row],[Total Invoice]],"-",FALSE)</f>
        <v>-</v>
      </c>
    </row>
    <row r="24" spans="1:20" x14ac:dyDescent="0.25">
      <c r="A24" s="88">
        <v>108</v>
      </c>
      <c r="B24" s="88"/>
      <c r="D24" s="86">
        <f t="shared" si="1"/>
        <v>108</v>
      </c>
      <c r="E24" s="86" t="str">
        <f>IF(pajak[[#This Row],[//]]="","",INDEX(Table1[No. Invoice :],pajak[//]-offset))</f>
        <v>AM 23020022</v>
      </c>
      <c r="F24" s="90">
        <f>IF(pajak[[#This Row],[//]]="","",INDEX(Table1[Tgl Invoice :],pajak[//]-offset))</f>
        <v>44970</v>
      </c>
      <c r="G24" s="86" t="str">
        <f>IF(pajak[[#This Row],[//]]="","",INDEX(Table1[Kode Sales :],pajak[//]-offset))</f>
        <v>G 0891</v>
      </c>
      <c r="H24" s="86" t="str">
        <f>IF(pajak[[#This Row],[//]]="","",INDEX(Table1[Toko],pajak[//]-offset))</f>
        <v>LILY JULIAWATI (REJO AGUNG) JOMBANG</v>
      </c>
      <c r="I24" s="89">
        <f ca="1">IF(pajak[[#This Row],[//]]="","",SUMIF(Table1[h_id],pajak[[#This Row],[//]],Table1[h_hargasebelumdiskon]))</f>
        <v>59917200</v>
      </c>
      <c r="J24" s="89">
        <f ca="1">IF(pajak[[#This Row],[//]]="","",SUMIF(Table1[h_id],pajak[[#This Row],[//]],Table1[h_diskon]))</f>
        <v>7489650</v>
      </c>
      <c r="K24" s="89">
        <f ca="1">IF(pajak[[#This Row],[//]]="","",SUMIF(Table1[h_id],pajak[[#This Row],[//]],Table1[h_hargasetelahdiskon]))</f>
        <v>52427550</v>
      </c>
      <c r="L24" s="89">
        <f ca="1">IF(pajak[//]="","",pajak[[#This Row],[Sub Total]]/1.11*11%)</f>
        <v>5195522.9729729732</v>
      </c>
      <c r="M24" s="89">
        <f ca="1">pajak[[#This Row],[Sub Total]]</f>
        <v>52427550</v>
      </c>
      <c r="N24" s="86" t="str">
        <f>IF(pajak[[#This Row],[//]]="","",INDEX(Table1[pembuat nota :],pajak[//]-offset))</f>
        <v>NOVI / CONDRO</v>
      </c>
      <c r="O24" s="86" t="str">
        <f>IF(pajak[[#This Row],[//]]="","",IF(INDEX(Table1[edited :],pajak[//]-offset)="","",INDEX(Table1[edited :],pajak[//]-offset)))</f>
        <v/>
      </c>
      <c r="R24" s="86">
        <f>IF(pajak[[#This Row],[Kode Sales :]]="","",MATCH(pajak[[#This Row],[Kode Sales :]],[2]Invoice!$D:$D,0))</f>
        <v>2400</v>
      </c>
      <c r="S24" s="86">
        <f>Table4[[#This Row],[cek_ppn]]+28</f>
        <v>2428</v>
      </c>
      <c r="T24" s="86" t="str">
        <f ca="1">IF(INDEX([2]Invoice!$K:$K,Table4[[#This Row],[cek_rekap(share)]])=pajak[[#This Row],[Total Invoice]],"-",FALSE)</f>
        <v>-</v>
      </c>
    </row>
    <row r="25" spans="1:20" x14ac:dyDescent="0.25">
      <c r="A25" s="88">
        <v>120</v>
      </c>
      <c r="B25" s="88"/>
      <c r="D25" s="86">
        <f t="shared" si="1"/>
        <v>120</v>
      </c>
      <c r="E25" s="86" t="str">
        <f>IF(pajak[[#This Row],[//]]="","",INDEX(Table1[No. Invoice :],pajak[//]-offset))</f>
        <v>AM 23020023</v>
      </c>
      <c r="F25" s="90">
        <f>IF(pajak[[#This Row],[//]]="","",INDEX(Table1[Tgl Invoice :],pajak[//]-offset))</f>
        <v>44970</v>
      </c>
      <c r="G25" s="86" t="str">
        <f>IF(pajak[[#This Row],[//]]="","",INDEX(Table1[Kode Sales :],pajak[//]-offset))</f>
        <v>G 0892</v>
      </c>
      <c r="H25" s="86" t="str">
        <f>IF(pajak[[#This Row],[//]]="","",INDEX(Table1[Toko],pajak[//]-offset))</f>
        <v>LILY JULIAWATI (REJO AGUNG) JOMBANG</v>
      </c>
      <c r="I25" s="89">
        <f ca="1">IF(pajak[[#This Row],[//]]="","",SUMIF(Table1[h_id],pajak[[#This Row],[//]],Table1[h_hargasebelumdiskon]))</f>
        <v>7851600</v>
      </c>
      <c r="J25" s="89">
        <f ca="1">IF(pajak[[#This Row],[//]]="","",SUMIF(Table1[h_id],pajak[[#This Row],[//]],Table1[h_diskon]))</f>
        <v>981450</v>
      </c>
      <c r="K25" s="89">
        <f ca="1">IF(pajak[[#This Row],[//]]="","",SUMIF(Table1[h_id],pajak[[#This Row],[//]],Table1[h_hargasetelahdiskon]))</f>
        <v>6870150</v>
      </c>
      <c r="L25" s="89">
        <f ca="1">IF(pajak[//]="","",pajak[[#This Row],[Sub Total]]/1.11*11%)</f>
        <v>680825.67567567562</v>
      </c>
      <c r="M25" s="89">
        <f ca="1">pajak[[#This Row],[Sub Total]]</f>
        <v>6870150</v>
      </c>
      <c r="N25" s="86" t="str">
        <f>IF(pajak[[#This Row],[//]]="","",INDEX(Table1[pembuat nota :],pajak[//]-offset))</f>
        <v>NOVI / CONDRO</v>
      </c>
      <c r="O25" s="86" t="str">
        <f>IF(pajak[[#This Row],[//]]="","",IF(INDEX(Table1[edited :],pajak[//]-offset)="","",INDEX(Table1[edited :],pajak[//]-offset)))</f>
        <v/>
      </c>
      <c r="R25" s="86">
        <f>IF(pajak[[#This Row],[Kode Sales :]]="","",MATCH(pajak[[#This Row],[Kode Sales :]],[2]Invoice!$D:$D,0))</f>
        <v>2514</v>
      </c>
      <c r="S25" s="86">
        <f>Table4[[#This Row],[cek_ppn]]+28</f>
        <v>2542</v>
      </c>
      <c r="T25" s="86" t="str">
        <f ca="1">IF(INDEX([2]Invoice!$K:$K,Table4[[#This Row],[cek_rekap(share)]])=pajak[[#This Row],[Total Invoice]],"-",FALSE)</f>
        <v>-</v>
      </c>
    </row>
    <row r="26" spans="1:20" x14ac:dyDescent="0.25">
      <c r="A26" s="88">
        <v>124</v>
      </c>
      <c r="B26" s="88"/>
      <c r="D26" s="86">
        <f t="shared" si="1"/>
        <v>124</v>
      </c>
      <c r="E26" s="86" t="str">
        <f>IF(pajak[[#This Row],[//]]="","",INDEX(Table1[No. Invoice :],pajak[//]-offset))</f>
        <v>AM 23020024</v>
      </c>
      <c r="F26" s="90">
        <f>IF(pajak[[#This Row],[//]]="","",INDEX(Table1[Tgl Invoice :],pajak[//]-offset))</f>
        <v>44972</v>
      </c>
      <c r="G26" s="86" t="str">
        <f>IF(pajak[[#This Row],[//]]="","",INDEX(Table1[Kode Sales :],pajak[//]-offset))</f>
        <v>KO 1054</v>
      </c>
      <c r="H26" s="86" t="str">
        <f>IF(pajak[[#This Row],[//]]="","",INDEX(Table1[Toko],pajak[//]-offset))</f>
        <v>CV TRINITY CENTRAAL PURWOKERTO</v>
      </c>
      <c r="I26" s="89">
        <f ca="1">IF(pajak[[#This Row],[//]]="","",SUMIF(Table1[h_id],pajak[[#This Row],[//]],Table1[h_hargasebelumdiskon]))</f>
        <v>810000</v>
      </c>
      <c r="J26" s="89">
        <f ca="1">IF(pajak[[#This Row],[//]]="","",SUMIF(Table1[h_id],pajak[[#This Row],[//]],Table1[h_diskon]))</f>
        <v>105300</v>
      </c>
      <c r="K26" s="89">
        <f ca="1">IF(pajak[[#This Row],[//]]="","",SUMIF(Table1[h_id],pajak[[#This Row],[//]],Table1[h_hargasetelahdiskon]))</f>
        <v>704700</v>
      </c>
      <c r="L26" s="89">
        <f ca="1">IF(pajak[//]="","",pajak[[#This Row],[Sub Total]]/1.11*11%)</f>
        <v>69835.135135135133</v>
      </c>
      <c r="M26" s="89">
        <f ca="1">pajak[[#This Row],[Sub Total]]</f>
        <v>704700</v>
      </c>
      <c r="N26" s="86" t="str">
        <f>IF(pajak[[#This Row],[//]]="","",INDEX(Table1[pembuat nota :],pajak[//]-offset))</f>
        <v>NOVI / CONDRO</v>
      </c>
      <c r="O26" s="86" t="str">
        <f>IF(pajak[[#This Row],[//]]="","",IF(INDEX(Table1[edited :],pajak[//]-offset)="","",INDEX(Table1[edited :],pajak[//]-offset)))</f>
        <v/>
      </c>
      <c r="R26" s="86">
        <f>IF(pajak[[#This Row],[Kode Sales :]]="","",MATCH(pajak[[#This Row],[Kode Sales :]],[2]Invoice!$D:$D,0))</f>
        <v>2628</v>
      </c>
      <c r="S26" s="86">
        <f>Table4[[#This Row],[cek_ppn]]+28</f>
        <v>2656</v>
      </c>
      <c r="T26" s="86" t="str">
        <f ca="1">IF(INDEX([2]Invoice!$K:$K,Table4[[#This Row],[cek_rekap(share)]])=pajak[[#This Row],[Total Invoice]],"-",FALSE)</f>
        <v>-</v>
      </c>
    </row>
    <row r="27" spans="1:20" x14ac:dyDescent="0.25">
      <c r="A27" s="88">
        <v>126</v>
      </c>
      <c r="D27" s="86">
        <f t="shared" si="1"/>
        <v>126</v>
      </c>
      <c r="E27" s="86" t="str">
        <f>IF(pajak[[#This Row],[//]]="","",INDEX(Table1[No. Invoice :],pajak[//]-offset))</f>
        <v>AM 23020025</v>
      </c>
      <c r="F27" s="90">
        <f>IF(pajak[[#This Row],[//]]="","",INDEX(Table1[Tgl Invoice :],pajak[//]-offset))</f>
        <v>44973</v>
      </c>
      <c r="G27" s="86" t="str">
        <f>IF(pajak[[#This Row],[//]]="","",INDEX(Table1[Kode Sales :],pajak[//]-offset))</f>
        <v>KO 1065</v>
      </c>
      <c r="H27" s="86" t="str">
        <f>IF(pajak[[#This Row],[//]]="","",INDEX(Table1[Toko],pajak[//]-offset))</f>
        <v>CV TRINITY CENTRAAL PURWOKERTO</v>
      </c>
      <c r="I27" s="89">
        <f ca="1">IF(pajak[[#This Row],[//]]="","",SUMIF(Table1[h_id],pajak[[#This Row],[//]],Table1[h_hargasebelumdiskon]))</f>
        <v>4089600</v>
      </c>
      <c r="J27" s="89">
        <f ca="1">IF(pajak[[#This Row],[//]]="","",SUMIF(Table1[h_id],pajak[[#This Row],[//]],Table1[h_diskon]))</f>
        <v>531648</v>
      </c>
      <c r="K27" s="89">
        <f ca="1">IF(pajak[[#This Row],[//]]="","",SUMIF(Table1[h_id],pajak[[#This Row],[//]],Table1[h_hargasetelahdiskon]))</f>
        <v>3557952</v>
      </c>
      <c r="L27" s="89">
        <f ca="1">IF(pajak[//]="","",pajak[[#This Row],[Sub Total]]/1.11*11%)</f>
        <v>352589.83783783781</v>
      </c>
      <c r="M27" s="89">
        <f ca="1">pajak[[#This Row],[Sub Total]]</f>
        <v>3557952</v>
      </c>
      <c r="N27" s="86" t="str">
        <f>IF(pajak[[#This Row],[//]]="","",INDEX(Table1[pembuat nota :],pajak[//]-offset))</f>
        <v>NOVI / CONDRO</v>
      </c>
      <c r="O27" s="86" t="str">
        <f>IF(pajak[[#This Row],[//]]="","",IF(INDEX(Table1[edited :],pajak[//]-offset)="","",INDEX(Table1[edited :],pajak[//]-offset)))</f>
        <v/>
      </c>
      <c r="R27" s="86">
        <f>IF(pajak[[#This Row],[Kode Sales :]]="","",MATCH(pajak[[#This Row],[Kode Sales :]],[2]Invoice!$D:$D,0))</f>
        <v>2742</v>
      </c>
      <c r="S27" s="86">
        <f>Table4[[#This Row],[cek_ppn]]+28</f>
        <v>2770</v>
      </c>
      <c r="T27" s="86" t="str">
        <f ca="1">IF(INDEX([2]Invoice!$K:$K,Table4[[#This Row],[cek_rekap(share)]])=pajak[[#This Row],[Total Invoice]],"-",FALSE)</f>
        <v>-</v>
      </c>
    </row>
    <row r="28" spans="1:20" x14ac:dyDescent="0.25">
      <c r="A28" s="88">
        <v>131</v>
      </c>
      <c r="D28" s="86">
        <f t="shared" ref="D28:D41" si="2">IF(ROW()-2&lt;=jNota,A28,"")</f>
        <v>131</v>
      </c>
      <c r="E28" s="86" t="str">
        <f>IF(pajak[[#This Row],[//]]="","",INDEX(Table1[No. Invoice :],pajak[//]-offset))</f>
        <v>AM 23020026</v>
      </c>
      <c r="F28" s="90">
        <f>IF(pajak[[#This Row],[//]]="","",INDEX(Table1[Tgl Invoice :],pajak[//]-offset))</f>
        <v>44978</v>
      </c>
      <c r="G28" s="86" t="str">
        <f>IF(pajak[[#This Row],[//]]="","",INDEX(Table1[Kode Sales :],pajak[//]-offset))</f>
        <v>KO 1103</v>
      </c>
      <c r="H28" s="86" t="str">
        <f>IF(pajak[[#This Row],[//]]="","",INDEX(Table1[Toko],pajak[//]-offset))</f>
        <v>CV  WISUDA PURWOKERTO</v>
      </c>
      <c r="I28" s="89">
        <f ca="1">IF(pajak[[#This Row],[//]]="","",SUMIF(Table1[h_id],pajak[[#This Row],[//]],Table1[h_hargasebelumdiskon]))</f>
        <v>3505200</v>
      </c>
      <c r="J28" s="89">
        <f ca="1">IF(pajak[[#This Row],[//]]="","",SUMIF(Table1[h_id],pajak[[#This Row],[//]],Table1[h_diskon]))</f>
        <v>350520</v>
      </c>
      <c r="K28" s="89">
        <f ca="1">IF(pajak[[#This Row],[//]]="","",SUMIF(Table1[h_id],pajak[[#This Row],[//]],Table1[h_hargasetelahdiskon]))</f>
        <v>3154680</v>
      </c>
      <c r="L28" s="89">
        <f ca="1">IF(pajak[//]="","",pajak[[#This Row],[Sub Total]]/1.11*11%)</f>
        <v>312625.94594594592</v>
      </c>
      <c r="M28" s="89">
        <f ca="1">pajak[[#This Row],[Sub Total]]</f>
        <v>3154680</v>
      </c>
      <c r="N28" s="86" t="str">
        <f>IF(pajak[[#This Row],[//]]="","",INDEX(Table1[pembuat nota :],pajak[//]-offset))</f>
        <v>NOVI / YO</v>
      </c>
      <c r="O28" s="86" t="str">
        <f>IF(pajak[[#This Row],[//]]="","",IF(INDEX(Table1[edited :],pajak[//]-offset)="","",INDEX(Table1[edited :],pajak[//]-offset)))</f>
        <v/>
      </c>
      <c r="P28"/>
      <c r="R28" s="86">
        <f>IF(pajak[[#This Row],[Kode Sales :]]="","",MATCH(pajak[[#This Row],[Kode Sales :]],[2]Invoice!$D:$D,0))</f>
        <v>2856</v>
      </c>
      <c r="S28" s="86">
        <f>Table4[[#This Row],[cek_ppn]]+28</f>
        <v>2884</v>
      </c>
      <c r="T28" s="86" t="str">
        <f ca="1">IF(INDEX([2]Invoice!$K:$K,Table4[[#This Row],[cek_rekap(share)]])=pajak[[#This Row],[Total Invoice]],"-",FALSE)</f>
        <v>-</v>
      </c>
    </row>
    <row r="29" spans="1:20" x14ac:dyDescent="0.25">
      <c r="A29" s="88">
        <v>136</v>
      </c>
      <c r="D29" s="86">
        <f t="shared" si="2"/>
        <v>136</v>
      </c>
      <c r="E29" s="86" t="str">
        <f>IF(pajak[[#This Row],[//]]="","",INDEX(Table1[No. Invoice :],pajak[//]-offset))</f>
        <v>AM 23020027</v>
      </c>
      <c r="F29" s="90">
        <f>IF(pajak[[#This Row],[//]]="","",INDEX(Table1[Tgl Invoice :],pajak[//]-offset))</f>
        <v>44978</v>
      </c>
      <c r="G29" s="86" t="str">
        <f>IF(pajak[[#This Row],[//]]="","",INDEX(Table1[Kode Sales :],pajak[//]-offset))</f>
        <v>KO 1106</v>
      </c>
      <c r="H29" s="86" t="str">
        <f>IF(pajak[[#This Row],[//]]="","",INDEX(Table1[Toko],pajak[//]-offset))</f>
        <v>CV DWI JAYA YOGYAKARTA</v>
      </c>
      <c r="I29" s="89">
        <f ca="1">IF(pajak[[#This Row],[//]]="","",SUMIF(Table1[h_id],pajak[[#This Row],[//]],Table1[h_hargasebelumdiskon]))</f>
        <v>2180400</v>
      </c>
      <c r="J29" s="89">
        <f ca="1">IF(pajak[[#This Row],[//]]="","",SUMIF(Table1[h_id],pajak[[#This Row],[//]],Table1[h_diskon]))</f>
        <v>218040</v>
      </c>
      <c r="K29" s="89">
        <f ca="1">IF(pajak[[#This Row],[//]]="","",SUMIF(Table1[h_id],pajak[[#This Row],[//]],Table1[h_hargasetelahdiskon]))</f>
        <v>1962360</v>
      </c>
      <c r="L29" s="89">
        <f ca="1">IF(pajak[//]="","",pajak[[#This Row],[Sub Total]]/1.11*11%)</f>
        <v>194468.10810810811</v>
      </c>
      <c r="M29" s="89">
        <f ca="1">pajak[[#This Row],[Sub Total]]</f>
        <v>1962360</v>
      </c>
      <c r="N29" s="86" t="str">
        <f>IF(pajak[[#This Row],[//]]="","",INDEX(Table1[pembuat nota :],pajak[//]-offset))</f>
        <v>NOVI / YO</v>
      </c>
      <c r="O29" s="86" t="str">
        <f>IF(pajak[[#This Row],[//]]="","",IF(INDEX(Table1[edited :],pajak[//]-offset)="","",INDEX(Table1[edited :],pajak[//]-offset)))</f>
        <v/>
      </c>
      <c r="R29" s="86">
        <f>IF(pajak[[#This Row],[Kode Sales :]]="","",MATCH(pajak[[#This Row],[Kode Sales :]],[2]Invoice!$D:$D,0))</f>
        <v>2970</v>
      </c>
      <c r="S29" s="86">
        <f>Table4[[#This Row],[cek_ppn]]+28</f>
        <v>2998</v>
      </c>
      <c r="T29" s="86" t="str">
        <f ca="1">IF(INDEX([2]Invoice!$K:$K,Table4[[#This Row],[cek_rekap(share)]])=pajak[[#This Row],[Total Invoice]],"-",FALSE)</f>
        <v>-</v>
      </c>
    </row>
    <row r="30" spans="1:20" x14ac:dyDescent="0.25">
      <c r="A30" s="88">
        <v>144</v>
      </c>
      <c r="D30" s="86">
        <f t="shared" si="2"/>
        <v>144</v>
      </c>
      <c r="E30" s="86" t="str">
        <f>IF(pajak[[#This Row],[//]]="","",INDEX(Table1[No. Invoice :],pajak[//]-offset))</f>
        <v>AM 23020028</v>
      </c>
      <c r="F30" s="90">
        <f>IF(pajak[[#This Row],[//]]="","",INDEX(Table1[Tgl Invoice :],pajak[//]-offset))</f>
        <v>44974</v>
      </c>
      <c r="G30" s="86" t="str">
        <f>IF(pajak[[#This Row],[//]]="","",INDEX(Table1[Kode Sales :],pajak[//]-offset))</f>
        <v>KO 0943</v>
      </c>
      <c r="H30" s="86" t="str">
        <f>IF(pajak[[#This Row],[//]]="","",INDEX(Table1[Toko],pajak[//]-offset))</f>
        <v>CV TRINITY CENTRAAL PURWOKERTO</v>
      </c>
      <c r="I30" s="89">
        <f ca="1">IF(pajak[[#This Row],[//]]="","",SUMIF(Table1[h_id],pajak[[#This Row],[//]],Table1[h_hargasebelumdiskon]))</f>
        <v>1056000</v>
      </c>
      <c r="J30" s="89">
        <f ca="1">IF(pajak[[#This Row],[//]]="","",SUMIF(Table1[h_id],pajak[[#This Row],[//]],Table1[h_diskon]))</f>
        <v>137280</v>
      </c>
      <c r="K30" s="89">
        <f ca="1">IF(pajak[[#This Row],[//]]="","",SUMIF(Table1[h_id],pajak[[#This Row],[//]],Table1[h_hargasetelahdiskon]))</f>
        <v>918720</v>
      </c>
      <c r="L30" s="89">
        <f ca="1">IF(pajak[//]="","",pajak[[#This Row],[Sub Total]]/1.11*11%)</f>
        <v>91044.32432432432</v>
      </c>
      <c r="M30" s="89">
        <f ca="1">pajak[[#This Row],[Sub Total]]</f>
        <v>918720</v>
      </c>
      <c r="N30" s="86" t="str">
        <f>IF(pajak[[#This Row],[//]]="","",INDEX(Table1[pembuat nota :],pajak[//]-offset))</f>
        <v>NOVI / CONDRO</v>
      </c>
      <c r="O30" s="86" t="str">
        <f>IF(pajak[[#This Row],[//]]="","",IF(INDEX(Table1[edited :],pajak[//]-offset)="","",INDEX(Table1[edited :],pajak[//]-offset)))</f>
        <v/>
      </c>
      <c r="R30" s="86">
        <f>IF(pajak[[#This Row],[Kode Sales :]]="","",MATCH(pajak[[#This Row],[Kode Sales :]],[2]Invoice!$D:$D,0))</f>
        <v>3084</v>
      </c>
      <c r="S30" s="86">
        <f>Table4[[#This Row],[cek_ppn]]+28</f>
        <v>3112</v>
      </c>
      <c r="T30" s="86" t="str">
        <f ca="1">IF(INDEX([2]Invoice!$K:$K,Table4[[#This Row],[cek_rekap(share)]])=pajak[[#This Row],[Total Invoice]],"-",FALSE)</f>
        <v>-</v>
      </c>
    </row>
    <row r="31" spans="1:20" x14ac:dyDescent="0.25">
      <c r="A31" s="88">
        <v>146</v>
      </c>
      <c r="D31" s="86">
        <f t="shared" si="2"/>
        <v>146</v>
      </c>
      <c r="E31" s="86" t="str">
        <f>IF(pajak[[#This Row],[//]]="","",INDEX(Table1[No. Invoice :],pajak[//]-offset))</f>
        <v>AM 23020029</v>
      </c>
      <c r="F31" s="90">
        <f>IF(pajak[[#This Row],[//]]="","",INDEX(Table1[Tgl Invoice :],pajak[//]-offset))</f>
        <v>44980</v>
      </c>
      <c r="G31" s="86" t="str">
        <f>IF(pajak[[#This Row],[//]]="","",INDEX(Table1[Kode Sales :],pajak[//]-offset))</f>
        <v>KO 1120</v>
      </c>
      <c r="H31" s="86" t="str">
        <f>IF(pajak[[#This Row],[//]]="","",INDEX(Table1[Toko],pajak[//]-offset))</f>
        <v>CV TRINITY CENTRAAL PURWOKERTO</v>
      </c>
      <c r="I31" s="89">
        <f ca="1">IF(pajak[[#This Row],[//]]="","",SUMIF(Table1[h_id],pajak[[#This Row],[//]],Table1[h_hargasebelumdiskon]))</f>
        <v>2988000</v>
      </c>
      <c r="J31" s="89">
        <f ca="1">IF(pajak[[#This Row],[//]]="","",SUMIF(Table1[h_id],pajak[[#This Row],[//]],Table1[h_diskon]))</f>
        <v>388440</v>
      </c>
      <c r="K31" s="89">
        <f ca="1">IF(pajak[[#This Row],[//]]="","",SUMIF(Table1[h_id],pajak[[#This Row],[//]],Table1[h_hargasetelahdiskon]))</f>
        <v>2599560</v>
      </c>
      <c r="L31" s="89">
        <f ca="1">IF(pajak[//]="","",pajak[[#This Row],[Sub Total]]/1.11*11%)</f>
        <v>257614.05405405402</v>
      </c>
      <c r="M31" s="89">
        <f ca="1">pajak[[#This Row],[Sub Total]]</f>
        <v>2599560</v>
      </c>
      <c r="N31" s="86" t="str">
        <f>IF(pajak[[#This Row],[//]]="","",INDEX(Table1[pembuat nota :],pajak[//]-offset))</f>
        <v>NOVI / CONDRO</v>
      </c>
      <c r="O31" s="86" t="str">
        <f>IF(pajak[[#This Row],[//]]="","",IF(INDEX(Table1[edited :],pajak[//]-offset)="","",INDEX(Table1[edited :],pajak[//]-offset)))</f>
        <v/>
      </c>
      <c r="R31" s="86">
        <f>IF(pajak[[#This Row],[Kode Sales :]]="","",MATCH(pajak[[#This Row],[Kode Sales :]],[2]Invoice!$D:$D,0))</f>
        <v>3198</v>
      </c>
      <c r="S31" s="86">
        <f>Table4[[#This Row],[cek_ppn]]+28</f>
        <v>3226</v>
      </c>
      <c r="T31" s="86" t="str">
        <f ca="1">IF(INDEX([2]Invoice!$K:$K,Table4[[#This Row],[cek_rekap(share)]])=pajak[[#This Row],[Total Invoice]],"-",FALSE)</f>
        <v>-</v>
      </c>
    </row>
    <row r="32" spans="1:20" x14ac:dyDescent="0.25">
      <c r="A32" s="88">
        <v>148</v>
      </c>
      <c r="D32" s="86">
        <f t="shared" si="2"/>
        <v>148</v>
      </c>
      <c r="E32" s="86" t="str">
        <f>IF(pajak[[#This Row],[//]]="","",INDEX(Table1[No. Invoice :],pajak[//]-offset))</f>
        <v>AM 23020030</v>
      </c>
      <c r="F32" s="90">
        <f>IF(pajak[[#This Row],[//]]="","",INDEX(Table1[Tgl Invoice :],pajak[//]-offset))</f>
        <v>44980</v>
      </c>
      <c r="G32" s="86" t="str">
        <f>IF(pajak[[#This Row],[//]]="","",INDEX(Table1[Kode Sales :],pajak[//]-offset))</f>
        <v>KO 1121</v>
      </c>
      <c r="H32" s="86" t="str">
        <f>IF(pajak[[#This Row],[//]]="","",INDEX(Table1[Toko],pajak[//]-offset))</f>
        <v>CV PELITA JAYA (ANUGERAH SEJAHTERA) PURWOKERTO</v>
      </c>
      <c r="I32" s="89">
        <f ca="1">IF(pajak[[#This Row],[//]]="","",SUMIF(Table1[h_id],pajak[[#This Row],[//]],Table1[h_hargasebelumdiskon]))</f>
        <v>5760000</v>
      </c>
      <c r="J32" s="89">
        <f ca="1">IF(pajak[[#This Row],[//]]="","",SUMIF(Table1[h_id],pajak[[#This Row],[//]],Table1[h_diskon]))</f>
        <v>777600</v>
      </c>
      <c r="K32" s="89">
        <f ca="1">IF(pajak[[#This Row],[//]]="","",SUMIF(Table1[h_id],pajak[[#This Row],[//]],Table1[h_hargasetelahdiskon]))</f>
        <v>4982400</v>
      </c>
      <c r="L32" s="89">
        <f ca="1">IF(pajak[//]="","",pajak[[#This Row],[Sub Total]]/1.11*11%)</f>
        <v>493751.35135135136</v>
      </c>
      <c r="M32" s="89">
        <f ca="1">pajak[[#This Row],[Sub Total]]</f>
        <v>4982400</v>
      </c>
      <c r="N32" s="86" t="str">
        <f>IF(pajak[[#This Row],[//]]="","",INDEX(Table1[pembuat nota :],pajak[//]-offset))</f>
        <v>NOVI / CONDRO</v>
      </c>
      <c r="O32" s="86" t="str">
        <f>IF(pajak[[#This Row],[//]]="","",IF(INDEX(Table1[edited :],pajak[//]-offset)="","",INDEX(Table1[edited :],pajak[//]-offset)))</f>
        <v/>
      </c>
      <c r="R32" s="86">
        <f>IF(pajak[[#This Row],[Kode Sales :]]="","",MATCH(pajak[[#This Row],[Kode Sales :]],[2]Invoice!$D:$D,0))</f>
        <v>3312</v>
      </c>
      <c r="S32" s="86">
        <f>Table4[[#This Row],[cek_ppn]]+28</f>
        <v>3340</v>
      </c>
      <c r="T32" s="86" t="str">
        <f ca="1">IF(INDEX([2]Invoice!$K:$K,Table4[[#This Row],[cek_rekap(share)]])=pajak[[#This Row],[Total Invoice]],"-",FALSE)</f>
        <v>-</v>
      </c>
    </row>
    <row r="33" spans="1:20" x14ac:dyDescent="0.25">
      <c r="A33" s="88">
        <v>150</v>
      </c>
      <c r="D33" s="86">
        <f t="shared" si="2"/>
        <v>150</v>
      </c>
      <c r="E33" s="86" t="str">
        <f>IF(pajak[[#This Row],[//]]="","",INDEX(Table1[No. Invoice :],pajak[//]-offset))</f>
        <v>AM 23020031</v>
      </c>
      <c r="F33" s="90">
        <f>IF(pajak[[#This Row],[//]]="","",INDEX(Table1[Tgl Invoice :],pajak[//]-offset))</f>
        <v>44980</v>
      </c>
      <c r="G33" s="86" t="str">
        <f>IF(pajak[[#This Row],[//]]="","",INDEX(Table1[Kode Sales :],pajak[//]-offset))</f>
        <v>KO 0725</v>
      </c>
      <c r="H33" s="86" t="str">
        <f>IF(pajak[[#This Row],[//]]="","",INDEX(Table1[Toko],pajak[//]-offset))</f>
        <v>CV RAINBOW NUSANTARA SIDOARJO</v>
      </c>
      <c r="I33" s="89">
        <f ca="1">IF(pajak[[#This Row],[//]]="","",SUMIF(Table1[h_id],pajak[[#This Row],[//]],Table1[h_hargasebelumdiskon]))</f>
        <v>3020400</v>
      </c>
      <c r="J33" s="89">
        <f ca="1">IF(pajak[[#This Row],[//]]="","",SUMIF(Table1[h_id],pajak[[#This Row],[//]],Table1[h_diskon]))</f>
        <v>437958</v>
      </c>
      <c r="K33" s="89">
        <f ca="1">IF(pajak[[#This Row],[//]]="","",SUMIF(Table1[h_id],pajak[[#This Row],[//]],Table1[h_hargasetelahdiskon]))</f>
        <v>2582442</v>
      </c>
      <c r="L33" s="89">
        <f ca="1">IF(pajak[//]="","",pajak[[#This Row],[Sub Total]]/1.11*11%)</f>
        <v>255917.67567567568</v>
      </c>
      <c r="M33" s="89">
        <f ca="1">pajak[[#This Row],[Sub Total]]</f>
        <v>2582442</v>
      </c>
      <c r="N33" s="86" t="str">
        <f>IF(pajak[[#This Row],[//]]="","",INDEX(Table1[pembuat nota :],pajak[//]-offset))</f>
        <v>NOVI / CONDRO</v>
      </c>
      <c r="O33" s="86" t="str">
        <f>IF(pajak[[#This Row],[//]]="","",IF(INDEX(Table1[edited :],pajak[//]-offset)="","",INDEX(Table1[edited :],pajak[//]-offset)))</f>
        <v/>
      </c>
      <c r="R33" s="86">
        <f>IF(pajak[[#This Row],[Kode Sales :]]="","",MATCH(pajak[[#This Row],[Kode Sales :]],[2]Invoice!$D:$D,0))</f>
        <v>3426</v>
      </c>
      <c r="S33" s="86">
        <f>Table4[[#This Row],[cek_ppn]]+28</f>
        <v>3454</v>
      </c>
      <c r="T33" s="86" t="str">
        <f ca="1">IF(INDEX([2]Invoice!$K:$K,Table4[[#This Row],[cek_rekap(share)]])=pajak[[#This Row],[Total Invoice]],"-",FALSE)</f>
        <v>-</v>
      </c>
    </row>
    <row r="34" spans="1:20" x14ac:dyDescent="0.25">
      <c r="A34" s="88">
        <v>157</v>
      </c>
      <c r="D34" s="86">
        <f t="shared" si="2"/>
        <v>157</v>
      </c>
      <c r="E34" s="86" t="str">
        <f>IF(pajak[[#This Row],[//]]="","",INDEX(Table1[No. Invoice :],pajak[//]-offset))</f>
        <v>AM 23020032</v>
      </c>
      <c r="F34" s="90">
        <f>IF(pajak[[#This Row],[//]]="","",INDEX(Table1[Tgl Invoice :],pajak[//]-offset))</f>
        <v>44980</v>
      </c>
      <c r="G34" s="86" t="str">
        <f>IF(pajak[[#This Row],[//]]="","",INDEX(Table1[Kode Sales :],pajak[//]-offset))</f>
        <v>KO 1124</v>
      </c>
      <c r="H34" s="86" t="str">
        <f>IF(pajak[[#This Row],[//]]="","",INDEX(Table1[Toko],pajak[//]-offset))</f>
        <v>CV SINAR CAHAYA NIRMALA BREBES</v>
      </c>
      <c r="I34" s="89">
        <f ca="1">IF(pajak[[#This Row],[//]]="","",SUMIF(Table1[h_id],pajak[[#This Row],[//]],Table1[h_hargasebelumdiskon]))</f>
        <v>1912800</v>
      </c>
      <c r="J34" s="89">
        <f ca="1">IF(pajak[[#This Row],[//]]="","",SUMIF(Table1[h_id],pajak[[#This Row],[//]],Table1[h_diskon]))</f>
        <v>191280</v>
      </c>
      <c r="K34" s="89">
        <f ca="1">IF(pajak[[#This Row],[//]]="","",SUMIF(Table1[h_id],pajak[[#This Row],[//]],Table1[h_hargasetelahdiskon]))</f>
        <v>1721520</v>
      </c>
      <c r="L34" s="89">
        <f ca="1">IF(pajak[//]="","",pajak[[#This Row],[Sub Total]]/1.11*11%)</f>
        <v>170601.08108108107</v>
      </c>
      <c r="M34" s="89">
        <f ca="1">pajak[[#This Row],[Sub Total]]</f>
        <v>1721520</v>
      </c>
      <c r="N34" s="86" t="str">
        <f>IF(pajak[[#This Row],[//]]="","",INDEX(Table1[pembuat nota :],pajak[//]-offset))</f>
        <v>NOVI / CONDRO</v>
      </c>
      <c r="O34" s="86" t="str">
        <f>IF(pajak[[#This Row],[//]]="","",IF(INDEX(Table1[edited :],pajak[//]-offset)="","",INDEX(Table1[edited :],pajak[//]-offset)))</f>
        <v/>
      </c>
      <c r="R34" s="86">
        <f>IF(pajak[[#This Row],[Kode Sales :]]="","",MATCH(pajak[[#This Row],[Kode Sales :]],[2]Invoice!$D:$D,0))</f>
        <v>3540</v>
      </c>
      <c r="S34" s="86">
        <f>Table4[[#This Row],[cek_ppn]]+28</f>
        <v>3568</v>
      </c>
      <c r="T34" s="86" t="str">
        <f ca="1">IF(INDEX([2]Invoice!$K:$K,Table4[[#This Row],[cek_rekap(share)]])=pajak[[#This Row],[Total Invoice]],"-",FALSE)</f>
        <v>-</v>
      </c>
    </row>
    <row r="35" spans="1:20" x14ac:dyDescent="0.25">
      <c r="A35" s="88">
        <v>168</v>
      </c>
      <c r="D35" s="86">
        <f t="shared" si="2"/>
        <v>168</v>
      </c>
      <c r="E35" s="86" t="str">
        <f>IF(pajak[[#This Row],[//]]="","",INDEX(Table1[No. Invoice :],pajak[//]-offset))</f>
        <v>AM 23020033</v>
      </c>
      <c r="F35" s="90">
        <f>IF(pajak[[#This Row],[//]]="","",INDEX(Table1[Tgl Invoice :],pajak[//]-offset))</f>
        <v>44980</v>
      </c>
      <c r="G35" s="86" t="str">
        <f>IF(pajak[[#This Row],[//]]="","",INDEX(Table1[Kode Sales :],pajak[//]-offset))</f>
        <v>KO 1073</v>
      </c>
      <c r="H35" s="86" t="str">
        <f>IF(pajak[[#This Row],[//]]="","",INDEX(Table1[Toko],pajak[//]-offset))</f>
        <v>CV TRINITY CENTRAAL PURWOKERTO</v>
      </c>
      <c r="I35" s="89">
        <f ca="1">IF(pajak[[#This Row],[//]]="","",SUMIF(Table1[h_id],pajak[[#This Row],[//]],Table1[h_hargasebelumdiskon]))</f>
        <v>4854000</v>
      </c>
      <c r="J35" s="89">
        <f ca="1">IF(pajak[[#This Row],[//]]="","",SUMIF(Table1[h_id],pajak[[#This Row],[//]],Table1[h_diskon]))</f>
        <v>631020</v>
      </c>
      <c r="K35" s="89">
        <f ca="1">IF(pajak[[#This Row],[//]]="","",SUMIF(Table1[h_id],pajak[[#This Row],[//]],Table1[h_hargasetelahdiskon]))</f>
        <v>4222980</v>
      </c>
      <c r="L35" s="89">
        <f ca="1">IF(pajak[//]="","",pajak[[#This Row],[Sub Total]]/1.11*11%)</f>
        <v>418493.51351351349</v>
      </c>
      <c r="M35" s="89">
        <f ca="1">pajak[[#This Row],[Sub Total]]</f>
        <v>4222980</v>
      </c>
      <c r="N35" s="86" t="str">
        <f>IF(pajak[[#This Row],[//]]="","",INDEX(Table1[pembuat nota :],pajak[//]-offset))</f>
        <v>NOVI / CONDRO</v>
      </c>
      <c r="O35" s="86" t="str">
        <f>IF(pajak[[#This Row],[//]]="","",IF(INDEX(Table1[edited :],pajak[//]-offset)="","",INDEX(Table1[edited :],pajak[//]-offset)))</f>
        <v/>
      </c>
      <c r="R35" s="86">
        <f>IF(pajak[[#This Row],[Kode Sales :]]="","",MATCH(pajak[[#This Row],[Kode Sales :]],[2]Invoice!$D:$D,0))</f>
        <v>3654</v>
      </c>
      <c r="S35" s="86">
        <f>Table4[[#This Row],[cek_ppn]]+28</f>
        <v>3682</v>
      </c>
      <c r="T35" s="86" t="str">
        <f ca="1">IF(INDEX([2]Invoice!$K:$K,Table4[[#This Row],[cek_rekap(share)]])=pajak[[#This Row],[Total Invoice]],"-",FALSE)</f>
        <v>-</v>
      </c>
    </row>
    <row r="36" spans="1:20" x14ac:dyDescent="0.25">
      <c r="A36" s="88">
        <v>173</v>
      </c>
      <c r="D36" s="86">
        <f t="shared" si="2"/>
        <v>173</v>
      </c>
      <c r="E36" s="86" t="str">
        <f>IF(pajak[[#This Row],[//]]="","",INDEX(Table1[No. Invoice :],pajak[//]-offset))</f>
        <v>AM 23020034</v>
      </c>
      <c r="F36" s="90">
        <f>IF(pajak[[#This Row],[//]]="","",INDEX(Table1[Tgl Invoice :],pajak[//]-offset))</f>
        <v>44980</v>
      </c>
      <c r="G36" s="86" t="str">
        <f>IF(pajak[[#This Row],[//]]="","",INDEX(Table1[Kode Sales :],pajak[//]-offset))</f>
        <v>KO 1125</v>
      </c>
      <c r="H36" s="86" t="str">
        <f>IF(pajak[[#This Row],[//]]="","",INDEX(Table1[Toko],pajak[//]-offset))</f>
        <v>SANTOSO BUDIONO (  ARMADA  ) PURWOKERTO</v>
      </c>
      <c r="I36" s="89">
        <f ca="1">IF(pajak[[#This Row],[//]]="","",SUMIF(Table1[h_id],pajak[[#This Row],[//]],Table1[h_hargasebelumdiskon]))</f>
        <v>3909600</v>
      </c>
      <c r="J36" s="89">
        <f ca="1">IF(pajak[[#This Row],[//]]="","",SUMIF(Table1[h_id],pajak[[#This Row],[//]],Table1[h_diskon]))</f>
        <v>527796</v>
      </c>
      <c r="K36" s="89">
        <f ca="1">IF(pajak[[#This Row],[//]]="","",SUMIF(Table1[h_id],pajak[[#This Row],[//]],Table1[h_hargasetelahdiskon]))</f>
        <v>3381804</v>
      </c>
      <c r="L36" s="89">
        <f ca="1">IF(pajak[//]="","",pajak[[#This Row],[Sub Total]]/1.11*11%)</f>
        <v>335133.7297297297</v>
      </c>
      <c r="M36" s="89">
        <f ca="1">pajak[[#This Row],[Sub Total]]</f>
        <v>3381804</v>
      </c>
      <c r="N36" s="86" t="str">
        <f>IF(pajak[[#This Row],[//]]="","",INDEX(Table1[pembuat nota :],pajak[//]-offset))</f>
        <v>NOVI / CONDRO</v>
      </c>
      <c r="O36" s="86" t="str">
        <f>IF(pajak[[#This Row],[//]]="","",IF(INDEX(Table1[edited :],pajak[//]-offset)="","",INDEX(Table1[edited :],pajak[//]-offset)))</f>
        <v/>
      </c>
      <c r="R36" s="86">
        <f>IF(pajak[[#This Row],[Kode Sales :]]="","",MATCH(pajak[[#This Row],[Kode Sales :]],[2]Invoice!$D:$D,0))</f>
        <v>3768</v>
      </c>
      <c r="S36" s="86">
        <f>Table4[[#This Row],[cek_ppn]]+28</f>
        <v>3796</v>
      </c>
      <c r="T36" s="86" t="str">
        <f ca="1">IF(INDEX([2]Invoice!$K:$K,Table4[[#This Row],[cek_rekap(share)]])=pajak[[#This Row],[Total Invoice]],"-",FALSE)</f>
        <v>-</v>
      </c>
    </row>
    <row r="37" spans="1:20" x14ac:dyDescent="0.25">
      <c r="A37" s="88">
        <v>175</v>
      </c>
      <c r="D37" s="86">
        <f t="shared" si="2"/>
        <v>175</v>
      </c>
      <c r="E37" s="86" t="str">
        <f>IF(pajak[[#This Row],[//]]="","",INDEX(Table1[No. Invoice :],pajak[//]-offset))</f>
        <v>AM 23020035</v>
      </c>
      <c r="F37" s="90">
        <f>IF(pajak[[#This Row],[//]]="","",INDEX(Table1[Tgl Invoice :],pajak[//]-offset))</f>
        <v>44981</v>
      </c>
      <c r="G37" s="86" t="str">
        <f>IF(pajak[[#This Row],[//]]="","",INDEX(Table1[Kode Sales :],pajak[//]-offset))</f>
        <v>KO 1138</v>
      </c>
      <c r="H37" s="86" t="str">
        <f>IF(pajak[[#This Row],[//]]="","",INDEX(Table1[Toko],pajak[//]-offset))</f>
        <v>HARNOYO (BENDAN) PEKALONGAN</v>
      </c>
      <c r="I37" s="89">
        <f ca="1">IF(pajak[[#This Row],[//]]="","",SUMIF(Table1[h_id],pajak[[#This Row],[//]],Table1[h_hargasebelumdiskon]))</f>
        <v>4990000</v>
      </c>
      <c r="J37" s="89">
        <f ca="1">IF(pajak[[#This Row],[//]]="","",SUMIF(Table1[h_id],pajak[[#This Row],[//]],Table1[h_diskon]))</f>
        <v>698600.00000000012</v>
      </c>
      <c r="K37" s="89">
        <f ca="1">IF(pajak[[#This Row],[//]]="","",SUMIF(Table1[h_id],pajak[[#This Row],[//]],Table1[h_hargasetelahdiskon]))</f>
        <v>4291400</v>
      </c>
      <c r="L37" s="89">
        <f ca="1">IF(pajak[//]="","",pajak[[#This Row],[Sub Total]]/1.11*11%)</f>
        <v>425273.87387387385</v>
      </c>
      <c r="M37" s="89">
        <f ca="1">pajak[[#This Row],[Sub Total]]</f>
        <v>4291400</v>
      </c>
      <c r="N37" s="86" t="str">
        <f>IF(pajak[[#This Row],[//]]="","",INDEX(Table1[pembuat nota :],pajak[//]-offset))</f>
        <v>NOVI / CONDRO</v>
      </c>
      <c r="O37" s="86" t="str">
        <f>IF(pajak[[#This Row],[//]]="","",IF(INDEX(Table1[edited :],pajak[//]-offset)="","",INDEX(Table1[edited :],pajak[//]-offset)))</f>
        <v/>
      </c>
      <c r="R37" s="86">
        <f>IF(pajak[[#This Row],[Kode Sales :]]="","",MATCH(pajak[[#This Row],[Kode Sales :]],[2]Invoice!$D:$D,0))</f>
        <v>3882</v>
      </c>
      <c r="S37" s="86">
        <f>Table4[[#This Row],[cek_ppn]]+28</f>
        <v>3910</v>
      </c>
      <c r="T37" s="86" t="str">
        <f ca="1">IF(INDEX([2]Invoice!$K:$K,Table4[[#This Row],[cek_rekap(share)]])=pajak[[#This Row],[Total Invoice]],"-",FALSE)</f>
        <v>-</v>
      </c>
    </row>
    <row r="38" spans="1:20" x14ac:dyDescent="0.25">
      <c r="A38" s="88">
        <v>179</v>
      </c>
      <c r="D38" s="86">
        <f t="shared" si="2"/>
        <v>179</v>
      </c>
      <c r="E38" s="86" t="str">
        <f>IF(pajak[[#This Row],[//]]="","",INDEX(Table1[No. Invoice :],pajak[//]-offset))</f>
        <v>AM 23020036</v>
      </c>
      <c r="F38" s="90">
        <f>IF(pajak[[#This Row],[//]]="","",INDEX(Table1[Tgl Invoice :],pajak[//]-offset))</f>
        <v>44982</v>
      </c>
      <c r="G38" s="86" t="str">
        <f>IF(pajak[[#This Row],[//]]="","",INDEX(Table1[Kode Sales :],pajak[//]-offset))</f>
        <v>KO 1146</v>
      </c>
      <c r="H38" s="86" t="str">
        <f>IF(pajak[[#This Row],[//]]="","",INDEX(Table1[Toko],pajak[//]-offset))</f>
        <v>HARNOYO (BENDAN) PEKALONGAN</v>
      </c>
      <c r="I38" s="89">
        <f ca="1">IF(pajak[[#This Row],[//]]="","",SUMIF(Table1[h_id],pajak[[#This Row],[//]],Table1[h_hargasebelumdiskon]))</f>
        <v>900000</v>
      </c>
      <c r="J38" s="89">
        <f ca="1">IF(pajak[[#This Row],[//]]="","",SUMIF(Table1[h_id],pajak[[#This Row],[//]],Table1[h_diskon]))</f>
        <v>126000.00000000001</v>
      </c>
      <c r="K38" s="89">
        <f ca="1">IF(pajak[[#This Row],[//]]="","",SUMIF(Table1[h_id],pajak[[#This Row],[//]],Table1[h_hargasetelahdiskon]))</f>
        <v>774000</v>
      </c>
      <c r="L38" s="89">
        <f ca="1">IF(pajak[//]="","",pajak[[#This Row],[Sub Total]]/1.11*11%)</f>
        <v>76702.702702702707</v>
      </c>
      <c r="M38" s="89">
        <f ca="1">pajak[[#This Row],[Sub Total]]</f>
        <v>774000</v>
      </c>
      <c r="N38" s="86" t="str">
        <f>IF(pajak[[#This Row],[//]]="","",INDEX(Table1[pembuat nota :],pajak[//]-offset))</f>
        <v>NOVI / CONDRO</v>
      </c>
      <c r="O38" s="86" t="str">
        <f>IF(pajak[[#This Row],[//]]="","",IF(INDEX(Table1[edited :],pajak[//]-offset)="","",INDEX(Table1[edited :],pajak[//]-offset)))</f>
        <v/>
      </c>
      <c r="R38" s="86">
        <f>IF(pajak[[#This Row],[Kode Sales :]]="","",MATCH(pajak[[#This Row],[Kode Sales :]],[2]Invoice!$D:$D,0))</f>
        <v>3996</v>
      </c>
      <c r="S38" s="86">
        <f>Table4[[#This Row],[cek_ppn]]+28</f>
        <v>4024</v>
      </c>
      <c r="T38" s="86" t="str">
        <f ca="1">IF(INDEX([2]Invoice!$K:$K,Table4[[#This Row],[cek_rekap(share)]])=pajak[[#This Row],[Total Invoice]],"-",FALSE)</f>
        <v>-</v>
      </c>
    </row>
    <row r="39" spans="1:20" x14ac:dyDescent="0.25">
      <c r="A39" s="88"/>
      <c r="D39" s="86" t="str">
        <f t="shared" si="2"/>
        <v/>
      </c>
      <c r="E39" s="86" t="str">
        <f>IF(pajak[[#This Row],[//]]="","",INDEX(Table1[No. Invoice :],pajak[//]-offset))</f>
        <v/>
      </c>
      <c r="F39" s="90" t="str">
        <f>IF(pajak[[#This Row],[//]]="","",INDEX(Table1[Tgl Invoice :],pajak[//]-offset))</f>
        <v/>
      </c>
      <c r="G39" s="86" t="str">
        <f>IF(pajak[[#This Row],[//]]="","",INDEX(Table1[Kode Sales :],pajak[//]-offset))</f>
        <v/>
      </c>
      <c r="H39" s="86" t="str">
        <f>IF(pajak[[#This Row],[//]]="","",INDEX(Table1[Toko],pajak[//]-offset))</f>
        <v/>
      </c>
      <c r="I39" s="89" t="str">
        <f>IF(pajak[[#This Row],[//]]="","",SUMIF(Table1[h_id],pajak[[#This Row],[//]],Table1[h_hargasebelumdiskon]))</f>
        <v/>
      </c>
      <c r="J39" s="89" t="str">
        <f>IF(pajak[[#This Row],[//]]="","",SUMIF(Table1[h_id],pajak[[#This Row],[//]],Table1[h_diskon]))</f>
        <v/>
      </c>
      <c r="K39" s="89" t="str">
        <f>IF(pajak[[#This Row],[//]]="","",SUMIF(Table1[h_id],pajak[[#This Row],[//]],Table1[h_hargasetelahdiskon]))</f>
        <v/>
      </c>
      <c r="L39" s="89" t="str">
        <f>IF(pajak[//]="","",pajak[[#This Row],[Sub Total]]/1.11*11%)</f>
        <v/>
      </c>
      <c r="M39" s="89" t="str">
        <f>pajak[[#This Row],[Sub Total]]</f>
        <v/>
      </c>
      <c r="N39" s="86" t="str">
        <f>IF(pajak[[#This Row],[//]]="","",INDEX(Table1[pembuat nota :],pajak[//]-offset))</f>
        <v/>
      </c>
      <c r="O39" s="86" t="str">
        <f>IF(pajak[[#This Row],[//]]="","",IF(INDEX(Table1[edited :],pajak[//]-offset)="","",INDEX(Table1[edited :],pajak[//]-offset)))</f>
        <v/>
      </c>
      <c r="R39" s="86" t="str">
        <f>IF(pajak[[#This Row],[Kode Sales :]]="","",MATCH(pajak[[#This Row],[Kode Sales :]],[2]Invoice!$D:$D,0))</f>
        <v/>
      </c>
      <c r="S39" s="86" t="e">
        <f>Table4[[#This Row],[cek_ppn]]+28</f>
        <v>#VALUE!</v>
      </c>
      <c r="T39" s="86" t="e">
        <f>IF(INDEX([2]Invoice!$K:$K,Table4[[#This Row],[cek_rekap(share)]])=pajak[[#This Row],[Total Invoice]],"-",FALSE)</f>
        <v>#VALUE!</v>
      </c>
    </row>
    <row r="40" spans="1:20" x14ac:dyDescent="0.25">
      <c r="A40" s="88" t="s">
        <v>55</v>
      </c>
      <c r="D40" s="86" t="str">
        <f t="shared" si="2"/>
        <v/>
      </c>
      <c r="E40" s="86" t="str">
        <f>IF(pajak[[#This Row],[//]]="","",INDEX(Table1[No. Invoice :],pajak[//]-offset))</f>
        <v/>
      </c>
      <c r="F40" s="90" t="str">
        <f>IF(pajak[[#This Row],[//]]="","",INDEX(Table1[Tgl Invoice :],pajak[//]-offset))</f>
        <v/>
      </c>
      <c r="G40" s="86" t="str">
        <f>IF(pajak[[#This Row],[//]]="","",INDEX(Table1[Kode Sales :],pajak[//]-offset))</f>
        <v/>
      </c>
      <c r="H40" s="86" t="str">
        <f>IF(pajak[[#This Row],[//]]="","",INDEX(Table1[Toko],pajak[//]-offset))</f>
        <v/>
      </c>
      <c r="I40" s="89" t="str">
        <f>IF(pajak[[#This Row],[//]]="","",SUMIF(Table1[h_id],pajak[[#This Row],[//]],Table1[h_hargasebelumdiskon]))</f>
        <v/>
      </c>
      <c r="J40" s="89" t="str">
        <f>IF(pajak[[#This Row],[//]]="","",SUMIF(Table1[h_id],pajak[[#This Row],[//]],Table1[h_diskon]))</f>
        <v/>
      </c>
      <c r="K40" s="89" t="str">
        <f>IF(pajak[[#This Row],[//]]="","",SUMIF(Table1[h_id],pajak[[#This Row],[//]],Table1[h_hargasetelahdiskon]))</f>
        <v/>
      </c>
      <c r="L40" s="89" t="str">
        <f>IF(pajak[//]="","",pajak[[#This Row],[Sub Total]]/1.11*11%)</f>
        <v/>
      </c>
      <c r="M40" s="89" t="str">
        <f>pajak[[#This Row],[Sub Total]]</f>
        <v/>
      </c>
      <c r="N40" s="86" t="str">
        <f>IF(pajak[[#This Row],[//]]="","",INDEX(Table1[pembuat nota :],pajak[//]-offset))</f>
        <v/>
      </c>
      <c r="O40" s="86" t="str">
        <f>IF(pajak[[#This Row],[//]]="","",IF(INDEX(Table1[edited :],pajak[//]-offset)="","",INDEX(Table1[edited :],pajak[//]-offset)))</f>
        <v/>
      </c>
      <c r="R40" s="86" t="str">
        <f>IF(pajak[[#This Row],[Kode Sales :]]="","",MATCH(pajak[[#This Row],[Kode Sales :]],[2]Invoice!$D:$D,0))</f>
        <v/>
      </c>
      <c r="S40" s="86" t="e">
        <f>Table4[[#This Row],[cek_ppn]]+28</f>
        <v>#VALUE!</v>
      </c>
      <c r="T40" s="86" t="e">
        <f>IF(INDEX([2]Invoice!$K:$K,Table4[[#This Row],[cek_rekap(share)]])=pajak[[#This Row],[Total Invoice]],"-",FALSE)</f>
        <v>#VALUE!</v>
      </c>
    </row>
    <row r="41" spans="1:20" x14ac:dyDescent="0.25">
      <c r="D41" s="86" t="str">
        <f t="shared" si="2"/>
        <v/>
      </c>
      <c r="E41" s="86" t="str">
        <f>IF(pajak[[#This Row],[//]]="","",INDEX(Table1[No. Invoice :],pajak[//]-offset))</f>
        <v/>
      </c>
      <c r="F41" s="90" t="str">
        <f>IF(pajak[[#This Row],[//]]="","",INDEX(Table1[Tgl Invoice :],pajak[//]-offset))</f>
        <v/>
      </c>
      <c r="G41" s="86" t="str">
        <f>IF(pajak[[#This Row],[//]]="","",INDEX(Table1[Kode Sales :],pajak[//]-offset))</f>
        <v/>
      </c>
      <c r="H41" s="86" t="str">
        <f>IF(pajak[[#This Row],[//]]="","",INDEX(Table1[Toko],pajak[//]-offset))</f>
        <v/>
      </c>
      <c r="I41" s="89" t="str">
        <f>IF(pajak[[#This Row],[//]]="","",SUMIF(Table1[h_id],pajak[[#This Row],[//]],Table1[h_hargasebelumdiskon]))</f>
        <v/>
      </c>
      <c r="J41" s="89" t="str">
        <f>IF(pajak[[#This Row],[//]]="","",SUMIF(Table1[h_id],pajak[[#This Row],[//]],Table1[h_diskon]))</f>
        <v/>
      </c>
      <c r="K41" s="89" t="str">
        <f>IF(pajak[[#This Row],[//]]="","",SUMIF(Table1[h_id],pajak[[#This Row],[//]],Table1[h_hargasetelahdiskon]))</f>
        <v/>
      </c>
      <c r="L41" s="89" t="str">
        <f>IF(pajak[//]="","",pajak[[#This Row],[Sub Total]]/1.11*11%)</f>
        <v/>
      </c>
      <c r="M41" s="89" t="str">
        <f>pajak[[#This Row],[Sub Total]]</f>
        <v/>
      </c>
      <c r="N41" s="86" t="str">
        <f>IF(pajak[[#This Row],[//]]="","",INDEX(Table1[pembuat nota :],pajak[//]-offset))</f>
        <v/>
      </c>
      <c r="O41" s="86" t="str">
        <f>IF(pajak[[#This Row],[//]]="","",IF(INDEX(Table1[edited :],pajak[//]-offset)="","",INDEX(Table1[edited :],pajak[//]-offset)))</f>
        <v/>
      </c>
      <c r="R41" s="86" t="str">
        <f>IF(pajak[[#This Row],[Kode Sales :]]="","",MATCH(pajak[[#This Row],[Kode Sales :]],[2]Invoice!$D:$D,0))</f>
        <v/>
      </c>
      <c r="S41" s="86" t="e">
        <f>Table4[[#This Row],[cek_ppn]]+28</f>
        <v>#VALUE!</v>
      </c>
      <c r="T41" s="86" t="e">
        <f>IF(INDEX([2]Invoice!$K:$K,Table4[[#This Row],[cek_rekap(share)]])=pajak[[#This Row],[Total Invoice]],"-",FALSE)</f>
        <v>#VALUE!</v>
      </c>
    </row>
    <row r="42" spans="1:20" x14ac:dyDescent="0.25">
      <c r="D42" s="86" t="str">
        <f t="shared" ref="D42:D55" si="3">IF(ROW()-2&lt;=jNota,A42,"")</f>
        <v/>
      </c>
      <c r="E42" s="86" t="str">
        <f>IF(pajak[[#This Row],[//]]="","",INDEX(Table1[No. Invoice :],pajak[//]-offset))</f>
        <v/>
      </c>
      <c r="F42" s="90" t="str">
        <f>IF(pajak[[#This Row],[//]]="","",INDEX(Table1[Tgl Invoice :],pajak[//]-offset))</f>
        <v/>
      </c>
      <c r="G42" s="86" t="str">
        <f>IF(pajak[[#This Row],[//]]="","",INDEX(Table1[Kode Sales :],pajak[//]-offset))</f>
        <v/>
      </c>
      <c r="H42" s="86" t="str">
        <f>IF(pajak[[#This Row],[//]]="","",INDEX(Table1[Toko],pajak[//]-offset))</f>
        <v/>
      </c>
      <c r="I42" s="89" t="str">
        <f>IF(pajak[[#This Row],[//]]="","",SUMIF(Table1[h_id],pajak[[#This Row],[//]],Table1[h_hargasebelumdiskon]))</f>
        <v/>
      </c>
      <c r="J42" s="89" t="str">
        <f>IF(pajak[[#This Row],[//]]="","",SUMIF(Table1[h_id],pajak[[#This Row],[//]],Table1[h_diskon]))</f>
        <v/>
      </c>
      <c r="K42" s="89" t="str">
        <f>IF(pajak[[#This Row],[//]]="","",SUMIF(Table1[h_id],pajak[[#This Row],[//]],Table1[h_hargasetelahdiskon]))</f>
        <v/>
      </c>
      <c r="L42" s="89" t="str">
        <f>IF(pajak[//]="","",pajak[[#This Row],[Sub Total]]/1.11*11%)</f>
        <v/>
      </c>
      <c r="M42" s="89" t="str">
        <f>pajak[[#This Row],[Sub Total]]</f>
        <v/>
      </c>
      <c r="N42" s="86" t="str">
        <f>IF(pajak[[#This Row],[//]]="","",INDEX(Table1[pembuat nota :],pajak[//]-offset))</f>
        <v/>
      </c>
      <c r="O42" s="86" t="str">
        <f>IF(pajak[[#This Row],[//]]="","",IF(INDEX(Table1[edited :],pajak[//]-offset)="","",INDEX(Table1[edited :],pajak[//]-offset)))</f>
        <v/>
      </c>
      <c r="R42" s="86" t="str">
        <f>IF(pajak[[#This Row],[Kode Sales :]]="","",MATCH(pajak[[#This Row],[Kode Sales :]],[2]Invoice!$D:$D,0))</f>
        <v/>
      </c>
      <c r="S42" s="86" t="e">
        <f>Table4[[#This Row],[cek_ppn]]+28</f>
        <v>#VALUE!</v>
      </c>
      <c r="T42" s="86" t="e">
        <f>IF(INDEX([2]Invoice!$K:$K,Table4[[#This Row],[cek_rekap(share)]])=pajak[[#This Row],[Total Invoice]],"-",FALSE)</f>
        <v>#VALUE!</v>
      </c>
    </row>
    <row r="43" spans="1:20" x14ac:dyDescent="0.25">
      <c r="D43" s="86" t="str">
        <f t="shared" si="3"/>
        <v/>
      </c>
      <c r="E43" s="86" t="str">
        <f>IF(pajak[[#This Row],[//]]="","",INDEX(Table1[No. Invoice :],pajak[//]-offset))</f>
        <v/>
      </c>
      <c r="F43" s="90" t="str">
        <f>IF(pajak[[#This Row],[//]]="","",INDEX(Table1[Tgl Invoice :],pajak[//]-offset))</f>
        <v/>
      </c>
      <c r="G43" s="86" t="str">
        <f>IF(pajak[[#This Row],[//]]="","",INDEX(Table1[Kode Sales :],pajak[//]-offset))</f>
        <v/>
      </c>
      <c r="H43" s="86" t="str">
        <f>IF(pajak[[#This Row],[//]]="","",INDEX(Table1[Toko],pajak[//]-offset))</f>
        <v/>
      </c>
      <c r="I43" s="89" t="str">
        <f>IF(pajak[[#This Row],[//]]="","",SUMIF(Table1[h_id],pajak[[#This Row],[//]],Table1[h_hargasebelumdiskon]))</f>
        <v/>
      </c>
      <c r="J43" s="89" t="str">
        <f>IF(pajak[[#This Row],[//]]="","",SUMIF(Table1[h_id],pajak[[#This Row],[//]],Table1[h_diskon]))</f>
        <v/>
      </c>
      <c r="K43" s="89" t="str">
        <f>IF(pajak[[#This Row],[//]]="","",SUMIF(Table1[h_id],pajak[[#This Row],[//]],Table1[h_hargasetelahdiskon]))</f>
        <v/>
      </c>
      <c r="L43" s="89" t="str">
        <f>IF(pajak[//]="","",pajak[[#This Row],[Sub Total]]/1.11*11%)</f>
        <v/>
      </c>
      <c r="M43" s="89" t="str">
        <f>pajak[[#This Row],[Sub Total]]</f>
        <v/>
      </c>
      <c r="N43" s="86" t="str">
        <f>IF(pajak[[#This Row],[//]]="","",INDEX(Table1[pembuat nota :],pajak[//]-offset))</f>
        <v/>
      </c>
      <c r="O43" s="86" t="str">
        <f>IF(pajak[[#This Row],[//]]="","",IF(INDEX(Table1[edited :],pajak[//]-offset)="","",INDEX(Table1[edited :],pajak[//]-offset)))</f>
        <v/>
      </c>
      <c r="R43" s="86" t="str">
        <f>IF(pajak[[#This Row],[Kode Sales :]]="","",MATCH(pajak[[#This Row],[Kode Sales :]],[2]Invoice!$D:$D,0))</f>
        <v/>
      </c>
      <c r="S43" s="86" t="e">
        <f>Table4[[#This Row],[cek_ppn]]+28</f>
        <v>#VALUE!</v>
      </c>
      <c r="T43" s="86" t="e">
        <f>IF(INDEX([2]Invoice!$K:$K,Table4[[#This Row],[cek_rekap(share)]])=pajak[[#This Row],[Total Invoice]],"-",FALSE)</f>
        <v>#VALUE!</v>
      </c>
    </row>
    <row r="44" spans="1:20" x14ac:dyDescent="0.25">
      <c r="D44" s="86" t="str">
        <f t="shared" si="3"/>
        <v/>
      </c>
      <c r="E44" s="86" t="str">
        <f>IF(pajak[[#This Row],[//]]="","",INDEX(Table1[No. Invoice :],pajak[//]-offset))</f>
        <v/>
      </c>
      <c r="F44" s="90" t="str">
        <f>IF(pajak[[#This Row],[//]]="","",INDEX(Table1[Tgl Invoice :],pajak[//]-offset))</f>
        <v/>
      </c>
      <c r="G44" s="86" t="str">
        <f>IF(pajak[[#This Row],[//]]="","",INDEX(Table1[Kode Sales :],pajak[//]-offset))</f>
        <v/>
      </c>
      <c r="H44" s="86" t="str">
        <f>IF(pajak[[#This Row],[//]]="","",INDEX(Table1[Toko],pajak[//]-offset))</f>
        <v/>
      </c>
      <c r="I44" s="89" t="str">
        <f>IF(pajak[[#This Row],[//]]="","",SUMIF(Table1[h_id],pajak[[#This Row],[//]],Table1[h_hargasebelumdiskon]))</f>
        <v/>
      </c>
      <c r="J44" s="89" t="str">
        <f>IF(pajak[[#This Row],[//]]="","",SUMIF(Table1[h_id],pajak[[#This Row],[//]],Table1[h_diskon]))</f>
        <v/>
      </c>
      <c r="K44" s="89" t="str">
        <f>IF(pajak[[#This Row],[//]]="","",SUMIF(Table1[h_id],pajak[[#This Row],[//]],Table1[h_hargasetelahdiskon]))</f>
        <v/>
      </c>
      <c r="L44" s="89" t="str">
        <f>IF(pajak[//]="","",pajak[[#This Row],[Sub Total]]/1.11*11%)</f>
        <v/>
      </c>
      <c r="M44" s="89" t="str">
        <f>pajak[[#This Row],[Sub Total]]</f>
        <v/>
      </c>
      <c r="N44" s="86" t="str">
        <f>IF(pajak[[#This Row],[//]]="","",INDEX(Table1[pembuat nota :],pajak[//]-offset))</f>
        <v/>
      </c>
      <c r="O44" s="86" t="str">
        <f>IF(pajak[[#This Row],[//]]="","",IF(INDEX(Table1[edited :],pajak[//]-offset)="","",INDEX(Table1[edited :],pajak[//]-offset)))</f>
        <v/>
      </c>
      <c r="R44" s="86" t="str">
        <f>IF(pajak[[#This Row],[Kode Sales :]]="","",MATCH(pajak[[#This Row],[Kode Sales :]],[2]Invoice!$D:$D,0))</f>
        <v/>
      </c>
      <c r="S44" s="86" t="e">
        <f>Table4[[#This Row],[cek_ppn]]+28</f>
        <v>#VALUE!</v>
      </c>
      <c r="T44" s="86" t="e">
        <f>IF(INDEX([2]Invoice!$K:$K,Table4[[#This Row],[cek_rekap(share)]])=pajak[[#This Row],[Total Invoice]],"-",FALSE)</f>
        <v>#VALUE!</v>
      </c>
    </row>
    <row r="45" spans="1:20" x14ac:dyDescent="0.25">
      <c r="D45" s="86" t="str">
        <f t="shared" si="3"/>
        <v/>
      </c>
      <c r="E45" s="86" t="str">
        <f>IF(pajak[[#This Row],[//]]="","",INDEX(Table1[No. Invoice :],pajak[//]-offset))</f>
        <v/>
      </c>
      <c r="F45" s="90" t="str">
        <f>IF(pajak[[#This Row],[//]]="","",INDEX(Table1[Tgl Invoice :],pajak[//]-offset))</f>
        <v/>
      </c>
      <c r="G45" s="86" t="str">
        <f>IF(pajak[[#This Row],[//]]="","",INDEX(Table1[Kode Sales :],pajak[//]-offset))</f>
        <v/>
      </c>
      <c r="H45" s="86" t="str">
        <f>IF(pajak[[#This Row],[//]]="","",INDEX(Table1[Toko],pajak[//]-offset))</f>
        <v/>
      </c>
      <c r="I45" s="89" t="str">
        <f>IF(pajak[[#This Row],[//]]="","",SUMIF(Table1[h_id],pajak[[#This Row],[//]],Table1[h_hargasebelumdiskon]))</f>
        <v/>
      </c>
      <c r="J45" s="89" t="str">
        <f>IF(pajak[[#This Row],[//]]="","",SUMIF(Table1[h_id],pajak[[#This Row],[//]],Table1[h_diskon]))</f>
        <v/>
      </c>
      <c r="K45" s="89" t="str">
        <f>IF(pajak[[#This Row],[//]]="","",SUMIF(Table1[h_id],pajak[[#This Row],[//]],Table1[h_hargasetelahdiskon]))</f>
        <v/>
      </c>
      <c r="L45" s="89" t="str">
        <f>IF(pajak[//]="","",pajak[[#This Row],[Sub Total]]/1.11*11%)</f>
        <v/>
      </c>
      <c r="M45" s="89" t="str">
        <f>pajak[[#This Row],[Sub Total]]</f>
        <v/>
      </c>
      <c r="N45" s="86" t="str">
        <f>IF(pajak[[#This Row],[//]]="","",INDEX(Table1[pembuat nota :],pajak[//]-offset))</f>
        <v/>
      </c>
      <c r="O45" s="86" t="str">
        <f>IF(pajak[[#This Row],[//]]="","",IF(INDEX(Table1[edited :],pajak[//]-offset)="","",INDEX(Table1[edited :],pajak[//]-offset)))</f>
        <v/>
      </c>
      <c r="R45" s="86" t="str">
        <f>IF(pajak[[#This Row],[Kode Sales :]]="","",MATCH(pajak[[#This Row],[Kode Sales :]],[2]Invoice!$D:$D,0))</f>
        <v/>
      </c>
      <c r="S45" s="86" t="e">
        <f>Table4[[#This Row],[cek_ppn]]+28</f>
        <v>#VALUE!</v>
      </c>
      <c r="T45" s="86" t="e">
        <f>IF(INDEX([2]Invoice!$K:$K,Table4[[#This Row],[cek_rekap(share)]])=pajak[[#This Row],[Total Invoice]],"-",FALSE)</f>
        <v>#VALUE!</v>
      </c>
    </row>
    <row r="46" spans="1:20" x14ac:dyDescent="0.25">
      <c r="D46" s="86" t="str">
        <f t="shared" si="3"/>
        <v/>
      </c>
      <c r="E46" s="86" t="str">
        <f>IF(pajak[[#This Row],[//]]="","",INDEX(Table1[No. Invoice :],pajak[//]-offset))</f>
        <v/>
      </c>
      <c r="F46" s="90" t="str">
        <f>IF(pajak[[#This Row],[//]]="","",INDEX(Table1[Tgl Invoice :],pajak[//]-offset))</f>
        <v/>
      </c>
      <c r="G46" s="86" t="str">
        <f>IF(pajak[[#This Row],[//]]="","",INDEX(Table1[Kode Sales :],pajak[//]-offset))</f>
        <v/>
      </c>
      <c r="H46" s="86" t="str">
        <f>IF(pajak[[#This Row],[//]]="","",INDEX(Table1[Toko],pajak[//]-offset))</f>
        <v/>
      </c>
      <c r="I46" s="89" t="str">
        <f>IF(pajak[[#This Row],[//]]="","",SUMIF(Table1[h_id],pajak[[#This Row],[//]],Table1[h_hargasebelumdiskon]))</f>
        <v/>
      </c>
      <c r="J46" s="89" t="str">
        <f>IF(pajak[[#This Row],[//]]="","",SUMIF(Table1[h_id],pajak[[#This Row],[//]],Table1[h_diskon]))</f>
        <v/>
      </c>
      <c r="K46" s="89" t="str">
        <f>IF(pajak[[#This Row],[//]]="","",SUMIF(Table1[h_id],pajak[[#This Row],[//]],Table1[h_hargasetelahdiskon]))</f>
        <v/>
      </c>
      <c r="L46" s="89" t="str">
        <f>IF(pajak[//]="","",pajak[[#This Row],[Sub Total]]/1.11*11%)</f>
        <v/>
      </c>
      <c r="M46" s="89" t="str">
        <f>pajak[[#This Row],[Sub Total]]</f>
        <v/>
      </c>
      <c r="N46" s="86" t="str">
        <f>IF(pajak[[#This Row],[//]]="","",INDEX(Table1[pembuat nota :],pajak[//]-offset))</f>
        <v/>
      </c>
      <c r="O46" s="86" t="str">
        <f>IF(pajak[[#This Row],[//]]="","",IF(INDEX(Table1[edited :],pajak[//]-offset)="","",INDEX(Table1[edited :],pajak[//]-offset)))</f>
        <v/>
      </c>
      <c r="R46" s="86" t="str">
        <f>IF(pajak[[#This Row],[Kode Sales :]]="","",MATCH(pajak[[#This Row],[Kode Sales :]],[2]Invoice!$D:$D,0))</f>
        <v/>
      </c>
      <c r="S46" s="86" t="e">
        <f>Table4[[#This Row],[cek_ppn]]+28</f>
        <v>#VALUE!</v>
      </c>
      <c r="T46" s="86" t="e">
        <f>IF(INDEX([2]Invoice!$K:$K,Table4[[#This Row],[cek_rekap(share)]])=pajak[[#This Row],[Total Invoice]],"-",FALSE)</f>
        <v>#VALUE!</v>
      </c>
    </row>
    <row r="47" spans="1:20" x14ac:dyDescent="0.25">
      <c r="D47" s="86" t="str">
        <f t="shared" si="3"/>
        <v/>
      </c>
      <c r="E47" s="86" t="str">
        <f>IF(pajak[[#This Row],[//]]="","",INDEX(Table1[No. Invoice :],pajak[//]-offset))</f>
        <v/>
      </c>
      <c r="F47" s="90" t="str">
        <f>IF(pajak[[#This Row],[//]]="","",INDEX(Table1[Tgl Invoice :],pajak[//]-offset))</f>
        <v/>
      </c>
      <c r="G47" s="86" t="str">
        <f>IF(pajak[[#This Row],[//]]="","",INDEX(Table1[Kode Sales :],pajak[//]-offset))</f>
        <v/>
      </c>
      <c r="H47" s="86" t="str">
        <f>IF(pajak[[#This Row],[//]]="","",INDEX(Table1[Toko],pajak[//]-offset))</f>
        <v/>
      </c>
      <c r="I47" s="89" t="str">
        <f>IF(pajak[[#This Row],[//]]="","",SUMIF(Table1[h_id],pajak[[#This Row],[//]],Table1[h_hargasebelumdiskon]))</f>
        <v/>
      </c>
      <c r="J47" s="89" t="str">
        <f>IF(pajak[[#This Row],[//]]="","",SUMIF(Table1[h_id],pajak[[#This Row],[//]],Table1[h_diskon]))</f>
        <v/>
      </c>
      <c r="K47" s="89" t="str">
        <f>IF(pajak[[#This Row],[//]]="","",SUMIF(Table1[h_id],pajak[[#This Row],[//]],Table1[h_hargasetelahdiskon]))</f>
        <v/>
      </c>
      <c r="L47" s="89" t="str">
        <f>IF(pajak[//]="","",pajak[[#This Row],[Sub Total]]/1.11*11%)</f>
        <v/>
      </c>
      <c r="M47" s="89" t="str">
        <f>pajak[[#This Row],[Sub Total]]</f>
        <v/>
      </c>
      <c r="N47" s="86" t="str">
        <f>IF(pajak[[#This Row],[//]]="","",INDEX(Table1[pembuat nota :],pajak[//]-offset))</f>
        <v/>
      </c>
      <c r="O47" s="86" t="str">
        <f>IF(pajak[[#This Row],[//]]="","",IF(INDEX(Table1[edited :],pajak[//]-offset)="","",INDEX(Table1[edited :],pajak[//]-offset)))</f>
        <v/>
      </c>
      <c r="R47" s="86" t="str">
        <f>IF(pajak[[#This Row],[Kode Sales :]]="","",MATCH(pajak[[#This Row],[Kode Sales :]],[2]Invoice!$D:$D,0))</f>
        <v/>
      </c>
      <c r="S47" s="86" t="e">
        <f>Table4[[#This Row],[cek_ppn]]+28</f>
        <v>#VALUE!</v>
      </c>
      <c r="T47" s="86" t="e">
        <f>IF(INDEX([2]Invoice!$K:$K,Table4[[#This Row],[cek_rekap(share)]])=pajak[[#This Row],[Total Invoice]],"-",FALSE)</f>
        <v>#VALUE!</v>
      </c>
    </row>
    <row r="48" spans="1:20" x14ac:dyDescent="0.25">
      <c r="D48" s="86" t="str">
        <f t="shared" si="3"/>
        <v/>
      </c>
      <c r="E48" s="86" t="str">
        <f>IF(pajak[[#This Row],[//]]="","",INDEX(Table1[No. Invoice :],pajak[//]-offset))</f>
        <v/>
      </c>
      <c r="F48" s="90" t="str">
        <f>IF(pajak[[#This Row],[//]]="","",INDEX(Table1[Tgl Invoice :],pajak[//]-offset))</f>
        <v/>
      </c>
      <c r="G48" s="86" t="str">
        <f>IF(pajak[[#This Row],[//]]="","",INDEX(Table1[Kode Sales :],pajak[//]-offset))</f>
        <v/>
      </c>
      <c r="H48" s="86" t="str">
        <f>IF(pajak[[#This Row],[//]]="","",INDEX(Table1[Toko],pajak[//]-offset))</f>
        <v/>
      </c>
      <c r="I48" s="89" t="str">
        <f>IF(pajak[[#This Row],[//]]="","",SUMIF(Table1[h_id],pajak[[#This Row],[//]],Table1[h_hargasebelumdiskon]))</f>
        <v/>
      </c>
      <c r="J48" s="89" t="str">
        <f>IF(pajak[[#This Row],[//]]="","",SUMIF(Table1[h_id],pajak[[#This Row],[//]],Table1[h_diskon]))</f>
        <v/>
      </c>
      <c r="K48" s="89" t="str">
        <f>IF(pajak[[#This Row],[//]]="","",SUMIF(Table1[h_id],pajak[[#This Row],[//]],Table1[h_hargasetelahdiskon]))</f>
        <v/>
      </c>
      <c r="L48" s="89" t="str">
        <f>IF(pajak[//]="","",pajak[[#This Row],[Sub Total]]/1.11*11%)</f>
        <v/>
      </c>
      <c r="M48" s="89" t="str">
        <f>pajak[[#This Row],[Sub Total]]</f>
        <v/>
      </c>
      <c r="N48" s="86" t="str">
        <f>IF(pajak[[#This Row],[//]]="","",INDEX(Table1[pembuat nota :],pajak[//]-offset))</f>
        <v/>
      </c>
      <c r="O48" s="86" t="str">
        <f>IF(pajak[[#This Row],[//]]="","",IF(INDEX(Table1[edited :],pajak[//]-offset)="","",INDEX(Table1[edited :],pajak[//]-offset)))</f>
        <v/>
      </c>
      <c r="R48" s="86" t="str">
        <f>IF(pajak[[#This Row],[Kode Sales :]]="","",MATCH(pajak[[#This Row],[Kode Sales :]],[2]Invoice!$D:$D,0))</f>
        <v/>
      </c>
      <c r="S48" s="86" t="e">
        <f>Table4[[#This Row],[cek_ppn]]+28</f>
        <v>#VALUE!</v>
      </c>
      <c r="T48" s="86" t="e">
        <f>IF(INDEX([2]Invoice!$K:$K,Table4[[#This Row],[cek_rekap(share)]])=pajak[[#This Row],[Total Invoice]],"-",FALSE)</f>
        <v>#VALUE!</v>
      </c>
    </row>
    <row r="49" spans="4:20" x14ac:dyDescent="0.25">
      <c r="D49" s="86" t="str">
        <f t="shared" si="3"/>
        <v/>
      </c>
      <c r="E49" s="86" t="str">
        <f>IF(pajak[[#This Row],[//]]="","",INDEX(Table1[No. Invoice :],pajak[//]-offset))</f>
        <v/>
      </c>
      <c r="F49" s="90" t="str">
        <f>IF(pajak[[#This Row],[//]]="","",INDEX(Table1[Tgl Invoice :],pajak[//]-offset))</f>
        <v/>
      </c>
      <c r="G49" s="86" t="str">
        <f>IF(pajak[[#This Row],[//]]="","",INDEX(Table1[Kode Sales :],pajak[//]-offset))</f>
        <v/>
      </c>
      <c r="H49" s="86" t="str">
        <f>IF(pajak[[#This Row],[//]]="","",INDEX(Table1[Toko],pajak[//]-offset))</f>
        <v/>
      </c>
      <c r="I49" s="89" t="str">
        <f>IF(pajak[[#This Row],[//]]="","",SUMIF(Table1[h_id],pajak[[#This Row],[//]],Table1[h_hargasebelumdiskon]))</f>
        <v/>
      </c>
      <c r="J49" s="89" t="str">
        <f>IF(pajak[[#This Row],[//]]="","",SUMIF(Table1[h_id],pajak[[#This Row],[//]],Table1[h_diskon]))</f>
        <v/>
      </c>
      <c r="K49" s="89" t="str">
        <f>IF(pajak[[#This Row],[//]]="","",SUMIF(Table1[h_id],pajak[[#This Row],[//]],Table1[h_hargasetelahdiskon]))</f>
        <v/>
      </c>
      <c r="L49" s="89" t="str">
        <f>IF(pajak[//]="","",pajak[[#This Row],[Sub Total]]/1.11*11%)</f>
        <v/>
      </c>
      <c r="M49" s="89" t="str">
        <f>pajak[[#This Row],[Sub Total]]</f>
        <v/>
      </c>
      <c r="N49" s="86" t="str">
        <f>IF(pajak[[#This Row],[//]]="","",INDEX(Table1[pembuat nota :],pajak[//]-offset))</f>
        <v/>
      </c>
      <c r="O49" s="86" t="str">
        <f>IF(pajak[[#This Row],[//]]="","",IF(INDEX(Table1[edited :],pajak[//]-offset)="","",INDEX(Table1[edited :],pajak[//]-offset)))</f>
        <v/>
      </c>
      <c r="R49" s="86" t="str">
        <f>IF(pajak[[#This Row],[Kode Sales :]]="","",MATCH(pajak[[#This Row],[Kode Sales :]],[2]Invoice!$D:$D,0))</f>
        <v/>
      </c>
      <c r="S49" s="86" t="e">
        <f>Table4[[#This Row],[cek_ppn]]+28</f>
        <v>#VALUE!</v>
      </c>
      <c r="T49" s="86" t="e">
        <f>IF(INDEX([2]Invoice!$K:$K,Table4[[#This Row],[cek_rekap(share)]])=pajak[[#This Row],[Total Invoice]],"-",FALSE)</f>
        <v>#VALUE!</v>
      </c>
    </row>
    <row r="50" spans="4:20" x14ac:dyDescent="0.25">
      <c r="D50" s="86" t="str">
        <f t="shared" si="3"/>
        <v/>
      </c>
      <c r="E50" s="86" t="str">
        <f>IF(pajak[[#This Row],[//]]="","",INDEX(Table1[No. Invoice :],pajak[//]-offset))</f>
        <v/>
      </c>
      <c r="F50" s="90" t="str">
        <f>IF(pajak[[#This Row],[//]]="","",INDEX(Table1[Tgl Invoice :],pajak[//]-offset))</f>
        <v/>
      </c>
      <c r="G50" s="86" t="str">
        <f>IF(pajak[[#This Row],[//]]="","",INDEX(Table1[Kode Sales :],pajak[//]-offset))</f>
        <v/>
      </c>
      <c r="H50" s="86" t="str">
        <f>IF(pajak[[#This Row],[//]]="","",INDEX(Table1[Toko],pajak[//]-offset))</f>
        <v/>
      </c>
      <c r="I50" s="89" t="str">
        <f>IF(pajak[[#This Row],[//]]="","",SUMIF(Table1[h_id],pajak[[#This Row],[//]],Table1[h_hargasebelumdiskon]))</f>
        <v/>
      </c>
      <c r="J50" s="89" t="str">
        <f>IF(pajak[[#This Row],[//]]="","",SUMIF(Table1[h_id],pajak[[#This Row],[//]],Table1[h_diskon]))</f>
        <v/>
      </c>
      <c r="K50" s="89" t="str">
        <f>IF(pajak[[#This Row],[//]]="","",SUMIF(Table1[h_id],pajak[[#This Row],[//]],Table1[h_hargasetelahdiskon]))</f>
        <v/>
      </c>
      <c r="L50" s="89" t="str">
        <f>IF(pajak[//]="","",pajak[[#This Row],[Sub Total]]/1.11*11%)</f>
        <v/>
      </c>
      <c r="M50" s="89" t="str">
        <f>pajak[[#This Row],[Sub Total]]</f>
        <v/>
      </c>
      <c r="N50" s="86" t="str">
        <f>IF(pajak[[#This Row],[//]]="","",INDEX(Table1[pembuat nota :],pajak[//]-offset))</f>
        <v/>
      </c>
      <c r="O50" s="86" t="str">
        <f>IF(pajak[[#This Row],[//]]="","",IF(INDEX(Table1[edited :],pajak[//]-offset)="","",INDEX(Table1[edited :],pajak[//]-offset)))</f>
        <v/>
      </c>
      <c r="R50" s="86" t="str">
        <f>IF(pajak[[#This Row],[Kode Sales :]]="","",MATCH(pajak[[#This Row],[Kode Sales :]],[2]Invoice!$D:$D,0))</f>
        <v/>
      </c>
      <c r="S50" s="86" t="e">
        <f>Table4[[#This Row],[cek_ppn]]+28</f>
        <v>#VALUE!</v>
      </c>
      <c r="T50" s="86" t="e">
        <f>IF(INDEX([2]Invoice!$K:$K,Table4[[#This Row],[cek_rekap(share)]])=pajak[[#This Row],[Total Invoice]],"-",FALSE)</f>
        <v>#VALUE!</v>
      </c>
    </row>
    <row r="51" spans="4:20" x14ac:dyDescent="0.25">
      <c r="D51" s="86" t="str">
        <f t="shared" si="3"/>
        <v/>
      </c>
      <c r="E51" s="86" t="str">
        <f>IF(pajak[[#This Row],[//]]="","",INDEX(Table1[No. Invoice :],pajak[//]-offset))</f>
        <v/>
      </c>
      <c r="F51" s="90" t="str">
        <f>IF(pajak[[#This Row],[//]]="","",INDEX(Table1[Tgl Invoice :],pajak[//]-offset))</f>
        <v/>
      </c>
      <c r="G51" s="86" t="str">
        <f>IF(pajak[[#This Row],[//]]="","",INDEX(Table1[Kode Sales :],pajak[//]-offset))</f>
        <v/>
      </c>
      <c r="H51" s="86" t="str">
        <f>IF(pajak[[#This Row],[//]]="","",INDEX(Table1[Toko],pajak[//]-offset))</f>
        <v/>
      </c>
      <c r="I51" s="89" t="str">
        <f>IF(pajak[[#This Row],[//]]="","",SUMIF(Table1[h_id],pajak[[#This Row],[//]],Table1[h_hargasebelumdiskon]))</f>
        <v/>
      </c>
      <c r="J51" s="89" t="str">
        <f>IF(pajak[[#This Row],[//]]="","",SUMIF(Table1[h_id],pajak[[#This Row],[//]],Table1[h_diskon]))</f>
        <v/>
      </c>
      <c r="K51" s="89" t="str">
        <f>IF(pajak[[#This Row],[//]]="","",SUMIF(Table1[h_id],pajak[[#This Row],[//]],Table1[h_hargasetelahdiskon]))</f>
        <v/>
      </c>
      <c r="L51" s="89" t="str">
        <f>IF(pajak[//]="","",pajak[[#This Row],[Sub Total]]/1.11*11%)</f>
        <v/>
      </c>
      <c r="M51" s="89" t="str">
        <f>pajak[[#This Row],[Sub Total]]</f>
        <v/>
      </c>
      <c r="N51" s="86" t="str">
        <f>IF(pajak[[#This Row],[//]]="","",INDEX(Table1[pembuat nota :],pajak[//]-offset))</f>
        <v/>
      </c>
      <c r="O51" s="86" t="str">
        <f>IF(pajak[[#This Row],[//]]="","",IF(INDEX(Table1[edited :],pajak[//]-offset)="","",INDEX(Table1[edited :],pajak[//]-offset)))</f>
        <v/>
      </c>
      <c r="R51" s="86" t="str">
        <f>IF(pajak[[#This Row],[Kode Sales :]]="","",MATCH(pajak[[#This Row],[Kode Sales :]],[2]Invoice!$D:$D,0))</f>
        <v/>
      </c>
      <c r="S51" s="86" t="e">
        <f>Table4[[#This Row],[cek_ppn]]+28</f>
        <v>#VALUE!</v>
      </c>
      <c r="T51" s="86" t="e">
        <f>IF(INDEX([2]Invoice!$K:$K,Table4[[#This Row],[cek_rekap(share)]])=pajak[[#This Row],[Total Invoice]],"-",FALSE)</f>
        <v>#VALUE!</v>
      </c>
    </row>
    <row r="52" spans="4:20" x14ac:dyDescent="0.25">
      <c r="D52" s="86" t="str">
        <f t="shared" si="3"/>
        <v/>
      </c>
      <c r="E52" s="86" t="str">
        <f>IF(pajak[[#This Row],[//]]="","",INDEX(Table1[No. Invoice :],pajak[//]-offset))</f>
        <v/>
      </c>
      <c r="F52" s="90" t="str">
        <f>IF(pajak[[#This Row],[//]]="","",INDEX(Table1[Tgl Invoice :],pajak[//]-offset))</f>
        <v/>
      </c>
      <c r="G52" s="86" t="str">
        <f>IF(pajak[[#This Row],[//]]="","",INDEX(Table1[Kode Sales :],pajak[//]-offset))</f>
        <v/>
      </c>
      <c r="H52" s="86" t="str">
        <f>IF(pajak[[#This Row],[//]]="","",INDEX(Table1[Toko],pajak[//]-offset))</f>
        <v/>
      </c>
      <c r="I52" s="89" t="str">
        <f>IF(pajak[[#This Row],[//]]="","",SUMIF(Table1[h_id],pajak[[#This Row],[//]],Table1[h_hargasebelumdiskon]))</f>
        <v/>
      </c>
      <c r="J52" s="89" t="str">
        <f>IF(pajak[[#This Row],[//]]="","",SUMIF(Table1[h_id],pajak[[#This Row],[//]],Table1[h_diskon]))</f>
        <v/>
      </c>
      <c r="K52" s="89" t="str">
        <f>IF(pajak[[#This Row],[//]]="","",SUMIF(Table1[h_id],pajak[[#This Row],[//]],Table1[h_hargasetelahdiskon]))</f>
        <v/>
      </c>
      <c r="L52" s="89" t="str">
        <f>IF(pajak[//]="","",pajak[[#This Row],[Sub Total]]/1.11*11%)</f>
        <v/>
      </c>
      <c r="M52" s="89" t="str">
        <f>pajak[[#This Row],[Sub Total]]</f>
        <v/>
      </c>
      <c r="N52" s="86" t="str">
        <f>IF(pajak[[#This Row],[//]]="","",INDEX(Table1[pembuat nota :],pajak[//]-offset))</f>
        <v/>
      </c>
      <c r="O52" s="86" t="str">
        <f>IF(pajak[[#This Row],[//]]="","",IF(INDEX(Table1[edited :],pajak[//]-offset)="","",INDEX(Table1[edited :],pajak[//]-offset)))</f>
        <v/>
      </c>
      <c r="R52" s="86" t="str">
        <f>IF(pajak[[#This Row],[Kode Sales :]]="","",MATCH(pajak[[#This Row],[Kode Sales :]],[2]Invoice!$D:$D,0))</f>
        <v/>
      </c>
      <c r="S52" s="86" t="e">
        <f>Table4[[#This Row],[cek_ppn]]+28</f>
        <v>#VALUE!</v>
      </c>
      <c r="T52" s="86" t="e">
        <f>IF(INDEX([2]Invoice!$K:$K,Table4[[#This Row],[cek_rekap(share)]])=pajak[[#This Row],[Total Invoice]],"-",FALSE)</f>
        <v>#VALUE!</v>
      </c>
    </row>
    <row r="53" spans="4:20" x14ac:dyDescent="0.25">
      <c r="D53" s="86" t="str">
        <f t="shared" si="3"/>
        <v/>
      </c>
      <c r="E53" s="86" t="str">
        <f>IF(pajak[[#This Row],[//]]="","",INDEX(Table1[No. Invoice :],pajak[//]-offset))</f>
        <v/>
      </c>
      <c r="F53" s="90" t="str">
        <f>IF(pajak[[#This Row],[//]]="","",INDEX(Table1[Tgl Invoice :],pajak[//]-offset))</f>
        <v/>
      </c>
      <c r="G53" s="86" t="str">
        <f>IF(pajak[[#This Row],[//]]="","",INDEX(Table1[Kode Sales :],pajak[//]-offset))</f>
        <v/>
      </c>
      <c r="H53" s="86" t="str">
        <f>IF(pajak[[#This Row],[//]]="","",INDEX(Table1[Toko],pajak[//]-offset))</f>
        <v/>
      </c>
      <c r="I53" s="89" t="str">
        <f>IF(pajak[[#This Row],[//]]="","",SUMIF(Table1[h_id],pajak[[#This Row],[//]],Table1[h_hargasebelumdiskon]))</f>
        <v/>
      </c>
      <c r="J53" s="89" t="str">
        <f>IF(pajak[[#This Row],[//]]="","",SUMIF(Table1[h_id],pajak[[#This Row],[//]],Table1[h_diskon]))</f>
        <v/>
      </c>
      <c r="K53" s="89" t="str">
        <f>IF(pajak[[#This Row],[//]]="","",SUMIF(Table1[h_id],pajak[[#This Row],[//]],Table1[h_hargasetelahdiskon]))</f>
        <v/>
      </c>
      <c r="L53" s="89" t="str">
        <f>IF(pajak[//]="","",pajak[[#This Row],[Sub Total]]/1.11*11%)</f>
        <v/>
      </c>
      <c r="M53" s="89" t="str">
        <f>pajak[[#This Row],[Sub Total]]</f>
        <v/>
      </c>
      <c r="N53" s="86" t="str">
        <f>IF(pajak[[#This Row],[//]]="","",INDEX(Table1[pembuat nota :],pajak[//]-offset))</f>
        <v/>
      </c>
      <c r="O53" s="86" t="str">
        <f>IF(pajak[[#This Row],[//]]="","",IF(INDEX(Table1[edited :],pajak[//]-offset)="","",INDEX(Table1[edited :],pajak[//]-offset)))</f>
        <v/>
      </c>
      <c r="R53" s="86" t="str">
        <f>IF(pajak[[#This Row],[Kode Sales :]]="","",MATCH(pajak[[#This Row],[Kode Sales :]],[2]Invoice!$D:$D,0))</f>
        <v/>
      </c>
      <c r="S53" s="86" t="e">
        <f>Table4[[#This Row],[cek_ppn]]+28</f>
        <v>#VALUE!</v>
      </c>
      <c r="T53" s="86" t="e">
        <f>IF(INDEX([2]Invoice!$K:$K,Table4[[#This Row],[cek_rekap(share)]])=pajak[[#This Row],[Total Invoice]],"-",FALSE)</f>
        <v>#VALUE!</v>
      </c>
    </row>
    <row r="54" spans="4:20" x14ac:dyDescent="0.25">
      <c r="D54" s="86" t="str">
        <f t="shared" si="3"/>
        <v/>
      </c>
      <c r="E54" s="86" t="str">
        <f>IF(pajak[[#This Row],[//]]="","",INDEX(Table1[No. Invoice :],pajak[//]-offset))</f>
        <v/>
      </c>
      <c r="F54" s="90" t="str">
        <f>IF(pajak[[#This Row],[//]]="","",INDEX(Table1[Tgl Invoice :],pajak[//]-offset))</f>
        <v/>
      </c>
      <c r="G54" s="86" t="str">
        <f>IF(pajak[[#This Row],[//]]="","",INDEX(Table1[Kode Sales :],pajak[//]-offset))</f>
        <v/>
      </c>
      <c r="H54" s="86" t="str">
        <f>IF(pajak[[#This Row],[//]]="","",INDEX(Table1[Toko],pajak[//]-offset))</f>
        <v/>
      </c>
      <c r="I54" s="89" t="str">
        <f>IF(pajak[[#This Row],[//]]="","",SUMIF(Table1[h_id],pajak[[#This Row],[//]],Table1[h_hargasebelumdiskon]))</f>
        <v/>
      </c>
      <c r="J54" s="89" t="str">
        <f>IF(pajak[[#This Row],[//]]="","",SUMIF(Table1[h_id],pajak[[#This Row],[//]],Table1[h_diskon]))</f>
        <v/>
      </c>
      <c r="K54" s="89" t="str">
        <f>IF(pajak[[#This Row],[//]]="","",SUMIF(Table1[h_id],pajak[[#This Row],[//]],Table1[h_hargasetelahdiskon]))</f>
        <v/>
      </c>
      <c r="L54" s="89" t="str">
        <f>IF(pajak[//]="","",pajak[[#This Row],[Sub Total]]/1.11*11%)</f>
        <v/>
      </c>
      <c r="M54" s="89" t="str">
        <f>pajak[[#This Row],[Sub Total]]</f>
        <v/>
      </c>
      <c r="N54" s="86" t="str">
        <f>IF(pajak[[#This Row],[//]]="","",INDEX(Table1[pembuat nota :],pajak[//]-offset))</f>
        <v/>
      </c>
      <c r="O54" s="86" t="str">
        <f>IF(pajak[[#This Row],[//]]="","",IF(INDEX(Table1[edited :],pajak[//]-offset)="","",INDEX(Table1[edited :],pajak[//]-offset)))</f>
        <v/>
      </c>
      <c r="R54" s="86" t="str">
        <f>IF(pajak[[#This Row],[Kode Sales :]]="","",MATCH(pajak[[#This Row],[Kode Sales :]],[2]Invoice!$D:$D,0))</f>
        <v/>
      </c>
      <c r="S54" s="86" t="e">
        <f>Table4[[#This Row],[cek_ppn]]+28</f>
        <v>#VALUE!</v>
      </c>
      <c r="T54" s="86" t="e">
        <f>IF(INDEX([2]Invoice!$K:$K,Table4[[#This Row],[cek_rekap(share)]])=pajak[[#This Row],[Total Invoice]],"-",FALSE)</f>
        <v>#VALUE!</v>
      </c>
    </row>
    <row r="55" spans="4:20" x14ac:dyDescent="0.25">
      <c r="D55" s="86" t="str">
        <f t="shared" si="3"/>
        <v/>
      </c>
      <c r="E55" s="86" t="str">
        <f>IF(pajak[[#This Row],[//]]="","",INDEX(Table1[No. Invoice :],pajak[//]-offset))</f>
        <v/>
      </c>
      <c r="F55" s="90" t="str">
        <f>IF(pajak[[#This Row],[//]]="","",INDEX(Table1[Tgl Invoice :],pajak[//]-offset))</f>
        <v/>
      </c>
      <c r="G55" s="86" t="str">
        <f>IF(pajak[[#This Row],[//]]="","",INDEX(Table1[Kode Sales :],pajak[//]-offset))</f>
        <v/>
      </c>
      <c r="H55" s="86" t="str">
        <f>IF(pajak[[#This Row],[//]]="","",INDEX(Table1[Toko],pajak[//]-offset))</f>
        <v/>
      </c>
      <c r="I55" s="89" t="str">
        <f>IF(pajak[[#This Row],[//]]="","",SUMIF(Table1[h_id],pajak[[#This Row],[//]],Table1[h_hargasebelumdiskon]))</f>
        <v/>
      </c>
      <c r="J55" s="89" t="str">
        <f>IF(pajak[[#This Row],[//]]="","",SUMIF(Table1[h_id],pajak[[#This Row],[//]],Table1[h_diskon]))</f>
        <v/>
      </c>
      <c r="K55" s="89" t="str">
        <f>IF(pajak[[#This Row],[//]]="","",SUMIF(Table1[h_id],pajak[[#This Row],[//]],Table1[h_hargasetelahdiskon]))</f>
        <v/>
      </c>
      <c r="L55" s="89" t="str">
        <f>IF(pajak[//]="","",pajak[[#This Row],[Sub Total]]/1.11*11%)</f>
        <v/>
      </c>
      <c r="M55" s="89" t="str">
        <f>pajak[[#This Row],[Sub Total]]</f>
        <v/>
      </c>
      <c r="N55" s="86" t="str">
        <f>IF(pajak[[#This Row],[//]]="","",INDEX(Table1[pembuat nota :],pajak[//]-offset))</f>
        <v/>
      </c>
      <c r="O55" s="86" t="str">
        <f>IF(pajak[[#This Row],[//]]="","",IF(INDEX(Table1[edited :],pajak[//]-offset)="","",INDEX(Table1[edited :],pajak[//]-offset)))</f>
        <v/>
      </c>
      <c r="R55" s="86" t="str">
        <f>IF(pajak[[#This Row],[Kode Sales :]]="","",MATCH(pajak[[#This Row],[Kode Sales :]],[2]Invoice!$D:$D,0))</f>
        <v/>
      </c>
      <c r="S55" s="86" t="e">
        <f>Table4[[#This Row],[cek_ppn]]+28</f>
        <v>#VALUE!</v>
      </c>
      <c r="T55" s="86" t="e">
        <f>IF(INDEX([2]Invoice!$K:$K,Table4[[#This Row],[cek_rekap(share)]])=pajak[[#This Row],[Total Invoice]],"-",FALSE)</f>
        <v>#VALUE!</v>
      </c>
    </row>
    <row r="56" spans="4:20" x14ac:dyDescent="0.25">
      <c r="D56" t="s">
        <v>51</v>
      </c>
      <c r="F56"/>
      <c r="I56" s="89">
        <f ca="1">SUBTOTAL(109,pajak[Total])</f>
        <v>443794800</v>
      </c>
      <c r="J56" s="89">
        <f ca="1">SUBTOTAL(109,pajak[Diskon])</f>
        <v>56769802</v>
      </c>
      <c r="K56" s="89">
        <f ca="1">SUBTOTAL(109,pajak[Sub Total])</f>
        <v>387024998</v>
      </c>
      <c r="L56" s="89">
        <f ca="1">SUBTOTAL(109,pajak[PPN 11%])</f>
        <v>38353828.63063062</v>
      </c>
      <c r="M56" s="89">
        <f ca="1">SUBTOTAL(109,pajak[Total Invoice])</f>
        <v>387024998</v>
      </c>
      <c r="N56"/>
      <c r="O56"/>
    </row>
  </sheetData>
  <conditionalFormatting sqref="G57:G1048576 G1:G55">
    <cfRule type="duplicateValues" dxfId="63" priority="8"/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179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BENDAN</v>
      </c>
      <c r="F1" t="s">
        <v>46</v>
      </c>
      <c r="G1">
        <f ca="1">INDEX(Table1[h_jumlahbarang],newestIdRow-offset)</f>
        <v>1</v>
      </c>
      <c r="I1" s="342" t="s">
        <v>77</v>
      </c>
      <c r="J1" s="342"/>
    </row>
    <row r="2" spans="1:12" s="4" customFormat="1" ht="7.5" customHeight="1" collapsed="1" x14ac:dyDescent="0.25">
      <c r="A2" s="3"/>
      <c r="D2" s="5"/>
      <c r="I2" s="6"/>
      <c r="J2" s="6" t="s">
        <v>195</v>
      </c>
      <c r="K2"/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23020036</v>
      </c>
      <c r="G3" s="11" t="s">
        <v>16</v>
      </c>
      <c r="H3" s="349" t="str">
        <f>INDEX(Table2[b],MATCH(kToko,Table2[a],0))</f>
        <v>HARNOYO</v>
      </c>
      <c r="I3" s="349"/>
      <c r="J3" s="349"/>
      <c r="K3" s="350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20" t="s">
        <v>18</v>
      </c>
      <c r="G4" s="17"/>
      <c r="H4" s="351"/>
      <c r="I4" s="351"/>
      <c r="J4" s="351"/>
      <c r="K4" s="352"/>
      <c r="L4" s="12"/>
    </row>
    <row r="5" spans="1:12" s="10" customFormat="1" ht="16.5" customHeight="1" x14ac:dyDescent="0.3">
      <c r="A5" s="7"/>
      <c r="B5" s="1" t="s">
        <v>2</v>
      </c>
      <c r="C5" s="8"/>
      <c r="D5" s="321">
        <f>INDEX(Table1[Tgl Invoice :],newestIdRow-offset)</f>
        <v>44982</v>
      </c>
      <c r="E5" s="322"/>
      <c r="F5" s="320"/>
      <c r="G5" s="18"/>
      <c r="H5" s="323" t="str">
        <f>IF(INDEX(Table2[c],MATCH(kToko,Table2[a],0))="","",INDEX(Table2[c],MATCH(kToko,Table2[a],0)))</f>
        <v>(BENDAN)</v>
      </c>
      <c r="I5" s="323"/>
      <c r="J5" s="323"/>
      <c r="K5" s="324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20"/>
      <c r="G6" s="18"/>
      <c r="H6" s="325" t="str">
        <f>INDEX(Table2[d],MATCH(kToko,Table2[a],0))</f>
        <v>PEKALONGAN</v>
      </c>
      <c r="I6" s="325"/>
      <c r="J6" s="325"/>
      <c r="K6" s="326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KO 1146</v>
      </c>
      <c r="E7" s="9"/>
      <c r="F7" s="21"/>
      <c r="G7" s="22"/>
      <c r="H7" s="327"/>
      <c r="I7" s="327"/>
      <c r="J7" s="327"/>
      <c r="K7" s="328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 ca="1">IF(A11&gt;jumlahBarang,"",INDEX(Table1[Qty],newestIdRow-offset+A11-1))</f>
        <v>5</v>
      </c>
      <c r="C11" s="46" t="str">
        <f ca="1">IF(A11&gt;jumlahBarang,"",INDEX(Table1[Unit],newestIdRow-offset+A11-1))</f>
        <v>GRS</v>
      </c>
      <c r="D11" s="47">
        <f ca="1">IF(A11&gt;jumlahBarang,"",IF(INDEX(Table1[C],newestIdRow-offset+A11-1)="","",INDEX(Table1[C],newestIdRow-offset+A11-1)))</f>
        <v>1</v>
      </c>
      <c r="E11" s="48" t="str">
        <f ca="1">IF(A11&gt;jumlahBarang,"",INDEX(Table1[Item Description],newestIdRow-offset+A11-1))</f>
        <v>BINDER CLIP KENKO NO. 260</v>
      </c>
      <c r="F11" s="49"/>
      <c r="G11" s="50"/>
      <c r="H11" s="51">
        <f ca="1">IF(A11&gt;jumlahBarang,"",INDEX(Table1[Unit Price],newestIdRow-offset+A11-1))</f>
        <v>180000</v>
      </c>
      <c r="I11" s="52">
        <f ca="1">IF(A11&gt;jumlahBarang,"",INDEX(Table1[Disc 1],newestIdRow-offset+A11-1))</f>
        <v>0.14000000000000001</v>
      </c>
      <c r="J11" s="52" t="str">
        <f ca="1">IF(A11&gt;jumlahBarang,"",IF(INDEX(Table1[Disc 2],newestIdRow-offset+A11-1)="","",INDEX(Table1[Disc 2],newestIdRow-offset+A11-1)))</f>
        <v/>
      </c>
      <c r="K11" s="53">
        <f ca="1">IF(A11&gt;jumlahBarang,"",INDEX(Table1[Amount],newestIdRow-offset+A11-1))</f>
        <v>774000</v>
      </c>
      <c r="L11" s="36"/>
    </row>
    <row r="12" spans="1:12" s="10" customFormat="1" ht="14.1" customHeight="1" x14ac:dyDescent="0.25">
      <c r="A12" s="45">
        <v>2</v>
      </c>
      <c r="B12" s="46" t="str">
        <f ca="1">IF(A12&gt;jumlahBarang,"",INDEX(Table1[Qty],newestIdRow-offset+A12-1))</f>
        <v/>
      </c>
      <c r="C12" s="46" t="str">
        <f ca="1">IF(A12&gt;jumlahBarang,"",INDEX(Table1[Unit],newestIdRow-offset+A12-1))</f>
        <v/>
      </c>
      <c r="D12" s="47" t="str">
        <f ca="1">IF(A12&gt;jumlahBarang,"",IF(INDEX(Table1[C],newestIdRow-offset+A12-1)="","",INDEX(Table1[C],newestIdRow-offset+A12-1)))</f>
        <v/>
      </c>
      <c r="E12" s="48" t="str">
        <f ca="1">IF(A12&gt;jumlahBarang,"",INDEX(Table1[Item Description],newestIdRow-offset+A12-1))</f>
        <v/>
      </c>
      <c r="F12" s="49"/>
      <c r="G12" s="50"/>
      <c r="H12" s="51" t="str">
        <f ca="1">IF(A12&gt;jumlahBarang,"",INDEX(Table1[Unit Price],newestIdRow-offset+A12-1))</f>
        <v/>
      </c>
      <c r="I12" s="52" t="str">
        <f ca="1">IF(A12&gt;jumlahBarang,"",INDEX(Table1[Disc 1],newestIdRow-offset+A12-1))</f>
        <v/>
      </c>
      <c r="J12" s="52" t="str">
        <f ca="1">IF(A12&gt;jumlahBarang,"",IF(INDEX(Table1[Disc 2],newestIdRow-offset+A12-1)="","",INDEX(Table1[Disc 2],newestIdRow-offset+A12-1)))</f>
        <v/>
      </c>
      <c r="K12" s="53" t="str">
        <f ca="1">IF(A12&gt;jumlahBarang,"",INDEX(Table1[Amount],newestIdRow-offset+A12-1))</f>
        <v/>
      </c>
      <c r="L12" s="36"/>
    </row>
    <row r="13" spans="1:12" s="10" customFormat="1" ht="14.1" customHeight="1" x14ac:dyDescent="0.25">
      <c r="A13" s="45">
        <v>3</v>
      </c>
      <c r="B13" s="46" t="str">
        <f ca="1">IF(A13&gt;jumlahBarang,"",INDEX(Table1[Qty],newestIdRow-offset+A13-1))</f>
        <v/>
      </c>
      <c r="C13" s="46" t="str">
        <f ca="1">IF(A13&gt;jumlahBarang,"",INDEX(Table1[Unit],newestIdRow-offset+A13-1))</f>
        <v/>
      </c>
      <c r="D13" s="47" t="str">
        <f ca="1">IF(A13&gt;jumlahBarang,"",IF(INDEX(Table1[C],newestIdRow-offset+A13-1)="","",INDEX(Table1[C],newestIdRow-offset+A13-1)))</f>
        <v/>
      </c>
      <c r="E13" s="48" t="str">
        <f ca="1">IF(A13&gt;jumlahBarang,"",INDEX(Table1[Item Description],newestIdRow-offset+A13-1))</f>
        <v/>
      </c>
      <c r="F13" s="49"/>
      <c r="G13" s="50"/>
      <c r="H13" s="51" t="str">
        <f ca="1">IF(A13&gt;jumlahBarang,"",INDEX(Table1[Unit Price],newestIdRow-offset+A13-1))</f>
        <v/>
      </c>
      <c r="I13" s="52" t="str">
        <f ca="1">IF(A13&gt;jumlahBarang,"",INDEX(Table1[Disc 1],newestIdRow-offset+A13-1))</f>
        <v/>
      </c>
      <c r="J13" s="52" t="str">
        <f ca="1">IF(A13&gt;jumlahBarang,"",IF(INDEX(Table1[Disc 2],newestIdRow-offset+A13-1)="","",INDEX(Table1[Disc 2],newestIdRow-offset+A13-1)))</f>
        <v/>
      </c>
      <c r="K13" s="53" t="str">
        <f ca="1"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 t="str">
        <f ca="1">IF(A14&gt;jumlahBarang,"",INDEX(Table1[Qty],newestIdRow-offset+A14-1))</f>
        <v/>
      </c>
      <c r="C14" s="46" t="str">
        <f ca="1">IF(A14&gt;jumlahBarang,"",INDEX(Table1[Unit],newestIdRow-offset+A14-1))</f>
        <v/>
      </c>
      <c r="D14" s="47" t="str">
        <f ca="1">IF(A14&gt;jumlahBarang,"",IF(INDEX(Table1[C],newestIdRow-offset+A14-1)="","",INDEX(Table1[C],newestIdRow-offset+A14-1)))</f>
        <v/>
      </c>
      <c r="E14" s="48" t="str">
        <f ca="1">IF(A14&gt;jumlahBarang,"",INDEX(Table1[Item Description],newestIdRow-offset+A14-1))</f>
        <v/>
      </c>
      <c r="F14" s="49"/>
      <c r="G14" s="50"/>
      <c r="H14" s="51" t="str">
        <f ca="1">IF(A14&gt;jumlahBarang,"",INDEX(Table1[Unit Price],newestIdRow-offset+A14-1))</f>
        <v/>
      </c>
      <c r="I14" s="52" t="str">
        <f ca="1">IF(A14&gt;jumlahBarang,"",INDEX(Table1[Disc 1],newestIdRow-offset+A14-1))</f>
        <v/>
      </c>
      <c r="J14" s="52" t="str">
        <f ca="1">IF(A14&gt;jumlahBarang,"",IF(INDEX(Table1[Disc 2],newestIdRow-offset+A14-1)="","",INDEX(Table1[Disc 2],newestIdRow-offset+A14-1)))</f>
        <v/>
      </c>
      <c r="K14" s="53" t="str">
        <f ca="1"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 ca="1">IF(A15&gt;jumlahBarang,"",INDEX(Table1[Qty],newestIdRow-offset+A15-1))</f>
        <v/>
      </c>
      <c r="C15" s="46" t="str">
        <f ca="1">IF(A15&gt;jumlahBarang,"",INDEX(Table1[Unit],newestIdRow-offset+A15-1))</f>
        <v/>
      </c>
      <c r="D15" s="47" t="str">
        <f ca="1">IF(A15&gt;jumlahBarang,"",IF(INDEX(Table1[C],newestIdRow-offset+A15-1)="","",INDEX(Table1[C],newestIdRow-offset+A15-1)))</f>
        <v/>
      </c>
      <c r="E15" s="48" t="str">
        <f ca="1">IF(A15&gt;jumlahBarang,"",INDEX(Table1[Item Description],newestIdRow-offset+A15-1))</f>
        <v/>
      </c>
      <c r="F15" s="49"/>
      <c r="G15" s="50"/>
      <c r="H15" s="51" t="str">
        <f ca="1">IF(A15&gt;jumlahBarang,"",INDEX(Table1[Unit Price],newestIdRow-offset+A15-1))</f>
        <v/>
      </c>
      <c r="I15" s="52" t="str">
        <f ca="1">IF(A15&gt;jumlahBarang,"",INDEX(Table1[Disc 1],newestIdRow-offset+A15-1))</f>
        <v/>
      </c>
      <c r="J15" s="52" t="str">
        <f ca="1">IF(A15&gt;jumlahBarang,"",IF(INDEX(Table1[Disc 2],newestIdRow-offset+A15-1)="","",INDEX(Table1[Disc 2],newestIdRow-offset+A15-1)))</f>
        <v/>
      </c>
      <c r="K15" s="53" t="str">
        <f ca="1"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 ca="1">IF(A16&gt;jumlahBarang,"",INDEX(Table1[Qty],newestIdRow-offset+A16-1))</f>
        <v/>
      </c>
      <c r="C16" s="46" t="str">
        <f ca="1">IF(A16&gt;jumlahBarang,"",INDEX(Table1[Unit],newestIdRow-offset+A16-1))</f>
        <v/>
      </c>
      <c r="D16" s="47" t="str">
        <f ca="1">IF(A16&gt;jumlahBarang,"",IF(INDEX(Table1[C],newestIdRow-offset+A16-1)="","",INDEX(Table1[C],newestIdRow-offset+A16-1)))</f>
        <v/>
      </c>
      <c r="E16" s="48" t="str">
        <f ca="1">IF(A16&gt;jumlahBarang,"",INDEX(Table1[Item Description],newestIdRow-offset+A16-1))</f>
        <v/>
      </c>
      <c r="F16" s="49"/>
      <c r="G16" s="50"/>
      <c r="H16" s="51" t="str">
        <f ca="1">IF(A16&gt;jumlahBarang,"",INDEX(Table1[Unit Price],newestIdRow-offset+A16-1))</f>
        <v/>
      </c>
      <c r="I16" s="52" t="str">
        <f ca="1">IF(A16&gt;jumlahBarang,"",INDEX(Table1[Disc 1],newestIdRow-offset+A16-1))</f>
        <v/>
      </c>
      <c r="J16" s="52" t="str">
        <f ca="1">IF(A16&gt;jumlahBarang,"",IF(INDEX(Table1[Disc 2],newestIdRow-offset+A16-1)="","",INDEX(Table1[Disc 2],newestIdRow-offset+A16-1)))</f>
        <v/>
      </c>
      <c r="K16" s="53" t="str">
        <f ca="1"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 ca="1">IF(A17&gt;jumlahBarang,"",INDEX(Table1[Qty],newestIdRow-offset+A17-1))</f>
        <v/>
      </c>
      <c r="C17" s="46" t="str">
        <f ca="1">IF(A17&gt;jumlahBarang,"",INDEX(Table1[Unit],newestIdRow-offset+A17-1))</f>
        <v/>
      </c>
      <c r="D17" s="47" t="str">
        <f ca="1">IF(A17&gt;jumlahBarang,"",IF(INDEX(Table1[C],newestIdRow-offset+A17-1)="","",INDEX(Table1[C],newestIdRow-offset+A17-1)))</f>
        <v/>
      </c>
      <c r="E17" s="48" t="str">
        <f ca="1">IF(A17&gt;jumlahBarang,"",INDEX(Table1[Item Description],newestIdRow-offset+A17-1))</f>
        <v/>
      </c>
      <c r="F17" s="49"/>
      <c r="G17" s="50"/>
      <c r="H17" s="51" t="str">
        <f ca="1">IF(A17&gt;jumlahBarang,"",INDEX(Table1[Unit Price],newestIdRow-offset+A17-1))</f>
        <v/>
      </c>
      <c r="I17" s="52" t="str">
        <f ca="1">IF(A17&gt;jumlahBarang,"",INDEX(Table1[Disc 1],newestIdRow-offset+A17-1))</f>
        <v/>
      </c>
      <c r="J17" s="52" t="str">
        <f ca="1">IF(A17&gt;jumlahBarang,"",IF(INDEX(Table1[Disc 2],newestIdRow-offset+A17-1)="","",INDEX(Table1[Disc 2],newestIdRow-offset+A17-1)))</f>
        <v/>
      </c>
      <c r="K17" s="53" t="str">
        <f ca="1"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 ca="1">IF(A18&gt;jumlahBarang,"",INDEX(Table1[Qty],newestIdRow-offset+A18-1))</f>
        <v/>
      </c>
      <c r="C18" s="46" t="str">
        <f ca="1">IF(A18&gt;jumlahBarang,"",INDEX(Table1[Unit],newestIdRow-offset+A18-1))</f>
        <v/>
      </c>
      <c r="D18" s="47" t="str">
        <f ca="1">IF(A18&gt;jumlahBarang,"",IF(INDEX(Table1[C],newestIdRow-offset+A18-1)="","",INDEX(Table1[C],newestIdRow-offset+A18-1)))</f>
        <v/>
      </c>
      <c r="E18" s="48" t="str">
        <f ca="1">IF(A18&gt;jumlahBarang,"",INDEX(Table1[Item Description],newestIdRow-offset+A18-1))</f>
        <v/>
      </c>
      <c r="F18" s="49"/>
      <c r="G18" s="50"/>
      <c r="H18" s="51" t="str">
        <f ca="1">IF(A18&gt;jumlahBarang,"",INDEX(Table1[Unit Price],newestIdRow-offset+A18-1))</f>
        <v/>
      </c>
      <c r="I18" s="52" t="str">
        <f ca="1">IF(A18&gt;jumlahBarang,"",INDEX(Table1[Disc 1],newestIdRow-offset+A18-1))</f>
        <v/>
      </c>
      <c r="J18" s="52" t="str">
        <f ca="1">IF(A18&gt;jumlahBarang,"",IF(INDEX(Table1[Disc 2],newestIdRow-offset+A18-1)="","",INDEX(Table1[Disc 2],newestIdRow-offset+A18-1)))</f>
        <v/>
      </c>
      <c r="K18" s="53" t="str">
        <f ca="1"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 ca="1">IF(A19&gt;jumlahBarang,"",INDEX(Table1[Qty],newestIdRow-offset+A19-1))</f>
        <v/>
      </c>
      <c r="C19" s="46" t="str">
        <f ca="1">IF(A19&gt;jumlahBarang,"",INDEX(Table1[Unit],newestIdRow-offset+A19-1))</f>
        <v/>
      </c>
      <c r="D19" s="47" t="str">
        <f ca="1">IF(A19&gt;jumlahBarang,"",IF(INDEX(Table1[C],newestIdRow-offset+A19-1)="","",INDEX(Table1[C],newestIdRow-offset+A19-1)))</f>
        <v/>
      </c>
      <c r="E19" s="48" t="str">
        <f ca="1">IF(A19&gt;jumlahBarang,"",INDEX(Table1[Item Description],newestIdRow-offset+A19-1))</f>
        <v/>
      </c>
      <c r="F19" s="49"/>
      <c r="G19" s="50"/>
      <c r="H19" s="51" t="str">
        <f ca="1">IF(A19&gt;jumlahBarang,"",INDEX(Table1[Unit Price],newestIdRow-offset+A19-1))</f>
        <v/>
      </c>
      <c r="I19" s="52" t="str">
        <f ca="1">IF(A19&gt;jumlahBarang,"",INDEX(Table1[Disc 1],newestIdRow-offset+A19-1))</f>
        <v/>
      </c>
      <c r="J19" s="52" t="str">
        <f ca="1">IF(A19&gt;jumlahBarang,"",IF(INDEX(Table1[Disc 2],newestIdRow-offset+A19-1)="","",INDEX(Table1[Disc 2],newestIdRow-offset+A19-1)))</f>
        <v/>
      </c>
      <c r="K19" s="53" t="str">
        <f ca="1"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 ca="1">IF(A20&gt;jumlahBarang,"",INDEX(Table1[Qty],newestIdRow-offset+A20-1))</f>
        <v/>
      </c>
      <c r="C20" s="46" t="str">
        <f ca="1">IF(A20&gt;jumlahBarang,"",INDEX(Table1[Unit],newestIdRow-offset+A20-1))</f>
        <v/>
      </c>
      <c r="D20" s="47" t="str">
        <f ca="1">IF(A20&gt;jumlahBarang,"",IF(INDEX(Table1[C],newestIdRow-offset+A20-1)="","",INDEX(Table1[C],newestIdRow-offset+A20-1)))</f>
        <v/>
      </c>
      <c r="E20" s="48" t="str">
        <f ca="1">IF(A20&gt;jumlahBarang,"",INDEX(Table1[Item Description],newestIdRow-offset+A20-1))</f>
        <v/>
      </c>
      <c r="F20" s="49"/>
      <c r="G20" s="50"/>
      <c r="H20" s="51" t="str">
        <f ca="1">IF(A20&gt;jumlahBarang,"",INDEX(Table1[Unit Price],newestIdRow-offset+A20-1))</f>
        <v/>
      </c>
      <c r="I20" s="52" t="str">
        <f ca="1">IF(A20&gt;jumlahBarang,"",INDEX(Table1[Disc 1],newestIdRow-offset+A20-1))</f>
        <v/>
      </c>
      <c r="J20" s="52" t="str">
        <f ca="1">IF(A20&gt;jumlahBarang,"",IF(INDEX(Table1[Disc 2],newestIdRow-offset+A20-1)="","",INDEX(Table1[Disc 2],newestIdRow-offset+A20-1)))</f>
        <v/>
      </c>
      <c r="K20" s="53" t="str">
        <f ca="1"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 ca="1">IF(A21&gt;jumlahBarang,"",INDEX(Table1[Qty],newestIdRow-offset+A21-1))</f>
        <v/>
      </c>
      <c r="C21" s="46" t="str">
        <f ca="1">IF(A21&gt;jumlahBarang,"",INDEX(Table1[Unit],newestIdRow-offset+A21-1))</f>
        <v/>
      </c>
      <c r="D21" s="47" t="str">
        <f ca="1">IF(A21&gt;jumlahBarang,"",IF(INDEX(Table1[C],newestIdRow-offset+A21-1)="","",INDEX(Table1[C],newestIdRow-offset+A21-1)))</f>
        <v/>
      </c>
      <c r="E21" s="48" t="str">
        <f ca="1">IF(A21&gt;jumlahBarang,"",INDEX(Table1[Item Description],newestIdRow-offset+A21-1))</f>
        <v/>
      </c>
      <c r="F21" s="49"/>
      <c r="G21" s="50"/>
      <c r="H21" s="51" t="str">
        <f ca="1">IF(A21&gt;jumlahBarang,"",INDEX(Table1[Unit Price],newestIdRow-offset+A21-1))</f>
        <v/>
      </c>
      <c r="I21" s="52" t="str">
        <f ca="1">IF(A21&gt;jumlahBarang,"",INDEX(Table1[Disc 1],newestIdRow-offset+A21-1))</f>
        <v/>
      </c>
      <c r="J21" s="52" t="str">
        <f ca="1">IF(A21&gt;jumlahBarang,"",IF(INDEX(Table1[Disc 2],newestIdRow-offset+A21-1)="","",INDEX(Table1[Disc 2],newestIdRow-offset+A21-1)))</f>
        <v/>
      </c>
      <c r="K21" s="53" t="str">
        <f ca="1"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 ca="1">IF(A22&gt;jumlahBarang,"",INDEX(Table1[Qty],newestIdRow-offset+A22-1))</f>
        <v/>
      </c>
      <c r="C22" s="46" t="str">
        <f ca="1">IF(A22&gt;jumlahBarang,"",INDEX(Table1[Unit],newestIdRow-offset+A22-1))</f>
        <v/>
      </c>
      <c r="D22" s="47" t="str">
        <f ca="1">IF(A22&gt;jumlahBarang,"",IF(INDEX(Table1[C],newestIdRow-offset+A22-1)="","",INDEX(Table1[C],newestIdRow-offset+A22-1)))</f>
        <v/>
      </c>
      <c r="E22" s="48" t="str">
        <f ca="1">IF(A22&gt;jumlahBarang,"",INDEX(Table1[Item Description],newestIdRow-offset+A22-1))</f>
        <v/>
      </c>
      <c r="F22" s="49"/>
      <c r="G22" s="50"/>
      <c r="H22" s="51" t="str">
        <f ca="1">IF(A22&gt;jumlahBarang,"",INDEX(Table1[Unit Price],newestIdRow-offset+A22-1))</f>
        <v/>
      </c>
      <c r="I22" s="52" t="str">
        <f ca="1">IF(A22&gt;jumlahBarang,"",INDEX(Table1[Disc 1],newestIdRow-offset+A22-1))</f>
        <v/>
      </c>
      <c r="J22" s="52" t="str">
        <f ca="1">IF(A22&gt;jumlahBarang,"",IF(INDEX(Table1[Disc 2],newestIdRow-offset+A22-1)="","",INDEX(Table1[Disc 2],newestIdRow-offset+A22-1)))</f>
        <v/>
      </c>
      <c r="K22" s="53" t="str">
        <f ca="1"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 ca="1">IF(A23&gt;jumlahBarang,"",INDEX(Table1[Qty],newestIdRow-offset+A23-1))</f>
        <v/>
      </c>
      <c r="C23" s="46" t="str">
        <f ca="1">IF(A23&gt;jumlahBarang,"",INDEX(Table1[Unit],newestIdRow-offset+A23-1))</f>
        <v/>
      </c>
      <c r="D23" s="47" t="str">
        <f ca="1">IF(A23&gt;jumlahBarang,"",IF(INDEX(Table1[C],newestIdRow-offset+A23-1)="","",INDEX(Table1[C],newestIdRow-offset+A23-1)))</f>
        <v/>
      </c>
      <c r="E23" s="48" t="str">
        <f ca="1">IF(A23&gt;jumlahBarang,"",INDEX(Table1[Item Description],newestIdRow-offset+A23-1))</f>
        <v/>
      </c>
      <c r="F23" s="49"/>
      <c r="G23" s="50"/>
      <c r="H23" s="51" t="str">
        <f ca="1">IF(A23&gt;jumlahBarang,"",INDEX(Table1[Unit Price],newestIdRow-offset+A23-1))</f>
        <v/>
      </c>
      <c r="I23" s="52" t="str">
        <f ca="1">IF(A23&gt;jumlahBarang,"",INDEX(Table1[Disc 1],newestIdRow-offset+A23-1))</f>
        <v/>
      </c>
      <c r="J23" s="52" t="str">
        <f ca="1">IF(A23&gt;jumlahBarang,"",IF(INDEX(Table1[Disc 2],newestIdRow-offset+A23-1)="","",INDEX(Table1[Disc 2],newestIdRow-offset+A23-1)))</f>
        <v/>
      </c>
      <c r="K23" s="53" t="str">
        <f ca="1"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 ca="1">IF(A24&gt;jumlahBarang,"",INDEX(Table1[Qty],newestIdRow-offset+A24-1))</f>
        <v/>
      </c>
      <c r="C24" s="46" t="str">
        <f ca="1">IF(A24&gt;jumlahBarang,"",INDEX(Table1[Unit],newestIdRow-offset+A24-1))</f>
        <v/>
      </c>
      <c r="D24" s="47" t="str">
        <f ca="1">IF(A24&gt;jumlahBarang,"",IF(INDEX(Table1[C],newestIdRow-offset+A24-1)="","",INDEX(Table1[C],newestIdRow-offset+A24-1)))</f>
        <v/>
      </c>
      <c r="E24" s="48" t="str">
        <f ca="1">IF(A24&gt;jumlahBarang,"",INDEX(Table1[Item Description],newestIdRow-offset+A24-1))</f>
        <v/>
      </c>
      <c r="F24" s="49"/>
      <c r="G24" s="50"/>
      <c r="H24" s="51" t="str">
        <f ca="1">IF(A24&gt;jumlahBarang,"",INDEX(Table1[Unit Price],newestIdRow-offset+A24-1))</f>
        <v/>
      </c>
      <c r="I24" s="52" t="str">
        <f ca="1">IF(A24&gt;jumlahBarang,"",INDEX(Table1[Disc 1],newestIdRow-offset+A24-1))</f>
        <v/>
      </c>
      <c r="J24" s="52" t="str">
        <f ca="1">IF(A24&gt;jumlahBarang,"",IF(INDEX(Table1[Disc 2],newestIdRow-offset+A24-1)="","",INDEX(Table1[Disc 2],newestIdRow-offset+A24-1)))</f>
        <v/>
      </c>
      <c r="K24" s="53" t="str">
        <f ca="1"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 ca="1">IF(A25&gt;jumlahBarang,"",INDEX(Table1[Qty],newestIdRow-offset+A25-1))</f>
        <v/>
      </c>
      <c r="C25" s="46" t="str">
        <f ca="1">IF(A25&gt;jumlahBarang,"",INDEX(Table1[Unit],newestIdRow-offset+A25-1))</f>
        <v/>
      </c>
      <c r="D25" s="47" t="str">
        <f ca="1">IF(A25&gt;jumlahBarang,"",IF(INDEX(Table1[C],newestIdRow-offset+A25-1)="","",INDEX(Table1[C],newestIdRow-offset+A25-1)))</f>
        <v/>
      </c>
      <c r="E25" s="48" t="str">
        <f ca="1">IF(A25&gt;jumlahBarang,"",INDEX(Table1[Item Description],newestIdRow-offset+A25-1))</f>
        <v/>
      </c>
      <c r="F25" s="49"/>
      <c r="G25" s="50"/>
      <c r="H25" s="51" t="str">
        <f ca="1">IF(A25&gt;jumlahBarang,"",INDEX(Table1[Unit Price],newestIdRow-offset+A25-1))</f>
        <v/>
      </c>
      <c r="I25" s="52" t="str">
        <f ca="1">IF(A25&gt;jumlahBarang,"",INDEX(Table1[Disc 1],newestIdRow-offset+A25-1))</f>
        <v/>
      </c>
      <c r="J25" s="52" t="str">
        <f ca="1">IF(A25&gt;jumlahBarang,"",IF(INDEX(Table1[Disc 2],newestIdRow-offset+A25-1)="","",INDEX(Table1[Disc 2],newestIdRow-offset+A25-1)))</f>
        <v/>
      </c>
      <c r="K25" s="53" t="str">
        <f ca="1"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 ca="1">IF(A26&gt;jumlahBarang,"",INDEX(Table1[Qty],newestIdRow-offset+A26-1))</f>
        <v/>
      </c>
      <c r="C26" s="46" t="str">
        <f ca="1">IF(A26&gt;jumlahBarang,"",INDEX(Table1[Unit],newestIdRow-offset+A26-1))</f>
        <v/>
      </c>
      <c r="D26" s="47" t="str">
        <f ca="1">IF(A26&gt;jumlahBarang,"",IF(INDEX(Table1[C],newestIdRow-offset+A26-1)="","",INDEX(Table1[C],newestIdRow-offset+A26-1)))</f>
        <v/>
      </c>
      <c r="E26" s="48" t="str">
        <f ca="1">IF(A26&gt;jumlahBarang,"",INDEX(Table1[Item Description],newestIdRow-offset+A26-1))</f>
        <v/>
      </c>
      <c r="F26" s="49"/>
      <c r="G26" s="50"/>
      <c r="H26" s="51" t="str">
        <f ca="1">IF(A26&gt;jumlahBarang,"",INDEX(Table1[Unit Price],newestIdRow-offset+A26-1))</f>
        <v/>
      </c>
      <c r="I26" s="52" t="str">
        <f ca="1">IF(A26&gt;jumlahBarang,"",INDEX(Table1[Disc 1],newestIdRow-offset+A26-1))</f>
        <v/>
      </c>
      <c r="J26" s="52" t="str">
        <f ca="1">IF(A26&gt;jumlahBarang,"",IF(INDEX(Table1[Disc 2],newestIdRow-offset+A26-1)="","",INDEX(Table1[Disc 2],newestIdRow-offset+A26-1)))</f>
        <v/>
      </c>
      <c r="K26" s="53" t="str">
        <f ca="1"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48"/>
      <c r="K28" s="348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45">
        <f ca="1">INDEX(pajak[Sub Total],MATCH(newestIdRow,pajak[//],0))</f>
        <v>774000</v>
      </c>
      <c r="K29" s="346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47"/>
      <c r="K30" s="347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 ca="1"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48"/>
      <c r="K32" s="348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45">
        <f ca="1">INDEX(pajak[PPN 11%],MATCH(newestIdRow,pajak[//],0))</f>
        <v>76702.702702702707</v>
      </c>
      <c r="K33" s="346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48"/>
      <c r="K34" s="348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 ca="1">INDEX(pajak[Total Invoice],MATCH(newestIdRow,pajak[//],0))</f>
        <v>774000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43" t="str">
        <f>INDEX(pajak[pembuat nota],MATCH(newestIdRow,pajak[//],0))</f>
        <v>NOVI / CONDRO</v>
      </c>
      <c r="K37" s="344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43" t="str">
        <f>INDEX(pajak[edited],MATCH(newestIdRow,pajak[//],0))</f>
        <v/>
      </c>
      <c r="K38" s="344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23020036</v>
      </c>
      <c r="F41" s="210"/>
      <c r="G41" s="211" t="s">
        <v>16</v>
      </c>
      <c r="H41" s="329" t="str">
        <f>H3</f>
        <v>HARNOYO</v>
      </c>
      <c r="I41" s="329"/>
      <c r="J41" s="329"/>
      <c r="K41" s="330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33" t="s">
        <v>18</v>
      </c>
      <c r="G42" s="217"/>
      <c r="H42" s="331"/>
      <c r="I42" s="331"/>
      <c r="J42" s="331"/>
      <c r="K42" s="332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34">
        <f>D5</f>
        <v>44982</v>
      </c>
      <c r="E43" s="335"/>
      <c r="F43" s="333"/>
      <c r="G43" s="218"/>
      <c r="H43" s="336" t="str">
        <f>H5</f>
        <v>(BENDAN)</v>
      </c>
      <c r="I43" s="336"/>
      <c r="J43" s="336"/>
      <c r="K43" s="337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33"/>
      <c r="G44" s="218"/>
      <c r="H44" s="338" t="str">
        <f>H6</f>
        <v>PEKALONGAN</v>
      </c>
      <c r="I44" s="338"/>
      <c r="J44" s="338"/>
      <c r="K44" s="339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KO 1146</v>
      </c>
      <c r="E45" s="209"/>
      <c r="F45" s="222"/>
      <c r="G45" s="223"/>
      <c r="H45" s="340"/>
      <c r="I45" s="340"/>
      <c r="J45" s="340"/>
      <c r="K45" s="341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 ca="1">B11</f>
        <v>5</v>
      </c>
      <c r="C49" s="249" t="str">
        <f ca="1">C11</f>
        <v>GRS</v>
      </c>
      <c r="D49" s="250">
        <f ca="1">D11</f>
        <v>1</v>
      </c>
      <c r="E49" s="251" t="str">
        <f ca="1">E11</f>
        <v>BINDER CLIP KENKO NO. 260</v>
      </c>
      <c r="F49" s="252"/>
      <c r="G49" s="253"/>
      <c r="H49" s="254">
        <f ca="1">H11</f>
        <v>180000</v>
      </c>
      <c r="I49" s="255">
        <f ca="1">I11</f>
        <v>0.14000000000000001</v>
      </c>
      <c r="J49" s="255" t="str">
        <f ca="1">J11</f>
        <v/>
      </c>
      <c r="K49" s="256">
        <f ca="1">K11</f>
        <v>774000</v>
      </c>
      <c r="L49" s="238"/>
    </row>
    <row r="50" spans="1:12" s="10" customFormat="1" ht="14.1" customHeight="1" x14ac:dyDescent="0.25">
      <c r="A50" s="247">
        <v>2</v>
      </c>
      <c r="B50" s="248" t="str">
        <f t="shared" ref="B50:E50" ca="1" si="0">B12</f>
        <v/>
      </c>
      <c r="C50" s="249" t="str">
        <f t="shared" ca="1" si="0"/>
        <v/>
      </c>
      <c r="D50" s="250" t="str">
        <f t="shared" ca="1" si="0"/>
        <v/>
      </c>
      <c r="E50" s="251" t="str">
        <f t="shared" ca="1" si="0"/>
        <v/>
      </c>
      <c r="F50" s="252"/>
      <c r="G50" s="253"/>
      <c r="H50" s="254" t="str">
        <f t="shared" ref="H50:K50" ca="1" si="1">H12</f>
        <v/>
      </c>
      <c r="I50" s="255" t="str">
        <f t="shared" ca="1" si="1"/>
        <v/>
      </c>
      <c r="J50" s="255" t="str">
        <f t="shared" ca="1" si="1"/>
        <v/>
      </c>
      <c r="K50" s="256" t="str">
        <f t="shared" ca="1" si="1"/>
        <v/>
      </c>
      <c r="L50" s="238"/>
    </row>
    <row r="51" spans="1:12" s="10" customFormat="1" ht="14.1" customHeight="1" x14ac:dyDescent="0.25">
      <c r="A51" s="247">
        <v>3</v>
      </c>
      <c r="B51" s="248" t="str">
        <f t="shared" ref="B51:E51" ca="1" si="2">B13</f>
        <v/>
      </c>
      <c r="C51" s="249" t="str">
        <f t="shared" ca="1" si="2"/>
        <v/>
      </c>
      <c r="D51" s="250" t="str">
        <f t="shared" ca="1" si="2"/>
        <v/>
      </c>
      <c r="E51" s="251" t="str">
        <f t="shared" ca="1" si="2"/>
        <v/>
      </c>
      <c r="F51" s="252"/>
      <c r="G51" s="253"/>
      <c r="H51" s="254" t="str">
        <f t="shared" ref="H51:K51" ca="1" si="3">H13</f>
        <v/>
      </c>
      <c r="I51" s="255" t="str">
        <f t="shared" ca="1" si="3"/>
        <v/>
      </c>
      <c r="J51" s="255" t="str">
        <f t="shared" ca="1" si="3"/>
        <v/>
      </c>
      <c r="K51" s="256" t="str">
        <f t="shared" ca="1" si="3"/>
        <v/>
      </c>
      <c r="L51" s="238"/>
    </row>
    <row r="52" spans="1:12" s="10" customFormat="1" ht="14.1" customHeight="1" x14ac:dyDescent="0.25">
      <c r="A52" s="247">
        <v>4</v>
      </c>
      <c r="B52" s="248" t="str">
        <f t="shared" ref="B52:E52" ca="1" si="4">B14</f>
        <v/>
      </c>
      <c r="C52" s="249" t="str">
        <f t="shared" ca="1" si="4"/>
        <v/>
      </c>
      <c r="D52" s="250" t="str">
        <f t="shared" ca="1" si="4"/>
        <v/>
      </c>
      <c r="E52" s="251" t="str">
        <f t="shared" ca="1" si="4"/>
        <v/>
      </c>
      <c r="F52" s="252"/>
      <c r="G52" s="253"/>
      <c r="H52" s="254" t="str">
        <f t="shared" ref="H52:K52" ca="1" si="5">H14</f>
        <v/>
      </c>
      <c r="I52" s="255" t="str">
        <f t="shared" ca="1" si="5"/>
        <v/>
      </c>
      <c r="J52" s="255" t="str">
        <f t="shared" ca="1" si="5"/>
        <v/>
      </c>
      <c r="K52" s="256" t="str">
        <f t="shared" ca="1" si="5"/>
        <v/>
      </c>
      <c r="L52" s="238"/>
    </row>
    <row r="53" spans="1:12" s="10" customFormat="1" ht="14.1" customHeight="1" x14ac:dyDescent="0.25">
      <c r="A53" s="247">
        <v>5</v>
      </c>
      <c r="B53" s="248" t="str">
        <f t="shared" ref="B53:E53" ca="1" si="6">B15</f>
        <v/>
      </c>
      <c r="C53" s="249" t="str">
        <f t="shared" ca="1" si="6"/>
        <v/>
      </c>
      <c r="D53" s="250" t="str">
        <f t="shared" ca="1" si="6"/>
        <v/>
      </c>
      <c r="E53" s="251" t="str">
        <f t="shared" ca="1" si="6"/>
        <v/>
      </c>
      <c r="F53" s="252"/>
      <c r="G53" s="253"/>
      <c r="H53" s="254" t="str">
        <f t="shared" ref="H53:K53" ca="1" si="7">H15</f>
        <v/>
      </c>
      <c r="I53" s="255" t="str">
        <f t="shared" ca="1" si="7"/>
        <v/>
      </c>
      <c r="J53" s="255" t="str">
        <f t="shared" ca="1" si="7"/>
        <v/>
      </c>
      <c r="K53" s="256" t="str">
        <f t="shared" ca="1" si="7"/>
        <v/>
      </c>
      <c r="L53" s="238"/>
    </row>
    <row r="54" spans="1:12" s="10" customFormat="1" ht="14.1" customHeight="1" x14ac:dyDescent="0.25">
      <c r="A54" s="247">
        <v>6</v>
      </c>
      <c r="B54" s="248" t="str">
        <f t="shared" ref="B54:E54" ca="1" si="8">B16</f>
        <v/>
      </c>
      <c r="C54" s="249" t="str">
        <f t="shared" ca="1" si="8"/>
        <v/>
      </c>
      <c r="D54" s="250" t="str">
        <f t="shared" ca="1" si="8"/>
        <v/>
      </c>
      <c r="E54" s="251" t="str">
        <f t="shared" ca="1" si="8"/>
        <v/>
      </c>
      <c r="F54" s="252"/>
      <c r="G54" s="253"/>
      <c r="H54" s="254" t="str">
        <f t="shared" ref="H54:K54" ca="1" si="9">H16</f>
        <v/>
      </c>
      <c r="I54" s="255" t="str">
        <f t="shared" ca="1" si="9"/>
        <v/>
      </c>
      <c r="J54" s="255" t="str">
        <f t="shared" ca="1" si="9"/>
        <v/>
      </c>
      <c r="K54" s="256" t="str">
        <f t="shared" ca="1" si="9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ref="B55:E55" ca="1" si="10">B17</f>
        <v/>
      </c>
      <c r="C55" s="249" t="str">
        <f t="shared" ca="1" si="10"/>
        <v/>
      </c>
      <c r="D55" s="250" t="str">
        <f t="shared" ca="1" si="10"/>
        <v/>
      </c>
      <c r="E55" s="251" t="str">
        <f t="shared" ca="1" si="10"/>
        <v/>
      </c>
      <c r="F55" s="252"/>
      <c r="G55" s="253"/>
      <c r="H55" s="254" t="str">
        <f t="shared" ref="H55:K55" ca="1" si="11">H17</f>
        <v/>
      </c>
      <c r="I55" s="255" t="str">
        <f t="shared" ca="1" si="11"/>
        <v/>
      </c>
      <c r="J55" s="255" t="str">
        <f t="shared" ca="1" si="11"/>
        <v/>
      </c>
      <c r="K55" s="256" t="str">
        <f t="shared" ca="1" si="1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ref="B56:E56" ca="1" si="12">B18</f>
        <v/>
      </c>
      <c r="C56" s="249" t="str">
        <f t="shared" ca="1" si="12"/>
        <v/>
      </c>
      <c r="D56" s="250" t="str">
        <f t="shared" ca="1" si="12"/>
        <v/>
      </c>
      <c r="E56" s="251" t="str">
        <f t="shared" ca="1" si="12"/>
        <v/>
      </c>
      <c r="F56" s="252"/>
      <c r="G56" s="253"/>
      <c r="H56" s="254" t="str">
        <f t="shared" ref="H56:K56" ca="1" si="13">H18</f>
        <v/>
      </c>
      <c r="I56" s="255" t="str">
        <f t="shared" ca="1" si="13"/>
        <v/>
      </c>
      <c r="J56" s="255" t="str">
        <f t="shared" ca="1" si="13"/>
        <v/>
      </c>
      <c r="K56" s="256" t="str">
        <f t="shared" ca="1" si="13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ref="B57:E57" ca="1" si="14">B19</f>
        <v/>
      </c>
      <c r="C57" s="249" t="str">
        <f t="shared" ca="1" si="14"/>
        <v/>
      </c>
      <c r="D57" s="250" t="str">
        <f t="shared" ca="1" si="14"/>
        <v/>
      </c>
      <c r="E57" s="251" t="str">
        <f t="shared" ca="1" si="14"/>
        <v/>
      </c>
      <c r="F57" s="252"/>
      <c r="G57" s="253"/>
      <c r="H57" s="254" t="str">
        <f t="shared" ref="H57:K57" ca="1" si="15">H19</f>
        <v/>
      </c>
      <c r="I57" s="255" t="str">
        <f t="shared" ca="1" si="15"/>
        <v/>
      </c>
      <c r="J57" s="255" t="str">
        <f t="shared" ca="1" si="15"/>
        <v/>
      </c>
      <c r="K57" s="256" t="str">
        <f t="shared" ca="1" si="15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ref="B58:E58" ca="1" si="16">B20</f>
        <v/>
      </c>
      <c r="C58" s="249" t="str">
        <f t="shared" ca="1" si="16"/>
        <v/>
      </c>
      <c r="D58" s="250" t="str">
        <f t="shared" ca="1" si="16"/>
        <v/>
      </c>
      <c r="E58" s="251" t="str">
        <f t="shared" ca="1" si="16"/>
        <v/>
      </c>
      <c r="F58" s="252"/>
      <c r="G58" s="253"/>
      <c r="H58" s="254" t="str">
        <f t="shared" ref="H58:K58" ca="1" si="17">H20</f>
        <v/>
      </c>
      <c r="I58" s="255" t="str">
        <f t="shared" ca="1" si="17"/>
        <v/>
      </c>
      <c r="J58" s="255" t="str">
        <f t="shared" ca="1" si="17"/>
        <v/>
      </c>
      <c r="K58" s="256" t="str">
        <f t="shared" ca="1" si="17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ref="B59:E59" ca="1" si="18">B21</f>
        <v/>
      </c>
      <c r="C59" s="249" t="str">
        <f t="shared" ca="1" si="18"/>
        <v/>
      </c>
      <c r="D59" s="250" t="str">
        <f t="shared" ca="1" si="18"/>
        <v/>
      </c>
      <c r="E59" s="251" t="str">
        <f t="shared" ca="1" si="18"/>
        <v/>
      </c>
      <c r="F59" s="252"/>
      <c r="G59" s="253"/>
      <c r="H59" s="254" t="str">
        <f t="shared" ref="H59:K59" ca="1" si="19">H21</f>
        <v/>
      </c>
      <c r="I59" s="255" t="str">
        <f t="shared" ca="1" si="19"/>
        <v/>
      </c>
      <c r="J59" s="255" t="str">
        <f t="shared" ca="1" si="19"/>
        <v/>
      </c>
      <c r="K59" s="256" t="str">
        <f t="shared" ca="1" si="19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ref="B60:E60" ca="1" si="20">B22</f>
        <v/>
      </c>
      <c r="C60" s="249" t="str">
        <f t="shared" ca="1" si="20"/>
        <v/>
      </c>
      <c r="D60" s="250" t="str">
        <f t="shared" ca="1" si="20"/>
        <v/>
      </c>
      <c r="E60" s="251" t="str">
        <f t="shared" ca="1" si="20"/>
        <v/>
      </c>
      <c r="F60" s="252"/>
      <c r="G60" s="253"/>
      <c r="H60" s="254" t="str">
        <f t="shared" ref="H60:K60" ca="1" si="21">H22</f>
        <v/>
      </c>
      <c r="I60" s="255" t="str">
        <f t="shared" ca="1" si="21"/>
        <v/>
      </c>
      <c r="J60" s="255" t="str">
        <f t="shared" ca="1" si="21"/>
        <v/>
      </c>
      <c r="K60" s="256" t="str">
        <f t="shared" ca="1" si="2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ref="B61:E61" ca="1" si="22">B23</f>
        <v/>
      </c>
      <c r="C61" s="249" t="str">
        <f t="shared" ca="1" si="22"/>
        <v/>
      </c>
      <c r="D61" s="250" t="str">
        <f t="shared" ca="1" si="22"/>
        <v/>
      </c>
      <c r="E61" s="251" t="str">
        <f t="shared" ca="1" si="22"/>
        <v/>
      </c>
      <c r="F61" s="252"/>
      <c r="G61" s="253"/>
      <c r="H61" s="254" t="str">
        <f t="shared" ref="H61:K61" ca="1" si="23">H23</f>
        <v/>
      </c>
      <c r="I61" s="255" t="str">
        <f t="shared" ca="1" si="23"/>
        <v/>
      </c>
      <c r="J61" s="255" t="str">
        <f t="shared" ca="1" si="23"/>
        <v/>
      </c>
      <c r="K61" s="256" t="str">
        <f t="shared" ca="1" si="23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ref="B62:E62" ca="1" si="24">B24</f>
        <v/>
      </c>
      <c r="C62" s="249" t="str">
        <f t="shared" ca="1" si="24"/>
        <v/>
      </c>
      <c r="D62" s="250" t="str">
        <f t="shared" ca="1" si="24"/>
        <v/>
      </c>
      <c r="E62" s="251" t="str">
        <f t="shared" ca="1" si="24"/>
        <v/>
      </c>
      <c r="F62" s="252"/>
      <c r="G62" s="253"/>
      <c r="H62" s="254" t="str">
        <f t="shared" ref="H62:K62" ca="1" si="25">H24</f>
        <v/>
      </c>
      <c r="I62" s="255" t="str">
        <f t="shared" ca="1" si="25"/>
        <v/>
      </c>
      <c r="J62" s="255" t="str">
        <f t="shared" ca="1" si="25"/>
        <v/>
      </c>
      <c r="K62" s="256" t="str">
        <f t="shared" ca="1" si="25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ref="B63:E63" ca="1" si="26">B25</f>
        <v/>
      </c>
      <c r="C63" s="249" t="str">
        <f t="shared" ca="1" si="26"/>
        <v/>
      </c>
      <c r="D63" s="250" t="str">
        <f t="shared" ca="1" si="26"/>
        <v/>
      </c>
      <c r="E63" s="251" t="str">
        <f t="shared" ca="1" si="26"/>
        <v/>
      </c>
      <c r="F63" s="252"/>
      <c r="G63" s="253"/>
      <c r="H63" s="254" t="str">
        <f t="shared" ref="H63:K63" ca="1" si="27">H25</f>
        <v/>
      </c>
      <c r="I63" s="255" t="str">
        <f t="shared" ca="1" si="27"/>
        <v/>
      </c>
      <c r="J63" s="255" t="str">
        <f t="shared" ca="1" si="27"/>
        <v/>
      </c>
      <c r="K63" s="256" t="str">
        <f t="shared" ca="1" si="27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ref="B64:E64" ca="1" si="28">B26</f>
        <v/>
      </c>
      <c r="C64" s="249" t="str">
        <f t="shared" ca="1" si="28"/>
        <v/>
      </c>
      <c r="D64" s="250" t="str">
        <f t="shared" ca="1" si="28"/>
        <v/>
      </c>
      <c r="E64" s="251" t="str">
        <f t="shared" ca="1" si="28"/>
        <v/>
      </c>
      <c r="F64" s="252"/>
      <c r="G64" s="253"/>
      <c r="H64" s="254" t="str">
        <f t="shared" ref="H64:K64" ca="1" si="29">H26</f>
        <v/>
      </c>
      <c r="I64" s="255" t="str">
        <f t="shared" ca="1" si="29"/>
        <v/>
      </c>
      <c r="J64" s="255" t="str">
        <f t="shared" ca="1" si="29"/>
        <v/>
      </c>
      <c r="K64" s="256" t="str">
        <f t="shared" ca="1" si="29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09"/>
      <c r="K66" s="309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17">
        <f ca="1">J29</f>
        <v>774000</v>
      </c>
      <c r="K67" s="318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19"/>
      <c r="K68" s="319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 ca="1"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09"/>
      <c r="K70" s="309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17">
        <f ca="1">J33</f>
        <v>76702.702702702707</v>
      </c>
      <c r="K71" s="318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09"/>
      <c r="K72" s="309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 ca="1">K35</f>
        <v>774000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10" t="str">
        <f>J37</f>
        <v>NOVI / CONDRO</v>
      </c>
      <c r="K75" s="311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10">
        <v>0</v>
      </c>
      <c r="K76" s="311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23020036</v>
      </c>
      <c r="F79" s="110"/>
      <c r="G79" s="111" t="s">
        <v>16</v>
      </c>
      <c r="H79" s="312" t="str">
        <f>H41</f>
        <v>HARNOYO</v>
      </c>
      <c r="I79" s="312"/>
      <c r="J79" s="312"/>
      <c r="K79" s="313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16" t="s">
        <v>18</v>
      </c>
      <c r="G80" s="117"/>
      <c r="H80" s="314"/>
      <c r="I80" s="314"/>
      <c r="J80" s="314"/>
      <c r="K80" s="315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01">
        <f>D43</f>
        <v>44982</v>
      </c>
      <c r="E81" s="302"/>
      <c r="F81" s="316"/>
      <c r="G81" s="118"/>
      <c r="H81" s="303" t="str">
        <f>H43</f>
        <v>(BENDAN)</v>
      </c>
      <c r="I81" s="303"/>
      <c r="J81" s="303"/>
      <c r="K81" s="304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16"/>
      <c r="G82" s="118"/>
      <c r="H82" s="305" t="str">
        <f>H44</f>
        <v>PEKALONGAN</v>
      </c>
      <c r="I82" s="305"/>
      <c r="J82" s="305"/>
      <c r="K82" s="306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KO 1146</v>
      </c>
      <c r="E83" s="109"/>
      <c r="F83" s="122"/>
      <c r="G83" s="123"/>
      <c r="H83" s="307"/>
      <c r="I83" s="307"/>
      <c r="J83" s="307"/>
      <c r="K83" s="308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 ca="1">B49</f>
        <v>5</v>
      </c>
      <c r="C87" s="149" t="str">
        <f ca="1">C49</f>
        <v>GRS</v>
      </c>
      <c r="D87" s="150">
        <f ca="1">D49</f>
        <v>1</v>
      </c>
      <c r="E87" s="151" t="str">
        <f ca="1">E49</f>
        <v>BINDER CLIP KENKO NO. 260</v>
      </c>
      <c r="F87" s="152"/>
      <c r="G87" s="153"/>
      <c r="H87" s="154">
        <f ca="1">H49</f>
        <v>180000</v>
      </c>
      <c r="I87" s="155">
        <f ca="1">I49</f>
        <v>0.14000000000000001</v>
      </c>
      <c r="J87" s="155" t="str">
        <f ca="1">J49</f>
        <v/>
      </c>
      <c r="K87" s="156">
        <f ca="1">K49</f>
        <v>774000</v>
      </c>
      <c r="L87" s="138"/>
    </row>
    <row r="88" spans="1:12" s="10" customFormat="1" ht="14.1" customHeight="1" x14ac:dyDescent="0.25">
      <c r="A88" s="147">
        <v>2</v>
      </c>
      <c r="B88" s="148" t="str">
        <f t="shared" ref="B88:E88" ca="1" si="30">B50</f>
        <v/>
      </c>
      <c r="C88" s="149" t="str">
        <f t="shared" ca="1" si="30"/>
        <v/>
      </c>
      <c r="D88" s="150" t="str">
        <f t="shared" ca="1" si="30"/>
        <v/>
      </c>
      <c r="E88" s="151" t="str">
        <f t="shared" ca="1" si="30"/>
        <v/>
      </c>
      <c r="F88" s="152"/>
      <c r="G88" s="153"/>
      <c r="H88" s="154" t="str">
        <f t="shared" ref="H88:K88" ca="1" si="31">H50</f>
        <v/>
      </c>
      <c r="I88" s="155" t="str">
        <f t="shared" ca="1" si="31"/>
        <v/>
      </c>
      <c r="J88" s="155" t="str">
        <f t="shared" ca="1" si="31"/>
        <v/>
      </c>
      <c r="K88" s="156" t="str">
        <f t="shared" ca="1" si="31"/>
        <v/>
      </c>
      <c r="L88" s="138"/>
    </row>
    <row r="89" spans="1:12" s="10" customFormat="1" ht="14.1" customHeight="1" x14ac:dyDescent="0.25">
      <c r="A89" s="147">
        <v>3</v>
      </c>
      <c r="B89" s="148" t="str">
        <f t="shared" ref="B89:E89" ca="1" si="32">B51</f>
        <v/>
      </c>
      <c r="C89" s="149" t="str">
        <f t="shared" ca="1" si="32"/>
        <v/>
      </c>
      <c r="D89" s="150" t="str">
        <f t="shared" ca="1" si="32"/>
        <v/>
      </c>
      <c r="E89" s="151" t="str">
        <f t="shared" ca="1" si="32"/>
        <v/>
      </c>
      <c r="F89" s="152"/>
      <c r="G89" s="153"/>
      <c r="H89" s="154" t="str">
        <f t="shared" ref="H89:K89" ca="1" si="33">H51</f>
        <v/>
      </c>
      <c r="I89" s="155" t="str">
        <f t="shared" ca="1" si="33"/>
        <v/>
      </c>
      <c r="J89" s="155" t="str">
        <f t="shared" ca="1" si="33"/>
        <v/>
      </c>
      <c r="K89" s="156" t="str">
        <f t="shared" ca="1" si="33"/>
        <v/>
      </c>
      <c r="L89" s="138"/>
    </row>
    <row r="90" spans="1:12" s="10" customFormat="1" ht="14.1" customHeight="1" x14ac:dyDescent="0.25">
      <c r="A90" s="147">
        <v>4</v>
      </c>
      <c r="B90" s="148" t="str">
        <f t="shared" ref="B90:E90" ca="1" si="34">B52</f>
        <v/>
      </c>
      <c r="C90" s="149" t="str">
        <f t="shared" ca="1" si="34"/>
        <v/>
      </c>
      <c r="D90" s="150" t="str">
        <f t="shared" ca="1" si="34"/>
        <v/>
      </c>
      <c r="E90" s="151" t="str">
        <f t="shared" ca="1" si="34"/>
        <v/>
      </c>
      <c r="F90" s="152"/>
      <c r="G90" s="153"/>
      <c r="H90" s="154" t="str">
        <f t="shared" ref="H90:K90" ca="1" si="35">H52</f>
        <v/>
      </c>
      <c r="I90" s="155" t="str">
        <f t="shared" ca="1" si="35"/>
        <v/>
      </c>
      <c r="J90" s="155" t="str">
        <f t="shared" ca="1" si="35"/>
        <v/>
      </c>
      <c r="K90" s="156" t="str">
        <f t="shared" ca="1" si="35"/>
        <v/>
      </c>
      <c r="L90" s="138"/>
    </row>
    <row r="91" spans="1:12" s="10" customFormat="1" ht="14.1" customHeight="1" x14ac:dyDescent="0.25">
      <c r="A91" s="147">
        <v>5</v>
      </c>
      <c r="B91" s="148" t="str">
        <f t="shared" ref="B91:E91" ca="1" si="36">B53</f>
        <v/>
      </c>
      <c r="C91" s="149" t="str">
        <f t="shared" ca="1" si="36"/>
        <v/>
      </c>
      <c r="D91" s="150" t="str">
        <f t="shared" ca="1" si="36"/>
        <v/>
      </c>
      <c r="E91" s="151" t="str">
        <f t="shared" ca="1" si="36"/>
        <v/>
      </c>
      <c r="F91" s="152"/>
      <c r="G91" s="153"/>
      <c r="H91" s="154" t="str">
        <f t="shared" ref="H91:K91" ca="1" si="37">H53</f>
        <v/>
      </c>
      <c r="I91" s="155" t="str">
        <f t="shared" ca="1" si="37"/>
        <v/>
      </c>
      <c r="J91" s="155" t="str">
        <f t="shared" ca="1" si="37"/>
        <v/>
      </c>
      <c r="K91" s="156" t="str">
        <f t="shared" ca="1" si="37"/>
        <v/>
      </c>
      <c r="L91" s="138"/>
    </row>
    <row r="92" spans="1:12" s="10" customFormat="1" ht="14.1" customHeight="1" x14ac:dyDescent="0.25">
      <c r="A92" s="147">
        <v>6</v>
      </c>
      <c r="B92" s="148" t="str">
        <f t="shared" ref="B92:E92" ca="1" si="38">B54</f>
        <v/>
      </c>
      <c r="C92" s="149" t="str">
        <f t="shared" ca="1" si="38"/>
        <v/>
      </c>
      <c r="D92" s="150" t="str">
        <f t="shared" ca="1" si="38"/>
        <v/>
      </c>
      <c r="E92" s="151" t="str">
        <f t="shared" ca="1" si="38"/>
        <v/>
      </c>
      <c r="F92" s="152"/>
      <c r="G92" s="153"/>
      <c r="H92" s="154" t="str">
        <f t="shared" ref="H92:K92" ca="1" si="39">H54</f>
        <v/>
      </c>
      <c r="I92" s="155" t="str">
        <f t="shared" ca="1" si="39"/>
        <v/>
      </c>
      <c r="J92" s="155" t="str">
        <f t="shared" ca="1" si="39"/>
        <v/>
      </c>
      <c r="K92" s="156" t="str">
        <f t="shared" ca="1" si="39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ref="B93:E93" ca="1" si="40">B55</f>
        <v/>
      </c>
      <c r="C93" s="149" t="str">
        <f t="shared" ca="1" si="40"/>
        <v/>
      </c>
      <c r="D93" s="150" t="str">
        <f t="shared" ca="1" si="40"/>
        <v/>
      </c>
      <c r="E93" s="151" t="str">
        <f t="shared" ca="1" si="40"/>
        <v/>
      </c>
      <c r="F93" s="152"/>
      <c r="G93" s="153"/>
      <c r="H93" s="154" t="str">
        <f t="shared" ref="H93:K93" ca="1" si="41">H55</f>
        <v/>
      </c>
      <c r="I93" s="155" t="str">
        <f t="shared" ca="1" si="41"/>
        <v/>
      </c>
      <c r="J93" s="155" t="str">
        <f t="shared" ca="1" si="41"/>
        <v/>
      </c>
      <c r="K93" s="156" t="str">
        <f t="shared" ca="1" si="41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ref="B94:E94" ca="1" si="42">B56</f>
        <v/>
      </c>
      <c r="C94" s="149" t="str">
        <f t="shared" ca="1" si="42"/>
        <v/>
      </c>
      <c r="D94" s="150" t="str">
        <f t="shared" ca="1" si="42"/>
        <v/>
      </c>
      <c r="E94" s="151" t="str">
        <f t="shared" ca="1" si="42"/>
        <v/>
      </c>
      <c r="F94" s="152"/>
      <c r="G94" s="153"/>
      <c r="H94" s="154" t="str">
        <f t="shared" ref="H94:K94" ca="1" si="43">H56</f>
        <v/>
      </c>
      <c r="I94" s="155" t="str">
        <f t="shared" ca="1" si="43"/>
        <v/>
      </c>
      <c r="J94" s="155" t="str">
        <f t="shared" ca="1" si="43"/>
        <v/>
      </c>
      <c r="K94" s="156" t="str">
        <f t="shared" ca="1" si="4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ref="B95:E95" ca="1" si="44">B57</f>
        <v/>
      </c>
      <c r="C95" s="149" t="str">
        <f t="shared" ca="1" si="44"/>
        <v/>
      </c>
      <c r="D95" s="150" t="str">
        <f t="shared" ca="1" si="44"/>
        <v/>
      </c>
      <c r="E95" s="151" t="str">
        <f t="shared" ca="1" si="44"/>
        <v/>
      </c>
      <c r="F95" s="152"/>
      <c r="G95" s="153"/>
      <c r="H95" s="154" t="str">
        <f t="shared" ref="H95:K95" ca="1" si="45">H57</f>
        <v/>
      </c>
      <c r="I95" s="155" t="str">
        <f t="shared" ca="1" si="45"/>
        <v/>
      </c>
      <c r="J95" s="155" t="str">
        <f t="shared" ca="1" si="45"/>
        <v/>
      </c>
      <c r="K95" s="156" t="str">
        <f t="shared" ca="1" si="45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ref="B96:E96" ca="1" si="46">B58</f>
        <v/>
      </c>
      <c r="C96" s="149" t="str">
        <f t="shared" ca="1" si="46"/>
        <v/>
      </c>
      <c r="D96" s="150" t="str">
        <f t="shared" ca="1" si="46"/>
        <v/>
      </c>
      <c r="E96" s="151" t="str">
        <f t="shared" ca="1" si="46"/>
        <v/>
      </c>
      <c r="F96" s="152"/>
      <c r="G96" s="153"/>
      <c r="H96" s="154" t="str">
        <f t="shared" ref="H96:K96" ca="1" si="47">H58</f>
        <v/>
      </c>
      <c r="I96" s="155" t="str">
        <f t="shared" ca="1" si="47"/>
        <v/>
      </c>
      <c r="J96" s="155" t="str">
        <f t="shared" ca="1" si="47"/>
        <v/>
      </c>
      <c r="K96" s="156" t="str">
        <f t="shared" ca="1" si="47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ref="B97:E97" ca="1" si="48">B59</f>
        <v/>
      </c>
      <c r="C97" s="149" t="str">
        <f t="shared" ca="1" si="48"/>
        <v/>
      </c>
      <c r="D97" s="150" t="str">
        <f t="shared" ca="1" si="48"/>
        <v/>
      </c>
      <c r="E97" s="151" t="str">
        <f t="shared" ca="1" si="48"/>
        <v/>
      </c>
      <c r="F97" s="152"/>
      <c r="G97" s="153"/>
      <c r="H97" s="154" t="str">
        <f t="shared" ref="H97:K97" ca="1" si="49">H59</f>
        <v/>
      </c>
      <c r="I97" s="155" t="str">
        <f t="shared" ca="1" si="49"/>
        <v/>
      </c>
      <c r="J97" s="155" t="str">
        <f t="shared" ca="1" si="49"/>
        <v/>
      </c>
      <c r="K97" s="156" t="str">
        <f t="shared" ca="1" si="49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ref="B98:E98" ca="1" si="50">B60</f>
        <v/>
      </c>
      <c r="C98" s="149" t="str">
        <f t="shared" ca="1" si="50"/>
        <v/>
      </c>
      <c r="D98" s="150" t="str">
        <f t="shared" ca="1" si="50"/>
        <v/>
      </c>
      <c r="E98" s="151" t="str">
        <f t="shared" ca="1" si="50"/>
        <v/>
      </c>
      <c r="F98" s="152"/>
      <c r="G98" s="153"/>
      <c r="H98" s="154" t="str">
        <f t="shared" ref="H98:K98" ca="1" si="51">H60</f>
        <v/>
      </c>
      <c r="I98" s="155" t="str">
        <f t="shared" ca="1" si="51"/>
        <v/>
      </c>
      <c r="J98" s="155" t="str">
        <f t="shared" ca="1" si="51"/>
        <v/>
      </c>
      <c r="K98" s="156" t="str">
        <f t="shared" ca="1" si="51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ref="B99:E99" ca="1" si="52">B61</f>
        <v/>
      </c>
      <c r="C99" s="149" t="str">
        <f t="shared" ca="1" si="52"/>
        <v/>
      </c>
      <c r="D99" s="150" t="str">
        <f t="shared" ca="1" si="52"/>
        <v/>
      </c>
      <c r="E99" s="151" t="str">
        <f t="shared" ca="1" si="52"/>
        <v/>
      </c>
      <c r="F99" s="152"/>
      <c r="G99" s="153"/>
      <c r="H99" s="154" t="str">
        <f t="shared" ref="H99:K99" ca="1" si="53">H61</f>
        <v/>
      </c>
      <c r="I99" s="155" t="str">
        <f t="shared" ca="1" si="53"/>
        <v/>
      </c>
      <c r="J99" s="155" t="str">
        <f t="shared" ca="1" si="53"/>
        <v/>
      </c>
      <c r="K99" s="156" t="str">
        <f t="shared" ca="1" si="5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ref="B100:E100" ca="1" si="54">B62</f>
        <v/>
      </c>
      <c r="C100" s="149" t="str">
        <f t="shared" ca="1" si="54"/>
        <v/>
      </c>
      <c r="D100" s="150" t="str">
        <f t="shared" ca="1" si="54"/>
        <v/>
      </c>
      <c r="E100" s="151" t="str">
        <f t="shared" ca="1" si="54"/>
        <v/>
      </c>
      <c r="F100" s="152"/>
      <c r="G100" s="153"/>
      <c r="H100" s="154" t="str">
        <f t="shared" ref="H100:K100" ca="1" si="55">H62</f>
        <v/>
      </c>
      <c r="I100" s="155" t="str">
        <f t="shared" ca="1" si="55"/>
        <v/>
      </c>
      <c r="J100" s="155" t="str">
        <f t="shared" ca="1" si="55"/>
        <v/>
      </c>
      <c r="K100" s="156" t="str">
        <f t="shared" ca="1" si="55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ref="B101:E101" ca="1" si="56">B63</f>
        <v/>
      </c>
      <c r="C101" s="149" t="str">
        <f t="shared" ca="1" si="56"/>
        <v/>
      </c>
      <c r="D101" s="150" t="str">
        <f t="shared" ca="1" si="56"/>
        <v/>
      </c>
      <c r="E101" s="151" t="str">
        <f t="shared" ca="1" si="56"/>
        <v/>
      </c>
      <c r="F101" s="152"/>
      <c r="G101" s="153"/>
      <c r="H101" s="154" t="str">
        <f t="shared" ref="H101:K101" ca="1" si="57">H63</f>
        <v/>
      </c>
      <c r="I101" s="155" t="str">
        <f t="shared" ca="1" si="57"/>
        <v/>
      </c>
      <c r="J101" s="155" t="str">
        <f t="shared" ca="1" si="57"/>
        <v/>
      </c>
      <c r="K101" s="156" t="str">
        <f t="shared" ca="1" si="57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ref="B102:E102" ca="1" si="58">B64</f>
        <v/>
      </c>
      <c r="C102" s="149" t="str">
        <f t="shared" ca="1" si="58"/>
        <v/>
      </c>
      <c r="D102" s="150" t="str">
        <f t="shared" ca="1" si="58"/>
        <v/>
      </c>
      <c r="E102" s="151" t="str">
        <f t="shared" ca="1" si="58"/>
        <v/>
      </c>
      <c r="F102" s="152"/>
      <c r="G102" s="153"/>
      <c r="H102" s="154" t="str">
        <f t="shared" ref="H102:K102" ca="1" si="59">H64</f>
        <v/>
      </c>
      <c r="I102" s="155" t="str">
        <f t="shared" ca="1" si="59"/>
        <v/>
      </c>
      <c r="J102" s="155" t="str">
        <f t="shared" ca="1" si="59"/>
        <v/>
      </c>
      <c r="K102" s="156" t="str">
        <f t="shared" ca="1" si="59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298"/>
      <c r="K104" s="298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299">
        <f ca="1">J67</f>
        <v>774000</v>
      </c>
      <c r="K105" s="300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297"/>
      <c r="K106" s="297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 ca="1"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298"/>
      <c r="K108" s="298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299">
        <f ca="1">J71</f>
        <v>76702.702702702707</v>
      </c>
      <c r="K109" s="300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298"/>
      <c r="K110" s="298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 ca="1">K73</f>
        <v>774000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295" t="str">
        <f>J75</f>
        <v>NOVI / CONDRO</v>
      </c>
      <c r="K113" s="296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295">
        <v>0</v>
      </c>
      <c r="K114" s="296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39"/>
  <sheetViews>
    <sheetView workbookViewId="0">
      <selection activeCell="A81" sqref="A81"/>
    </sheetView>
  </sheetViews>
  <sheetFormatPr defaultRowHeight="15" x14ac:dyDescent="0.25"/>
  <cols>
    <col min="1" max="1" width="65.140625" customWidth="1"/>
    <col min="2" max="3" width="9" customWidth="1"/>
    <col min="5" max="5" width="10.140625" bestFit="1" customWidth="1"/>
    <col min="6" max="6" width="10.140625" customWidth="1"/>
    <col min="7" max="7" width="52.28515625" bestFit="1" customWidth="1"/>
    <col min="8" max="8" width="6.7109375" customWidth="1"/>
    <col min="9" max="9" width="7.5703125" customWidth="1"/>
    <col min="10" max="10" width="4.42578125" customWidth="1"/>
    <col min="11" max="11" width="13.28515625" style="195" bestFit="1" customWidth="1"/>
  </cols>
  <sheetData>
    <row r="1" spans="1:16" x14ac:dyDescent="0.25">
      <c r="A1" s="87" t="s">
        <v>54</v>
      </c>
      <c r="B1" s="87"/>
      <c r="C1" s="87"/>
      <c r="E1" t="s">
        <v>110</v>
      </c>
      <c r="F1" t="s">
        <v>115</v>
      </c>
      <c r="G1" t="s">
        <v>111</v>
      </c>
      <c r="H1" t="s">
        <v>113</v>
      </c>
      <c r="I1" t="s">
        <v>114</v>
      </c>
      <c r="J1" t="s">
        <v>7</v>
      </c>
      <c r="K1" s="195" t="s">
        <v>9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</row>
    <row r="2" spans="1:16" x14ac:dyDescent="0.25">
      <c r="A2" s="88"/>
      <c r="B2" s="88"/>
      <c r="C2" s="88"/>
      <c r="E2" s="193" t="e">
        <f>MATCH(A2,Table1[H_A1],0)</f>
        <v>#N/A</v>
      </c>
      <c r="F2" s="193" t="e">
        <f>MATCH(Table5[[#This Row],[NAMA]],[1]!db[NB PAJAK],0)</f>
        <v>#N/A</v>
      </c>
      <c r="G2" t="e">
        <f>INDEX(Table1[Item Description],Table5[[#This Row],[//NOTA]])</f>
        <v>#N/A</v>
      </c>
      <c r="H2">
        <f>SUMIF(Table1[H_A1],Sheet5!A2,Table1[Qty])</f>
        <v>0</v>
      </c>
      <c r="I2" t="e">
        <f>INDEX(Table1[Unit],Table5[[#This Row],[//NOTA]])</f>
        <v>#N/A</v>
      </c>
      <c r="J2" s="195">
        <f>SUMIF(Table1[H_A1],Sheet5!A2,Table1[C])</f>
        <v>0</v>
      </c>
      <c r="K2" s="195" t="e">
        <f>INDEX(Table1[Unit Price],Table5[[#This Row],[//NOTA]])</f>
        <v>#N/A</v>
      </c>
      <c r="L2" s="86" t="e">
        <f>IF(Table5[[#This Row],[a2]]="","",Table5[[#This Row],[QTY]]*12)</f>
        <v>#N/A</v>
      </c>
      <c r="M2" s="86" t="e">
        <f>IF(Table5[[#This Row],[UNIT]]="grs","LSN",IF(Table5[[#This Row],[UNIT]]="LSN","PCS",""))</f>
        <v>#N/A</v>
      </c>
      <c r="N2" s="86" t="e">
        <f>IF(Table5[[#This Row],[a2]]="LSN",Table5[[#This Row],[a1]]*12,"")</f>
        <v>#N/A</v>
      </c>
      <c r="O2" s="86" t="e">
        <f>IF(Table5[[#This Row],[b1]]="","","PCS")</f>
        <v>#N/A</v>
      </c>
      <c r="P2" s="86"/>
    </row>
    <row r="3" spans="1:16" x14ac:dyDescent="0.25">
      <c r="A3" s="88" t="s">
        <v>428</v>
      </c>
      <c r="B3" s="88"/>
      <c r="C3" s="88"/>
      <c r="E3" s="193">
        <f>MATCH(A3,Table1[H_A1],0)</f>
        <v>131</v>
      </c>
      <c r="F3" s="193">
        <f>MATCH(Table5[[#This Row],[NAMA]],[1]!db[NB PAJAK],0)</f>
        <v>199</v>
      </c>
      <c r="G3" t="str">
        <f>INDEX(Table1[Item Description],Table5[[#This Row],[//NOTA]])</f>
        <v>BINDER CLIP JOYKO 155</v>
      </c>
      <c r="H3">
        <f>SUMIF(Table1[H_A1],Sheet5!A3,Table1[Qty])</f>
        <v>20</v>
      </c>
      <c r="I3" t="str">
        <f>INDEX(Table1[Unit],Table5[[#This Row],[//NOTA]])</f>
        <v>GRS</v>
      </c>
      <c r="J3" s="195">
        <f>SUMIF(Table1[H_A1],Sheet5!A3,Table1[C])</f>
        <v>1</v>
      </c>
      <c r="K3" s="195">
        <f>INDEX(Table1[Unit Price],Table5[[#This Row],[//NOTA]])</f>
        <v>67800</v>
      </c>
      <c r="L3" s="86">
        <f>IF(Table5[[#This Row],[a2]]="","",Table5[[#This Row],[QTY]]*12)</f>
        <v>240</v>
      </c>
      <c r="M3" s="86" t="str">
        <f>IF(Table5[[#This Row],[UNIT]]="grs","LSN",IF(Table5[[#This Row],[UNIT]]="LSN","PCS",""))</f>
        <v>LSN</v>
      </c>
      <c r="N3" s="86">
        <f>IF(Table5[[#This Row],[a2]]="LSN",Table5[[#This Row],[a1]]*12,"")</f>
        <v>2880</v>
      </c>
      <c r="O3" s="86" t="str">
        <f>IF(Table5[[#This Row],[b1]]="","","PCS")</f>
        <v>PCS</v>
      </c>
      <c r="P3" s="86"/>
    </row>
    <row r="4" spans="1:16" x14ac:dyDescent="0.25">
      <c r="A4" s="88" t="s">
        <v>429</v>
      </c>
      <c r="B4" s="88"/>
      <c r="C4" s="88"/>
      <c r="E4" s="194">
        <f>MATCH(A4,Table1[H_A1],0)</f>
        <v>132</v>
      </c>
      <c r="F4" s="194">
        <f>MATCH(Table5[[#This Row],[NAMA]],[1]!db[NB PAJAK],0)</f>
        <v>204</v>
      </c>
      <c r="G4" t="str">
        <f>INDEX(Table1[Item Description],Table5[[#This Row],[//NOTA]])</f>
        <v>BINDER CLIP JOYKO 280</v>
      </c>
      <c r="H4">
        <f>SUMIF(Table1[H_A1],Sheet5!A4,Table1[Qty])</f>
        <v>3</v>
      </c>
      <c r="I4" t="str">
        <f>INDEX(Table1[Unit],Table5[[#This Row],[//NOTA]])</f>
        <v>GRS</v>
      </c>
      <c r="J4" s="195">
        <f>SUMIF(Table1[H_A1],Sheet5!A4,Table1[C])</f>
        <v>1</v>
      </c>
      <c r="K4" s="195">
        <f>INDEX(Table1[Unit Price],Table5[[#This Row],[//NOTA]])</f>
        <v>507600</v>
      </c>
      <c r="L4" s="86">
        <f>IF(Table5[[#This Row],[a2]]="","",Table5[[#This Row],[QTY]]*12)</f>
        <v>36</v>
      </c>
      <c r="M4" s="86" t="str">
        <f>IF(Table5[[#This Row],[UNIT]]="grs","LSN",IF(Table5[[#This Row],[UNIT]]="LSN","PCS",""))</f>
        <v>LSN</v>
      </c>
      <c r="N4" s="86">
        <f>IF(Table5[[#This Row],[a2]]="LSN",Table5[[#This Row],[a1]]*12,"")</f>
        <v>432</v>
      </c>
      <c r="O4" s="86" t="str">
        <f>IF(Table5[[#This Row],[b1]]="","","PCS")</f>
        <v>PCS</v>
      </c>
      <c r="P4" s="86"/>
    </row>
    <row r="5" spans="1:16" x14ac:dyDescent="0.25">
      <c r="A5" s="88" t="s">
        <v>236</v>
      </c>
      <c r="B5" s="88"/>
      <c r="C5" s="88"/>
      <c r="E5" s="194">
        <f>MATCH(A5,Table1[H_A1],0)</f>
        <v>44</v>
      </c>
      <c r="F5" s="194">
        <f>MATCH(Table5[[#This Row],[NAMA]],[1]!db[NB PAJAK],0)</f>
        <v>1057</v>
      </c>
      <c r="G5" t="str">
        <f>INDEX(Table1[Item Description],Table5[[#This Row],[//NOTA]])</f>
        <v>BINDER CLIP KENKO NO. 111</v>
      </c>
      <c r="H5">
        <f>SUMIF(Table1[H_A1],Sheet5!A5,Table1[Qty])</f>
        <v>30</v>
      </c>
      <c r="I5" t="str">
        <f>INDEX(Table1[Unit],Table5[[#This Row],[//NOTA]])</f>
        <v>GRS</v>
      </c>
      <c r="J5" s="195">
        <f>SUMIF(Table1[H_A1],Sheet5!A5,Table1[C])</f>
        <v>1</v>
      </c>
      <c r="K5" s="195">
        <f>INDEX(Table1[Unit Price],Table5[[#This Row],[//NOTA]])</f>
        <v>49200</v>
      </c>
      <c r="L5" s="86">
        <f>IF(Table5[[#This Row],[a2]]="","",Table5[[#This Row],[QTY]]*12)</f>
        <v>360</v>
      </c>
      <c r="M5" s="86" t="str">
        <f>IF(Table5[[#This Row],[UNIT]]="grs","LSN",IF(Table5[[#This Row],[UNIT]]="LSN","PCS",""))</f>
        <v>LSN</v>
      </c>
      <c r="N5" s="86">
        <f>IF(Table5[[#This Row],[a2]]="LSN",Table5[[#This Row],[a1]]*12,"")</f>
        <v>4320</v>
      </c>
      <c r="O5" s="86" t="str">
        <f>IF(Table5[[#This Row],[b1]]="","","PCS")</f>
        <v>PCS</v>
      </c>
      <c r="P5" s="86"/>
    </row>
    <row r="6" spans="1:16" x14ac:dyDescent="0.25">
      <c r="A6" s="88" t="s">
        <v>133</v>
      </c>
      <c r="B6" s="88"/>
      <c r="C6" s="88"/>
      <c r="E6" s="194">
        <f>MATCH(A6,Table1[H_A1],0)</f>
        <v>5</v>
      </c>
      <c r="F6" s="194">
        <f>MATCH(Table5[[#This Row],[NAMA]],[1]!db[NB PAJAK],0)</f>
        <v>1059</v>
      </c>
      <c r="G6" t="str">
        <f>INDEX(Table1[Item Description],Table5[[#This Row],[//NOTA]])</f>
        <v>BINDER CLIP KENKO NO. 200</v>
      </c>
      <c r="H6">
        <f>SUMIF(Table1[H_A1],Sheet5!A6,Table1[Qty])</f>
        <v>10</v>
      </c>
      <c r="I6" t="str">
        <f>INDEX(Table1[Unit],Table5[[#This Row],[//NOTA]])</f>
        <v>GRS</v>
      </c>
      <c r="J6" s="195">
        <f>SUMIF(Table1[H_A1],Sheet5!A6,Table1[C])</f>
        <v>1</v>
      </c>
      <c r="K6" s="195">
        <f>INDEX(Table1[Unit Price],Table5[[#This Row],[//NOTA]])</f>
        <v>120000</v>
      </c>
      <c r="L6" s="86">
        <f>IF(Table5[[#This Row],[a2]]="","",Table5[[#This Row],[QTY]]*12)</f>
        <v>120</v>
      </c>
      <c r="M6" s="86" t="str">
        <f>IF(Table5[[#This Row],[UNIT]]="grs","LSN",IF(Table5[[#This Row],[UNIT]]="LSN","PCS",""))</f>
        <v>LSN</v>
      </c>
      <c r="N6" s="86">
        <f>IF(Table5[[#This Row],[a2]]="LSN",Table5[[#This Row],[a1]]*12,"")</f>
        <v>1440</v>
      </c>
      <c r="O6" s="86" t="str">
        <f>IF(Table5[[#This Row],[b1]]="","","PCS")</f>
        <v>PCS</v>
      </c>
      <c r="P6" s="86"/>
    </row>
    <row r="7" spans="1:16" x14ac:dyDescent="0.25">
      <c r="A7" s="88" t="s">
        <v>134</v>
      </c>
      <c r="B7" s="88"/>
      <c r="C7" s="88"/>
      <c r="E7" s="194">
        <f>MATCH(A7,Table1[H_A1],0)</f>
        <v>4</v>
      </c>
      <c r="F7" s="194">
        <f>MATCH(Table5[[#This Row],[NAMA]],[1]!db[NB PAJAK],0)</f>
        <v>1060</v>
      </c>
      <c r="G7" t="str">
        <f>INDEX(Table1[Item Description],Table5[[#This Row],[//NOTA]])</f>
        <v>BINDER CLIP KENKO NO. 260</v>
      </c>
      <c r="H7">
        <f>SUMIF(Table1[H_A1],Sheet5!A7,Table1[Qty])</f>
        <v>20</v>
      </c>
      <c r="I7" t="str">
        <f>INDEX(Table1[Unit],Table5[[#This Row],[//NOTA]])</f>
        <v>GRS</v>
      </c>
      <c r="J7" s="195">
        <f>SUMIF(Table1[H_A1],Sheet5!A7,Table1[C])</f>
        <v>4</v>
      </c>
      <c r="K7" s="195">
        <f>INDEX(Table1[Unit Price],Table5[[#This Row],[//NOTA]])</f>
        <v>180000</v>
      </c>
      <c r="L7" s="86">
        <f>IF(Table5[[#This Row],[a2]]="","",Table5[[#This Row],[QTY]]*12)</f>
        <v>240</v>
      </c>
      <c r="M7" s="86" t="str">
        <f>IF(Table5[[#This Row],[UNIT]]="grs","LSN",IF(Table5[[#This Row],[UNIT]]="LSN","PCS",""))</f>
        <v>LSN</v>
      </c>
      <c r="N7" s="86">
        <f>IF(Table5[[#This Row],[a2]]="LSN",Table5[[#This Row],[a1]]*12,"")</f>
        <v>2880</v>
      </c>
      <c r="O7" s="86" t="str">
        <f>IF(Table5[[#This Row],[b1]]="","","PCS")</f>
        <v>PCS</v>
      </c>
      <c r="P7" s="86"/>
    </row>
    <row r="8" spans="1:16" x14ac:dyDescent="0.25">
      <c r="A8" s="88" t="s">
        <v>270</v>
      </c>
      <c r="B8" s="88"/>
      <c r="C8" s="88"/>
      <c r="E8" s="194">
        <f>MATCH(A8,Table1[H_A1],0)</f>
        <v>62</v>
      </c>
      <c r="F8" s="194" t="e">
        <f>MATCH(Table5[[#This Row],[NAMA]],[1]!db[NB PAJAK],0)</f>
        <v>#N/A</v>
      </c>
      <c r="G8" t="str">
        <f>INDEX(Table1[Item Description],Table5[[#This Row],[//NOTA]])</f>
        <v>BINDER NOTE JOYKO A5 (CAMPUS/CLASSIC) MIX</v>
      </c>
      <c r="H8">
        <f>SUMIF(Table1[H_A1],Sheet5!A8,Table1[Qty])</f>
        <v>288</v>
      </c>
      <c r="I8" t="str">
        <f>INDEX(Table1[Unit],Table5[[#This Row],[//NOTA]])</f>
        <v>PCS</v>
      </c>
      <c r="J8" s="195">
        <f>SUMIF(Table1[H_A1],Sheet5!A8,Table1[C])</f>
        <v>4</v>
      </c>
      <c r="K8" s="195">
        <f>INDEX(Table1[Unit Price],Table5[[#This Row],[//NOTA]])</f>
        <v>15800</v>
      </c>
      <c r="L8" s="86" t="str">
        <f>IF(Table5[[#This Row],[a2]]="","",Table5[[#This Row],[QTY]]*12)</f>
        <v/>
      </c>
      <c r="M8" s="86" t="str">
        <f>IF(Table5[[#This Row],[UNIT]]="grs","LSN",IF(Table5[[#This Row],[UNIT]]="LSN","PCS",""))</f>
        <v/>
      </c>
      <c r="N8" s="86" t="str">
        <f>IF(Table5[[#This Row],[a2]]="LSN",Table5[[#This Row],[a1]]*12,"")</f>
        <v/>
      </c>
      <c r="O8" s="86" t="str">
        <f>IF(Table5[[#This Row],[b1]]="","","PCS")</f>
        <v/>
      </c>
      <c r="P8" s="86"/>
    </row>
    <row r="9" spans="1:16" x14ac:dyDescent="0.25">
      <c r="A9" s="88" t="s">
        <v>386</v>
      </c>
      <c r="B9" s="88"/>
      <c r="C9" s="88"/>
      <c r="E9" s="194">
        <f>MATCH(A9,Table1[H_A1],0)</f>
        <v>113</v>
      </c>
      <c r="F9" s="194" t="e">
        <f>MATCH(Table5[[#This Row],[NAMA]],[1]!db[NB PAJAK],0)</f>
        <v>#N/A</v>
      </c>
      <c r="G9" t="str">
        <f>INDEX(Table1[Item Description],Table5[[#This Row],[//NOTA]])</f>
        <v>BINDER NOTE JOYKO A5 (CAMPUS/CLASSIC)</v>
      </c>
      <c r="H9">
        <f>SUMIF(Table1[H_A1],Sheet5!A9,Table1[Qty])</f>
        <v>72</v>
      </c>
      <c r="I9" t="str">
        <f>INDEX(Table1[Unit],Table5[[#This Row],[//NOTA]])</f>
        <v>PCS</v>
      </c>
      <c r="J9" s="195">
        <f>SUMIF(Table1[H_A1],Sheet5!A9,Table1[C])</f>
        <v>1</v>
      </c>
      <c r="K9" s="195">
        <f>INDEX(Table1[Unit Price],Table5[[#This Row],[//NOTA]])</f>
        <v>15800</v>
      </c>
      <c r="L9" s="86" t="str">
        <f>IF(Table5[[#This Row],[a2]]="","",Table5[[#This Row],[QTY]]*12)</f>
        <v/>
      </c>
      <c r="M9" s="86" t="str">
        <f>IF(Table5[[#This Row],[UNIT]]="grs","LSN",IF(Table5[[#This Row],[UNIT]]="LSN","PCS",""))</f>
        <v/>
      </c>
      <c r="N9" s="86" t="str">
        <f>IF(Table5[[#This Row],[a2]]="LSN",Table5[[#This Row],[a1]]*12,"")</f>
        <v/>
      </c>
      <c r="O9" s="86" t="str">
        <f>IF(Table5[[#This Row],[b1]]="","","PCS")</f>
        <v/>
      </c>
      <c r="P9" s="86"/>
    </row>
    <row r="10" spans="1:16" x14ac:dyDescent="0.25">
      <c r="A10" s="88" t="s">
        <v>352</v>
      </c>
      <c r="B10" s="88"/>
      <c r="C10" s="88"/>
      <c r="E10" s="194">
        <f>MATCH(A10,Table1[H_A1],0)</f>
        <v>93</v>
      </c>
      <c r="F10" s="194">
        <f>MATCH(Table5[[#This Row],[NAMA]],[1]!db[NB PAJAK],0)</f>
        <v>510</v>
      </c>
      <c r="G10" t="str">
        <f>INDEX(Table1[Item Description],Table5[[#This Row],[//NOTA]])</f>
        <v>CORRECTION FLUID JOYKO CF-S221</v>
      </c>
      <c r="H10">
        <f>SUMIF(Table1[H_A1],Sheet5!A10,Table1[Qty])</f>
        <v>120</v>
      </c>
      <c r="I10" t="str">
        <f>INDEX(Table1[Unit],Table5[[#This Row],[//NOTA]])</f>
        <v>BOX</v>
      </c>
      <c r="J10" s="195">
        <f>SUMIF(Table1[H_A1],Sheet5!A10,Table1[C])</f>
        <v>5</v>
      </c>
      <c r="K10" s="195">
        <f>INDEX(Table1[Unit Price],Table5[[#This Row],[//NOTA]])</f>
        <v>70800</v>
      </c>
      <c r="L10" s="86" t="str">
        <f>IF(Table5[[#This Row],[a2]]="","",Table5[[#This Row],[QTY]]*12)</f>
        <v/>
      </c>
      <c r="M10" s="86" t="str">
        <f>IF(Table5[[#This Row],[UNIT]]="grs","LSN",IF(Table5[[#This Row],[UNIT]]="LSN","PCS",""))</f>
        <v/>
      </c>
      <c r="N10" s="86" t="str">
        <f>IF(Table5[[#This Row],[a2]]="LSN",Table5[[#This Row],[a1]]*12,"")</f>
        <v/>
      </c>
      <c r="O10" s="86" t="str">
        <f>IF(Table5[[#This Row],[b1]]="","","PCS")</f>
        <v/>
      </c>
      <c r="P10" s="86"/>
    </row>
    <row r="11" spans="1:16" x14ac:dyDescent="0.25">
      <c r="A11" s="88" t="s">
        <v>353</v>
      </c>
      <c r="B11" s="88"/>
      <c r="C11" s="88"/>
      <c r="E11" s="194">
        <f>MATCH(A11,Table1[H_A1],0)</f>
        <v>94</v>
      </c>
      <c r="F11" s="194">
        <f>MATCH(Table5[[#This Row],[NAMA]],[1]!db[NB PAJAK],0)</f>
        <v>511</v>
      </c>
      <c r="G11" t="str">
        <f>INDEX(Table1[Item Description],Table5[[#This Row],[//NOTA]])</f>
        <v>CORRECTION FLUID JOYKO CF-S224</v>
      </c>
      <c r="H11">
        <f>SUMIF(Table1[H_A1],Sheet5!A11,Table1[Qty])</f>
        <v>120</v>
      </c>
      <c r="I11" t="str">
        <f>INDEX(Table1[Unit],Table5[[#This Row],[//NOTA]])</f>
        <v>BOX</v>
      </c>
      <c r="J11" s="195">
        <f>SUMIF(Table1[H_A1],Sheet5!A11,Table1[C])</f>
        <v>5</v>
      </c>
      <c r="K11" s="195">
        <f>INDEX(Table1[Unit Price],Table5[[#This Row],[//NOTA]])</f>
        <v>70800</v>
      </c>
      <c r="L11" s="86" t="str">
        <f>IF(Table5[[#This Row],[a2]]="","",Table5[[#This Row],[QTY]]*12)</f>
        <v/>
      </c>
      <c r="M11" s="86" t="str">
        <f>IF(Table5[[#This Row],[UNIT]]="grs","LSN",IF(Table5[[#This Row],[UNIT]]="LSN","PCS",""))</f>
        <v/>
      </c>
      <c r="N11" s="86" t="str">
        <f>IF(Table5[[#This Row],[a2]]="LSN",Table5[[#This Row],[a1]]*12,"")</f>
        <v/>
      </c>
      <c r="O11" s="86" t="str">
        <f>IF(Table5[[#This Row],[b1]]="","","PCS")</f>
        <v/>
      </c>
      <c r="P11" s="86"/>
    </row>
    <row r="12" spans="1:16" x14ac:dyDescent="0.25">
      <c r="A12" s="88" t="s">
        <v>354</v>
      </c>
      <c r="B12" s="88"/>
      <c r="C12" s="88"/>
      <c r="E12" s="194">
        <f>MATCH(A12,Table1[H_A1],0)</f>
        <v>92</v>
      </c>
      <c r="F12" s="194">
        <f>MATCH(Table5[[#This Row],[NAMA]],[1]!db[NB PAJAK],0)</f>
        <v>512</v>
      </c>
      <c r="G12" t="str">
        <f>INDEX(Table1[Item Description],Table5[[#This Row],[//NOTA]])</f>
        <v>CORRECTION FLUID JOYKO CF-S225</v>
      </c>
      <c r="H12">
        <f>SUMIF(Table1[H_A1],Sheet5!A12,Table1[Qty])</f>
        <v>72</v>
      </c>
      <c r="I12" t="str">
        <f>INDEX(Table1[Unit],Table5[[#This Row],[//NOTA]])</f>
        <v>LSN</v>
      </c>
      <c r="J12" s="195">
        <f>SUMIF(Table1[H_A1],Sheet5!A12,Table1[C])</f>
        <v>2</v>
      </c>
      <c r="K12" s="195">
        <f>INDEX(Table1[Unit Price],Table5[[#This Row],[//NOTA]])</f>
        <v>34200</v>
      </c>
      <c r="L12" s="86">
        <f>IF(Table5[[#This Row],[a2]]="","",Table5[[#This Row],[QTY]]*12)</f>
        <v>864</v>
      </c>
      <c r="M12" s="86" t="str">
        <f>IF(Table5[[#This Row],[UNIT]]="grs","LSN",IF(Table5[[#This Row],[UNIT]]="LSN","PCS",""))</f>
        <v>PCS</v>
      </c>
      <c r="N12" s="86" t="str">
        <f>IF(Table5[[#This Row],[a2]]="LSN",Table5[[#This Row],[a1]]*12,"")</f>
        <v/>
      </c>
      <c r="O12" s="86" t="str">
        <f>IF(Table5[[#This Row],[b1]]="","","PCS")</f>
        <v/>
      </c>
      <c r="P12" s="86"/>
    </row>
    <row r="13" spans="1:16" x14ac:dyDescent="0.25">
      <c r="A13" s="88" t="s">
        <v>387</v>
      </c>
      <c r="B13" s="88"/>
      <c r="C13" s="88"/>
      <c r="E13" s="194">
        <f>MATCH(A13,Table1[H_A1],0)</f>
        <v>114</v>
      </c>
      <c r="F13" s="194">
        <f>MATCH(Table5[[#This Row],[NAMA]],[1]!db[NB PAJAK],0)</f>
        <v>513</v>
      </c>
      <c r="G13" t="str">
        <f>INDEX(Table1[Item Description],Table5[[#This Row],[//NOTA]])</f>
        <v>CORRECTION FLUID JOYKO JK-01</v>
      </c>
      <c r="H13">
        <f>SUMIF(Table1[H_A1],Sheet5!A13,Table1[Qty])</f>
        <v>336</v>
      </c>
      <c r="I13" t="str">
        <f>INDEX(Table1[Unit],Table5[[#This Row],[//NOTA]])</f>
        <v>LSN</v>
      </c>
      <c r="J13" s="195">
        <f>SUMIF(Table1[H_A1],Sheet5!A13,Table1[C])</f>
        <v>7</v>
      </c>
      <c r="K13" s="195">
        <f>INDEX(Table1[Unit Price],Table5[[#This Row],[//NOTA]])</f>
        <v>36000</v>
      </c>
      <c r="L13" s="86">
        <f>IF(Table5[[#This Row],[a2]]="","",Table5[[#This Row],[QTY]]*12)</f>
        <v>4032</v>
      </c>
      <c r="M13" s="86" t="str">
        <f>IF(Table5[[#This Row],[UNIT]]="grs","LSN",IF(Table5[[#This Row],[UNIT]]="LSN","PCS",""))</f>
        <v>PCS</v>
      </c>
      <c r="N13" s="86" t="str">
        <f>IF(Table5[[#This Row],[a2]]="LSN",Table5[[#This Row],[a1]]*12,"")</f>
        <v/>
      </c>
      <c r="O13" s="86" t="str">
        <f>IF(Table5[[#This Row],[b1]]="","","PCS")</f>
        <v/>
      </c>
      <c r="P13" s="86"/>
    </row>
    <row r="14" spans="1:16" x14ac:dyDescent="0.25">
      <c r="A14" s="88" t="s">
        <v>271</v>
      </c>
      <c r="B14" s="88"/>
      <c r="C14" s="88"/>
      <c r="E14" s="194">
        <f>MATCH(A14,Table1[H_A1],0)</f>
        <v>65</v>
      </c>
      <c r="F14" s="194">
        <f>MATCH(Table5[[#This Row],[NAMA]],[1]!db[NB PAJAK],0)</f>
        <v>514</v>
      </c>
      <c r="G14" t="str">
        <f>INDEX(Table1[Item Description],Table5[[#This Row],[//NOTA]])</f>
        <v>CORRECTION FLUID JOYKO JK-101</v>
      </c>
      <c r="H14">
        <f>SUMIF(Table1[H_A1],Sheet5!A14,Table1[Qty])</f>
        <v>144</v>
      </c>
      <c r="I14" t="str">
        <f>INDEX(Table1[Unit],Table5[[#This Row],[//NOTA]])</f>
        <v>LSN</v>
      </c>
      <c r="J14" s="195">
        <f>SUMIF(Table1[H_A1],Sheet5!A14,Table1[C])</f>
        <v>3</v>
      </c>
      <c r="K14" s="195">
        <f>INDEX(Table1[Unit Price],Table5[[#This Row],[//NOTA]])</f>
        <v>36000</v>
      </c>
      <c r="L14" s="86">
        <f>IF(Table5[[#This Row],[a2]]="","",Table5[[#This Row],[QTY]]*12)</f>
        <v>1728</v>
      </c>
      <c r="M14" s="86" t="str">
        <f>IF(Table5[[#This Row],[UNIT]]="grs","LSN",IF(Table5[[#This Row],[UNIT]]="LSN","PCS",""))</f>
        <v>PCS</v>
      </c>
      <c r="N14" s="86" t="str">
        <f>IF(Table5[[#This Row],[a2]]="LSN",Table5[[#This Row],[a1]]*12,"")</f>
        <v/>
      </c>
      <c r="O14" s="86" t="str">
        <f>IF(Table5[[#This Row],[b1]]="","","PCS")</f>
        <v/>
      </c>
      <c r="P14" s="86"/>
    </row>
    <row r="15" spans="1:16" x14ac:dyDescent="0.25">
      <c r="A15" s="88" t="s">
        <v>144</v>
      </c>
      <c r="B15" s="88"/>
      <c r="C15" s="88"/>
      <c r="E15" s="194">
        <f>MATCH(A15,Table1[H_A1],0)</f>
        <v>7</v>
      </c>
      <c r="F15" s="194">
        <f>MATCH(Table5[[#This Row],[NAMA]],[1]!db[NB PAJAK],0)</f>
        <v>1108</v>
      </c>
      <c r="G15" t="str">
        <f>INDEX(Table1[Item Description],Table5[[#This Row],[//NOTA]])</f>
        <v>CORRECTION FLUID KENKO KE-01</v>
      </c>
      <c r="H15">
        <f>SUMIF(Table1[H_A1],Sheet5!A15,Table1[Qty])</f>
        <v>360</v>
      </c>
      <c r="I15" t="str">
        <f>INDEX(Table1[Unit],Table5[[#This Row],[//NOTA]])</f>
        <v>LS</v>
      </c>
      <c r="J15" s="195">
        <f>SUMIF(Table1[H_A1],Sheet5!A15,Table1[C])</f>
        <v>0</v>
      </c>
      <c r="K15" s="195">
        <f>INDEX(Table1[Unit Price],Table5[[#This Row],[//NOTA]])</f>
        <v>54300</v>
      </c>
      <c r="L15" s="86" t="str">
        <f>IF(Table5[[#This Row],[a2]]="","",Table5[[#This Row],[QTY]]*12)</f>
        <v/>
      </c>
      <c r="M15" s="86" t="str">
        <f>IF(Table5[[#This Row],[UNIT]]="grs","LSN",IF(Table5[[#This Row],[UNIT]]="LSN","PCS",""))</f>
        <v/>
      </c>
      <c r="N15" s="86" t="str">
        <f>IF(Table5[[#This Row],[a2]]="LSN",Table5[[#This Row],[a1]]*12,"")</f>
        <v/>
      </c>
      <c r="O15" s="86" t="str">
        <f>IF(Table5[[#This Row],[b1]]="","","PCS")</f>
        <v/>
      </c>
      <c r="P15" s="86"/>
    </row>
    <row r="16" spans="1:16" x14ac:dyDescent="0.25">
      <c r="A16" s="88" t="s">
        <v>272</v>
      </c>
      <c r="B16" s="88"/>
      <c r="C16" s="88"/>
      <c r="E16" s="194">
        <f>MATCH(A16,Table1[H_A1],0)</f>
        <v>67</v>
      </c>
      <c r="F16" s="194">
        <f>MATCH(Table5[[#This Row],[NAMA]],[1]!db[NB PAJAK],0)</f>
        <v>1108</v>
      </c>
      <c r="G16" t="str">
        <f>INDEX(Table1[Item Description],Table5[[#This Row],[//NOTA]])</f>
        <v>CORRECTION FLUID KENKO KE-01</v>
      </c>
      <c r="H16">
        <f>SUMIF(Table1[H_A1],Sheet5!A16,Table1[Qty])</f>
        <v>180</v>
      </c>
      <c r="I16" t="str">
        <f>INDEX(Table1[Unit],Table5[[#This Row],[//NOTA]])</f>
        <v>LSN</v>
      </c>
      <c r="J16" s="195">
        <f>SUMIF(Table1[H_A1],Sheet5!A16,Table1[C])</f>
        <v>3</v>
      </c>
      <c r="K16" s="195">
        <f>INDEX(Table1[Unit Price],Table5[[#This Row],[//NOTA]])</f>
        <v>54300</v>
      </c>
      <c r="L16" s="86">
        <f>IF(Table5[[#This Row],[a2]]="","",Table5[[#This Row],[QTY]]*12)</f>
        <v>2160</v>
      </c>
      <c r="M16" s="86" t="str">
        <f>IF(Table5[[#This Row],[UNIT]]="grs","LSN",IF(Table5[[#This Row],[UNIT]]="LSN","PCS",""))</f>
        <v>PCS</v>
      </c>
      <c r="N16" s="86" t="str">
        <f>IF(Table5[[#This Row],[a2]]="LSN",Table5[[#This Row],[a1]]*12,"")</f>
        <v/>
      </c>
      <c r="O16" s="86" t="str">
        <f>IF(Table5[[#This Row],[b1]]="","","PCS")</f>
        <v/>
      </c>
      <c r="P16" s="86"/>
    </row>
    <row r="17" spans="1:16" x14ac:dyDescent="0.25">
      <c r="A17" s="88" t="s">
        <v>293</v>
      </c>
      <c r="B17" s="88"/>
      <c r="C17" s="88"/>
      <c r="E17" s="194">
        <f>MATCH(A17,Table1[H_A1],0)</f>
        <v>75</v>
      </c>
      <c r="F17" s="194">
        <f>MATCH(Table5[[#This Row],[NAMA]],[1]!db[NB PAJAK],0)</f>
        <v>1109</v>
      </c>
      <c r="G17" t="str">
        <f>INDEX(Table1[Item Description],Table5[[#This Row],[//NOTA]])</f>
        <v>CORRECTION FLUID KENKO KE-107M</v>
      </c>
      <c r="H17">
        <f>SUMIF(Table1[H_A1],Sheet5!A17,Table1[Qty])</f>
        <v>108</v>
      </c>
      <c r="I17" t="str">
        <f>INDEX(Table1[Unit],Table5[[#This Row],[//NOTA]])</f>
        <v>LSN</v>
      </c>
      <c r="J17" s="195">
        <f>SUMIF(Table1[H_A1],Sheet5!A17,Table1[C])</f>
        <v>2</v>
      </c>
      <c r="K17" s="195">
        <f>INDEX(Table1[Unit Price],Table5[[#This Row],[//NOTA]])</f>
        <v>55800</v>
      </c>
      <c r="L17" s="86">
        <f>IF(Table5[[#This Row],[a2]]="","",Table5[[#This Row],[QTY]]*12)</f>
        <v>1296</v>
      </c>
      <c r="M17" s="86" t="str">
        <f>IF(Table5[[#This Row],[UNIT]]="grs","LSN",IF(Table5[[#This Row],[UNIT]]="LSN","PCS",""))</f>
        <v>PCS</v>
      </c>
      <c r="N17" s="86" t="str">
        <f>IF(Table5[[#This Row],[a2]]="LSN",Table5[[#This Row],[a1]]*12,"")</f>
        <v/>
      </c>
      <c r="O17" s="86" t="str">
        <f>IF(Table5[[#This Row],[b1]]="","","PCS")</f>
        <v/>
      </c>
      <c r="P17" s="86"/>
    </row>
    <row r="18" spans="1:16" x14ac:dyDescent="0.25">
      <c r="A18" s="88" t="s">
        <v>273</v>
      </c>
      <c r="B18" s="88"/>
      <c r="C18" s="88"/>
      <c r="E18" s="194">
        <f>MATCH(A18,Table1[H_A1],0)</f>
        <v>66</v>
      </c>
      <c r="F18" s="194">
        <f>MATCH(Table5[[#This Row],[NAMA]],[1]!db[NB PAJAK],0)</f>
        <v>1110</v>
      </c>
      <c r="G18" t="str">
        <f>INDEX(Table1[Item Description],Table5[[#This Row],[//NOTA]])</f>
        <v>CORRECTION FLUID KENKO KE-108</v>
      </c>
      <c r="H18">
        <f>SUMIF(Table1[H_A1],Sheet5!A18,Table1[Qty])</f>
        <v>72</v>
      </c>
      <c r="I18" t="str">
        <f>INDEX(Table1[Unit],Table5[[#This Row],[//NOTA]])</f>
        <v>LSN</v>
      </c>
      <c r="J18" s="195">
        <f>SUMIF(Table1[H_A1],Sheet5!A18,Table1[C])</f>
        <v>1</v>
      </c>
      <c r="K18" s="195">
        <f>INDEX(Table1[Unit Price],Table5[[#This Row],[//NOTA]])</f>
        <v>47100</v>
      </c>
      <c r="L18" s="86">
        <f>IF(Table5[[#This Row],[a2]]="","",Table5[[#This Row],[QTY]]*12)</f>
        <v>864</v>
      </c>
      <c r="M18" s="86" t="str">
        <f>IF(Table5[[#This Row],[UNIT]]="grs","LSN",IF(Table5[[#This Row],[UNIT]]="LSN","PCS",""))</f>
        <v>PCS</v>
      </c>
      <c r="N18" s="86" t="str">
        <f>IF(Table5[[#This Row],[a2]]="LSN",Table5[[#This Row],[a1]]*12,"")</f>
        <v/>
      </c>
      <c r="O18" s="86" t="str">
        <f>IF(Table5[[#This Row],[b1]]="","","PCS")</f>
        <v/>
      </c>
      <c r="P18" s="86"/>
    </row>
    <row r="19" spans="1:16" x14ac:dyDescent="0.25">
      <c r="A19" s="88" t="s">
        <v>294</v>
      </c>
      <c r="B19" s="88"/>
      <c r="C19" s="88"/>
      <c r="E19" s="194">
        <f>MATCH(A19,Table1[H_A1],0)</f>
        <v>74</v>
      </c>
      <c r="F19" s="194">
        <f>MATCH(Table5[[#This Row],[NAMA]],[1]!db[NB PAJAK],0)</f>
        <v>1111</v>
      </c>
      <c r="G19" t="str">
        <f>INDEX(Table1[Item Description],Table5[[#This Row],[//NOTA]])</f>
        <v>CORRECTION FLUID KENKO KE-301</v>
      </c>
      <c r="H19">
        <f>SUMIF(Table1[H_A1],Sheet5!A19,Table1[Qty])</f>
        <v>78</v>
      </c>
      <c r="I19" t="str">
        <f>INDEX(Table1[Unit],Table5[[#This Row],[//NOTA]])</f>
        <v>LSN</v>
      </c>
      <c r="J19" s="195">
        <f>SUMIF(Table1[H_A1],Sheet5!A19,Table1[C])</f>
        <v>1</v>
      </c>
      <c r="K19" s="195">
        <f>INDEX(Table1[Unit Price],Table5[[#This Row],[//NOTA]])</f>
        <v>53400</v>
      </c>
      <c r="L19" s="86">
        <f>IF(Table5[[#This Row],[a2]]="","",Table5[[#This Row],[QTY]]*12)</f>
        <v>936</v>
      </c>
      <c r="M19" s="86" t="str">
        <f>IF(Table5[[#This Row],[UNIT]]="grs","LSN",IF(Table5[[#This Row],[UNIT]]="LSN","PCS",""))</f>
        <v>PCS</v>
      </c>
      <c r="N19" s="86" t="str">
        <f>IF(Table5[[#This Row],[a2]]="LSN",Table5[[#This Row],[a1]]*12,"")</f>
        <v/>
      </c>
      <c r="O19" s="86" t="str">
        <f>IF(Table5[[#This Row],[b1]]="","","PCS")</f>
        <v/>
      </c>
      <c r="P19" s="86"/>
    </row>
    <row r="20" spans="1:16" x14ac:dyDescent="0.25">
      <c r="A20" s="88" t="s">
        <v>274</v>
      </c>
      <c r="B20" s="88"/>
      <c r="C20" s="88"/>
      <c r="E20" s="194">
        <f>MATCH(A20,Table1[H_A1],0)</f>
        <v>61</v>
      </c>
      <c r="F20" s="194">
        <f>MATCH(Table5[[#This Row],[NAMA]],[1]!db[NB PAJAK],0)</f>
        <v>522</v>
      </c>
      <c r="G20" t="str">
        <f>INDEX(Table1[Item Description],Table5[[#This Row],[//NOTA]])</f>
        <v>CORRECTION TAPE JOYKO CT-522</v>
      </c>
      <c r="H20">
        <f>SUMIF(Table1[H_A1],Sheet5!A20,Table1[Qty])</f>
        <v>420</v>
      </c>
      <c r="I20" t="str">
        <f>INDEX(Table1[Unit],Table5[[#This Row],[//NOTA]])</f>
        <v>LSN</v>
      </c>
      <c r="J20" s="195">
        <f>SUMIF(Table1[H_A1],Sheet5!A20,Table1[C])</f>
        <v>7</v>
      </c>
      <c r="K20" s="195">
        <f>INDEX(Table1[Unit Price],Table5[[#This Row],[//NOTA]])</f>
        <v>57600</v>
      </c>
      <c r="L20" s="86">
        <f>IF(Table5[[#This Row],[a2]]="","",Table5[[#This Row],[QTY]]*12)</f>
        <v>5040</v>
      </c>
      <c r="M20" s="86" t="str">
        <f>IF(Table5[[#This Row],[UNIT]]="grs","LSN",IF(Table5[[#This Row],[UNIT]]="LSN","PCS",""))</f>
        <v>PCS</v>
      </c>
      <c r="N20" s="86" t="str">
        <f>IF(Table5[[#This Row],[a2]]="LSN",Table5[[#This Row],[a1]]*12,"")</f>
        <v/>
      </c>
      <c r="O20" s="86" t="str">
        <f>IF(Table5[[#This Row],[b1]]="","","PCS")</f>
        <v/>
      </c>
      <c r="P20" s="86"/>
    </row>
    <row r="21" spans="1:16" x14ac:dyDescent="0.25">
      <c r="A21" s="88" t="s">
        <v>481</v>
      </c>
      <c r="B21" s="88"/>
      <c r="C21" s="88"/>
      <c r="E21" s="194">
        <f>MATCH(A21,Table1[H_A1],0)</f>
        <v>166</v>
      </c>
      <c r="F21" s="194">
        <f>MATCH(Table5[[#This Row],[NAMA]],[1]!db[NB PAJAK],0)</f>
        <v>526</v>
      </c>
      <c r="G21" t="str">
        <f>INDEX(Table1[Item Description],Table5[[#This Row],[//NOTA]])</f>
        <v>CORRECTION TAPE JOYKO CT-540</v>
      </c>
      <c r="H21">
        <f>SUMIF(Table1[H_A1],Sheet5!A21,Table1[Qty])</f>
        <v>20</v>
      </c>
      <c r="I21" t="str">
        <f>INDEX(Table1[Unit],Table5[[#This Row],[//NOTA]])</f>
        <v>LSN</v>
      </c>
      <c r="J21" s="195">
        <f>SUMIF(Table1[H_A1],Sheet5!A21,Table1[C])</f>
        <v>0</v>
      </c>
      <c r="K21" s="195">
        <f>INDEX(Table1[Unit Price],Table5[[#This Row],[//NOTA]])</f>
        <v>68400</v>
      </c>
      <c r="L21" s="86">
        <f>IF(Table5[[#This Row],[a2]]="","",Table5[[#This Row],[QTY]]*12)</f>
        <v>240</v>
      </c>
      <c r="M21" s="86" t="str">
        <f>IF(Table5[[#This Row],[UNIT]]="grs","LSN",IF(Table5[[#This Row],[UNIT]]="LSN","PCS",""))</f>
        <v>PCS</v>
      </c>
      <c r="N21" s="86" t="str">
        <f>IF(Table5[[#This Row],[a2]]="LSN",Table5[[#This Row],[a1]]*12,"")</f>
        <v/>
      </c>
      <c r="O21" s="86" t="str">
        <f>IF(Table5[[#This Row],[b1]]="","","PCS")</f>
        <v/>
      </c>
      <c r="P21" s="86"/>
    </row>
    <row r="22" spans="1:16" x14ac:dyDescent="0.25">
      <c r="A22" s="88" t="s">
        <v>482</v>
      </c>
      <c r="B22" s="88"/>
      <c r="C22" s="88"/>
      <c r="E22" s="194">
        <f>MATCH(A22,Table1[H_A1],0)</f>
        <v>167</v>
      </c>
      <c r="F22" s="194">
        <f>MATCH(Table5[[#This Row],[NAMA]],[1]!db[NB PAJAK],0)</f>
        <v>527</v>
      </c>
      <c r="G22" t="str">
        <f>INDEX(Table1[Item Description],Table5[[#This Row],[//NOTA]])</f>
        <v>CORRECTION TAPE JOYKO CT-545</v>
      </c>
      <c r="H22">
        <f>SUMIF(Table1[H_A1],Sheet5!A22,Table1[Qty])</f>
        <v>20</v>
      </c>
      <c r="I22" t="str">
        <f>INDEX(Table1[Unit],Table5[[#This Row],[//NOTA]])</f>
        <v>LSN</v>
      </c>
      <c r="J22" s="195">
        <f>SUMIF(Table1[H_A1],Sheet5!A22,Table1[C])</f>
        <v>0</v>
      </c>
      <c r="K22" s="195">
        <f>INDEX(Table1[Unit Price],Table5[[#This Row],[//NOTA]])</f>
        <v>69600</v>
      </c>
      <c r="L22" s="86">
        <f>IF(Table5[[#This Row],[a2]]="","",Table5[[#This Row],[QTY]]*12)</f>
        <v>240</v>
      </c>
      <c r="M22" s="86" t="str">
        <f>IF(Table5[[#This Row],[UNIT]]="grs","LSN",IF(Table5[[#This Row],[UNIT]]="LSN","PCS",""))</f>
        <v>PCS</v>
      </c>
      <c r="N22" s="86" t="str">
        <f>IF(Table5[[#This Row],[a2]]="LSN",Table5[[#This Row],[a1]]*12,"")</f>
        <v/>
      </c>
      <c r="O22" s="86" t="str">
        <f>IF(Table5[[#This Row],[b1]]="","","PCS")</f>
        <v/>
      </c>
      <c r="P22" s="86"/>
    </row>
    <row r="23" spans="1:16" x14ac:dyDescent="0.25">
      <c r="A23" s="88" t="s">
        <v>410</v>
      </c>
      <c r="B23" s="88"/>
      <c r="C23" s="88"/>
      <c r="E23" s="194">
        <f>MATCH(A23,Table1[H_A1],0)</f>
        <v>124</v>
      </c>
      <c r="F23" s="194">
        <f>MATCH(Table5[[#This Row],[NAMA]],[1]!db[NB PAJAK],0)</f>
        <v>1116</v>
      </c>
      <c r="G23" t="str">
        <f>INDEX(Table1[Item Description],Table5[[#This Row],[//NOTA]])</f>
        <v>CORRECTION TAPE KENKO CT-1505FC (15M X 5MM)</v>
      </c>
      <c r="H23">
        <f>SUMIF(Table1[H_A1],Sheet5!A23,Table1[Qty])</f>
        <v>38</v>
      </c>
      <c r="I23" t="str">
        <f>INDEX(Table1[Unit],Table5[[#This Row],[//NOTA]])</f>
        <v>LSN</v>
      </c>
      <c r="J23" s="195">
        <f>SUMIF(Table1[H_A1],Sheet5!A23,Table1[C])</f>
        <v>0</v>
      </c>
      <c r="K23" s="195">
        <f>INDEX(Table1[Unit Price],Table5[[#This Row],[//NOTA]])</f>
        <v>69600</v>
      </c>
      <c r="L23" s="86">
        <f>IF(Table5[[#This Row],[a2]]="","",Table5[[#This Row],[QTY]]*12)</f>
        <v>456</v>
      </c>
      <c r="M23" s="86" t="str">
        <f>IF(Table5[[#This Row],[UNIT]]="grs","LSN",IF(Table5[[#This Row],[UNIT]]="LSN","PCS",""))</f>
        <v>PCS</v>
      </c>
      <c r="N23" s="86" t="str">
        <f>IF(Table5[[#This Row],[a2]]="LSN",Table5[[#This Row],[a1]]*12,"")</f>
        <v/>
      </c>
      <c r="O23" s="86" t="str">
        <f>IF(Table5[[#This Row],[b1]]="","","PCS")</f>
        <v/>
      </c>
      <c r="P23" s="86"/>
    </row>
    <row r="24" spans="1:16" x14ac:dyDescent="0.25">
      <c r="A24" s="88" t="s">
        <v>411</v>
      </c>
      <c r="B24" s="88"/>
      <c r="C24" s="88"/>
      <c r="E24" s="194">
        <f>MATCH(A24,Table1[H_A1],0)</f>
        <v>127</v>
      </c>
      <c r="F24" s="194">
        <f>MATCH(Table5[[#This Row],[NAMA]],[1]!db[NB PAJAK],0)</f>
        <v>1122</v>
      </c>
      <c r="G24" t="str">
        <f>INDEX(Table1[Item Description],Table5[[#This Row],[//NOTA]])</f>
        <v>CORRECTION TAPE KENKO CT-309 (12M x 5MM)</v>
      </c>
      <c r="H24">
        <f>SUMIF(Table1[H_A1],Sheet5!A24,Table1[Qty])</f>
        <v>15</v>
      </c>
      <c r="I24" t="str">
        <f>INDEX(Table1[Unit],Table5[[#This Row],[//NOTA]])</f>
        <v>LSN</v>
      </c>
      <c r="J24" s="195">
        <f>SUMIF(Table1[H_A1],Sheet5!A24,Table1[C])</f>
        <v>0</v>
      </c>
      <c r="K24" s="195">
        <f>INDEX(Table1[Unit Price],Table5[[#This Row],[//NOTA]])</f>
        <v>81600</v>
      </c>
      <c r="L24" s="86">
        <f>IF(Table5[[#This Row],[a2]]="","",Table5[[#This Row],[QTY]]*12)</f>
        <v>180</v>
      </c>
      <c r="M24" s="86" t="str">
        <f>IF(Table5[[#This Row],[UNIT]]="grs","LSN",IF(Table5[[#This Row],[UNIT]]="LSN","PCS",""))</f>
        <v>PCS</v>
      </c>
      <c r="N24" s="86" t="str">
        <f>IF(Table5[[#This Row],[a2]]="LSN",Table5[[#This Row],[a1]]*12,"")</f>
        <v/>
      </c>
      <c r="O24" s="86" t="str">
        <f>IF(Table5[[#This Row],[b1]]="","","PCS")</f>
        <v/>
      </c>
      <c r="P24" s="86"/>
    </row>
    <row r="25" spans="1:16" x14ac:dyDescent="0.25">
      <c r="A25" s="88" t="s">
        <v>412</v>
      </c>
      <c r="B25" s="88"/>
      <c r="C25" s="88"/>
      <c r="E25" s="194">
        <f>MATCH(A25,Table1[H_A1],0)</f>
        <v>125</v>
      </c>
      <c r="F25" s="194">
        <f>MATCH(Table5[[#This Row],[NAMA]],[1]!db[NB PAJAK],0)</f>
        <v>1123</v>
      </c>
      <c r="G25" t="str">
        <f>INDEX(Table1[Item Description],Table5[[#This Row],[//NOTA]])</f>
        <v>CORRECTION TAPE KENKO CT-310SL (12M x 5MM)</v>
      </c>
      <c r="H25">
        <f>SUMIF(Table1[H_A1],Sheet5!A25,Table1[Qty])</f>
        <v>15</v>
      </c>
      <c r="I25" t="str">
        <f>INDEX(Table1[Unit],Table5[[#This Row],[//NOTA]])</f>
        <v>LSN</v>
      </c>
      <c r="J25" s="195">
        <f>SUMIF(Table1[H_A1],Sheet5!A25,Table1[C])</f>
        <v>0</v>
      </c>
      <c r="K25" s="195">
        <f>INDEX(Table1[Unit Price],Table5[[#This Row],[//NOTA]])</f>
        <v>84000</v>
      </c>
      <c r="L25" s="86">
        <f>IF(Table5[[#This Row],[a2]]="","",Table5[[#This Row],[QTY]]*12)</f>
        <v>180</v>
      </c>
      <c r="M25" s="86" t="str">
        <f>IF(Table5[[#This Row],[UNIT]]="grs","LSN",IF(Table5[[#This Row],[UNIT]]="LSN","PCS",""))</f>
        <v>PCS</v>
      </c>
      <c r="N25" s="86" t="str">
        <f>IF(Table5[[#This Row],[a2]]="LSN",Table5[[#This Row],[a1]]*12,"")</f>
        <v/>
      </c>
      <c r="O25" s="86" t="str">
        <f>IF(Table5[[#This Row],[b1]]="","","PCS")</f>
        <v/>
      </c>
      <c r="P25" s="86"/>
    </row>
    <row r="26" spans="1:16" x14ac:dyDescent="0.25">
      <c r="A26" s="88" t="s">
        <v>483</v>
      </c>
      <c r="B26" s="88"/>
      <c r="C26" s="88"/>
      <c r="E26" s="194">
        <f>MATCH(A26,Table1[H_A1],0)</f>
        <v>169</v>
      </c>
      <c r="F26" s="194">
        <f>MATCH(Table5[[#This Row],[NAMA]],[1]!db[NB PAJAK],0)</f>
        <v>1127</v>
      </c>
      <c r="G26" t="str">
        <f>INDEX(Table1[Item Description],Table5[[#This Row],[//NOTA]])</f>
        <v>CORRECTION TAPE KENKO CT-809 (8M x 5MM)</v>
      </c>
      <c r="H26">
        <f>SUMIF(Table1[H_A1],Sheet5!A26,Table1[Qty])</f>
        <v>13</v>
      </c>
      <c r="I26" t="str">
        <f>INDEX(Table1[Unit],Table5[[#This Row],[//NOTA]])</f>
        <v>LSN</v>
      </c>
      <c r="J26" s="195">
        <f>SUMIF(Table1[H_A1],Sheet5!A26,Table1[C])</f>
        <v>0</v>
      </c>
      <c r="K26" s="195">
        <f>INDEX(Table1[Unit Price],Table5[[#This Row],[//NOTA]])</f>
        <v>54000</v>
      </c>
      <c r="L26" s="86">
        <f>IF(Table5[[#This Row],[a2]]="","",Table5[[#This Row],[QTY]]*12)</f>
        <v>156</v>
      </c>
      <c r="M26" s="86" t="str">
        <f>IF(Table5[[#This Row],[UNIT]]="grs","LSN",IF(Table5[[#This Row],[UNIT]]="LSN","PCS",""))</f>
        <v>PCS</v>
      </c>
      <c r="N26" s="86" t="str">
        <f>IF(Table5[[#This Row],[a2]]="LSN",Table5[[#This Row],[a1]]*12,"")</f>
        <v/>
      </c>
      <c r="O26" s="86" t="str">
        <f>IF(Table5[[#This Row],[b1]]="","","PCS")</f>
        <v/>
      </c>
      <c r="P26" s="86"/>
    </row>
    <row r="27" spans="1:16" x14ac:dyDescent="0.25">
      <c r="A27" s="88" t="s">
        <v>413</v>
      </c>
      <c r="B27" s="88"/>
      <c r="C27" s="88"/>
      <c r="E27" s="194">
        <f>MATCH(A27,Table1[H_A1],0)</f>
        <v>126</v>
      </c>
      <c r="F27" s="194">
        <f>MATCH(Table5[[#This Row],[NAMA]],[1]!db[NB PAJAK],0)</f>
        <v>1134</v>
      </c>
      <c r="G27" t="str">
        <f>INDEX(Table1[Item Description],Table5[[#This Row],[//NOTA]])</f>
        <v>CORRECTION TAPE KENKO CT-905 (12M x 5MM)</v>
      </c>
      <c r="H27">
        <f>SUMIF(Table1[H_A1],Sheet5!A27,Table1[Qty])</f>
        <v>9</v>
      </c>
      <c r="I27" t="str">
        <f>INDEX(Table1[Unit],Table5[[#This Row],[//NOTA]])</f>
        <v>LSN</v>
      </c>
      <c r="J27" s="195">
        <f>SUMIF(Table1[H_A1],Sheet5!A27,Table1[C])</f>
        <v>0</v>
      </c>
      <c r="K27" s="195">
        <f>INDEX(Table1[Unit Price],Table5[[#This Row],[//NOTA]])</f>
        <v>62400</v>
      </c>
      <c r="L27" s="86">
        <f>IF(Table5[[#This Row],[a2]]="","",Table5[[#This Row],[QTY]]*12)</f>
        <v>108</v>
      </c>
      <c r="M27" s="86" t="str">
        <f>IF(Table5[[#This Row],[UNIT]]="grs","LSN",IF(Table5[[#This Row],[UNIT]]="LSN","PCS",""))</f>
        <v>PCS</v>
      </c>
      <c r="N27" s="86" t="str">
        <f>IF(Table5[[#This Row],[a2]]="LSN",Table5[[#This Row],[a1]]*12,"")</f>
        <v/>
      </c>
      <c r="O27" s="86" t="str">
        <f>IF(Table5[[#This Row],[b1]]="","","PCS")</f>
        <v/>
      </c>
      <c r="P27" s="86"/>
    </row>
    <row r="28" spans="1:16" x14ac:dyDescent="0.25">
      <c r="A28" s="88" t="s">
        <v>444</v>
      </c>
      <c r="B28" s="88"/>
      <c r="C28" s="88"/>
      <c r="E28" s="194">
        <f>MATCH(A28,Table1[H_A1],0)</f>
        <v>146</v>
      </c>
      <c r="F28" s="194">
        <f>MATCH(Table5[[#This Row],[NAMA]],[1]!db[NB PAJAK],0)</f>
        <v>1136</v>
      </c>
      <c r="G28" t="str">
        <f>INDEX(Table1[Item Description],Table5[[#This Row],[//NOTA]])</f>
        <v>CORRECTION TAPE KENKO CT-909 (12M x 5MM)</v>
      </c>
      <c r="H28">
        <f>SUMIF(Table1[H_A1],Sheet5!A28,Table1[Qty])</f>
        <v>96</v>
      </c>
      <c r="I28" t="str">
        <f>INDEX(Table1[Unit],Table5[[#This Row],[//NOTA]])</f>
        <v>LSN</v>
      </c>
      <c r="J28" s="195">
        <f>SUMIF(Table1[H_A1],Sheet5!A28,Table1[C])</f>
        <v>2</v>
      </c>
      <c r="K28" s="195">
        <f>INDEX(Table1[Unit Price],Table5[[#This Row],[//NOTA]])</f>
        <v>60000</v>
      </c>
      <c r="L28" s="86">
        <f>IF(Table5[[#This Row],[a2]]="","",Table5[[#This Row],[QTY]]*12)</f>
        <v>1152</v>
      </c>
      <c r="M28" s="86" t="str">
        <f>IF(Table5[[#This Row],[UNIT]]="grs","LSN",IF(Table5[[#This Row],[UNIT]]="LSN","PCS",""))</f>
        <v>PCS</v>
      </c>
      <c r="N28" s="86" t="str">
        <f>IF(Table5[[#This Row],[a2]]="LSN",Table5[[#This Row],[a1]]*12,"")</f>
        <v/>
      </c>
      <c r="O28" s="86" t="str">
        <f>IF(Table5[[#This Row],[b1]]="","","PCS")</f>
        <v/>
      </c>
      <c r="P28" s="86"/>
    </row>
    <row r="29" spans="1:16" x14ac:dyDescent="0.25">
      <c r="A29" s="88" t="s">
        <v>165</v>
      </c>
      <c r="B29" s="88"/>
      <c r="C29" s="88"/>
      <c r="E29" s="194">
        <f>MATCH(A29,Table1[H_A1],0)</f>
        <v>15</v>
      </c>
      <c r="F29" s="194">
        <f>MATCH(Table5[[#This Row],[NAMA]],[1]!db[NB PAJAK],0)</f>
        <v>1570</v>
      </c>
      <c r="G29" t="str">
        <f>INDEX(Table1[Item Description],Table5[[#This Row],[//NOTA]])</f>
        <v>CRAYON / OIL PASTEL JOYKO OP-12CR ROUND (MINI)</v>
      </c>
      <c r="H29">
        <f>SUMIF(Table1[H_A1],Sheet5!A29,Table1[Qty])</f>
        <v>288</v>
      </c>
      <c r="I29" t="str">
        <f>INDEX(Table1[Unit],Table5[[#This Row],[//NOTA]])</f>
        <v>PCS</v>
      </c>
      <c r="J29" s="195">
        <f>SUMIF(Table1[H_A1],Sheet5!A29,Table1[C])</f>
        <v>2</v>
      </c>
      <c r="K29" s="195">
        <f>INDEX(Table1[Unit Price],Table5[[#This Row],[//NOTA]])</f>
        <v>9000</v>
      </c>
      <c r="L29" s="86" t="str">
        <f>IF(Table5[[#This Row],[a2]]="","",Table5[[#This Row],[QTY]]*12)</f>
        <v/>
      </c>
      <c r="M29" s="86" t="str">
        <f>IF(Table5[[#This Row],[UNIT]]="grs","LSN",IF(Table5[[#This Row],[UNIT]]="LSN","PCS",""))</f>
        <v/>
      </c>
      <c r="N29" s="86" t="str">
        <f>IF(Table5[[#This Row],[a2]]="LSN",Table5[[#This Row],[a1]]*12,"")</f>
        <v/>
      </c>
      <c r="O29" s="86" t="str">
        <f>IF(Table5[[#This Row],[b1]]="","","PCS")</f>
        <v/>
      </c>
      <c r="P29" s="86"/>
    </row>
    <row r="30" spans="1:16" x14ac:dyDescent="0.25">
      <c r="A30" s="88" t="s">
        <v>468</v>
      </c>
      <c r="B30" s="88"/>
      <c r="C30" s="88"/>
      <c r="E30" s="194">
        <f>MATCH(A30,Table1[H_A1],0)</f>
        <v>160</v>
      </c>
      <c r="F30" s="194">
        <f>MATCH(Table5[[#This Row],[NAMA]],[1]!db[NB PAJAK],0)</f>
        <v>1572</v>
      </c>
      <c r="G30" t="str">
        <f>INDEX(Table1[Item Description],Table5[[#This Row],[//NOTA]])</f>
        <v>CRAYON / OIL PASTEL JOYKO OP-18S PP CASE SEA WORLD</v>
      </c>
      <c r="H30">
        <f>SUMIF(Table1[H_A1],Sheet5!A30,Table1[Qty])</f>
        <v>1</v>
      </c>
      <c r="I30" t="str">
        <f>INDEX(Table1[Unit],Table5[[#This Row],[//NOTA]])</f>
        <v>LSN</v>
      </c>
      <c r="J30" s="195">
        <f>SUMIF(Table1[H_A1],Sheet5!A30,Table1[C])</f>
        <v>0</v>
      </c>
      <c r="K30" s="195">
        <f>INDEX(Table1[Unit Price],Table5[[#This Row],[//NOTA]])</f>
        <v>276000</v>
      </c>
      <c r="L30" s="86">
        <f>IF(Table5[[#This Row],[a2]]="","",Table5[[#This Row],[QTY]]*12)</f>
        <v>12</v>
      </c>
      <c r="M30" s="86" t="str">
        <f>IF(Table5[[#This Row],[UNIT]]="grs","LSN",IF(Table5[[#This Row],[UNIT]]="LSN","PCS",""))</f>
        <v>PCS</v>
      </c>
      <c r="N30" s="86" t="str">
        <f>IF(Table5[[#This Row],[a2]]="LSN",Table5[[#This Row],[a1]]*12,"")</f>
        <v/>
      </c>
      <c r="O30" s="86" t="str">
        <f>IF(Table5[[#This Row],[b1]]="","","PCS")</f>
        <v/>
      </c>
      <c r="P30" s="86"/>
    </row>
    <row r="31" spans="1:16" x14ac:dyDescent="0.25">
      <c r="A31" s="88" t="s">
        <v>440</v>
      </c>
      <c r="B31" s="88"/>
      <c r="C31" s="88"/>
      <c r="E31" s="194">
        <f>MATCH(A31,Table1[H_A1],0)</f>
        <v>144</v>
      </c>
      <c r="F31" s="194">
        <f>MATCH(Table5[[#This Row],[NAMA]],[1]!db[NB PAJAK],0)</f>
        <v>1574</v>
      </c>
      <c r="G31" t="str">
        <f>INDEX(Table1[Item Description],Table5[[#This Row],[//NOTA]])</f>
        <v>CRAYON / OIL PASTEL JOYKO OP-36S PP CASE SEA WORLD</v>
      </c>
      <c r="H31">
        <f>SUMIF(Table1[H_A1],Sheet5!A31,Table1[Qty])</f>
        <v>72</v>
      </c>
      <c r="I31" t="str">
        <f>INDEX(Table1[Unit],Table5[[#This Row],[//NOTA]])</f>
        <v>PCS</v>
      </c>
      <c r="J31" s="195">
        <f>SUMIF(Table1[H_A1],Sheet5!A31,Table1[C])</f>
        <v>2</v>
      </c>
      <c r="K31" s="195">
        <f>INDEX(Table1[Unit Price],Table5[[#This Row],[//NOTA]])</f>
        <v>41500</v>
      </c>
      <c r="L31" s="86" t="str">
        <f>IF(Table5[[#This Row],[a2]]="","",Table5[[#This Row],[QTY]]*12)</f>
        <v/>
      </c>
      <c r="M31" s="86" t="str">
        <f>IF(Table5[[#This Row],[UNIT]]="grs","LSN",IF(Table5[[#This Row],[UNIT]]="LSN","PCS",""))</f>
        <v/>
      </c>
      <c r="N31" s="86" t="str">
        <f>IF(Table5[[#This Row],[a2]]="LSN",Table5[[#This Row],[a1]]*12,"")</f>
        <v/>
      </c>
      <c r="O31" s="86" t="str">
        <f>IF(Table5[[#This Row],[b1]]="","","PCS")</f>
        <v/>
      </c>
      <c r="P31" s="86"/>
    </row>
    <row r="32" spans="1:16" x14ac:dyDescent="0.25">
      <c r="A32" s="88" t="s">
        <v>319</v>
      </c>
      <c r="B32" s="88"/>
      <c r="C32" s="88"/>
      <c r="E32" s="194">
        <f>MATCH(A32,Table1[H_A1],0)</f>
        <v>87</v>
      </c>
      <c r="F32" s="194">
        <f>MATCH(Table5[[#This Row],[NAMA]],[1]!db[NB PAJAK],0)</f>
        <v>1040</v>
      </c>
      <c r="G32" t="str">
        <f>INDEX(Table1[Item Description],Table5[[#This Row],[//NOTA]])</f>
        <v>CRAYON / OIL PASTEL KENKO 12W GARDEN</v>
      </c>
      <c r="H32">
        <f>SUMIF(Table1[H_A1],Sheet5!A32,Table1[Qty])</f>
        <v>12</v>
      </c>
      <c r="I32" t="str">
        <f>INDEX(Table1[Unit],Table5[[#This Row],[//NOTA]])</f>
        <v>LSN</v>
      </c>
      <c r="J32" s="195">
        <f>SUMIF(Table1[H_A1],Sheet5!A32,Table1[C])</f>
        <v>1</v>
      </c>
      <c r="K32" s="195">
        <f>INDEX(Table1[Unit Price],Table5[[#This Row],[//NOTA]])</f>
        <v>144000</v>
      </c>
      <c r="L32" s="86">
        <f>IF(Table5[[#This Row],[a2]]="","",Table5[[#This Row],[QTY]]*12)</f>
        <v>144</v>
      </c>
      <c r="M32" s="86" t="str">
        <f>IF(Table5[[#This Row],[UNIT]]="grs","LSN",IF(Table5[[#This Row],[UNIT]]="LSN","PCS",""))</f>
        <v>PCS</v>
      </c>
      <c r="N32" s="86" t="str">
        <f>IF(Table5[[#This Row],[a2]]="LSN",Table5[[#This Row],[a1]]*12,"")</f>
        <v/>
      </c>
      <c r="O32" s="86" t="str">
        <f>IF(Table5[[#This Row],[b1]]="","","PCS")</f>
        <v/>
      </c>
      <c r="P32" s="86"/>
    </row>
    <row r="33" spans="1:16" x14ac:dyDescent="0.25">
      <c r="A33" s="88" t="s">
        <v>323</v>
      </c>
      <c r="B33" s="88"/>
      <c r="C33" s="88"/>
      <c r="E33" s="194">
        <f>MATCH(A33,Table1[H_A1],0)</f>
        <v>88</v>
      </c>
      <c r="F33" s="194">
        <f>MATCH(Table5[[#This Row],[NAMA]],[1]!db[NB PAJAK],0)</f>
        <v>1047</v>
      </c>
      <c r="G33" t="str">
        <f>INDEX(Table1[Item Description],Table5[[#This Row],[//NOTA]])</f>
        <v>CRAYON / OIL PASTEL KENKO 18W GARDEN</v>
      </c>
      <c r="H33">
        <f>SUMIF(Table1[H_A1],Sheet5!A33,Table1[Qty])</f>
        <v>6</v>
      </c>
      <c r="I33" t="str">
        <f>INDEX(Table1[Unit],Table5[[#This Row],[//NOTA]])</f>
        <v>LSN</v>
      </c>
      <c r="J33" s="195">
        <f>SUMIF(Table1[H_A1],Sheet5!A33,Table1[C])</f>
        <v>1</v>
      </c>
      <c r="K33" s="195">
        <f>INDEX(Table1[Unit Price],Table5[[#This Row],[//NOTA]])</f>
        <v>258000</v>
      </c>
      <c r="L33" s="86">
        <f>IF(Table5[[#This Row],[a2]]="","",Table5[[#This Row],[QTY]]*12)</f>
        <v>72</v>
      </c>
      <c r="M33" s="86" t="str">
        <f>IF(Table5[[#This Row],[UNIT]]="grs","LSN",IF(Table5[[#This Row],[UNIT]]="LSN","PCS",""))</f>
        <v>PCS</v>
      </c>
      <c r="N33" s="86" t="str">
        <f>IF(Table5[[#This Row],[a2]]="LSN",Table5[[#This Row],[a1]]*12,"")</f>
        <v/>
      </c>
      <c r="O33" s="86" t="str">
        <f>IF(Table5[[#This Row],[b1]]="","","PCS")</f>
        <v/>
      </c>
      <c r="P33" s="86"/>
    </row>
    <row r="34" spans="1:16" x14ac:dyDescent="0.25">
      <c r="A34" s="88" t="s">
        <v>166</v>
      </c>
      <c r="B34" s="88"/>
      <c r="C34" s="88"/>
      <c r="E34" s="194">
        <f>MATCH(A34,Table1[H_A1],0)</f>
        <v>14</v>
      </c>
      <c r="F34" s="194">
        <f>MATCH(Table5[[#This Row],[NAMA]],[1]!db[NB PAJAK],0)</f>
        <v>553</v>
      </c>
      <c r="G34" t="str">
        <f>INDEX(Table1[Item Description],Table5[[#This Row],[//NOTA]])</f>
        <v>CRAYON / OIL PASTEL PUTAR JOYKO TWCR-12MINI (PENDEK)</v>
      </c>
      <c r="H34">
        <f>SUMIF(Table1[H_A1],Sheet5!A34,Table1[Qty])</f>
        <v>288</v>
      </c>
      <c r="I34" t="str">
        <f>INDEX(Table1[Unit],Table5[[#This Row],[//NOTA]])</f>
        <v>PCS</v>
      </c>
      <c r="J34" s="195">
        <f>SUMIF(Table1[H_A1],Sheet5!A34,Table1[C])</f>
        <v>2</v>
      </c>
      <c r="K34" s="195">
        <f>INDEX(Table1[Unit Price],Table5[[#This Row],[//NOTA]])</f>
        <v>18600</v>
      </c>
      <c r="L34" s="86" t="str">
        <f>IF(Table5[[#This Row],[a2]]="","",Table5[[#This Row],[QTY]]*12)</f>
        <v/>
      </c>
      <c r="M34" s="86" t="str">
        <f>IF(Table5[[#This Row],[UNIT]]="grs","LSN",IF(Table5[[#This Row],[UNIT]]="LSN","PCS",""))</f>
        <v/>
      </c>
      <c r="N34" s="86" t="str">
        <f>IF(Table5[[#This Row],[a2]]="LSN",Table5[[#This Row],[a1]]*12,"")</f>
        <v/>
      </c>
      <c r="O34" s="86" t="str">
        <f>IF(Table5[[#This Row],[b1]]="","","PCS")</f>
        <v/>
      </c>
      <c r="P34" s="86"/>
    </row>
    <row r="35" spans="1:16" x14ac:dyDescent="0.25">
      <c r="A35" s="88" t="s">
        <v>469</v>
      </c>
      <c r="B35" s="88"/>
      <c r="C35" s="88"/>
      <c r="E35" s="194">
        <f>MATCH(A35,Table1[H_A1],0)</f>
        <v>158</v>
      </c>
      <c r="F35" s="194" t="e">
        <f>MATCH(Table5[[#This Row],[NAMA]],[1]!db[NB PAJAK],0)</f>
        <v>#N/A</v>
      </c>
      <c r="G35" t="str">
        <f>INDEX(Table1[Item Description],Table5[[#This Row],[//NOTA]])</f>
        <v>CRAYON / OIL PASTEL PUTAR JOYKO TWCR-24MINI (PENDEK)</v>
      </c>
      <c r="H35">
        <f>SUMIF(Table1[H_A1],Sheet5!A35,Table1[Qty])</f>
        <v>1</v>
      </c>
      <c r="I35" t="str">
        <f>INDEX(Table1[Unit],Table5[[#This Row],[//NOTA]])</f>
        <v>LSN</v>
      </c>
      <c r="J35" s="195">
        <f>SUMIF(Table1[H_A1],Sheet5!A35,Table1[C])</f>
        <v>0</v>
      </c>
      <c r="K35" s="195">
        <f>INDEX(Table1[Unit Price],Table5[[#This Row],[//NOTA]])</f>
        <v>446400</v>
      </c>
      <c r="L35" s="86">
        <f>IF(Table5[[#This Row],[a2]]="","",Table5[[#This Row],[QTY]]*12)</f>
        <v>12</v>
      </c>
      <c r="M35" s="86" t="str">
        <f>IF(Table5[[#This Row],[UNIT]]="grs","LSN",IF(Table5[[#This Row],[UNIT]]="LSN","PCS",""))</f>
        <v>PCS</v>
      </c>
      <c r="N35" s="86" t="str">
        <f>IF(Table5[[#This Row],[a2]]="LSN",Table5[[#This Row],[a1]]*12,"")</f>
        <v/>
      </c>
      <c r="O35" s="86" t="str">
        <f>IF(Table5[[#This Row],[b1]]="","","PCS")</f>
        <v/>
      </c>
      <c r="P35" s="86"/>
    </row>
    <row r="36" spans="1:16" x14ac:dyDescent="0.25">
      <c r="A36" s="88" t="s">
        <v>305</v>
      </c>
      <c r="B36" s="88"/>
      <c r="C36" s="88"/>
      <c r="E36" s="194">
        <f>MATCH(A36,Table1[H_A1],0)</f>
        <v>79</v>
      </c>
      <c r="F36" s="194">
        <f>MATCH(Table5[[#This Row],[NAMA]],[1]!db[NB PAJAK],0)</f>
        <v>1142</v>
      </c>
      <c r="G36" t="str">
        <f>INDEX(Table1[Item Description],Table5[[#This Row],[//NOTA]])</f>
        <v>CUTTER 18 MM KENKO L-500 (BESAR)</v>
      </c>
      <c r="H36">
        <f>SUMIF(Table1[H_A1],Sheet5!A36,Table1[Qty])</f>
        <v>20</v>
      </c>
      <c r="I36" t="str">
        <f>INDEX(Table1[Unit],Table5[[#This Row],[//NOTA]])</f>
        <v>LSN</v>
      </c>
      <c r="J36" s="195">
        <f>SUMIF(Table1[H_A1],Sheet5!A36,Table1[C])</f>
        <v>1</v>
      </c>
      <c r="K36" s="195">
        <f>INDEX(Table1[Unit Price],Table5[[#This Row],[//NOTA]])</f>
        <v>147600</v>
      </c>
      <c r="L36" s="86">
        <f>IF(Table5[[#This Row],[a2]]="","",Table5[[#This Row],[QTY]]*12)</f>
        <v>240</v>
      </c>
      <c r="M36" s="86" t="str">
        <f>IF(Table5[[#This Row],[UNIT]]="grs","LSN",IF(Table5[[#This Row],[UNIT]]="LSN","PCS",""))</f>
        <v>PCS</v>
      </c>
      <c r="N36" s="86" t="str">
        <f>IF(Table5[[#This Row],[a2]]="LSN",Table5[[#This Row],[a1]]*12,"")</f>
        <v/>
      </c>
      <c r="O36" s="86" t="str">
        <f>IF(Table5[[#This Row],[b1]]="","","PCS")</f>
        <v/>
      </c>
      <c r="P36" s="86"/>
    </row>
    <row r="37" spans="1:16" x14ac:dyDescent="0.25">
      <c r="A37" s="88" t="s">
        <v>213</v>
      </c>
      <c r="B37" s="88"/>
      <c r="C37" s="88"/>
      <c r="E37" s="194">
        <f>MATCH(A37,Table1[H_A1],0)</f>
        <v>34</v>
      </c>
      <c r="F37" s="194">
        <f>MATCH(Table5[[#This Row],[NAMA]],[1]!db[NB PAJAK],0)</f>
        <v>1143</v>
      </c>
      <c r="G37" t="str">
        <f>INDEX(Table1[Item Description],Table5[[#This Row],[//NOTA]])</f>
        <v>DATE STAMP KENKO D-3 (Cap Tanggal 5 Mm)</v>
      </c>
      <c r="H37">
        <f>SUMIF(Table1[H_A1],Sheet5!A37,Table1[Qty])</f>
        <v>1</v>
      </c>
      <c r="I37" t="str">
        <f>INDEX(Table1[Unit],Table5[[#This Row],[//NOTA]])</f>
        <v>LSN</v>
      </c>
      <c r="J37" s="195">
        <f>SUMIF(Table1[H_A1],Sheet5!A37,Table1[C])</f>
        <v>0</v>
      </c>
      <c r="K37" s="195">
        <f>INDEX(Table1[Unit Price],Table5[[#This Row],[//NOTA]])</f>
        <v>77400</v>
      </c>
      <c r="L37" s="86">
        <f>IF(Table5[[#This Row],[a2]]="","",Table5[[#This Row],[QTY]]*12)</f>
        <v>12</v>
      </c>
      <c r="M37" s="86" t="str">
        <f>IF(Table5[[#This Row],[UNIT]]="grs","LSN",IF(Table5[[#This Row],[UNIT]]="LSN","PCS",""))</f>
        <v>PCS</v>
      </c>
      <c r="N37" s="86" t="str">
        <f>IF(Table5[[#This Row],[a2]]="LSN",Table5[[#This Row],[a1]]*12,"")</f>
        <v/>
      </c>
      <c r="O37" s="86" t="str">
        <f>IF(Table5[[#This Row],[b1]]="","","PCS")</f>
        <v/>
      </c>
      <c r="P37" s="86"/>
    </row>
    <row r="38" spans="1:16" x14ac:dyDescent="0.25">
      <c r="A38" s="88" t="s">
        <v>167</v>
      </c>
      <c r="B38" s="88"/>
      <c r="C38" s="88"/>
      <c r="E38" s="194">
        <f>MATCH(A38,Table1[H_A1],0)</f>
        <v>18</v>
      </c>
      <c r="F38" s="194">
        <f>MATCH(Table5[[#This Row],[NAMA]],[1]!db[NB PAJAK],0)</f>
        <v>1144</v>
      </c>
      <c r="G38" t="str">
        <f>INDEX(Table1[Item Description],Table5[[#This Row],[//NOTA]])</f>
        <v>DATE STAMP KENKO D-4 (Cap Tanggal 4 Mm)</v>
      </c>
      <c r="H38">
        <f>SUMIF(Table1[H_A1],Sheet5!A38,Table1[Qty])</f>
        <v>11</v>
      </c>
      <c r="I38" t="str">
        <f>INDEX(Table1[Unit],Table5[[#This Row],[//NOTA]])</f>
        <v>LSN</v>
      </c>
      <c r="J38" s="195">
        <f>SUMIF(Table1[H_A1],Sheet5!A38,Table1[C])</f>
        <v>0</v>
      </c>
      <c r="K38" s="195">
        <f>INDEX(Table1[Unit Price],Table5[[#This Row],[//NOTA]])</f>
        <v>74400</v>
      </c>
      <c r="L38" s="86">
        <f>IF(Table5[[#This Row],[a2]]="","",Table5[[#This Row],[QTY]]*12)</f>
        <v>132</v>
      </c>
      <c r="M38" s="86" t="str">
        <f>IF(Table5[[#This Row],[UNIT]]="grs","LSN",IF(Table5[[#This Row],[UNIT]]="LSN","PCS",""))</f>
        <v>PCS</v>
      </c>
      <c r="N38" s="86" t="str">
        <f>IF(Table5[[#This Row],[a2]]="LSN",Table5[[#This Row],[a1]]*12,"")</f>
        <v/>
      </c>
      <c r="O38" s="86" t="str">
        <f>IF(Table5[[#This Row],[b1]]="","","PCS")</f>
        <v/>
      </c>
      <c r="P38" s="86"/>
    </row>
    <row r="39" spans="1:16" x14ac:dyDescent="0.25">
      <c r="A39" s="88" t="s">
        <v>214</v>
      </c>
      <c r="B39" s="88"/>
      <c r="C39" s="88"/>
      <c r="E39" s="194">
        <f>MATCH(A39,Table1[H_A1],0)</f>
        <v>37</v>
      </c>
      <c r="F39" s="194">
        <f>MATCH(Table5[[#This Row],[NAMA]],[1]!db[NB PAJAK],0)</f>
        <v>1145</v>
      </c>
      <c r="G39" t="str">
        <f>INDEX(Table1[Item Description],Table5[[#This Row],[//NOTA]])</f>
        <v>DESK SET KENKO K-8312 ORGANIZER</v>
      </c>
      <c r="H39">
        <f>SUMIF(Table1[H_A1],Sheet5!A39,Table1[Qty])</f>
        <v>16</v>
      </c>
      <c r="I39" t="str">
        <f>INDEX(Table1[Unit],Table5[[#This Row],[//NOTA]])</f>
        <v>PCS</v>
      </c>
      <c r="J39" s="195">
        <f>SUMIF(Table1[H_A1],Sheet5!A39,Table1[C])</f>
        <v>0</v>
      </c>
      <c r="K39" s="195">
        <f>INDEX(Table1[Unit Price],Table5[[#This Row],[//NOTA]])</f>
        <v>29000</v>
      </c>
      <c r="L39" s="86" t="str">
        <f>IF(Table5[[#This Row],[a2]]="","",Table5[[#This Row],[QTY]]*12)</f>
        <v/>
      </c>
      <c r="M39" s="86" t="str">
        <f>IF(Table5[[#This Row],[UNIT]]="grs","LSN",IF(Table5[[#This Row],[UNIT]]="LSN","PCS",""))</f>
        <v/>
      </c>
      <c r="N39" s="86" t="str">
        <f>IF(Table5[[#This Row],[a2]]="LSN",Table5[[#This Row],[a1]]*12,"")</f>
        <v/>
      </c>
      <c r="O39" s="86" t="str">
        <f>IF(Table5[[#This Row],[b1]]="","","PCS")</f>
        <v/>
      </c>
      <c r="P39" s="86"/>
    </row>
    <row r="40" spans="1:16" x14ac:dyDescent="0.25">
      <c r="A40" s="88" t="s">
        <v>215</v>
      </c>
      <c r="B40" s="88"/>
      <c r="C40" s="88"/>
      <c r="E40" s="194">
        <f>MATCH(A40,Table1[H_A1],0)</f>
        <v>30</v>
      </c>
      <c r="F40" s="194">
        <f>MATCH(Table5[[#This Row],[NAMA]],[1]!db[NB PAJAK],0)</f>
        <v>1286</v>
      </c>
      <c r="G40" t="str">
        <f>INDEX(Table1[Item Description],Table5[[#This Row],[//NOTA]])</f>
        <v>GARISAN BESI (STAINLESS STEEL) KENKO 100 CM / 1 M</v>
      </c>
      <c r="H40">
        <f>SUMIF(Table1[H_A1],Sheet5!A40,Table1[Qty])</f>
        <v>5</v>
      </c>
      <c r="I40" t="str">
        <f>INDEX(Table1[Unit],Table5[[#This Row],[//NOTA]])</f>
        <v>LSN</v>
      </c>
      <c r="J40" s="195">
        <f>SUMIF(Table1[H_A1],Sheet5!A40,Table1[C])</f>
        <v>0</v>
      </c>
      <c r="K40" s="195">
        <f>INDEX(Table1[Unit Price],Table5[[#This Row],[//NOTA]])</f>
        <v>522000</v>
      </c>
      <c r="L40" s="86">
        <f>IF(Table5[[#This Row],[a2]]="","",Table5[[#This Row],[QTY]]*12)</f>
        <v>60</v>
      </c>
      <c r="M40" s="86" t="str">
        <f>IF(Table5[[#This Row],[UNIT]]="grs","LSN",IF(Table5[[#This Row],[UNIT]]="LSN","PCS",""))</f>
        <v>PCS</v>
      </c>
      <c r="N40" s="86" t="str">
        <f>IF(Table5[[#This Row],[a2]]="LSN",Table5[[#This Row],[a1]]*12,"")</f>
        <v/>
      </c>
      <c r="O40" s="86" t="str">
        <f>IF(Table5[[#This Row],[b1]]="","","PCS")</f>
        <v/>
      </c>
      <c r="P40" s="86"/>
    </row>
    <row r="41" spans="1:16" x14ac:dyDescent="0.25">
      <c r="A41" s="88" t="s">
        <v>309</v>
      </c>
      <c r="B41" s="88"/>
      <c r="C41" s="88"/>
      <c r="E41" s="194">
        <f>MATCH(A41,Table1[H_A1],0)</f>
        <v>83</v>
      </c>
      <c r="F41" s="194">
        <f>MATCH(Table5[[#This Row],[NAMA]],[1]!db[NB PAJAK],0)</f>
        <v>1161</v>
      </c>
      <c r="G41" t="str">
        <f>INDEX(Table1[Item Description],Table5[[#This Row],[//NOTA]])</f>
        <v>GEL PEN KENKO HI-TECH-H 0.28 MM BIRU</v>
      </c>
      <c r="H41">
        <f>SUMIF(Table1[H_A1],Sheet5!A41,Table1[Qty])</f>
        <v>144</v>
      </c>
      <c r="I41" t="str">
        <f>INDEX(Table1[Unit],Table5[[#This Row],[//NOTA]])</f>
        <v>LSN</v>
      </c>
      <c r="J41" s="195">
        <f>SUMIF(Table1[H_A1],Sheet5!A41,Table1[C])</f>
        <v>1</v>
      </c>
      <c r="K41" s="195">
        <f>INDEX(Table1[Unit Price],Table5[[#This Row],[//NOTA]])</f>
        <v>39000</v>
      </c>
      <c r="L41" s="86">
        <f>IF(Table5[[#This Row],[a2]]="","",Table5[[#This Row],[QTY]]*12)</f>
        <v>1728</v>
      </c>
      <c r="M41" s="86" t="str">
        <f>IF(Table5[[#This Row],[UNIT]]="grs","LSN",IF(Table5[[#This Row],[UNIT]]="LSN","PCS",""))</f>
        <v>PCS</v>
      </c>
      <c r="N41" s="86" t="str">
        <f>IF(Table5[[#This Row],[a2]]="LSN",Table5[[#This Row],[a1]]*12,"")</f>
        <v/>
      </c>
      <c r="O41" s="86" t="str">
        <f>IF(Table5[[#This Row],[b1]]="","","PCS")</f>
        <v/>
      </c>
      <c r="P41" s="86"/>
    </row>
    <row r="42" spans="1:16" x14ac:dyDescent="0.25">
      <c r="A42" s="88" t="s">
        <v>470</v>
      </c>
      <c r="B42" s="88"/>
      <c r="C42" s="88"/>
      <c r="E42" s="194">
        <f>MATCH(A42,Table1[H_A1],0)</f>
        <v>155</v>
      </c>
      <c r="F42" s="194" t="e">
        <f>MATCH(Table5[[#This Row],[NAMA]],[1]!db[NB PAJAK],0)</f>
        <v>#N/A</v>
      </c>
      <c r="G42" t="str">
        <f>INDEX(Table1[Item Description],Table5[[#This Row],[//NOTA]])</f>
        <v>GEL PEN KENKO HI-TECH-H 0.28 MM FUN COLOR</v>
      </c>
      <c r="H42">
        <f>SUMIF(Table1[H_A1],Sheet5!A42,Table1[Qty])</f>
        <v>2</v>
      </c>
      <c r="I42" t="str">
        <f>INDEX(Table1[Unit],Table5[[#This Row],[//NOTA]])</f>
        <v>LSN</v>
      </c>
      <c r="J42" s="195">
        <f>SUMIF(Table1[H_A1],Sheet5!A42,Table1[C])</f>
        <v>0</v>
      </c>
      <c r="K42" s="195">
        <f>INDEX(Table1[Unit Price],Table5[[#This Row],[//NOTA]])</f>
        <v>39000</v>
      </c>
      <c r="L42" s="86">
        <f>IF(Table5[[#This Row],[a2]]="","",Table5[[#This Row],[QTY]]*12)</f>
        <v>24</v>
      </c>
      <c r="M42" s="86" t="str">
        <f>IF(Table5[[#This Row],[UNIT]]="grs","LSN",IF(Table5[[#This Row],[UNIT]]="LSN","PCS",""))</f>
        <v>PCS</v>
      </c>
      <c r="N42" s="86" t="str">
        <f>IF(Table5[[#This Row],[a2]]="LSN",Table5[[#This Row],[a1]]*12,"")</f>
        <v/>
      </c>
      <c r="O42" s="86" t="str">
        <f>IF(Table5[[#This Row],[b1]]="","","PCS")</f>
        <v/>
      </c>
      <c r="P42" s="86"/>
    </row>
    <row r="43" spans="1:16" x14ac:dyDescent="0.25">
      <c r="A43" s="88" t="s">
        <v>192</v>
      </c>
      <c r="B43" s="88"/>
      <c r="C43" s="88"/>
      <c r="E43" s="194">
        <f>MATCH(A43,Table1[H_A1],0)</f>
        <v>27</v>
      </c>
      <c r="F43" s="194">
        <f>MATCH(Table5[[#This Row],[NAMA]],[1]!db[NB PAJAK],0)</f>
        <v>1160</v>
      </c>
      <c r="G43" t="str">
        <f>INDEX(Table1[Item Description],Table5[[#This Row],[//NOTA]])</f>
        <v>GEL PEN KENKO HI-TECH-H 0.28 MM HITAM</v>
      </c>
      <c r="H43">
        <f>SUMIF(Table1[H_A1],Sheet5!A43,Table1[Qty])</f>
        <v>1728</v>
      </c>
      <c r="I43" t="str">
        <f>INDEX(Table1[Unit],Table5[[#This Row],[//NOTA]])</f>
        <v>LSN</v>
      </c>
      <c r="J43" s="195">
        <f>SUMIF(Table1[H_A1],Sheet5!A43,Table1[C])</f>
        <v>12</v>
      </c>
      <c r="K43" s="195">
        <f>INDEX(Table1[Unit Price],Table5[[#This Row],[//NOTA]])</f>
        <v>39000</v>
      </c>
      <c r="L43" s="86">
        <f>IF(Table5[[#This Row],[a2]]="","",Table5[[#This Row],[QTY]]*12)</f>
        <v>20736</v>
      </c>
      <c r="M43" s="86" t="str">
        <f>IF(Table5[[#This Row],[UNIT]]="grs","LSN",IF(Table5[[#This Row],[UNIT]]="LSN","PCS",""))</f>
        <v>PCS</v>
      </c>
      <c r="N43" s="86" t="str">
        <f>IF(Table5[[#This Row],[a2]]="LSN",Table5[[#This Row],[a1]]*12,"")</f>
        <v/>
      </c>
      <c r="O43" s="86" t="str">
        <f>IF(Table5[[#This Row],[b1]]="","","PCS")</f>
        <v/>
      </c>
      <c r="P43" s="86"/>
    </row>
    <row r="44" spans="1:16" x14ac:dyDescent="0.25">
      <c r="A44" s="88" t="s">
        <v>430</v>
      </c>
      <c r="B44" s="88"/>
      <c r="C44" s="88"/>
      <c r="E44" s="194">
        <f>MATCH(A44,Table1[H_A1],0)</f>
        <v>129</v>
      </c>
      <c r="F44" s="194">
        <f>MATCH(Table5[[#This Row],[NAMA]],[1]!db[NB PAJAK],0)</f>
        <v>1159</v>
      </c>
      <c r="G44" t="str">
        <f>INDEX(Table1[Item Description],Table5[[#This Row],[//NOTA]])</f>
        <v>GEL PEN KENKO HI-TECH-H 0.28 MM</v>
      </c>
      <c r="H44">
        <f>SUMIF(Table1[H_A1],Sheet5!A44,Table1[Qty])</f>
        <v>12</v>
      </c>
      <c r="I44" t="str">
        <f>INDEX(Table1[Unit],Table5[[#This Row],[//NOTA]])</f>
        <v>LSN</v>
      </c>
      <c r="J44" s="195">
        <f>SUMIF(Table1[H_A1],Sheet5!A44,Table1[C])</f>
        <v>0</v>
      </c>
      <c r="K44" s="195">
        <f>INDEX(Table1[Unit Price],Table5[[#This Row],[//NOTA]])</f>
        <v>39000</v>
      </c>
      <c r="L44" s="86">
        <f>IF(Table5[[#This Row],[a2]]="","",Table5[[#This Row],[QTY]]*12)</f>
        <v>144</v>
      </c>
      <c r="M44" s="86" t="str">
        <f>IF(Table5[[#This Row],[UNIT]]="grs","LSN",IF(Table5[[#This Row],[UNIT]]="LSN","PCS",""))</f>
        <v>PCS</v>
      </c>
      <c r="N44" s="86" t="str">
        <f>IF(Table5[[#This Row],[a2]]="LSN",Table5[[#This Row],[a1]]*12,"")</f>
        <v/>
      </c>
      <c r="O44" s="86" t="str">
        <f>IF(Table5[[#This Row],[b1]]="","","PCS")</f>
        <v/>
      </c>
      <c r="P44" s="86"/>
    </row>
    <row r="45" spans="1:16" x14ac:dyDescent="0.25">
      <c r="A45" s="88" t="s">
        <v>237</v>
      </c>
      <c r="B45" s="88"/>
      <c r="C45" s="88"/>
      <c r="E45" s="194">
        <f>MATCH(A45,Table1[H_A1],0)</f>
        <v>43</v>
      </c>
      <c r="F45" s="194">
        <f>MATCH(Table5[[#This Row],[NAMA]],[1]!db[NB PAJAK],0)</f>
        <v>1172</v>
      </c>
      <c r="G45" t="str">
        <f>INDEX(Table1[Item Description],Table5[[#This Row],[//NOTA]])</f>
        <v>GEL PEN KENKO K-1 HITAM</v>
      </c>
      <c r="H45">
        <f>SUMIF(Table1[H_A1],Sheet5!A45,Table1[Qty])</f>
        <v>11</v>
      </c>
      <c r="I45" t="str">
        <f>INDEX(Table1[Unit],Table5[[#This Row],[//NOTA]])</f>
        <v>LSN</v>
      </c>
      <c r="J45" s="195">
        <f>SUMIF(Table1[H_A1],Sheet5!A45,Table1[C])</f>
        <v>0</v>
      </c>
      <c r="K45" s="195">
        <f>INDEX(Table1[Unit Price],Table5[[#This Row],[//NOTA]])</f>
        <v>39600</v>
      </c>
      <c r="L45" s="86">
        <f>IF(Table5[[#This Row],[a2]]="","",Table5[[#This Row],[QTY]]*12)</f>
        <v>132</v>
      </c>
      <c r="M45" s="86" t="str">
        <f>IF(Table5[[#This Row],[UNIT]]="grs","LSN",IF(Table5[[#This Row],[UNIT]]="LSN","PCS",""))</f>
        <v>PCS</v>
      </c>
      <c r="N45" s="86" t="str">
        <f>IF(Table5[[#This Row],[a2]]="LSN",Table5[[#This Row],[a1]]*12,"")</f>
        <v/>
      </c>
      <c r="O45" s="86" t="str">
        <f>IF(Table5[[#This Row],[b1]]="","","PCS")</f>
        <v/>
      </c>
      <c r="P45" s="86"/>
    </row>
    <row r="46" spans="1:16" x14ac:dyDescent="0.25">
      <c r="A46" s="88" t="s">
        <v>431</v>
      </c>
      <c r="B46" s="88"/>
      <c r="C46" s="88"/>
      <c r="E46" s="194">
        <f>MATCH(A46,Table1[H_A1],0)</f>
        <v>130</v>
      </c>
      <c r="F46" s="194">
        <f>MATCH(Table5[[#This Row],[NAMA]],[1]!db[NB PAJAK],0)</f>
        <v>1171</v>
      </c>
      <c r="G46" t="str">
        <f>INDEX(Table1[Item Description],Table5[[#This Row],[//NOTA]])</f>
        <v>GEL PEN KENKO K-1</v>
      </c>
      <c r="H46">
        <f>SUMIF(Table1[H_A1],Sheet5!A46,Table1[Qty])</f>
        <v>16</v>
      </c>
      <c r="I46" t="str">
        <f>INDEX(Table1[Unit],Table5[[#This Row],[//NOTA]])</f>
        <v>LSN</v>
      </c>
      <c r="J46" s="195">
        <f>SUMIF(Table1[H_A1],Sheet5!A46,Table1[C])</f>
        <v>0</v>
      </c>
      <c r="K46" s="195">
        <f>INDEX(Table1[Unit Price],Table5[[#This Row],[//NOTA]])</f>
        <v>39600</v>
      </c>
      <c r="L46" s="86">
        <f>IF(Table5[[#This Row],[a2]]="","",Table5[[#This Row],[QTY]]*12)</f>
        <v>192</v>
      </c>
      <c r="M46" s="86" t="str">
        <f>IF(Table5[[#This Row],[UNIT]]="grs","LSN",IF(Table5[[#This Row],[UNIT]]="LSN","PCS",""))</f>
        <v>PCS</v>
      </c>
      <c r="N46" s="86" t="str">
        <f>IF(Table5[[#This Row],[a2]]="LSN",Table5[[#This Row],[a1]]*12,"")</f>
        <v/>
      </c>
      <c r="O46" s="86" t="str">
        <f>IF(Table5[[#This Row],[b1]]="","","PCS")</f>
        <v/>
      </c>
      <c r="P46" s="86"/>
    </row>
    <row r="47" spans="1:16" x14ac:dyDescent="0.25">
      <c r="A47" s="88" t="s">
        <v>388</v>
      </c>
      <c r="B47" s="88"/>
      <c r="C47" s="88"/>
      <c r="E47" s="194">
        <f>MATCH(A47,Table1[H_A1],0)</f>
        <v>116</v>
      </c>
      <c r="F47" s="194">
        <f>MATCH(Table5[[#This Row],[NAMA]],[1]!db[NB PAJAK],0)</f>
        <v>740</v>
      </c>
      <c r="G47" t="str">
        <f>INDEX(Table1[Item Description],Table5[[#This Row],[//NOTA]])</f>
        <v>GEL PEN SET JOYKO GPC-309S DIAMOND ART</v>
      </c>
      <c r="H47">
        <f>SUMIF(Table1[H_A1],Sheet5!A47,Table1[Qty])</f>
        <v>576</v>
      </c>
      <c r="I47" t="str">
        <f>INDEX(Table1[Unit],Table5[[#This Row],[//NOTA]])</f>
        <v>PCS</v>
      </c>
      <c r="J47" s="195">
        <f>SUMIF(Table1[H_A1],Sheet5!A47,Table1[C])</f>
        <v>3</v>
      </c>
      <c r="K47" s="195">
        <f>INDEX(Table1[Unit Price],Table5[[#This Row],[//NOTA]])</f>
        <v>16800</v>
      </c>
      <c r="L47" s="86" t="str">
        <f>IF(Table5[[#This Row],[a2]]="","",Table5[[#This Row],[QTY]]*12)</f>
        <v/>
      </c>
      <c r="M47" s="86" t="str">
        <f>IF(Table5[[#This Row],[UNIT]]="grs","LSN",IF(Table5[[#This Row],[UNIT]]="LSN","PCS",""))</f>
        <v/>
      </c>
      <c r="N47" s="86" t="str">
        <f>IF(Table5[[#This Row],[a2]]="LSN",Table5[[#This Row],[a1]]*12,"")</f>
        <v/>
      </c>
      <c r="O47" s="86" t="str">
        <f>IF(Table5[[#This Row],[b1]]="","","PCS")</f>
        <v/>
      </c>
      <c r="P47" s="86"/>
    </row>
    <row r="48" spans="1:16" x14ac:dyDescent="0.25">
      <c r="A48" s="88" t="s">
        <v>126</v>
      </c>
      <c r="B48" s="88"/>
      <c r="C48" s="88"/>
      <c r="E48" s="194">
        <f>MATCH(A48,Table1[H_A1],0)</f>
        <v>1</v>
      </c>
      <c r="F48" s="194">
        <f>MATCH(Table5[[#This Row],[NAMA]],[1]!db[NB PAJAK],0)</f>
        <v>1944</v>
      </c>
      <c r="G48" t="str">
        <f>INDEX(Table1[Item Description],Table5[[#This Row],[//NOTA]])</f>
        <v>GUNTING JOYKO SC-828 SG</v>
      </c>
      <c r="H48">
        <f>SUMIF(Table1[H_A1],Sheet5!A48,Table1[Qty])</f>
        <v>144</v>
      </c>
      <c r="I48" t="str">
        <f>INDEX(Table1[Unit],Table5[[#This Row],[//NOTA]])</f>
        <v>LSN</v>
      </c>
      <c r="J48" s="195">
        <f>SUMIF(Table1[H_A1],Sheet5!A48,Table1[C])</f>
        <v>1</v>
      </c>
      <c r="K48" s="195">
        <f>INDEX(Table1[Unit Price],Table5[[#This Row],[//NOTA]])</f>
        <v>6100</v>
      </c>
      <c r="L48" s="86">
        <f>IF(Table5[[#This Row],[a2]]="","",Table5[[#This Row],[QTY]]*12)</f>
        <v>1728</v>
      </c>
      <c r="M48" s="86" t="str">
        <f>IF(Table5[[#This Row],[UNIT]]="grs","LSN",IF(Table5[[#This Row],[UNIT]]="LSN","PCS",""))</f>
        <v>PCS</v>
      </c>
      <c r="N48" s="86" t="str">
        <f>IF(Table5[[#This Row],[a2]]="LSN",Table5[[#This Row],[a1]]*12,"")</f>
        <v/>
      </c>
      <c r="O48" s="86" t="str">
        <f>IF(Table5[[#This Row],[b1]]="","","PCS")</f>
        <v/>
      </c>
      <c r="P48" s="86"/>
    </row>
    <row r="49" spans="1:16" x14ac:dyDescent="0.25">
      <c r="A49" s="88" t="s">
        <v>168</v>
      </c>
      <c r="B49" s="88"/>
      <c r="C49" s="88"/>
      <c r="E49" s="194">
        <f>MATCH(A49,Table1[H_A1],0)</f>
        <v>2</v>
      </c>
      <c r="F49" s="194">
        <f>MATCH(Table5[[#This Row],[NAMA]],[1]!db[NB PAJAK],0)</f>
        <v>1946</v>
      </c>
      <c r="G49" t="str">
        <f>INDEX(Table1[Item Description],Table5[[#This Row],[//NOTA]])</f>
        <v>GUNTING JOYKO SC-838 SG</v>
      </c>
      <c r="H49">
        <f>SUMIF(Table1[H_A1],Sheet5!A49,Table1[Qty])</f>
        <v>144</v>
      </c>
      <c r="I49" t="str">
        <f>INDEX(Table1[Unit],Table5[[#This Row],[//NOTA]])</f>
        <v>LSN</v>
      </c>
      <c r="J49" s="195">
        <f>SUMIF(Table1[H_A1],Sheet5!A49,Table1[C])</f>
        <v>1</v>
      </c>
      <c r="K49" s="195">
        <f>INDEX(Table1[Unit Price],Table5[[#This Row],[//NOTA]])</f>
        <v>7700</v>
      </c>
      <c r="L49" s="86">
        <f>IF(Table5[[#This Row],[a2]]="","",Table5[[#This Row],[QTY]]*12)</f>
        <v>1728</v>
      </c>
      <c r="M49" s="86" t="str">
        <f>IF(Table5[[#This Row],[UNIT]]="grs","LSN",IF(Table5[[#This Row],[UNIT]]="LSN","PCS",""))</f>
        <v>PCS</v>
      </c>
      <c r="N49" s="86" t="str">
        <f>IF(Table5[[#This Row],[a2]]="LSN",Table5[[#This Row],[a1]]*12,"")</f>
        <v/>
      </c>
      <c r="O49" s="86" t="str">
        <f>IF(Table5[[#This Row],[b1]]="","","PCS")</f>
        <v/>
      </c>
      <c r="P49" s="86"/>
    </row>
    <row r="50" spans="1:16" x14ac:dyDescent="0.25">
      <c r="A50" s="88" t="s">
        <v>432</v>
      </c>
      <c r="B50" s="88"/>
      <c r="C50" s="88"/>
      <c r="E50" s="194">
        <f>MATCH(A50,Table1[H_A1],0)</f>
        <v>139</v>
      </c>
      <c r="F50" s="194">
        <f>MATCH(Table5[[#This Row],[NAMA]],[1]!db[NB PAJAK],0)</f>
        <v>1276</v>
      </c>
      <c r="G50" t="str">
        <f>INDEX(Table1[Item Description],Table5[[#This Row],[//NOTA]])</f>
        <v>GUNTING KENKO SC-828</v>
      </c>
      <c r="H50">
        <f>SUMIF(Table1[H_A1],Sheet5!A50,Table1[Qty])</f>
        <v>4</v>
      </c>
      <c r="I50" t="str">
        <f>INDEX(Table1[Unit],Table5[[#This Row],[//NOTA]])</f>
        <v>LSN</v>
      </c>
      <c r="J50" s="195">
        <f>SUMIF(Table1[H_A1],Sheet5!A50,Table1[C])</f>
        <v>0</v>
      </c>
      <c r="K50" s="195">
        <f>INDEX(Table1[Unit Price],Table5[[#This Row],[//NOTA]])</f>
        <v>56400</v>
      </c>
      <c r="L50" s="86">
        <f>IF(Table5[[#This Row],[a2]]="","",Table5[[#This Row],[QTY]]*12)</f>
        <v>48</v>
      </c>
      <c r="M50" s="86" t="str">
        <f>IF(Table5[[#This Row],[UNIT]]="grs","LSN",IF(Table5[[#This Row],[UNIT]]="LSN","PCS",""))</f>
        <v>PCS</v>
      </c>
      <c r="N50" s="86" t="str">
        <f>IF(Table5[[#This Row],[a2]]="LSN",Table5[[#This Row],[a1]]*12,"")</f>
        <v/>
      </c>
      <c r="O50" s="86" t="str">
        <f>IF(Table5[[#This Row],[b1]]="","","PCS")</f>
        <v/>
      </c>
      <c r="P50" s="86"/>
    </row>
    <row r="51" spans="1:16" x14ac:dyDescent="0.25">
      <c r="A51" s="88" t="s">
        <v>433</v>
      </c>
      <c r="B51" s="88"/>
      <c r="C51" s="88"/>
      <c r="E51" s="194">
        <f>MATCH(A51,Table1[H_A1],0)</f>
        <v>140</v>
      </c>
      <c r="F51" s="194">
        <f>MATCH(Table5[[#This Row],[NAMA]],[1]!db[NB PAJAK],0)</f>
        <v>1277</v>
      </c>
      <c r="G51" t="str">
        <f>INDEX(Table1[Item Description],Table5[[#This Row],[//NOTA]])</f>
        <v>GUNTING KENKO SC-838N</v>
      </c>
      <c r="H51">
        <f>SUMIF(Table1[H_A1],Sheet5!A51,Table1[Qty])</f>
        <v>6</v>
      </c>
      <c r="I51" t="str">
        <f>INDEX(Table1[Unit],Table5[[#This Row],[//NOTA]])</f>
        <v>LSN</v>
      </c>
      <c r="J51" s="195">
        <f>SUMIF(Table1[H_A1],Sheet5!A51,Table1[C])</f>
        <v>0</v>
      </c>
      <c r="K51" s="195">
        <f>INDEX(Table1[Unit Price],Table5[[#This Row],[//NOTA]])</f>
        <v>79800</v>
      </c>
      <c r="L51" s="86">
        <f>IF(Table5[[#This Row],[a2]]="","",Table5[[#This Row],[QTY]]*12)</f>
        <v>72</v>
      </c>
      <c r="M51" s="86" t="str">
        <f>IF(Table5[[#This Row],[UNIT]]="grs","LSN",IF(Table5[[#This Row],[UNIT]]="LSN","PCS",""))</f>
        <v>PCS</v>
      </c>
      <c r="N51" s="86" t="str">
        <f>IF(Table5[[#This Row],[a2]]="LSN",Table5[[#This Row],[a1]]*12,"")</f>
        <v/>
      </c>
      <c r="O51" s="86" t="str">
        <f>IF(Table5[[#This Row],[b1]]="","","PCS")</f>
        <v/>
      </c>
      <c r="P51" s="86"/>
    </row>
    <row r="52" spans="1:16" x14ac:dyDescent="0.25">
      <c r="A52" s="88" t="s">
        <v>275</v>
      </c>
      <c r="B52" s="88"/>
      <c r="C52" s="88"/>
      <c r="E52" s="194">
        <f>MATCH(A52,Table1[H_A1],0)</f>
        <v>59</v>
      </c>
      <c r="F52" s="194">
        <f>MATCH(Table5[[#This Row],[NAMA]],[1]!db[NB PAJAK],0)</f>
        <v>2177</v>
      </c>
      <c r="G52" t="str">
        <f>INDEX(Table1[Item Description],Table5[[#This Row],[//NOTA]])</f>
        <v>HIGHLIGHTER / STABILLO JOYKO HL-MIX (5 WARNA)</v>
      </c>
      <c r="H52">
        <f>SUMIF(Table1[H_A1],Sheet5!A52,Table1[Qty])</f>
        <v>720</v>
      </c>
      <c r="I52" t="str">
        <f>INDEX(Table1[Unit],Table5[[#This Row],[//NOTA]])</f>
        <v>PCS</v>
      </c>
      <c r="J52" s="195">
        <f>SUMIF(Table1[H_A1],Sheet5!A52,Table1[C])</f>
        <v>1</v>
      </c>
      <c r="K52" s="195">
        <f>INDEX(Table1[Unit Price],Table5[[#This Row],[//NOTA]])</f>
        <v>3700</v>
      </c>
      <c r="L52" s="86" t="str">
        <f>IF(Table5[[#This Row],[a2]]="","",Table5[[#This Row],[QTY]]*12)</f>
        <v/>
      </c>
      <c r="M52" s="86" t="str">
        <f>IF(Table5[[#This Row],[UNIT]]="grs","LSN",IF(Table5[[#This Row],[UNIT]]="LSN","PCS",""))</f>
        <v/>
      </c>
      <c r="N52" s="86" t="str">
        <f>IF(Table5[[#This Row],[a2]]="LSN",Table5[[#This Row],[a1]]*12,"")</f>
        <v/>
      </c>
      <c r="O52" s="86" t="str">
        <f>IF(Table5[[#This Row],[b1]]="","","PCS")</f>
        <v/>
      </c>
      <c r="P52" s="86"/>
    </row>
    <row r="53" spans="1:16" x14ac:dyDescent="0.25">
      <c r="A53" s="88" t="s">
        <v>238</v>
      </c>
      <c r="B53" s="88"/>
      <c r="C53" s="88"/>
      <c r="E53" s="194">
        <f>MATCH(A53,Table1[H_A1],0)</f>
        <v>41</v>
      </c>
      <c r="F53" s="194">
        <f>MATCH(Table5[[#This Row],[NAMA]],[1]!db[NB PAJAK],0)</f>
        <v>1139</v>
      </c>
      <c r="G53" t="str">
        <f>INDEX(Table1[Item Description],Table5[[#This Row],[//NOTA]])</f>
        <v>ISI CUTTER 18 MM KENKO L-150 (BESAR)</v>
      </c>
      <c r="H53">
        <f>SUMIF(Table1[H_A1],Sheet5!A53,Table1[Qty])</f>
        <v>10</v>
      </c>
      <c r="I53" t="str">
        <f>INDEX(Table1[Unit],Table5[[#This Row],[//NOTA]])</f>
        <v>LSN</v>
      </c>
      <c r="J53" s="195">
        <f>SUMIF(Table1[H_A1],Sheet5!A53,Table1[C])</f>
        <v>0</v>
      </c>
      <c r="K53" s="195">
        <f>INDEX(Table1[Unit Price],Table5[[#This Row],[//NOTA]])</f>
        <v>64800</v>
      </c>
      <c r="L53" s="86">
        <f>IF(Table5[[#This Row],[a2]]="","",Table5[[#This Row],[QTY]]*12)</f>
        <v>120</v>
      </c>
      <c r="M53" s="86" t="str">
        <f>IF(Table5[[#This Row],[UNIT]]="grs","LSN",IF(Table5[[#This Row],[UNIT]]="LSN","PCS",""))</f>
        <v>PCS</v>
      </c>
      <c r="N53" s="86" t="str">
        <f>IF(Table5[[#This Row],[a2]]="LSN",Table5[[#This Row],[a1]]*12,"")</f>
        <v/>
      </c>
      <c r="O53" s="86" t="str">
        <f>IF(Table5[[#This Row],[b1]]="","","PCS")</f>
        <v/>
      </c>
      <c r="P53" s="86"/>
    </row>
    <row r="54" spans="1:16" x14ac:dyDescent="0.25">
      <c r="A54" s="88" t="s">
        <v>399</v>
      </c>
      <c r="B54" s="88"/>
      <c r="C54" s="88"/>
      <c r="E54" s="194">
        <f>MATCH(A54,Table1[H_A1],0)</f>
        <v>120</v>
      </c>
      <c r="F54" s="194">
        <f>MATCH(Table5[[#This Row],[NAMA]],[1]!db[NB PAJAK],0)</f>
        <v>1138</v>
      </c>
      <c r="G54" t="str">
        <f>INDEX(Table1[Item Description],Table5[[#This Row],[//NOTA]])</f>
        <v>ISI CUTTER 9 MM KENKO A-100 (KECIL)</v>
      </c>
      <c r="H54">
        <f>SUMIF(Table1[H_A1],Sheet5!A54,Table1[Qty])</f>
        <v>120</v>
      </c>
      <c r="I54" t="str">
        <f>INDEX(Table1[Unit],Table5[[#This Row],[//NOTA]])</f>
        <v>LSN</v>
      </c>
      <c r="J54" s="195">
        <f>SUMIF(Table1[H_A1],Sheet5!A54,Table1[C])</f>
        <v>1</v>
      </c>
      <c r="K54" s="195">
        <f>INDEX(Table1[Unit Price],Table5[[#This Row],[//NOTA]])</f>
        <v>32400</v>
      </c>
      <c r="L54" s="86">
        <f>IF(Table5[[#This Row],[a2]]="","",Table5[[#This Row],[QTY]]*12)</f>
        <v>1440</v>
      </c>
      <c r="M54" s="86" t="str">
        <f>IF(Table5[[#This Row],[UNIT]]="grs","LSN",IF(Table5[[#This Row],[UNIT]]="LSN","PCS",""))</f>
        <v>PCS</v>
      </c>
      <c r="N54" s="86" t="str">
        <f>IF(Table5[[#This Row],[a2]]="LSN",Table5[[#This Row],[a1]]*12,"")</f>
        <v/>
      </c>
      <c r="O54" s="86" t="str">
        <f>IF(Table5[[#This Row],[b1]]="","","PCS")</f>
        <v/>
      </c>
      <c r="P54" s="86"/>
    </row>
    <row r="55" spans="1:16" x14ac:dyDescent="0.25">
      <c r="A55" s="88" t="s">
        <v>277</v>
      </c>
      <c r="B55" s="88"/>
      <c r="C55" s="88"/>
      <c r="E55" s="194">
        <f>MATCH(A55,Table1[H_A1],0)</f>
        <v>60</v>
      </c>
      <c r="F55" s="194">
        <f>MATCH(Table5[[#This Row],[NAMA]],[1]!db[NB PAJAK],0)</f>
        <v>1773</v>
      </c>
      <c r="G55" t="str">
        <f>INDEX(Table1[Item Description],Table5[[#This Row],[//NOTA]])</f>
        <v>ISI PENSIL 2B 0.5 MM JOYKO PL-05</v>
      </c>
      <c r="H55">
        <f>SUMIF(Table1[H_A1],Sheet5!A55,Table1[Qty])</f>
        <v>60</v>
      </c>
      <c r="I55" t="str">
        <f>INDEX(Table1[Unit],Table5[[#This Row],[//NOTA]])</f>
        <v>GRS</v>
      </c>
      <c r="J55" s="195">
        <f>SUMIF(Table1[H_A1],Sheet5!A55,Table1[C])</f>
        <v>5</v>
      </c>
      <c r="K55" s="195">
        <f>INDEX(Table1[Unit Price],Table5[[#This Row],[//NOTA]])</f>
        <v>176400</v>
      </c>
      <c r="L55" s="86">
        <f>IF(Table5[[#This Row],[a2]]="","",Table5[[#This Row],[QTY]]*12)</f>
        <v>720</v>
      </c>
      <c r="M55" s="86" t="str">
        <f>IF(Table5[[#This Row],[UNIT]]="grs","LSN",IF(Table5[[#This Row],[UNIT]]="LSN","PCS",""))</f>
        <v>LSN</v>
      </c>
      <c r="N55" s="86">
        <f>IF(Table5[[#This Row],[a2]]="LSN",Table5[[#This Row],[a1]]*12,"")</f>
        <v>8640</v>
      </c>
      <c r="O55" s="86" t="str">
        <f>IF(Table5[[#This Row],[b1]]="","","PCS")</f>
        <v>PCS</v>
      </c>
      <c r="P55" s="86"/>
    </row>
    <row r="56" spans="1:16" x14ac:dyDescent="0.25">
      <c r="A56" s="88" t="s">
        <v>389</v>
      </c>
      <c r="B56" s="88"/>
      <c r="C56" s="88"/>
      <c r="E56" s="194">
        <f>MATCH(A56,Table1[H_A1],0)</f>
        <v>110</v>
      </c>
      <c r="F56" s="194">
        <f>MATCH(Table5[[#This Row],[NAMA]],[1]!db[NB PAJAK],0)</f>
        <v>1774</v>
      </c>
      <c r="G56" t="str">
        <f>INDEX(Table1[Item Description],Table5[[#This Row],[//NOTA]])</f>
        <v>ISI PENSIL 2B 2.0 MM JOYKO PL-10</v>
      </c>
      <c r="H56">
        <f>SUMIF(Table1[H_A1],Sheet5!A56,Table1[Qty])</f>
        <v>288</v>
      </c>
      <c r="I56" t="str">
        <f>INDEX(Table1[Unit],Table5[[#This Row],[//NOTA]])</f>
        <v>LSN</v>
      </c>
      <c r="J56" s="195">
        <f>SUMIF(Table1[H_A1],Sheet5!A56,Table1[C])</f>
        <v>2</v>
      </c>
      <c r="K56" s="195">
        <f>INDEX(Table1[Unit Price],Table5[[#This Row],[//NOTA]])</f>
        <v>19800</v>
      </c>
      <c r="L56" s="86">
        <f>IF(Table5[[#This Row],[a2]]="","",Table5[[#This Row],[QTY]]*12)</f>
        <v>3456</v>
      </c>
      <c r="M56" s="86" t="str">
        <f>IF(Table5[[#This Row],[UNIT]]="grs","LSN",IF(Table5[[#This Row],[UNIT]]="LSN","PCS",""))</f>
        <v>PCS</v>
      </c>
      <c r="N56" s="86" t="str">
        <f>IF(Table5[[#This Row],[a2]]="LSN",Table5[[#This Row],[a1]]*12,"")</f>
        <v/>
      </c>
      <c r="O56" s="86" t="str">
        <f>IF(Table5[[#This Row],[b1]]="","","PCS")</f>
        <v/>
      </c>
      <c r="P56" s="86"/>
    </row>
    <row r="57" spans="1:16" x14ac:dyDescent="0.25">
      <c r="A57" s="88" t="s">
        <v>390</v>
      </c>
      <c r="B57" s="88"/>
      <c r="C57" s="88"/>
      <c r="E57" s="194">
        <f>MATCH(A57,Table1[H_A1],0)</f>
        <v>111</v>
      </c>
      <c r="F57" s="194">
        <f>MATCH(Table5[[#This Row],[NAMA]],[1]!db[NB PAJAK],0)</f>
        <v>1775</v>
      </c>
      <c r="G57" t="str">
        <f>INDEX(Table1[Item Description],Table5[[#This Row],[//NOTA]])</f>
        <v>ISI PENSIL 2B 2.0 MM JOYKO PL-11</v>
      </c>
      <c r="H57">
        <f>SUMIF(Table1[H_A1],Sheet5!A57,Table1[Qty])</f>
        <v>144</v>
      </c>
      <c r="I57" t="str">
        <f>INDEX(Table1[Unit],Table5[[#This Row],[//NOTA]])</f>
        <v>LSN</v>
      </c>
      <c r="J57" s="195">
        <f>SUMIF(Table1[H_A1],Sheet5!A57,Table1[C])</f>
        <v>2</v>
      </c>
      <c r="K57" s="195">
        <f>INDEX(Table1[Unit Price],Table5[[#This Row],[//NOTA]])</f>
        <v>37200</v>
      </c>
      <c r="L57" s="86">
        <f>IF(Table5[[#This Row],[a2]]="","",Table5[[#This Row],[QTY]]*12)</f>
        <v>1728</v>
      </c>
      <c r="M57" s="86" t="str">
        <f>IF(Table5[[#This Row],[UNIT]]="grs","LSN",IF(Table5[[#This Row],[UNIT]]="LSN","PCS",""))</f>
        <v>PCS</v>
      </c>
      <c r="N57" s="86" t="str">
        <f>IF(Table5[[#This Row],[a2]]="LSN",Table5[[#This Row],[a1]]*12,"")</f>
        <v/>
      </c>
      <c r="O57" s="86" t="str">
        <f>IF(Table5[[#This Row],[b1]]="","","PCS")</f>
        <v/>
      </c>
      <c r="P57" s="86"/>
    </row>
    <row r="58" spans="1:16" x14ac:dyDescent="0.25">
      <c r="A58" s="88" t="s">
        <v>145</v>
      </c>
      <c r="B58" s="88"/>
      <c r="C58" s="88"/>
      <c r="E58" s="194">
        <f>MATCH(A58,Table1[H_A1],0)</f>
        <v>11</v>
      </c>
      <c r="F58" s="194">
        <f>MATCH(Table5[[#This Row],[NAMA]],[1]!db[NB PAJAK],0)</f>
        <v>1310</v>
      </c>
      <c r="G58" t="str">
        <f>INDEX(Table1[Item Description],Table5[[#This Row],[//NOTA]])</f>
        <v>ISI STAPLER (STAPLES) KENKO 1210 PREMIUM (23/10)</v>
      </c>
      <c r="H58">
        <f>SUMIF(Table1[H_A1],Sheet5!A58,Table1[Qty])</f>
        <v>600</v>
      </c>
      <c r="I58" t="str">
        <f>INDEX(Table1[Unit],Table5[[#This Row],[//NOTA]])</f>
        <v>BOX</v>
      </c>
      <c r="J58" s="195">
        <f>SUMIF(Table1[H_A1],Sheet5!A58,Table1[C])</f>
        <v>0</v>
      </c>
      <c r="K58" s="195">
        <f>INDEX(Table1[Unit Price],Table5[[#This Row],[//NOTA]])</f>
        <v>4200</v>
      </c>
      <c r="L58" s="86" t="str">
        <f>IF(Table5[[#This Row],[a2]]="","",Table5[[#This Row],[QTY]]*12)</f>
        <v/>
      </c>
      <c r="M58" s="86" t="str">
        <f>IF(Table5[[#This Row],[UNIT]]="grs","LSN",IF(Table5[[#This Row],[UNIT]]="LSN","PCS",""))</f>
        <v/>
      </c>
      <c r="N58" s="86" t="str">
        <f>IF(Table5[[#This Row],[a2]]="LSN",Table5[[#This Row],[a1]]*12,"")</f>
        <v/>
      </c>
      <c r="O58" s="86" t="str">
        <f>IF(Table5[[#This Row],[b1]]="","","PCS")</f>
        <v/>
      </c>
      <c r="P58" s="86"/>
    </row>
    <row r="59" spans="1:16" x14ac:dyDescent="0.25">
      <c r="A59" s="88" t="s">
        <v>183</v>
      </c>
      <c r="B59" s="88"/>
      <c r="C59" s="88"/>
      <c r="E59" s="194">
        <f>MATCH(A59,Table1[H_A1],0)</f>
        <v>22</v>
      </c>
      <c r="F59" s="194">
        <f>MATCH(Table5[[#This Row],[NAMA]],[1]!db[NB PAJAK],0)</f>
        <v>1493</v>
      </c>
      <c r="G59" t="str">
        <f>INDEX(Table1[Item Description],Table5[[#This Row],[//NOTA]])</f>
        <v>JANGKA (MATH SET) JOYKO MS-25</v>
      </c>
      <c r="H59">
        <f>SUMIF(Table1[H_A1],Sheet5!A59,Table1[Qty])</f>
        <v>48</v>
      </c>
      <c r="I59" t="str">
        <f>INDEX(Table1[Unit],Table5[[#This Row],[//NOTA]])</f>
        <v>LSN</v>
      </c>
      <c r="J59" s="195">
        <f>SUMIF(Table1[H_A1],Sheet5!A59,Table1[C])</f>
        <v>2</v>
      </c>
      <c r="K59" s="195">
        <f>INDEX(Table1[Unit Price],Table5[[#This Row],[//NOTA]])</f>
        <v>88200</v>
      </c>
      <c r="L59" s="86">
        <f>IF(Table5[[#This Row],[a2]]="","",Table5[[#This Row],[QTY]]*12)</f>
        <v>576</v>
      </c>
      <c r="M59" s="86" t="str">
        <f>IF(Table5[[#This Row],[UNIT]]="grs","LSN",IF(Table5[[#This Row],[UNIT]]="LSN","PCS",""))</f>
        <v>PCS</v>
      </c>
      <c r="N59" s="86" t="str">
        <f>IF(Table5[[#This Row],[a2]]="LSN",Table5[[#This Row],[a1]]*12,"")</f>
        <v/>
      </c>
      <c r="O59" s="86" t="str">
        <f>IF(Table5[[#This Row],[b1]]="","","PCS")</f>
        <v/>
      </c>
      <c r="P59" s="86"/>
    </row>
    <row r="60" spans="1:16" x14ac:dyDescent="0.25">
      <c r="A60" s="88" t="s">
        <v>355</v>
      </c>
      <c r="B60" s="88"/>
      <c r="C60" s="88"/>
      <c r="E60" s="194">
        <f>MATCH(A60,Table1[H_A1],0)</f>
        <v>104</v>
      </c>
      <c r="F60" s="194">
        <f>MATCH(Table5[[#This Row],[NAMA]],[1]!db[NB PAJAK],0)</f>
        <v>1495</v>
      </c>
      <c r="G60" t="str">
        <f>INDEX(Table1[Item Description],Table5[[#This Row],[//NOTA]])</f>
        <v>JANGKA (MATH SET) JOYKO MS-402</v>
      </c>
      <c r="H60">
        <f>SUMIF(Table1[H_A1],Sheet5!A60,Table1[Qty])</f>
        <v>288</v>
      </c>
      <c r="I60" t="str">
        <f>INDEX(Table1[Unit],Table5[[#This Row],[//NOTA]])</f>
        <v>PCS</v>
      </c>
      <c r="J60" s="195">
        <f>SUMIF(Table1[H_A1],Sheet5!A60,Table1[C])</f>
        <v>1</v>
      </c>
      <c r="K60" s="195">
        <f>INDEX(Table1[Unit Price],Table5[[#This Row],[//NOTA]])</f>
        <v>12000</v>
      </c>
      <c r="L60" s="86" t="str">
        <f>IF(Table5[[#This Row],[a2]]="","",Table5[[#This Row],[QTY]]*12)</f>
        <v/>
      </c>
      <c r="M60" s="86" t="str">
        <f>IF(Table5[[#This Row],[UNIT]]="grs","LSN",IF(Table5[[#This Row],[UNIT]]="LSN","PCS",""))</f>
        <v/>
      </c>
      <c r="N60" s="86" t="str">
        <f>IF(Table5[[#This Row],[a2]]="LSN",Table5[[#This Row],[a1]]*12,"")</f>
        <v/>
      </c>
      <c r="O60" s="86" t="str">
        <f>IF(Table5[[#This Row],[b1]]="","","PCS")</f>
        <v/>
      </c>
      <c r="P60" s="86"/>
    </row>
    <row r="61" spans="1:16" x14ac:dyDescent="0.25">
      <c r="A61" s="88" t="s">
        <v>169</v>
      </c>
      <c r="B61" s="88"/>
      <c r="C61" s="88"/>
      <c r="E61" s="194">
        <f>MATCH(A61,Table1[H_A1],0)</f>
        <v>19</v>
      </c>
      <c r="F61" s="194">
        <f>MATCH(Table5[[#This Row],[NAMA]],[1]!db[NB PAJAK],0)</f>
        <v>1497</v>
      </c>
      <c r="G61" t="str">
        <f>INDEX(Table1[Item Description],Table5[[#This Row],[//NOTA]])</f>
        <v>JANGKA (MATH SET) JOYKO MS-55</v>
      </c>
      <c r="H61">
        <f>SUMIF(Table1[H_A1],Sheet5!A61,Table1[Qty])</f>
        <v>77</v>
      </c>
      <c r="I61" t="str">
        <f>INDEX(Table1[Unit],Table5[[#This Row],[//NOTA]])</f>
        <v>LSN</v>
      </c>
      <c r="J61" s="195">
        <f>SUMIF(Table1[H_A1],Sheet5!A61,Table1[C])</f>
        <v>3</v>
      </c>
      <c r="K61" s="195">
        <f>INDEX(Table1[Unit Price],Table5[[#This Row],[//NOTA]])</f>
        <v>88200</v>
      </c>
      <c r="L61" s="86">
        <f>IF(Table5[[#This Row],[a2]]="","",Table5[[#This Row],[QTY]]*12)</f>
        <v>924</v>
      </c>
      <c r="M61" s="86" t="str">
        <f>IF(Table5[[#This Row],[UNIT]]="grs","LSN",IF(Table5[[#This Row],[UNIT]]="LSN","PCS",""))</f>
        <v>PCS</v>
      </c>
      <c r="N61" s="86" t="str">
        <f>IF(Table5[[#This Row],[a2]]="LSN",Table5[[#This Row],[a1]]*12,"")</f>
        <v/>
      </c>
      <c r="O61" s="86" t="str">
        <f>IF(Table5[[#This Row],[b1]]="","","PCS")</f>
        <v/>
      </c>
      <c r="P61" s="86"/>
    </row>
    <row r="62" spans="1:16" x14ac:dyDescent="0.25">
      <c r="A62" s="88" t="s">
        <v>391</v>
      </c>
      <c r="B62" s="88"/>
      <c r="C62" s="88"/>
      <c r="E62" s="194">
        <f>MATCH(A62,Table1[H_A1],0)</f>
        <v>106</v>
      </c>
      <c r="F62" s="194">
        <f>MATCH(Table5[[#This Row],[NAMA]],[1]!db[NB PAJAK],0)</f>
        <v>1498</v>
      </c>
      <c r="G62" t="str">
        <f>INDEX(Table1[Item Description],Table5[[#This Row],[//NOTA]])</f>
        <v>JANGKA (MATH SET) JOYKO MS-75</v>
      </c>
      <c r="H62">
        <f>SUMIF(Table1[H_A1],Sheet5!A62,Table1[Qty])</f>
        <v>24</v>
      </c>
      <c r="I62" t="str">
        <f>INDEX(Table1[Unit],Table5[[#This Row],[//NOTA]])</f>
        <v>LSN</v>
      </c>
      <c r="J62" s="195">
        <f>SUMIF(Table1[H_A1],Sheet5!A62,Table1[C])</f>
        <v>1</v>
      </c>
      <c r="K62" s="195">
        <f>INDEX(Table1[Unit Price],Table5[[#This Row],[//NOTA]])</f>
        <v>89400</v>
      </c>
      <c r="L62" s="86">
        <f>IF(Table5[[#This Row],[a2]]="","",Table5[[#This Row],[QTY]]*12)</f>
        <v>288</v>
      </c>
      <c r="M62" s="86" t="str">
        <f>IF(Table5[[#This Row],[UNIT]]="grs","LSN",IF(Table5[[#This Row],[UNIT]]="LSN","PCS",""))</f>
        <v>PCS</v>
      </c>
      <c r="N62" s="86" t="str">
        <f>IF(Table5[[#This Row],[a2]]="LSN",Table5[[#This Row],[a1]]*12,"")</f>
        <v/>
      </c>
      <c r="O62" s="86" t="str">
        <f>IF(Table5[[#This Row],[b1]]="","","PCS")</f>
        <v/>
      </c>
      <c r="P62" s="86"/>
    </row>
    <row r="63" spans="1:16" x14ac:dyDescent="0.25">
      <c r="A63" s="88" t="s">
        <v>364</v>
      </c>
      <c r="B63" s="88"/>
      <c r="C63" s="88"/>
      <c r="E63" s="194">
        <f>MATCH(A63,Table1[H_A1],0)</f>
        <v>91</v>
      </c>
      <c r="F63" s="194">
        <f>MATCH(Table5[[#This Row],[NAMA]],[1]!db[NB PAJAK],0)</f>
        <v>307</v>
      </c>
      <c r="G63" t="str">
        <f>INDEX(Table1[Item Description],Table5[[#This Row],[//NOTA]])</f>
        <v>KUAS SET JOYKO BR-1</v>
      </c>
      <c r="H63">
        <f>SUMIF(Table1[H_A1],Sheet5!A63,Table1[Qty])</f>
        <v>480</v>
      </c>
      <c r="I63" t="str">
        <f>INDEX(Table1[Unit],Table5[[#This Row],[//NOTA]])</f>
        <v>SET</v>
      </c>
      <c r="J63" s="195">
        <f>SUMIF(Table1[H_A1],Sheet5!A63,Table1[C])</f>
        <v>2</v>
      </c>
      <c r="K63" s="195">
        <f>INDEX(Table1[Unit Price],Table5[[#This Row],[//NOTA]])</f>
        <v>8800</v>
      </c>
      <c r="L63" s="86" t="str">
        <f>IF(Table5[[#This Row],[a2]]="","",Table5[[#This Row],[QTY]]*12)</f>
        <v/>
      </c>
      <c r="M63" s="86" t="str">
        <f>IF(Table5[[#This Row],[UNIT]]="grs","LSN",IF(Table5[[#This Row],[UNIT]]="LSN","PCS",""))</f>
        <v/>
      </c>
      <c r="N63" s="86" t="str">
        <f>IF(Table5[[#This Row],[a2]]="LSN",Table5[[#This Row],[a1]]*12,"")</f>
        <v/>
      </c>
      <c r="O63" s="86" t="str">
        <f>IF(Table5[[#This Row],[b1]]="","","PCS")</f>
        <v/>
      </c>
      <c r="P63" s="86"/>
    </row>
    <row r="64" spans="1:16" x14ac:dyDescent="0.25">
      <c r="A64" s="88" t="s">
        <v>170</v>
      </c>
      <c r="B64" s="88"/>
      <c r="C64" s="88"/>
      <c r="E64" s="194">
        <f>MATCH(A64,Table1[H_A1],0)</f>
        <v>13</v>
      </c>
      <c r="F64" s="194">
        <f>MATCH(Table5[[#This Row],[NAMA]],[1]!db[NB PAJAK],0)</f>
        <v>1357</v>
      </c>
      <c r="G64" t="str">
        <f>INDEX(Table1[Item Description],Table5[[#This Row],[//NOTA]])</f>
        <v>LABEL HARGA JOYKO LB-2RL (1 LINE PUTIH)</v>
      </c>
      <c r="H64">
        <f>SUMIF(Table1[H_A1],Sheet5!A64,Table1[Qty])</f>
        <v>2000</v>
      </c>
      <c r="I64" t="str">
        <f>INDEX(Table1[Unit],Table5[[#This Row],[//NOTA]])</f>
        <v>PCS</v>
      </c>
      <c r="J64" s="195">
        <f>SUMIF(Table1[H_A1],Sheet5!A64,Table1[C])</f>
        <v>2</v>
      </c>
      <c r="K64" s="195">
        <f>INDEX(Table1[Unit Price],Table5[[#This Row],[//NOTA]])</f>
        <v>2050</v>
      </c>
      <c r="L64" s="86" t="str">
        <f>IF(Table5[[#This Row],[a2]]="","",Table5[[#This Row],[QTY]]*12)</f>
        <v/>
      </c>
      <c r="M64" s="86" t="str">
        <f>IF(Table5[[#This Row],[UNIT]]="grs","LSN",IF(Table5[[#This Row],[UNIT]]="LSN","PCS",""))</f>
        <v/>
      </c>
      <c r="N64" s="86" t="str">
        <f>IF(Table5[[#This Row],[a2]]="LSN",Table5[[#This Row],[a1]]*12,"")</f>
        <v/>
      </c>
      <c r="O64" s="86" t="str">
        <f>IF(Table5[[#This Row],[b1]]="","","PCS")</f>
        <v/>
      </c>
      <c r="P64" s="86"/>
    </row>
    <row r="65" spans="1:16" x14ac:dyDescent="0.25">
      <c r="A65" s="88" t="s">
        <v>276</v>
      </c>
      <c r="B65" s="88"/>
      <c r="C65" s="88"/>
      <c r="E65" s="194">
        <f>MATCH(A65,Table1[H_A1],0)</f>
        <v>64</v>
      </c>
      <c r="F65" s="194">
        <f>MATCH(Table5[[#This Row],[NAMA]],[1]!db[NB PAJAK],0)</f>
        <v>1357</v>
      </c>
      <c r="G65" t="str">
        <f>INDEX(Table1[Item Description],Table5[[#This Row],[//NOTA]])</f>
        <v>LABEL HARGA JOYKO LB-2RL (1 LINE PUTIH)</v>
      </c>
      <c r="H65">
        <f>SUMIF(Table1[H_A1],Sheet5!A65,Table1[Qty])</f>
        <v>100</v>
      </c>
      <c r="I65" t="str">
        <f>INDEX(Table1[Unit],Table5[[#This Row],[//NOTA]])</f>
        <v>SLOP</v>
      </c>
      <c r="J65" s="195">
        <f>SUMIF(Table1[H_A1],Sheet5!A65,Table1[C])</f>
        <v>1</v>
      </c>
      <c r="K65" s="195">
        <f>INDEX(Table1[Unit Price],Table5[[#This Row],[//NOTA]])</f>
        <v>20500</v>
      </c>
      <c r="L65" s="86" t="str">
        <f>IF(Table5[[#This Row],[a2]]="","",Table5[[#This Row],[QTY]]*12)</f>
        <v/>
      </c>
      <c r="M65" s="86" t="str">
        <f>IF(Table5[[#This Row],[UNIT]]="grs","LSN",IF(Table5[[#This Row],[UNIT]]="LSN","PCS",""))</f>
        <v/>
      </c>
      <c r="N65" s="86" t="str">
        <f>IF(Table5[[#This Row],[a2]]="LSN",Table5[[#This Row],[a1]]*12,"")</f>
        <v/>
      </c>
      <c r="O65" s="86" t="str">
        <f>IF(Table5[[#This Row],[b1]]="","","PCS")</f>
        <v/>
      </c>
      <c r="P65" s="86"/>
    </row>
    <row r="66" spans="1:16" x14ac:dyDescent="0.25">
      <c r="A66" s="88" t="s">
        <v>254</v>
      </c>
      <c r="B66" s="88"/>
      <c r="C66" s="88"/>
      <c r="E66" s="194">
        <f>MATCH(A66,Table1[H_A1],0)</f>
        <v>56</v>
      </c>
      <c r="F66" s="194">
        <f>MATCH(Table5[[#This Row],[NAMA]],[1]!db[NB PAJAK],0)</f>
        <v>1220</v>
      </c>
      <c r="G66" t="str">
        <f>INDEX(Table1[Item Description],Table5[[#This Row],[//NOTA]])</f>
        <v>LEM CAIR 35 ML KENKO LG-35</v>
      </c>
      <c r="H66">
        <f>SUMIF(Table1[H_A1],Sheet5!A66,Table1[Qty])</f>
        <v>40</v>
      </c>
      <c r="I66" t="str">
        <f>INDEX(Table1[Unit],Table5[[#This Row],[//NOTA]])</f>
        <v>LSN</v>
      </c>
      <c r="J66" s="195">
        <f>SUMIF(Table1[H_A1],Sheet5!A66,Table1[C])</f>
        <v>1</v>
      </c>
      <c r="K66" s="195">
        <f>INDEX(Table1[Unit Price],Table5[[#This Row],[//NOTA]])</f>
        <v>19800</v>
      </c>
      <c r="L66" s="86">
        <f>IF(Table5[[#This Row],[a2]]="","",Table5[[#This Row],[QTY]]*12)</f>
        <v>480</v>
      </c>
      <c r="M66" s="86" t="str">
        <f>IF(Table5[[#This Row],[UNIT]]="grs","LSN",IF(Table5[[#This Row],[UNIT]]="LSN","PCS",""))</f>
        <v>PCS</v>
      </c>
      <c r="N66" s="86" t="str">
        <f>IF(Table5[[#This Row],[a2]]="LSN",Table5[[#This Row],[a1]]*12,"")</f>
        <v/>
      </c>
      <c r="O66" s="86" t="str">
        <f>IF(Table5[[#This Row],[b1]]="","","PCS")</f>
        <v/>
      </c>
      <c r="P66" s="86"/>
    </row>
    <row r="67" spans="1:16" x14ac:dyDescent="0.25">
      <c r="A67" s="88" t="s">
        <v>392</v>
      </c>
      <c r="B67" s="88"/>
      <c r="C67" s="88"/>
      <c r="E67" s="194">
        <f>MATCH(A67,Table1[H_A1],0)</f>
        <v>107</v>
      </c>
      <c r="F67" s="194">
        <f>MATCH(Table5[[#This Row],[NAMA]],[1]!db[NB PAJAK],0)</f>
        <v>933</v>
      </c>
      <c r="G67" t="str">
        <f>INDEX(Table1[Item Description],Table5[[#This Row],[//NOTA]])</f>
        <v>LEM STICK JOYKO 15 GR GS-104 TG (ANIMAL KINGDOM) isi 24 pc</v>
      </c>
      <c r="H67">
        <f>SUMIF(Table1[H_A1],Sheet5!A67,Table1[Qty])</f>
        <v>4320</v>
      </c>
      <c r="I67" t="str">
        <f>INDEX(Table1[Unit],Table5[[#This Row],[//NOTA]])</f>
        <v>PCS</v>
      </c>
      <c r="J67" s="195">
        <f>SUMIF(Table1[H_A1],Sheet5!A67,Table1[C])</f>
        <v>5</v>
      </c>
      <c r="K67" s="195">
        <f>INDEX(Table1[Unit Price],Table5[[#This Row],[//NOTA]])</f>
        <v>2450</v>
      </c>
      <c r="L67" s="86" t="str">
        <f>IF(Table5[[#This Row],[a2]]="","",Table5[[#This Row],[QTY]]*12)</f>
        <v/>
      </c>
      <c r="M67" s="86" t="str">
        <f>IF(Table5[[#This Row],[UNIT]]="grs","LSN",IF(Table5[[#This Row],[UNIT]]="LSN","PCS",""))</f>
        <v/>
      </c>
      <c r="N67" s="86" t="str">
        <f>IF(Table5[[#This Row],[a2]]="LSN",Table5[[#This Row],[a1]]*12,"")</f>
        <v/>
      </c>
      <c r="O67" s="86" t="str">
        <f>IF(Table5[[#This Row],[b1]]="","","PCS")</f>
        <v/>
      </c>
      <c r="P67" s="86"/>
    </row>
    <row r="68" spans="1:16" x14ac:dyDescent="0.25">
      <c r="A68" s="88" t="s">
        <v>393</v>
      </c>
      <c r="B68" s="88"/>
      <c r="C68" s="88"/>
      <c r="E68" s="194">
        <f>MATCH(A68,Table1[H_A1],0)</f>
        <v>108</v>
      </c>
      <c r="F68" s="194">
        <f>MATCH(Table5[[#This Row],[NAMA]],[1]!db[NB PAJAK],0)</f>
        <v>929</v>
      </c>
      <c r="G68" t="str">
        <f>INDEX(Table1[Item Description],Table5[[#This Row],[//NOTA]])</f>
        <v>LEM STICK JOYKO 8 GR GS-09 isi 12 pc</v>
      </c>
      <c r="H68">
        <f>SUMIF(Table1[H_A1],Sheet5!A68,Table1[Qty])</f>
        <v>768</v>
      </c>
      <c r="I68" t="str">
        <f>INDEX(Table1[Unit],Table5[[#This Row],[//NOTA]])</f>
        <v>PCS</v>
      </c>
      <c r="J68" s="195">
        <f>SUMIF(Table1[H_A1],Sheet5!A68,Table1[C])</f>
        <v>1</v>
      </c>
      <c r="K68" s="195">
        <f>INDEX(Table1[Unit Price],Table5[[#This Row],[//NOTA]])</f>
        <v>2100</v>
      </c>
      <c r="L68" s="86" t="str">
        <f>IF(Table5[[#This Row],[a2]]="","",Table5[[#This Row],[QTY]]*12)</f>
        <v/>
      </c>
      <c r="M68" s="86" t="str">
        <f>IF(Table5[[#This Row],[UNIT]]="grs","LSN",IF(Table5[[#This Row],[UNIT]]="LSN","PCS",""))</f>
        <v/>
      </c>
      <c r="N68" s="86" t="str">
        <f>IF(Table5[[#This Row],[a2]]="LSN",Table5[[#This Row],[a1]]*12,"")</f>
        <v/>
      </c>
      <c r="O68" s="86" t="str">
        <f>IF(Table5[[#This Row],[b1]]="","","PCS")</f>
        <v/>
      </c>
      <c r="P68" s="86"/>
    </row>
    <row r="69" spans="1:16" x14ac:dyDescent="0.25">
      <c r="A69" s="88" t="s">
        <v>295</v>
      </c>
      <c r="B69" s="88"/>
      <c r="C69" s="88"/>
      <c r="E69" s="194">
        <f>MATCH(A69,Table1[H_A1],0)</f>
        <v>73</v>
      </c>
      <c r="F69" s="194">
        <f>MATCH(Table5[[#This Row],[NAMA]],[1]!db[NB PAJAK],0)</f>
        <v>1196</v>
      </c>
      <c r="G69" t="str">
        <f>INDEX(Table1[Item Description],Table5[[#This Row],[//NOTA]])</f>
        <v>LEM STICK KENKO 15 GR (TANGGUNG) isi 20 pc</v>
      </c>
      <c r="H69">
        <f>SUMIF(Table1[H_A1],Sheet5!A69,Table1[Qty])</f>
        <v>39</v>
      </c>
      <c r="I69" t="str">
        <f>INDEX(Table1[Unit],Table5[[#This Row],[//NOTA]])</f>
        <v>BOX</v>
      </c>
      <c r="J69" s="195">
        <f>SUMIF(Table1[H_A1],Sheet5!A69,Table1[C])</f>
        <v>1</v>
      </c>
      <c r="K69" s="195">
        <f>INDEX(Table1[Unit Price],Table5[[#This Row],[//NOTA]])</f>
        <v>72000</v>
      </c>
      <c r="L69" s="86" t="str">
        <f>IF(Table5[[#This Row],[a2]]="","",Table5[[#This Row],[QTY]]*12)</f>
        <v/>
      </c>
      <c r="M69" s="86" t="str">
        <f>IF(Table5[[#This Row],[UNIT]]="grs","LSN",IF(Table5[[#This Row],[UNIT]]="LSN","PCS",""))</f>
        <v/>
      </c>
      <c r="N69" s="86" t="str">
        <f>IF(Table5[[#This Row],[a2]]="LSN",Table5[[#This Row],[a1]]*12,"")</f>
        <v/>
      </c>
      <c r="O69" s="86" t="str">
        <f>IF(Table5[[#This Row],[b1]]="","","PCS")</f>
        <v/>
      </c>
      <c r="P69" s="86"/>
    </row>
    <row r="70" spans="1:16" x14ac:dyDescent="0.25">
      <c r="A70" s="88" t="s">
        <v>296</v>
      </c>
      <c r="B70" s="88"/>
      <c r="C70" s="88"/>
      <c r="E70" s="194">
        <f>MATCH(A70,Table1[H_A1],0)</f>
        <v>72</v>
      </c>
      <c r="F70" s="194">
        <f>MATCH(Table5[[#This Row],[NAMA]],[1]!db[NB PAJAK],0)</f>
        <v>1198</v>
      </c>
      <c r="G70" t="str">
        <f>INDEX(Table1[Item Description],Table5[[#This Row],[//NOTA]])</f>
        <v>LEM STICK KENKO 8 GR (KECIL) isi 30 pc</v>
      </c>
      <c r="H70">
        <f>SUMIF(Table1[H_A1],Sheet5!A70,Table1[Qty])</f>
        <v>52</v>
      </c>
      <c r="I70" t="str">
        <f>INDEX(Table1[Unit],Table5[[#This Row],[//NOTA]])</f>
        <v>BOX</v>
      </c>
      <c r="J70" s="195">
        <f>SUMIF(Table1[H_A1],Sheet5!A70,Table1[C])</f>
        <v>1</v>
      </c>
      <c r="K70" s="195">
        <f>INDEX(Table1[Unit Price],Table5[[#This Row],[//NOTA]])</f>
        <v>66000</v>
      </c>
      <c r="L70" s="86" t="str">
        <f>IF(Table5[[#This Row],[a2]]="","",Table5[[#This Row],[QTY]]*12)</f>
        <v/>
      </c>
      <c r="M70" s="86" t="str">
        <f>IF(Table5[[#This Row],[UNIT]]="grs","LSN",IF(Table5[[#This Row],[UNIT]]="LSN","PCS",""))</f>
        <v/>
      </c>
      <c r="N70" s="86" t="str">
        <f>IF(Table5[[#This Row],[a2]]="LSN",Table5[[#This Row],[a1]]*12,"")</f>
        <v/>
      </c>
      <c r="O70" s="86" t="str">
        <f>IF(Table5[[#This Row],[b1]]="","","PCS")</f>
        <v/>
      </c>
      <c r="P70" s="86"/>
    </row>
    <row r="71" spans="1:16" x14ac:dyDescent="0.25">
      <c r="A71" s="88" t="s">
        <v>471</v>
      </c>
      <c r="B71" s="88"/>
      <c r="C71" s="88"/>
      <c r="E71" s="194">
        <f>MATCH(A71,Table1[H_A1],0)</f>
        <v>159</v>
      </c>
      <c r="F71" s="194">
        <f>MATCH(Table5[[#This Row],[NAMA]],[1]!db[NB PAJAK],0)</f>
        <v>2179</v>
      </c>
      <c r="G71" t="str">
        <f>INDEX(Table1[Item Description],Table5[[#This Row],[//NOTA]])</f>
        <v>LOOSE LEAF JOYART B5-2670 (50S)</v>
      </c>
      <c r="H71">
        <f>SUMIF(Table1[H_A1],Sheet5!A71,Table1[Qty])</f>
        <v>25</v>
      </c>
      <c r="I71" t="str">
        <f>INDEX(Table1[Unit],Table5[[#This Row],[//NOTA]])</f>
        <v>PAK</v>
      </c>
      <c r="J71" s="195">
        <f>SUMIF(Table1[H_A1],Sheet5!A71,Table1[C])</f>
        <v>0</v>
      </c>
      <c r="K71" s="195">
        <f>INDEX(Table1[Unit Price],Table5[[#This Row],[//NOTA]])</f>
        <v>5700</v>
      </c>
      <c r="L71" s="86" t="str">
        <f>IF(Table5[[#This Row],[a2]]="","",Table5[[#This Row],[QTY]]*12)</f>
        <v/>
      </c>
      <c r="M71" s="86" t="str">
        <f>IF(Table5[[#This Row],[UNIT]]="grs","LSN",IF(Table5[[#This Row],[UNIT]]="LSN","PCS",""))</f>
        <v/>
      </c>
      <c r="N71" s="86" t="str">
        <f>IF(Table5[[#This Row],[a2]]="LSN",Table5[[#This Row],[a1]]*12,"")</f>
        <v/>
      </c>
      <c r="O71" s="86" t="str">
        <f>IF(Table5[[#This Row],[b1]]="","","PCS")</f>
        <v/>
      </c>
      <c r="P71" s="86"/>
    </row>
    <row r="72" spans="1:16" x14ac:dyDescent="0.25">
      <c r="A72" s="88" t="s">
        <v>394</v>
      </c>
      <c r="B72" s="88"/>
      <c r="C72" s="88"/>
      <c r="E72" s="194">
        <f>MATCH(A72,Table1[H_A1],0)</f>
        <v>115</v>
      </c>
      <c r="F72" s="194">
        <f>MATCH(Table5[[#This Row],[NAMA]],[1]!db[NB PAJAK],0)</f>
        <v>1363</v>
      </c>
      <c r="G72" t="str">
        <f>INDEX(Table1[Item Description],Table5[[#This Row],[//NOTA]])</f>
        <v>MESIN LABEL HARGA JOYKO MX-5500M (8 DIGITS, 1 LINE)</v>
      </c>
      <c r="H72">
        <f>SUMIF(Table1[H_A1],Sheet5!A72,Table1[Qty])</f>
        <v>40</v>
      </c>
      <c r="I72" t="str">
        <f>INDEX(Table1[Unit],Table5[[#This Row],[//NOTA]])</f>
        <v>PCS</v>
      </c>
      <c r="J72" s="195">
        <f>SUMIF(Table1[H_A1],Sheet5!A72,Table1[C])</f>
        <v>2</v>
      </c>
      <c r="K72" s="195">
        <f>INDEX(Table1[Unit Price],Table5[[#This Row],[//NOTA]])</f>
        <v>40500</v>
      </c>
      <c r="L72" s="86" t="str">
        <f>IF(Table5[[#This Row],[a2]]="","",Table5[[#This Row],[QTY]]*12)</f>
        <v/>
      </c>
      <c r="M72" s="86" t="str">
        <f>IF(Table5[[#This Row],[UNIT]]="grs","LSN",IF(Table5[[#This Row],[UNIT]]="LSN","PCS",""))</f>
        <v/>
      </c>
      <c r="N72" s="86" t="str">
        <f>IF(Table5[[#This Row],[a2]]="LSN",Table5[[#This Row],[a1]]*12,"")</f>
        <v/>
      </c>
      <c r="O72" s="86" t="str">
        <f>IF(Table5[[#This Row],[b1]]="","","PCS")</f>
        <v/>
      </c>
      <c r="P72" s="86"/>
    </row>
    <row r="73" spans="1:16" x14ac:dyDescent="0.25">
      <c r="A73" s="88" t="s">
        <v>171</v>
      </c>
      <c r="B73" s="88"/>
      <c r="C73" s="88"/>
      <c r="E73" s="194">
        <f>MATCH(A73,Table1[H_A1],0)</f>
        <v>17</v>
      </c>
      <c r="F73" s="194">
        <f>MATCH(Table5[[#This Row],[NAMA]],[1]!db[NB PAJAK],0)</f>
        <v>1264</v>
      </c>
      <c r="G73" t="str">
        <f>INDEX(Table1[Item Description],Table5[[#This Row],[//NOTA]])</f>
        <v>MESIN LABEL HARGA KENKO MX-5500 (8 DIGITS, 1 LINE)</v>
      </c>
      <c r="H73">
        <f>SUMIF(Table1[H_A1],Sheet5!A73,Table1[Qty])</f>
        <v>15</v>
      </c>
      <c r="I73" t="str">
        <f>INDEX(Table1[Unit],Table5[[#This Row],[//NOTA]])</f>
        <v>PCS</v>
      </c>
      <c r="J73" s="195">
        <f>SUMIF(Table1[H_A1],Sheet5!A73,Table1[C])</f>
        <v>0</v>
      </c>
      <c r="K73" s="195">
        <f>INDEX(Table1[Unit Price],Table5[[#This Row],[//NOTA]])</f>
        <v>45000</v>
      </c>
      <c r="L73" s="86" t="str">
        <f>IF(Table5[[#This Row],[a2]]="","",Table5[[#This Row],[QTY]]*12)</f>
        <v/>
      </c>
      <c r="M73" s="86" t="str">
        <f>IF(Table5[[#This Row],[UNIT]]="grs","LSN",IF(Table5[[#This Row],[UNIT]]="LSN","PCS",""))</f>
        <v/>
      </c>
      <c r="N73" s="86" t="str">
        <f>IF(Table5[[#This Row],[a2]]="LSN",Table5[[#This Row],[a1]]*12,"")</f>
        <v/>
      </c>
      <c r="O73" s="86" t="str">
        <f>IF(Table5[[#This Row],[b1]]="","","PCS")</f>
        <v/>
      </c>
      <c r="P73" s="86"/>
    </row>
    <row r="74" spans="1:16" x14ac:dyDescent="0.25">
      <c r="A74" s="88" t="s">
        <v>198</v>
      </c>
      <c r="B74" s="88"/>
      <c r="C74" s="88"/>
      <c r="E74" s="194">
        <f>MATCH(A74,Table1[H_A1],0)</f>
        <v>28</v>
      </c>
      <c r="F74" s="194">
        <f>MATCH(Table5[[#This Row],[NAMA]],[1]!db[NB PAJAK],0)</f>
        <v>1638</v>
      </c>
      <c r="G74" t="str">
        <f>INDEX(Table1[Item Description],Table5[[#This Row],[//NOTA]])</f>
        <v>PAPER CLIP WARNA JOYKO C-3100</v>
      </c>
      <c r="H74">
        <f>SUMIF(Table1[H_A1],Sheet5!A74,Table1[Qty])</f>
        <v>24</v>
      </c>
      <c r="I74" t="str">
        <f>INDEX(Table1[Unit],Table5[[#This Row],[//NOTA]])</f>
        <v>LSN</v>
      </c>
      <c r="J74" s="195">
        <f>SUMIF(Table1[H_A1],Sheet5!A74,Table1[C])</f>
        <v>1</v>
      </c>
      <c r="K74" s="195">
        <f>INDEX(Table1[Unit Price],Table5[[#This Row],[//NOTA]])</f>
        <v>37200</v>
      </c>
      <c r="L74" s="86">
        <f>IF(Table5[[#This Row],[a2]]="","",Table5[[#This Row],[QTY]]*12)</f>
        <v>288</v>
      </c>
      <c r="M74" s="86" t="str">
        <f>IF(Table5[[#This Row],[UNIT]]="grs","LSN",IF(Table5[[#This Row],[UNIT]]="LSN","PCS",""))</f>
        <v>PCS</v>
      </c>
      <c r="N74" s="86" t="str">
        <f>IF(Table5[[#This Row],[a2]]="LSN",Table5[[#This Row],[a1]]*12,"")</f>
        <v/>
      </c>
      <c r="O74" s="86" t="str">
        <f>IF(Table5[[#This Row],[b1]]="","","PCS")</f>
        <v/>
      </c>
      <c r="P74" s="86"/>
    </row>
    <row r="75" spans="1:16" x14ac:dyDescent="0.25">
      <c r="A75" s="88" t="s">
        <v>472</v>
      </c>
      <c r="B75" s="88"/>
      <c r="C75" s="88"/>
      <c r="E75" s="194">
        <f>MATCH(A75,Table1[H_A1],0)</f>
        <v>162</v>
      </c>
      <c r="F75" s="194">
        <f>MATCH(Table5[[#This Row],[NAMA]],[1]!db[NB PAJAK],0)</f>
        <v>1096</v>
      </c>
      <c r="G75" t="str">
        <f>INDEX(Table1[Item Description],Table5[[#This Row],[//NOTA]])</f>
        <v>PAPER CLIP WARNA KENKO 3100</v>
      </c>
      <c r="H75">
        <f>SUMIF(Table1[H_A1],Sheet5!A75,Table1[Qty])</f>
        <v>1</v>
      </c>
      <c r="I75" t="str">
        <f>INDEX(Table1[Unit],Table5[[#This Row],[//NOTA]])</f>
        <v>LSN</v>
      </c>
      <c r="J75" s="195">
        <f>SUMIF(Table1[H_A1],Sheet5!A75,Table1[C])</f>
        <v>0</v>
      </c>
      <c r="K75" s="195">
        <f>INDEX(Table1[Unit Price],Table5[[#This Row],[//NOTA]])</f>
        <v>41400</v>
      </c>
      <c r="L75" s="86">
        <f>IF(Table5[[#This Row],[a2]]="","",Table5[[#This Row],[QTY]]*12)</f>
        <v>12</v>
      </c>
      <c r="M75" s="86" t="str">
        <f>IF(Table5[[#This Row],[UNIT]]="grs","LSN",IF(Table5[[#This Row],[UNIT]]="LSN","PCS",""))</f>
        <v>PCS</v>
      </c>
      <c r="N75" s="86" t="str">
        <f>IF(Table5[[#This Row],[a2]]="LSN",Table5[[#This Row],[a1]]*12,"")</f>
        <v/>
      </c>
      <c r="O75" s="86" t="str">
        <f>IF(Table5[[#This Row],[b1]]="","","PCS")</f>
        <v/>
      </c>
      <c r="P75" s="86"/>
    </row>
    <row r="76" spans="1:16" x14ac:dyDescent="0.25">
      <c r="A76" s="88" t="s">
        <v>320</v>
      </c>
      <c r="B76" s="88"/>
      <c r="C76" s="88"/>
      <c r="E76" s="194">
        <f>MATCH(A76,Table1[H_A1],0)</f>
        <v>89</v>
      </c>
      <c r="F76" s="194">
        <f>MATCH(Table5[[#This Row],[NAMA]],[1]!db[NB PAJAK],0)</f>
        <v>1218</v>
      </c>
      <c r="G76" t="str">
        <f>INDEX(Table1[Item Description],Table5[[#This Row],[//NOTA]])</f>
        <v>PAPER JUMBO CLIP KENKO NO. 5</v>
      </c>
      <c r="H76">
        <f>SUMIF(Table1[H_A1],Sheet5!A76,Table1[Qty])</f>
        <v>20</v>
      </c>
      <c r="I76" t="str">
        <f>INDEX(Table1[Unit],Table5[[#This Row],[//NOTA]])</f>
        <v>PAK</v>
      </c>
      <c r="J76" s="195">
        <f>SUMIF(Table1[H_A1],Sheet5!A76,Table1[C])</f>
        <v>1</v>
      </c>
      <c r="K76" s="195">
        <f>INDEX(Table1[Unit Price],Table5[[#This Row],[//NOTA]])</f>
        <v>43000</v>
      </c>
      <c r="L76" s="86" t="str">
        <f>IF(Table5[[#This Row],[a2]]="","",Table5[[#This Row],[QTY]]*12)</f>
        <v/>
      </c>
      <c r="M76" s="86" t="str">
        <f>IF(Table5[[#This Row],[UNIT]]="grs","LSN",IF(Table5[[#This Row],[UNIT]]="LSN","PCS",""))</f>
        <v/>
      </c>
      <c r="N76" s="86" t="str">
        <f>IF(Table5[[#This Row],[a2]]="LSN",Table5[[#This Row],[a1]]*12,"")</f>
        <v/>
      </c>
      <c r="O76" s="86" t="str">
        <f>IF(Table5[[#This Row],[b1]]="","","PCS")</f>
        <v/>
      </c>
      <c r="P76" s="86"/>
    </row>
    <row r="77" spans="1:16" x14ac:dyDescent="0.25">
      <c r="A77" s="88" t="s">
        <v>297</v>
      </c>
      <c r="B77" s="88"/>
      <c r="C77" s="88"/>
      <c r="E77" s="194">
        <f>MATCH(A77,Table1[H_A1],0)</f>
        <v>71</v>
      </c>
      <c r="F77" s="194">
        <f>MATCH(Table5[[#This Row],[NAMA]],[1]!db[NB PAJAK],0)</f>
        <v>1218</v>
      </c>
      <c r="G77" t="str">
        <f>INDEX(Table1[Item Description],Table5[[#This Row],[//NOTA]])</f>
        <v>PAPER JUMBO CLIP KENKO NO. 5</v>
      </c>
      <c r="H77">
        <f>SUMIF(Table1[H_A1],Sheet5!A77,Table1[Qty])</f>
        <v>400</v>
      </c>
      <c r="I77" t="str">
        <f>INDEX(Table1[Unit],Table5[[#This Row],[//NOTA]])</f>
        <v>PCS</v>
      </c>
      <c r="J77" s="195">
        <f>SUMIF(Table1[H_A1],Sheet5!A77,Table1[C])</f>
        <v>2</v>
      </c>
      <c r="K77" s="195">
        <f>INDEX(Table1[Unit Price],Table5[[#This Row],[//NOTA]])</f>
        <v>4300</v>
      </c>
      <c r="L77" s="86" t="str">
        <f>IF(Table5[[#This Row],[a2]]="","",Table5[[#This Row],[QTY]]*12)</f>
        <v/>
      </c>
      <c r="M77" s="86" t="str">
        <f>IF(Table5[[#This Row],[UNIT]]="grs","LSN",IF(Table5[[#This Row],[UNIT]]="LSN","PCS",""))</f>
        <v/>
      </c>
      <c r="N77" s="86" t="str">
        <f>IF(Table5[[#This Row],[a2]]="LSN",Table5[[#This Row],[a1]]*12,"")</f>
        <v/>
      </c>
      <c r="O77" s="86" t="str">
        <f>IF(Table5[[#This Row],[b1]]="","","PCS")</f>
        <v/>
      </c>
      <c r="P77" s="86"/>
    </row>
    <row r="78" spans="1:16" x14ac:dyDescent="0.25">
      <c r="A78" s="88" t="s">
        <v>486</v>
      </c>
      <c r="B78" s="88"/>
      <c r="C78" s="88"/>
      <c r="E78" s="194">
        <f>MATCH(A78,Table1[H_A1],0)</f>
        <v>175</v>
      </c>
      <c r="F78" s="194">
        <f>MATCH(Table5[[#This Row],[NAMA]],[1]!db[NB PAJAK],0)</f>
        <v>1321</v>
      </c>
      <c r="G78" t="str">
        <f>INDEX(Table1[Item Description],Table5[[#This Row],[//NOTA]])</f>
        <v>PAPER TRIGONAL CLIP KENKO NO. 1</v>
      </c>
      <c r="H78">
        <f>SUMIF(Table1[H_A1],Sheet5!A78,Table1[Qty])</f>
        <v>500</v>
      </c>
      <c r="I78" t="str">
        <f>INDEX(Table1[Unit],Table5[[#This Row],[//NOTA]])</f>
        <v>PAK</v>
      </c>
      <c r="J78" s="195">
        <f>SUMIF(Table1[H_A1],Sheet5!A78,Table1[C])</f>
        <v>1</v>
      </c>
      <c r="K78" s="195">
        <f>INDEX(Table1[Unit Price],Table5[[#This Row],[//NOTA]])</f>
        <v>1700</v>
      </c>
      <c r="L78" s="86" t="str">
        <f>IF(Table5[[#This Row],[a2]]="","",Table5[[#This Row],[QTY]]*12)</f>
        <v/>
      </c>
      <c r="M78" s="86" t="str">
        <f>IF(Table5[[#This Row],[UNIT]]="grs","LSN",IF(Table5[[#This Row],[UNIT]]="LSN","PCS",""))</f>
        <v/>
      </c>
      <c r="N78" s="86" t="str">
        <f>IF(Table5[[#This Row],[a2]]="LSN",Table5[[#This Row],[a1]]*12,"")</f>
        <v/>
      </c>
      <c r="O78" s="86" t="str">
        <f>IF(Table5[[#This Row],[b1]]="","","PCS")</f>
        <v/>
      </c>
      <c r="P78" s="86"/>
    </row>
    <row r="79" spans="1:16" x14ac:dyDescent="0.25">
      <c r="A79" s="88" t="s">
        <v>298</v>
      </c>
      <c r="B79" s="88"/>
      <c r="C79" s="88"/>
      <c r="E79" s="194">
        <f>MATCH(A79,Table1[H_A1],0)</f>
        <v>69</v>
      </c>
      <c r="F79" s="194">
        <f>MATCH(Table5[[#This Row],[NAMA]],[1]!db[NB PAJAK],0)</f>
        <v>1321</v>
      </c>
      <c r="G79" t="str">
        <f>INDEX(Table1[Item Description],Table5[[#This Row],[//NOTA]])</f>
        <v>PAPER TRIGONAL CLIP KENKO NO. 1</v>
      </c>
      <c r="H79">
        <f>SUMIF(Table1[H_A1],Sheet5!A79,Table1[Qty])</f>
        <v>1000</v>
      </c>
      <c r="I79" t="str">
        <f>INDEX(Table1[Unit],Table5[[#This Row],[//NOTA]])</f>
        <v>PCS</v>
      </c>
      <c r="J79" s="195">
        <f>SUMIF(Table1[H_A1],Sheet5!A79,Table1[C])</f>
        <v>2</v>
      </c>
      <c r="K79" s="195">
        <f>INDEX(Table1[Unit Price],Table5[[#This Row],[//NOTA]])</f>
        <v>1700</v>
      </c>
      <c r="L79" s="86" t="str">
        <f>IF(Table5[[#This Row],[a2]]="","",Table5[[#This Row],[QTY]]*12)</f>
        <v/>
      </c>
      <c r="M79" s="86" t="str">
        <f>IF(Table5[[#This Row],[UNIT]]="grs","LSN",IF(Table5[[#This Row],[UNIT]]="LSN","PCS",""))</f>
        <v/>
      </c>
      <c r="N79" s="86" t="str">
        <f>IF(Table5[[#This Row],[a2]]="LSN",Table5[[#This Row],[a1]]*12,"")</f>
        <v/>
      </c>
      <c r="O79" s="86" t="str">
        <f>IF(Table5[[#This Row],[b1]]="","","PCS")</f>
        <v/>
      </c>
      <c r="P79" s="86"/>
    </row>
    <row r="80" spans="1:16" x14ac:dyDescent="0.25">
      <c r="A80" s="88" t="s">
        <v>299</v>
      </c>
      <c r="B80" s="88"/>
      <c r="C80" s="88"/>
      <c r="E80" s="194">
        <f>MATCH(A80,Table1[H_A1],0)</f>
        <v>70</v>
      </c>
      <c r="F80" s="194">
        <f>MATCH(Table5[[#This Row],[NAMA]],[1]!db[NB PAJAK],0)</f>
        <v>1320</v>
      </c>
      <c r="G80" t="str">
        <f>INDEX(Table1[Item Description],Table5[[#This Row],[//NOTA]])</f>
        <v>PAPER TRIGONAL CLIP KENKO NO. 3</v>
      </c>
      <c r="H80">
        <f>SUMIF(Table1[H_A1],Sheet5!A80,Table1[Qty])</f>
        <v>1000</v>
      </c>
      <c r="I80" t="str">
        <f>INDEX(Table1[Unit],Table5[[#This Row],[//NOTA]])</f>
        <v>PCS</v>
      </c>
      <c r="J80" s="195">
        <f>SUMIF(Table1[H_A1],Sheet5!A80,Table1[C])</f>
        <v>2</v>
      </c>
      <c r="K80" s="195">
        <f>INDEX(Table1[Unit Price],Table5[[#This Row],[//NOTA]])</f>
        <v>1600</v>
      </c>
      <c r="L80" s="86" t="str">
        <f>IF(Table5[[#This Row],[a2]]="","",Table5[[#This Row],[QTY]]*12)</f>
        <v/>
      </c>
      <c r="M80" s="86" t="str">
        <f>IF(Table5[[#This Row],[UNIT]]="grs","LSN",IF(Table5[[#This Row],[UNIT]]="LSN","PCS",""))</f>
        <v/>
      </c>
      <c r="N80" s="86" t="str">
        <f>IF(Table5[[#This Row],[a2]]="LSN",Table5[[#This Row],[a1]]*12,"")</f>
        <v/>
      </c>
      <c r="O80" s="86" t="str">
        <f>IF(Table5[[#This Row],[b1]]="","","PCS")</f>
        <v/>
      </c>
      <c r="P80" s="86"/>
    </row>
    <row r="81" spans="1:16" x14ac:dyDescent="0.25">
      <c r="A81" s="88" t="s">
        <v>356</v>
      </c>
      <c r="B81" s="88"/>
      <c r="C81" s="88"/>
      <c r="E81" s="194">
        <f>MATCH(A81,Table1[H_A1],0)</f>
        <v>96</v>
      </c>
      <c r="F81" s="194" t="e">
        <f>MATCH(Table5[[#This Row],[NAMA]],[1]!db[NB PAJAK],0)</f>
        <v>#N/A</v>
      </c>
      <c r="G81" t="str">
        <f>INDEX(Table1[Item Description],Table5[[#This Row],[//NOTA]])</f>
        <v>PENCIL CASE JOYKO PC-0719 FANCY MIX</v>
      </c>
      <c r="H81">
        <f>SUMIF(Table1[H_A1],Sheet5!A81,Table1[Qty])</f>
        <v>864</v>
      </c>
      <c r="I81" t="str">
        <f>INDEX(Table1[Unit],Table5[[#This Row],[//NOTA]])</f>
        <v>PCS</v>
      </c>
      <c r="J81" s="195">
        <f>SUMIF(Table1[H_A1],Sheet5!A81,Table1[C])</f>
        <v>3</v>
      </c>
      <c r="K81" s="195">
        <f>INDEX(Table1[Unit Price],Table5[[#This Row],[//NOTA]])</f>
        <v>4800</v>
      </c>
      <c r="L81" s="86" t="str">
        <f>IF(Table5[[#This Row],[a2]]="","",Table5[[#This Row],[QTY]]*12)</f>
        <v/>
      </c>
      <c r="M81" s="86" t="str">
        <f>IF(Table5[[#This Row],[UNIT]]="grs","LSN",IF(Table5[[#This Row],[UNIT]]="LSN","PCS",""))</f>
        <v/>
      </c>
      <c r="N81" s="86" t="str">
        <f>IF(Table5[[#This Row],[a2]]="LSN",Table5[[#This Row],[a1]]*12,"")</f>
        <v/>
      </c>
      <c r="O81" s="86" t="str">
        <f>IF(Table5[[#This Row],[b1]]="","","PCS")</f>
        <v/>
      </c>
      <c r="P81" s="86"/>
    </row>
    <row r="82" spans="1:16" x14ac:dyDescent="0.25">
      <c r="A82" s="88" t="s">
        <v>357</v>
      </c>
      <c r="B82" s="88"/>
      <c r="C82" s="88"/>
      <c r="E82" s="194">
        <f>MATCH(A82,Table1[H_A1],0)</f>
        <v>97</v>
      </c>
      <c r="F82" s="194" t="e">
        <f>MATCH(Table5[[#This Row],[NAMA]],[1]!db[NB PAJAK],0)</f>
        <v>#N/A</v>
      </c>
      <c r="G82" t="str">
        <f>INDEX(Table1[Item Description],Table5[[#This Row],[//NOTA]])</f>
        <v>PENCIL CASE JOYKO PC-0719 PASTEL POLOS MIX</v>
      </c>
      <c r="H82">
        <f>SUMIF(Table1[H_A1],Sheet5!A82,Table1[Qty])</f>
        <v>576</v>
      </c>
      <c r="I82" t="str">
        <f>INDEX(Table1[Unit],Table5[[#This Row],[//NOTA]])</f>
        <v>PCS</v>
      </c>
      <c r="J82" s="195">
        <f>SUMIF(Table1[H_A1],Sheet5!A82,Table1[C])</f>
        <v>2</v>
      </c>
      <c r="K82" s="195">
        <f>INDEX(Table1[Unit Price],Table5[[#This Row],[//NOTA]])</f>
        <v>4800</v>
      </c>
      <c r="L82" s="86" t="str">
        <f>IF(Table5[[#This Row],[a2]]="","",Table5[[#This Row],[QTY]]*12)</f>
        <v/>
      </c>
      <c r="M82" s="86" t="str">
        <f>IF(Table5[[#This Row],[UNIT]]="grs","LSN",IF(Table5[[#This Row],[UNIT]]="LSN","PCS",""))</f>
        <v/>
      </c>
      <c r="N82" s="86" t="str">
        <f>IF(Table5[[#This Row],[a2]]="LSN",Table5[[#This Row],[a1]]*12,"")</f>
        <v/>
      </c>
      <c r="O82" s="86" t="str">
        <f>IF(Table5[[#This Row],[b1]]="","","PCS")</f>
        <v/>
      </c>
      <c r="P82" s="86"/>
    </row>
    <row r="83" spans="1:16" x14ac:dyDescent="0.25">
      <c r="A83" s="88" t="s">
        <v>358</v>
      </c>
      <c r="B83" s="88"/>
      <c r="C83" s="88"/>
      <c r="E83" s="194">
        <f>MATCH(A83,Table1[H_A1],0)</f>
        <v>95</v>
      </c>
      <c r="F83" s="194">
        <f>MATCH(Table5[[#This Row],[NAMA]],[1]!db[NB PAJAK],0)</f>
        <v>1778</v>
      </c>
      <c r="G83" t="str">
        <f>INDEX(Table1[Item Description],Table5[[#This Row],[//NOTA]])</f>
        <v>PENSIL JOYKO 2B P-88</v>
      </c>
      <c r="H83">
        <f>SUMIF(Table1[H_A1],Sheet5!A83,Table1[Qty])</f>
        <v>300</v>
      </c>
      <c r="I83" t="str">
        <f>INDEX(Table1[Unit],Table5[[#This Row],[//NOTA]])</f>
        <v>GRS</v>
      </c>
      <c r="J83" s="195">
        <f>SUMIF(Table1[H_A1],Sheet5!A83,Table1[C])</f>
        <v>10</v>
      </c>
      <c r="K83" s="195">
        <f>INDEX(Table1[Unit Price],Table5[[#This Row],[//NOTA]])</f>
        <v>104400</v>
      </c>
      <c r="L83" s="86">
        <f>IF(Table5[[#This Row],[a2]]="","",Table5[[#This Row],[QTY]]*12)</f>
        <v>3600</v>
      </c>
      <c r="M83" s="86" t="str">
        <f>IF(Table5[[#This Row],[UNIT]]="grs","LSN",IF(Table5[[#This Row],[UNIT]]="LSN","PCS",""))</f>
        <v>LSN</v>
      </c>
      <c r="N83" s="86">
        <f>IF(Table5[[#This Row],[a2]]="LSN",Table5[[#This Row],[a1]]*12,"")</f>
        <v>43200</v>
      </c>
      <c r="O83" s="86" t="str">
        <f>IF(Table5[[#This Row],[b1]]="","","PCS")</f>
        <v>PCS</v>
      </c>
      <c r="P83" s="86"/>
    </row>
    <row r="84" spans="1:16" x14ac:dyDescent="0.25">
      <c r="A84" s="88" t="s">
        <v>434</v>
      </c>
      <c r="B84" s="88"/>
      <c r="C84" s="88"/>
      <c r="E84" s="194">
        <f>MATCH(A84,Table1[H_A1],0)</f>
        <v>135</v>
      </c>
      <c r="F84" s="194">
        <f>MATCH(Table5[[#This Row],[NAMA]],[1]!db[NB PAJAK],0)</f>
        <v>1244</v>
      </c>
      <c r="G84" t="str">
        <f>INDEX(Table1[Item Description],Table5[[#This Row],[//NOTA]])</f>
        <v>PENSIL KENKO 2B-6019 ANTIBACTERIAL</v>
      </c>
      <c r="H84">
        <f>SUMIF(Table1[H_A1],Sheet5!A84,Table1[Qty])</f>
        <v>2</v>
      </c>
      <c r="I84" t="str">
        <f>INDEX(Table1[Unit],Table5[[#This Row],[//NOTA]])</f>
        <v>GRS</v>
      </c>
      <c r="J84" s="195">
        <f>SUMIF(Table1[H_A1],Sheet5!A84,Table1[C])</f>
        <v>0</v>
      </c>
      <c r="K84" s="195">
        <f>INDEX(Table1[Unit Price],Table5[[#This Row],[//NOTA]])</f>
        <v>102000</v>
      </c>
      <c r="L84" s="86">
        <f>IF(Table5[[#This Row],[a2]]="","",Table5[[#This Row],[QTY]]*12)</f>
        <v>24</v>
      </c>
      <c r="M84" s="86" t="str">
        <f>IF(Table5[[#This Row],[UNIT]]="grs","LSN",IF(Table5[[#This Row],[UNIT]]="LSN","PCS",""))</f>
        <v>LSN</v>
      </c>
      <c r="N84" s="86">
        <f>IF(Table5[[#This Row],[a2]]="LSN",Table5[[#This Row],[a1]]*12,"")</f>
        <v>288</v>
      </c>
      <c r="O84" s="86" t="str">
        <f>IF(Table5[[#This Row],[b1]]="","","PCS")</f>
        <v>PCS</v>
      </c>
      <c r="P84" s="86"/>
    </row>
    <row r="85" spans="1:16" x14ac:dyDescent="0.25">
      <c r="A85" s="88" t="s">
        <v>359</v>
      </c>
      <c r="B85" s="88"/>
      <c r="C85" s="88"/>
      <c r="E85" s="194">
        <f>MATCH(A85,Table1[H_A1],0)</f>
        <v>98</v>
      </c>
      <c r="F85" s="194">
        <f>MATCH(Table5[[#This Row],[NAMA]],[1]!db[NB PAJAK],0)</f>
        <v>482</v>
      </c>
      <c r="G85" t="str">
        <f>INDEX(Table1[Item Description],Table5[[#This Row],[//NOTA]])</f>
        <v>PENSIL WARNA JOYKO CP-100 (12W PANJANG)</v>
      </c>
      <c r="H85">
        <f>SUMIF(Table1[H_A1],Sheet5!A85,Table1[Qty])</f>
        <v>720</v>
      </c>
      <c r="I85" t="str">
        <f>INDEX(Table1[Unit],Table5[[#This Row],[//NOTA]])</f>
        <v>PCS</v>
      </c>
      <c r="J85" s="195">
        <f>SUMIF(Table1[H_A1],Sheet5!A85,Table1[C])</f>
        <v>5</v>
      </c>
      <c r="K85" s="195">
        <f>INDEX(Table1[Unit Price],Table5[[#This Row],[//NOTA]])</f>
        <v>9600</v>
      </c>
      <c r="L85" s="86" t="str">
        <f>IF(Table5[[#This Row],[a2]]="","",Table5[[#This Row],[QTY]]*12)</f>
        <v/>
      </c>
      <c r="M85" s="86" t="str">
        <f>IF(Table5[[#This Row],[UNIT]]="grs","LSN",IF(Table5[[#This Row],[UNIT]]="LSN","PCS",""))</f>
        <v/>
      </c>
      <c r="N85" s="86" t="str">
        <f>IF(Table5[[#This Row],[a2]]="LSN",Table5[[#This Row],[a1]]*12,"")</f>
        <v/>
      </c>
      <c r="O85" s="86" t="str">
        <f>IF(Table5[[#This Row],[b1]]="","","PCS")</f>
        <v/>
      </c>
      <c r="P85" s="86"/>
    </row>
    <row r="86" spans="1:16" x14ac:dyDescent="0.25">
      <c r="A86" s="88" t="s">
        <v>249</v>
      </c>
      <c r="B86" s="88"/>
      <c r="C86" s="88"/>
      <c r="E86" s="194">
        <f>MATCH(A86,Table1[H_A1],0)</f>
        <v>52</v>
      </c>
      <c r="F86" s="194">
        <f>MATCH(Table5[[#This Row],[NAMA]],[1]!db[NB PAJAK],0)</f>
        <v>488</v>
      </c>
      <c r="G86" t="str">
        <f>INDEX(Table1[Item Description],Table5[[#This Row],[//NOTA]])</f>
        <v>PENSIL WARNA JOYKO CP-12PB (PANJANG)</v>
      </c>
      <c r="H86">
        <f>SUMIF(Table1[H_A1],Sheet5!A86,Table1[Qty])</f>
        <v>1584</v>
      </c>
      <c r="I86" t="str">
        <f>INDEX(Table1[Unit],Table5[[#This Row],[//NOTA]])</f>
        <v>PCS</v>
      </c>
      <c r="J86" s="195">
        <f>SUMIF(Table1[H_A1],Sheet5!A86,Table1[C])</f>
        <v>11</v>
      </c>
      <c r="K86" s="195">
        <f>INDEX(Table1[Unit Price],Table5[[#This Row],[//NOTA]])</f>
        <v>10600</v>
      </c>
      <c r="L86" s="86" t="str">
        <f>IF(Table5[[#This Row],[a2]]="","",Table5[[#This Row],[QTY]]*12)</f>
        <v/>
      </c>
      <c r="M86" s="86" t="str">
        <f>IF(Table5[[#This Row],[UNIT]]="grs","LSN",IF(Table5[[#This Row],[UNIT]]="LSN","PCS",""))</f>
        <v/>
      </c>
      <c r="N86" s="86" t="str">
        <f>IF(Table5[[#This Row],[a2]]="LSN",Table5[[#This Row],[a1]]*12,"")</f>
        <v/>
      </c>
      <c r="O86" s="86" t="str">
        <f>IF(Table5[[#This Row],[b1]]="","","PCS")</f>
        <v/>
      </c>
      <c r="P86" s="86"/>
    </row>
    <row r="87" spans="1:16" x14ac:dyDescent="0.25">
      <c r="A87" s="88" t="s">
        <v>360</v>
      </c>
      <c r="B87" s="88"/>
      <c r="C87" s="88"/>
      <c r="E87" s="194">
        <f>MATCH(A87,Table1[H_A1],0)</f>
        <v>101</v>
      </c>
      <c r="F87" s="194">
        <f>MATCH(Table5[[#This Row],[NAMA]],[1]!db[NB PAJAK],0)</f>
        <v>490</v>
      </c>
      <c r="G87" t="str">
        <f>INDEX(Table1[Item Description],Table5[[#This Row],[//NOTA]])</f>
        <v>PENSIL WARNA JOYKO CP-24PB (PANJANG)</v>
      </c>
      <c r="H87">
        <f>SUMIF(Table1[H_A1],Sheet5!A87,Table1[Qty])</f>
        <v>360</v>
      </c>
      <c r="I87" t="str">
        <f>INDEX(Table1[Unit],Table5[[#This Row],[//NOTA]])</f>
        <v>PCS</v>
      </c>
      <c r="J87" s="195">
        <f>SUMIF(Table1[H_A1],Sheet5!A87,Table1[C])</f>
        <v>5</v>
      </c>
      <c r="K87" s="195">
        <f>INDEX(Table1[Unit Price],Table5[[#This Row],[//NOTA]])</f>
        <v>21200</v>
      </c>
      <c r="L87" s="86" t="str">
        <f>IF(Table5[[#This Row],[a2]]="","",Table5[[#This Row],[QTY]]*12)</f>
        <v/>
      </c>
      <c r="M87" s="86" t="str">
        <f>IF(Table5[[#This Row],[UNIT]]="grs","LSN",IF(Table5[[#This Row],[UNIT]]="LSN","PCS",""))</f>
        <v/>
      </c>
      <c r="N87" s="86" t="str">
        <f>IF(Table5[[#This Row],[a2]]="LSN",Table5[[#This Row],[a1]]*12,"")</f>
        <v/>
      </c>
      <c r="O87" s="86" t="str">
        <f>IF(Table5[[#This Row],[b1]]="","","PCS")</f>
        <v/>
      </c>
      <c r="P87" s="86"/>
    </row>
    <row r="88" spans="1:16" x14ac:dyDescent="0.25">
      <c r="A88" s="88" t="s">
        <v>361</v>
      </c>
      <c r="B88" s="88"/>
      <c r="C88" s="88"/>
      <c r="E88" s="194">
        <f>MATCH(A88,Table1[H_A1],0)</f>
        <v>99</v>
      </c>
      <c r="F88" s="194">
        <f>MATCH(Table5[[#This Row],[NAMA]],[1]!db[NB PAJAK],0)</f>
        <v>493</v>
      </c>
      <c r="G88" t="str">
        <f>INDEX(Table1[Item Description],Table5[[#This Row],[//NOTA]])</f>
        <v>PENSIL WARNA JOYKO CP-S12 MINI (PENDEK)</v>
      </c>
      <c r="H88">
        <f>SUMIF(Table1[H_A1],Sheet5!A88,Table1[Qty])</f>
        <v>576</v>
      </c>
      <c r="I88" t="str">
        <f>INDEX(Table1[Unit],Table5[[#This Row],[//NOTA]])</f>
        <v>PCS</v>
      </c>
      <c r="J88" s="195">
        <f>SUMIF(Table1[H_A1],Sheet5!A88,Table1[C])</f>
        <v>2</v>
      </c>
      <c r="K88" s="195">
        <f>INDEX(Table1[Unit Price],Table5[[#This Row],[//NOTA]])</f>
        <v>6700</v>
      </c>
      <c r="L88" s="86" t="str">
        <f>IF(Table5[[#This Row],[a2]]="","",Table5[[#This Row],[QTY]]*12)</f>
        <v/>
      </c>
      <c r="M88" s="86" t="str">
        <f>IF(Table5[[#This Row],[UNIT]]="grs","LSN",IF(Table5[[#This Row],[UNIT]]="LSN","PCS",""))</f>
        <v/>
      </c>
      <c r="N88" s="86" t="str">
        <f>IF(Table5[[#This Row],[a2]]="LSN",Table5[[#This Row],[a1]]*12,"")</f>
        <v/>
      </c>
      <c r="O88" s="86" t="str">
        <f>IF(Table5[[#This Row],[b1]]="","","PCS")</f>
        <v/>
      </c>
      <c r="P88" s="86"/>
    </row>
    <row r="89" spans="1:16" x14ac:dyDescent="0.25">
      <c r="A89" s="88" t="s">
        <v>172</v>
      </c>
      <c r="B89" s="88"/>
      <c r="C89" s="88"/>
      <c r="E89" s="194">
        <f>MATCH(A89,Table1[H_A1],0)</f>
        <v>16</v>
      </c>
      <c r="F89" s="194">
        <f>MATCH(Table5[[#This Row],[NAMA]],[1]!db[NB PAJAK],0)</f>
        <v>1041</v>
      </c>
      <c r="G89" t="str">
        <f>INDEX(Table1[Item Description],Table5[[#This Row],[//NOTA]])</f>
        <v>PENSIL WARNA KENKO CP-12F CLASSIC (PANJANG)</v>
      </c>
      <c r="H89">
        <f>SUMIF(Table1[H_A1],Sheet5!A89,Table1[Qty])</f>
        <v>50</v>
      </c>
      <c r="I89" t="str">
        <f>INDEX(Table1[Unit],Table5[[#This Row],[//NOTA]])</f>
        <v>LSN</v>
      </c>
      <c r="J89" s="195">
        <f>SUMIF(Table1[H_A1],Sheet5!A89,Table1[C])</f>
        <v>2</v>
      </c>
      <c r="K89" s="195">
        <f>INDEX(Table1[Unit Price],Table5[[#This Row],[//NOTA]])</f>
        <v>124200</v>
      </c>
      <c r="L89" s="86">
        <f>IF(Table5[[#This Row],[a2]]="","",Table5[[#This Row],[QTY]]*12)</f>
        <v>600</v>
      </c>
      <c r="M89" s="86" t="str">
        <f>IF(Table5[[#This Row],[UNIT]]="grs","LSN",IF(Table5[[#This Row],[UNIT]]="LSN","PCS",""))</f>
        <v>PCS</v>
      </c>
      <c r="N89" s="86" t="str">
        <f>IF(Table5[[#This Row],[a2]]="LSN",Table5[[#This Row],[a1]]*12,"")</f>
        <v/>
      </c>
      <c r="O89" s="86" t="str">
        <f>IF(Table5[[#This Row],[b1]]="","","PCS")</f>
        <v/>
      </c>
      <c r="P89" s="86"/>
    </row>
    <row r="90" spans="1:16" x14ac:dyDescent="0.25">
      <c r="A90" s="88" t="s">
        <v>452</v>
      </c>
      <c r="B90" s="88"/>
      <c r="C90" s="88"/>
      <c r="E90" s="194">
        <f>MATCH(A90,Table1[H_A1],0)</f>
        <v>150</v>
      </c>
      <c r="F90" s="194">
        <f>MATCH(Table5[[#This Row],[NAMA]],[1]!db[NB PAJAK],0)</f>
        <v>1098</v>
      </c>
      <c r="G90" t="str">
        <f>INDEX(Table1[Item Description],Table5[[#This Row],[//NOTA]])</f>
        <v>PENSIL WARNA KENKO CP-12HALF CLASSIC (PENDEK)</v>
      </c>
      <c r="H90">
        <f>SUMIF(Table1[H_A1],Sheet5!A90,Table1[Qty])</f>
        <v>10</v>
      </c>
      <c r="I90" t="str">
        <f>INDEX(Table1[Unit],Table5[[#This Row],[//NOTA]])</f>
        <v>LSN</v>
      </c>
      <c r="J90" s="195">
        <f>SUMIF(Table1[H_A1],Sheet5!A90,Table1[C])</f>
        <v>0</v>
      </c>
      <c r="K90" s="195">
        <f>INDEX(Table1[Unit Price],Table5[[#This Row],[//NOTA]])</f>
        <v>79200</v>
      </c>
      <c r="L90" s="86">
        <f>IF(Table5[[#This Row],[a2]]="","",Table5[[#This Row],[QTY]]*12)</f>
        <v>120</v>
      </c>
      <c r="M90" s="86" t="str">
        <f>IF(Table5[[#This Row],[UNIT]]="grs","LSN",IF(Table5[[#This Row],[UNIT]]="LSN","PCS",""))</f>
        <v>PCS</v>
      </c>
      <c r="N90" s="86" t="str">
        <f>IF(Table5[[#This Row],[a2]]="LSN",Table5[[#This Row],[a1]]*12,"")</f>
        <v/>
      </c>
      <c r="O90" s="86" t="str">
        <f>IF(Table5[[#This Row],[b1]]="","","PCS")</f>
        <v/>
      </c>
      <c r="P90" s="86"/>
    </row>
    <row r="91" spans="1:16" x14ac:dyDescent="0.25">
      <c r="A91" s="88" t="s">
        <v>216</v>
      </c>
      <c r="B91" s="88"/>
      <c r="C91" s="88"/>
      <c r="E91" s="194">
        <f>MATCH(A91,Table1[H_A1],0)</f>
        <v>36</v>
      </c>
      <c r="F91" s="194">
        <f>MATCH(Table5[[#This Row],[NAMA]],[1]!db[NB PAJAK],0)</f>
        <v>1098</v>
      </c>
      <c r="G91" t="str">
        <f>INDEX(Table1[Item Description],Table5[[#This Row],[//NOTA]])</f>
        <v>PENSIL WARNA KENKO CP-12HALF CLASSIC (PENDEK)</v>
      </c>
      <c r="H91">
        <f>SUMIF(Table1[H_A1],Sheet5!A91,Table1[Qty])</f>
        <v>48</v>
      </c>
      <c r="I91" t="str">
        <f>INDEX(Table1[Unit],Table5[[#This Row],[//NOTA]])</f>
        <v>SET</v>
      </c>
      <c r="J91" s="195">
        <f>SUMIF(Table1[H_A1],Sheet5!A91,Table1[C])</f>
        <v>0</v>
      </c>
      <c r="K91" s="195">
        <f>INDEX(Table1[Unit Price],Table5[[#This Row],[//NOTA]])</f>
        <v>6600</v>
      </c>
      <c r="L91" s="86" t="str">
        <f>IF(Table5[[#This Row],[a2]]="","",Table5[[#This Row],[QTY]]*12)</f>
        <v/>
      </c>
      <c r="M91" s="86" t="str">
        <f>IF(Table5[[#This Row],[UNIT]]="grs","LSN",IF(Table5[[#This Row],[UNIT]]="LSN","PCS",""))</f>
        <v/>
      </c>
      <c r="N91" s="86" t="str">
        <f>IF(Table5[[#This Row],[a2]]="LSN",Table5[[#This Row],[a1]]*12,"")</f>
        <v/>
      </c>
      <c r="O91" s="86" t="str">
        <f>IF(Table5[[#This Row],[b1]]="","","PCS")</f>
        <v/>
      </c>
      <c r="P91" s="86"/>
    </row>
    <row r="92" spans="1:16" x14ac:dyDescent="0.25">
      <c r="A92" s="88" t="s">
        <v>239</v>
      </c>
      <c r="B92" s="88"/>
      <c r="C92" s="88"/>
      <c r="E92" s="194">
        <f>MATCH(A92,Table1[H_A1],0)</f>
        <v>39</v>
      </c>
      <c r="F92" s="194">
        <f>MATCH(Table5[[#This Row],[NAMA]],[1]!db[NB PAJAK],0)</f>
        <v>1909</v>
      </c>
      <c r="G92" t="str">
        <f>INDEX(Table1[Item Description],Table5[[#This Row],[//NOTA]])</f>
        <v>PUNCH JOYKO 30</v>
      </c>
      <c r="H92">
        <f>SUMIF(Table1[H_A1],Sheet5!A92,Table1[Qty])</f>
        <v>1</v>
      </c>
      <c r="I92" t="str">
        <f>INDEX(Table1[Unit],Table5[[#This Row],[//NOTA]])</f>
        <v>LSN</v>
      </c>
      <c r="J92" s="195">
        <f>SUMIF(Table1[H_A1],Sheet5!A92,Table1[C])</f>
        <v>0</v>
      </c>
      <c r="K92" s="195">
        <f>INDEX(Table1[Unit Price],Table5[[#This Row],[//NOTA]])</f>
        <v>139200</v>
      </c>
      <c r="L92" s="86">
        <f>IF(Table5[[#This Row],[a2]]="","",Table5[[#This Row],[QTY]]*12)</f>
        <v>12</v>
      </c>
      <c r="M92" s="86" t="str">
        <f>IF(Table5[[#This Row],[UNIT]]="grs","LSN",IF(Table5[[#This Row],[UNIT]]="LSN","PCS",""))</f>
        <v>PCS</v>
      </c>
      <c r="N92" s="86" t="str">
        <f>IF(Table5[[#This Row],[a2]]="LSN",Table5[[#This Row],[a1]]*12,"")</f>
        <v/>
      </c>
      <c r="O92" s="86" t="str">
        <f>IF(Table5[[#This Row],[b1]]="","","PCS")</f>
        <v/>
      </c>
      <c r="P92" s="86"/>
    </row>
    <row r="93" spans="1:16" x14ac:dyDescent="0.25">
      <c r="A93" s="88" t="s">
        <v>240</v>
      </c>
      <c r="B93" s="88"/>
      <c r="C93" s="88"/>
      <c r="E93" s="194">
        <f>MATCH(A93,Table1[H_A1],0)</f>
        <v>40</v>
      </c>
      <c r="F93" s="194">
        <f>MATCH(Table5[[#This Row],[NAMA]],[1]!db[NB PAJAK],0)</f>
        <v>1271</v>
      </c>
      <c r="G93" t="str">
        <f>INDEX(Table1[Item Description],Table5[[#This Row],[//NOTA]])</f>
        <v>PUNCH KENKO NO. 85</v>
      </c>
      <c r="H93">
        <f>SUMIF(Table1[H_A1],Sheet5!A93,Table1[Qty])</f>
        <v>12</v>
      </c>
      <c r="I93" t="str">
        <f>INDEX(Table1[Unit],Table5[[#This Row],[//NOTA]])</f>
        <v>PCS</v>
      </c>
      <c r="J93" s="195">
        <f>SUMIF(Table1[H_A1],Sheet5!A93,Table1[C])</f>
        <v>0</v>
      </c>
      <c r="K93" s="195">
        <f>INDEX(Table1[Unit Price],Table5[[#This Row],[//NOTA]])</f>
        <v>48500</v>
      </c>
      <c r="L93" s="86" t="str">
        <f>IF(Table5[[#This Row],[a2]]="","",Table5[[#This Row],[QTY]]*12)</f>
        <v/>
      </c>
      <c r="M93" s="86" t="str">
        <f>IF(Table5[[#This Row],[UNIT]]="grs","LSN",IF(Table5[[#This Row],[UNIT]]="LSN","PCS",""))</f>
        <v/>
      </c>
      <c r="N93" s="86" t="str">
        <f>IF(Table5[[#This Row],[a2]]="LSN",Table5[[#This Row],[a1]]*12,"")</f>
        <v/>
      </c>
      <c r="O93" s="86" t="str">
        <f>IF(Table5[[#This Row],[b1]]="","","PCS")</f>
        <v/>
      </c>
      <c r="P93" s="86"/>
    </row>
    <row r="94" spans="1:16" x14ac:dyDescent="0.25">
      <c r="A94" s="88" t="s">
        <v>221</v>
      </c>
      <c r="B94" s="88"/>
      <c r="C94" s="88"/>
      <c r="E94" s="194">
        <f>MATCH(A94,Table1[H_A1],0)</f>
        <v>31</v>
      </c>
      <c r="F94" s="194">
        <f>MATCH(Table5[[#This Row],[NAMA]],[1]!db[NB PAJAK],0)</f>
        <v>1275</v>
      </c>
      <c r="G94" t="str">
        <f>INDEX(Table1[Item Description],Table5[[#This Row],[//NOTA]])</f>
        <v>PUSH PIN KENKO PN-30 TRANSPARAN</v>
      </c>
      <c r="H94">
        <f>SUMIF(Table1[H_A1],Sheet5!A94,Table1[Qty])</f>
        <v>1</v>
      </c>
      <c r="I94" t="str">
        <f>INDEX(Table1[Unit],Table5[[#This Row],[//NOTA]])</f>
        <v>LSN</v>
      </c>
      <c r="J94" s="195">
        <f>SUMIF(Table1[H_A1],Sheet5!A94,Table1[C])</f>
        <v>0</v>
      </c>
      <c r="K94" s="195">
        <f>INDEX(Table1[Unit Price],Table5[[#This Row],[//NOTA]])</f>
        <v>33000</v>
      </c>
      <c r="L94" s="86">
        <f>IF(Table5[[#This Row],[a2]]="","",Table5[[#This Row],[QTY]]*12)</f>
        <v>12</v>
      </c>
      <c r="M94" s="86" t="str">
        <f>IF(Table5[[#This Row],[UNIT]]="grs","LSN",IF(Table5[[#This Row],[UNIT]]="LSN","PCS",""))</f>
        <v>PCS</v>
      </c>
      <c r="N94" s="86" t="str">
        <f>IF(Table5[[#This Row],[a2]]="LSN",Table5[[#This Row],[a1]]*12,"")</f>
        <v/>
      </c>
      <c r="O94" s="86" t="str">
        <f>IF(Table5[[#This Row],[b1]]="","","PCS")</f>
        <v/>
      </c>
      <c r="P94" s="86"/>
    </row>
    <row r="95" spans="1:16" x14ac:dyDescent="0.25">
      <c r="A95" s="88" t="s">
        <v>241</v>
      </c>
      <c r="B95" s="88"/>
      <c r="C95" s="88"/>
      <c r="E95" s="194">
        <f>MATCH(A95,Table1[H_A1],0)</f>
        <v>42</v>
      </c>
      <c r="F95" s="194" t="e">
        <f>MATCH(Table5[[#This Row],[NAMA]],[1]!db[NB PAJAK],0)</f>
        <v>#N/A</v>
      </c>
      <c r="G95" t="str">
        <f>INDEX(Table1[Item Description],Table5[[#This Row],[//NOTA]])</f>
        <v>Stabillo Highlighter JK HL MIX BIRU/ HIJAU</v>
      </c>
      <c r="H95">
        <f>SUMIF(Table1[H_A1],Sheet5!A95,Table1[Qty])</f>
        <v>100</v>
      </c>
      <c r="I95" t="str">
        <f>INDEX(Table1[Unit],Table5[[#This Row],[//NOTA]])</f>
        <v>PCS</v>
      </c>
      <c r="J95" s="195">
        <f>SUMIF(Table1[H_A1],Sheet5!A95,Table1[C])</f>
        <v>0</v>
      </c>
      <c r="K95" s="195">
        <f>INDEX(Table1[Unit Price],Table5[[#This Row],[//NOTA]])</f>
        <v>3700</v>
      </c>
      <c r="L95" s="86" t="str">
        <f>IF(Table5[[#This Row],[a2]]="","",Table5[[#This Row],[QTY]]*12)</f>
        <v/>
      </c>
      <c r="M95" s="86" t="str">
        <f>IF(Table5[[#This Row],[UNIT]]="grs","LSN",IF(Table5[[#This Row],[UNIT]]="LSN","PCS",""))</f>
        <v/>
      </c>
      <c r="N95" s="86" t="str">
        <f>IF(Table5[[#This Row],[a2]]="LSN",Table5[[#This Row],[a1]]*12,"")</f>
        <v/>
      </c>
      <c r="O95" s="86" t="str">
        <f>IF(Table5[[#This Row],[b1]]="","","PCS")</f>
        <v/>
      </c>
      <c r="P95" s="86"/>
    </row>
    <row r="96" spans="1:16" x14ac:dyDescent="0.25">
      <c r="A96" s="88" t="s">
        <v>362</v>
      </c>
      <c r="B96" s="88"/>
      <c r="C96" s="88"/>
      <c r="E96" s="194">
        <f>MATCH(A96,Table1[H_A1],0)</f>
        <v>102</v>
      </c>
      <c r="F96" s="194">
        <f>MATCH(Table5[[#This Row],[NAMA]],[1]!db[NB PAJAK],0)</f>
        <v>2002</v>
      </c>
      <c r="G96" t="str">
        <f>INDEX(Table1[Item Description],Table5[[#This Row],[//NOTA]])</f>
        <v>STAMP PAD JOYKO NO. 0</v>
      </c>
      <c r="H96">
        <f>SUMIF(Table1[H_A1],Sheet5!A96,Table1[Qty])</f>
        <v>216</v>
      </c>
      <c r="I96" t="str">
        <f>INDEX(Table1[Unit],Table5[[#This Row],[//NOTA]])</f>
        <v>PCS</v>
      </c>
      <c r="J96" s="195">
        <f>SUMIF(Table1[H_A1],Sheet5!A96,Table1[C])</f>
        <v>1</v>
      </c>
      <c r="K96" s="195">
        <f>INDEX(Table1[Unit Price],Table5[[#This Row],[//NOTA]])</f>
        <v>4900</v>
      </c>
      <c r="L96" s="86" t="str">
        <f>IF(Table5[[#This Row],[a2]]="","",Table5[[#This Row],[QTY]]*12)</f>
        <v/>
      </c>
      <c r="M96" s="86" t="str">
        <f>IF(Table5[[#This Row],[UNIT]]="grs","LSN",IF(Table5[[#This Row],[UNIT]]="LSN","PCS",""))</f>
        <v/>
      </c>
      <c r="N96" s="86" t="str">
        <f>IF(Table5[[#This Row],[a2]]="LSN",Table5[[#This Row],[a1]]*12,"")</f>
        <v/>
      </c>
      <c r="O96" s="86" t="str">
        <f>IF(Table5[[#This Row],[b1]]="","","PCS")</f>
        <v/>
      </c>
      <c r="P96" s="86"/>
    </row>
    <row r="97" spans="1:16" x14ac:dyDescent="0.25">
      <c r="A97" s="88" t="s">
        <v>363</v>
      </c>
      <c r="B97" s="88"/>
      <c r="C97" s="88"/>
      <c r="E97" s="194">
        <f>MATCH(A97,Table1[H_A1],0)</f>
        <v>103</v>
      </c>
      <c r="F97" s="194">
        <f>MATCH(Table5[[#This Row],[NAMA]],[1]!db[NB PAJAK],0)</f>
        <v>2004</v>
      </c>
      <c r="G97" s="86" t="str">
        <f>INDEX(Table1[Item Description],Table5[[#This Row],[//NOTA]])</f>
        <v>STAMP PAD JOYKO NO. 1</v>
      </c>
      <c r="H97">
        <f>SUMIF(Table1[H_A1],Sheet5!A97,Table1[Qty])</f>
        <v>216</v>
      </c>
      <c r="I97" t="str">
        <f>INDEX(Table1[Unit],Table5[[#This Row],[//NOTA]])</f>
        <v>PCS</v>
      </c>
      <c r="J97" s="195">
        <f>SUMIF(Table1[H_A1],Sheet5!A97,Table1[C])</f>
        <v>1</v>
      </c>
      <c r="K97" s="195">
        <f>INDEX(Table1[Unit Price],Table5[[#This Row],[//NOTA]])</f>
        <v>5800</v>
      </c>
      <c r="L97" s="86" t="str">
        <f>IF(Table5[[#This Row],[a2]]="","",Table5[[#This Row],[QTY]]*12)</f>
        <v/>
      </c>
      <c r="M97" s="86" t="str">
        <f>IF(Table5[[#This Row],[UNIT]]="grs","LSN",IF(Table5[[#This Row],[UNIT]]="LSN","PCS",""))</f>
        <v/>
      </c>
      <c r="N97" s="86" t="str">
        <f>IF(Table5[[#This Row],[a2]]="LSN",Table5[[#This Row],[a1]]*12,"")</f>
        <v/>
      </c>
      <c r="O97" s="86" t="str">
        <f>IF(Table5[[#This Row],[b1]]="","","PCS")</f>
        <v/>
      </c>
      <c r="P97" s="86"/>
    </row>
    <row r="98" spans="1:16" x14ac:dyDescent="0.25">
      <c r="A98" s="88" t="s">
        <v>217</v>
      </c>
      <c r="E98" s="194">
        <f>MATCH(A98,Table1[H_A1],0)</f>
        <v>32</v>
      </c>
      <c r="F98" s="194">
        <f>MATCH(Table5[[#This Row],[NAMA]],[1]!db[NB PAJAK],0)</f>
        <v>1295</v>
      </c>
      <c r="G98" s="86" t="str">
        <f>INDEX(Table1[Item Description],Table5[[#This Row],[//NOTA]])</f>
        <v>STAMP PAD KENKO NO. 0</v>
      </c>
      <c r="H98">
        <f>SUMIF(Table1[H_A1],Sheet5!A98,Table1[Qty])</f>
        <v>10</v>
      </c>
      <c r="I98" t="str">
        <f>INDEX(Table1[Unit],Table5[[#This Row],[//NOTA]])</f>
        <v>LSN</v>
      </c>
      <c r="J98" s="195">
        <f>SUMIF(Table1[H_A1],Sheet5!A98,Table1[C])</f>
        <v>0</v>
      </c>
      <c r="K98" s="195">
        <f>INDEX(Table1[Unit Price],Table5[[#This Row],[//NOTA]])</f>
        <v>59400</v>
      </c>
      <c r="L98" s="86">
        <f>IF(Table5[[#This Row],[a2]]="","",Table5[[#This Row],[QTY]]*12)</f>
        <v>120</v>
      </c>
      <c r="M98" s="86" t="str">
        <f>IF(Table5[[#This Row],[UNIT]]="grs","LSN",IF(Table5[[#This Row],[UNIT]]="LSN","PCS",""))</f>
        <v>PCS</v>
      </c>
      <c r="N98" s="86" t="str">
        <f>IF(Table5[[#This Row],[a2]]="LSN",Table5[[#This Row],[a1]]*12,"")</f>
        <v/>
      </c>
      <c r="O98" s="86" t="str">
        <f>IF(Table5[[#This Row],[b1]]="","","PCS")</f>
        <v/>
      </c>
      <c r="P98" s="86"/>
    </row>
    <row r="99" spans="1:16" x14ac:dyDescent="0.25">
      <c r="A99" s="88" t="s">
        <v>218</v>
      </c>
      <c r="E99" s="194">
        <f>MATCH(A99,Table1[H_A1],0)</f>
        <v>33</v>
      </c>
      <c r="F99" s="194">
        <f>MATCH(Table5[[#This Row],[NAMA]],[1]!db[NB PAJAK],0)</f>
        <v>1293</v>
      </c>
      <c r="G99" s="86" t="str">
        <f>INDEX(Table1[Item Description],Table5[[#This Row],[//NOTA]])</f>
        <v>STAMP PLATE NUMBER KENKO N-38 (Cap Nomer)</v>
      </c>
      <c r="H99">
        <f>SUMIF(Table1[H_A1],Sheet5!A99,Table1[Qty])</f>
        <v>8</v>
      </c>
      <c r="I99" t="str">
        <f>INDEX(Table1[Unit],Table5[[#This Row],[//NOTA]])</f>
        <v>LSN</v>
      </c>
      <c r="J99" s="195">
        <f>SUMIF(Table1[H_A1],Sheet5!A99,Table1[C])</f>
        <v>0</v>
      </c>
      <c r="K99" s="195">
        <f>INDEX(Table1[Unit Price],Table5[[#This Row],[//NOTA]])</f>
        <v>84000</v>
      </c>
      <c r="L99" s="86">
        <f>IF(Table5[[#This Row],[a2]]="","",Table5[[#This Row],[QTY]]*12)</f>
        <v>96</v>
      </c>
      <c r="M99" s="86" t="str">
        <f>IF(Table5[[#This Row],[UNIT]]="grs","LSN",IF(Table5[[#This Row],[UNIT]]="LSN","PCS",""))</f>
        <v>PCS</v>
      </c>
      <c r="N99" s="86" t="str">
        <f>IF(Table5[[#This Row],[a2]]="LSN",Table5[[#This Row],[a1]]*12,"")</f>
        <v/>
      </c>
      <c r="O99" s="86" t="str">
        <f>IF(Table5[[#This Row],[b1]]="","","PCS")</f>
        <v/>
      </c>
      <c r="P99" s="86"/>
    </row>
    <row r="100" spans="1:16" x14ac:dyDescent="0.25">
      <c r="A100" s="88" t="s">
        <v>453</v>
      </c>
      <c r="E100" s="194">
        <f>MATCH(A100,Table1[H_A1],0)</f>
        <v>148</v>
      </c>
      <c r="F100" s="194">
        <f>MATCH(Table5[[#This Row],[NAMA]],[1]!db[NB PAJAK],0)</f>
        <v>1297</v>
      </c>
      <c r="G100" s="86" t="str">
        <f>INDEX(Table1[Item Description],Table5[[#This Row],[//NOTA]])</f>
        <v>STAND PEN SPIRAL KENKO STP-100SG</v>
      </c>
      <c r="H100">
        <f>SUMIF(Table1[H_A1],Sheet5!A100,Table1[Qty])</f>
        <v>4</v>
      </c>
      <c r="I100" t="str">
        <f>INDEX(Table1[Unit],Table5[[#This Row],[//NOTA]])</f>
        <v>LSN</v>
      </c>
      <c r="J100" s="195">
        <f>SUMIF(Table1[H_A1],Sheet5!A100,Table1[C])</f>
        <v>0</v>
      </c>
      <c r="K100" s="195">
        <f>INDEX(Table1[Unit Price],Table5[[#This Row],[//NOTA]])</f>
        <v>54000</v>
      </c>
      <c r="L100" s="86">
        <f>IF(Table5[[#This Row],[a2]]="","",Table5[[#This Row],[QTY]]*12)</f>
        <v>48</v>
      </c>
      <c r="M100" s="86" t="str">
        <f>IF(Table5[[#This Row],[UNIT]]="grs","LSN",IF(Table5[[#This Row],[UNIT]]="LSN","PCS",""))</f>
        <v>PCS</v>
      </c>
      <c r="N100" s="86" t="str">
        <f>IF(Table5[[#This Row],[a2]]="LSN",Table5[[#This Row],[a1]]*12,"")</f>
        <v/>
      </c>
      <c r="O100" s="86" t="str">
        <f>IF(Table5[[#This Row],[b1]]="","","PCS")</f>
        <v/>
      </c>
      <c r="P100" s="86"/>
    </row>
    <row r="101" spans="1:16" x14ac:dyDescent="0.25">
      <c r="A101" s="88" t="s">
        <v>454</v>
      </c>
      <c r="E101" s="194">
        <f>MATCH(A101,Table1[H_A1],0)</f>
        <v>149</v>
      </c>
      <c r="F101" s="194">
        <f>MATCH(Table5[[#This Row],[NAMA]],[1]!db[NB PAJAK],0)</f>
        <v>1298</v>
      </c>
      <c r="G101" s="86" t="str">
        <f>INDEX(Table1[Item Description],Table5[[#This Row],[//NOTA]])</f>
        <v>STAND PEN SPIRAL KENKO STP-300SG</v>
      </c>
      <c r="H101">
        <f>SUMIF(Table1[H_A1],Sheet5!A101,Table1[Qty])</f>
        <v>5</v>
      </c>
      <c r="I101" t="str">
        <f>INDEX(Table1[Unit],Table5[[#This Row],[//NOTA]])</f>
        <v>LSN</v>
      </c>
      <c r="J101" s="195">
        <f>SUMIF(Table1[H_A1],Sheet5!A101,Table1[C])</f>
        <v>0</v>
      </c>
      <c r="K101" s="195">
        <f>INDEX(Table1[Unit Price],Table5[[#This Row],[//NOTA]])</f>
        <v>49200</v>
      </c>
      <c r="L101" s="86">
        <f>IF(Table5[[#This Row],[a2]]="","",Table5[[#This Row],[QTY]]*12)</f>
        <v>60</v>
      </c>
      <c r="M101" s="86" t="str">
        <f>IF(Table5[[#This Row],[UNIT]]="grs","LSN",IF(Table5[[#This Row],[UNIT]]="LSN","PCS",""))</f>
        <v>PCS</v>
      </c>
      <c r="N101" s="86" t="str">
        <f>IF(Table5[[#This Row],[a2]]="LSN",Table5[[#This Row],[a1]]*12,"")</f>
        <v/>
      </c>
      <c r="O101" s="86" t="str">
        <f>IF(Table5[[#This Row],[b1]]="","","PCS")</f>
        <v/>
      </c>
      <c r="P101" s="86"/>
    </row>
    <row r="102" spans="1:16" x14ac:dyDescent="0.25">
      <c r="A102" s="88" t="s">
        <v>395</v>
      </c>
      <c r="E102" s="194">
        <f>MATCH(A102,Table1[H_A1],0)</f>
        <v>112</v>
      </c>
      <c r="F102" s="194">
        <f>MATCH(Table5[[#This Row],[NAMA]],[1]!db[NB PAJAK],0)</f>
        <v>952</v>
      </c>
      <c r="G102" s="86" t="str">
        <f>INDEX(Table1[Item Description],Table5[[#This Row],[//NOTA]])</f>
        <v>STAPLER GUNTACKER JOYKO GT-701</v>
      </c>
      <c r="H102" s="86">
        <f>SUMIF(Table1[H_A1],Sheet5!A102,Table1[Qty])</f>
        <v>24</v>
      </c>
      <c r="I102" s="86" t="str">
        <f>INDEX(Table1[Unit],Table5[[#This Row],[//NOTA]])</f>
        <v>PCS</v>
      </c>
      <c r="J102" s="195">
        <f>SUMIF(Table1[H_A1],Sheet5!A102,Table1[C])</f>
        <v>1</v>
      </c>
      <c r="K102" s="195">
        <f>INDEX(Table1[Unit Price],Table5[[#This Row],[//NOTA]])</f>
        <v>97000</v>
      </c>
      <c r="L102" s="86" t="str">
        <f>IF(Table5[[#This Row],[a2]]="","",Table5[[#This Row],[QTY]]*12)</f>
        <v/>
      </c>
      <c r="M102" s="86" t="str">
        <f>IF(Table5[[#This Row],[UNIT]]="grs","LSN",IF(Table5[[#This Row],[UNIT]]="LSN","PCS",""))</f>
        <v/>
      </c>
      <c r="N102" s="86" t="str">
        <f>IF(Table5[[#This Row],[a2]]="LSN",Table5[[#This Row],[a1]]*12,"")</f>
        <v/>
      </c>
      <c r="O102" s="86" t="str">
        <f>IF(Table5[[#This Row],[b1]]="","","PCS")</f>
        <v/>
      </c>
      <c r="P102" s="86"/>
    </row>
    <row r="103" spans="1:16" x14ac:dyDescent="0.25">
      <c r="A103" s="88" t="s">
        <v>146</v>
      </c>
      <c r="E103" s="194">
        <f>MATCH(A103,Table1[H_A1],0)</f>
        <v>10</v>
      </c>
      <c r="F103" s="194">
        <f>MATCH(Table5[[#This Row],[NAMA]],[1]!db[NB PAJAK],0)</f>
        <v>1301</v>
      </c>
      <c r="G103" s="86" t="str">
        <f>INDEX(Table1[Item Description],Table5[[#This Row],[//NOTA]])</f>
        <v>STAPLER KENKO HD-10D</v>
      </c>
      <c r="H103" s="86">
        <f>SUMIF(Table1[H_A1],Sheet5!A103,Table1[Qty])</f>
        <v>40</v>
      </c>
      <c r="I103" s="86" t="str">
        <f>INDEX(Table1[Unit],Table5[[#This Row],[//NOTA]])</f>
        <v>LS</v>
      </c>
      <c r="J103" s="195">
        <f>SUMIF(Table1[H_A1],Sheet5!A103,Table1[C])</f>
        <v>0</v>
      </c>
      <c r="K103" s="195">
        <f>INDEX(Table1[Unit Price],Table5[[#This Row],[//NOTA]])</f>
        <v>117600</v>
      </c>
      <c r="L103" s="86" t="str">
        <f>IF(Table5[[#This Row],[a2]]="","",Table5[[#This Row],[QTY]]*12)</f>
        <v/>
      </c>
      <c r="M103" s="86" t="str">
        <f>IF(Table5[[#This Row],[UNIT]]="grs","LSN",IF(Table5[[#This Row],[UNIT]]="LSN","PCS",""))</f>
        <v/>
      </c>
      <c r="N103" s="86" t="str">
        <f>IF(Table5[[#This Row],[a2]]="LSN",Table5[[#This Row],[a1]]*12,"")</f>
        <v/>
      </c>
      <c r="O103" s="86" t="str">
        <f>IF(Table5[[#This Row],[b1]]="","","PCS")</f>
        <v/>
      </c>
      <c r="P103" s="86"/>
    </row>
    <row r="104" spans="1:16" x14ac:dyDescent="0.25">
      <c r="A104" s="88" t="s">
        <v>147</v>
      </c>
      <c r="E104" s="194">
        <f>MATCH(A104,Table1[H_A1],0)</f>
        <v>9</v>
      </c>
      <c r="F104" s="194">
        <f>MATCH(Table5[[#This Row],[NAMA]],[1]!db[NB PAJAK],0)</f>
        <v>1300</v>
      </c>
      <c r="G104" s="86" t="str">
        <f>INDEX(Table1[Item Description],Table5[[#This Row],[//NOTA]])</f>
        <v>STAPLER KENKO HD-10</v>
      </c>
      <c r="H104" s="86">
        <f>SUMIF(Table1[H_A1],Sheet5!A104,Table1[Qty])</f>
        <v>60</v>
      </c>
      <c r="I104" s="86" t="str">
        <f>INDEX(Table1[Unit],Table5[[#This Row],[//NOTA]])</f>
        <v>LS</v>
      </c>
      <c r="J104" s="195">
        <f>SUMIF(Table1[H_A1],Sheet5!A104,Table1[C])</f>
        <v>0</v>
      </c>
      <c r="K104" s="195">
        <f>INDEX(Table1[Unit Price],Table5[[#This Row],[//NOTA]])</f>
        <v>93000</v>
      </c>
      <c r="L104" s="86" t="str">
        <f>IF(Table5[[#This Row],[a2]]="","",Table5[[#This Row],[QTY]]*12)</f>
        <v/>
      </c>
      <c r="M104" s="86" t="str">
        <f>IF(Table5[[#This Row],[UNIT]]="grs","LSN",IF(Table5[[#This Row],[UNIT]]="LSN","PCS",""))</f>
        <v/>
      </c>
      <c r="N104" s="86" t="str">
        <f>IF(Table5[[#This Row],[a2]]="LSN",Table5[[#This Row],[a1]]*12,"")</f>
        <v/>
      </c>
      <c r="O104" s="86" t="str">
        <f>IF(Table5[[#This Row],[b1]]="","","PCS")</f>
        <v/>
      </c>
      <c r="P104" s="86"/>
    </row>
    <row r="105" spans="1:16" x14ac:dyDescent="0.25">
      <c r="A105" s="88" t="s">
        <v>300</v>
      </c>
      <c r="E105" s="194">
        <f>MATCH(A105,Table1[H_A1],0)</f>
        <v>76</v>
      </c>
      <c r="F105" s="194">
        <f>MATCH(Table5[[#This Row],[NAMA]],[1]!db[NB PAJAK],0)</f>
        <v>1300</v>
      </c>
      <c r="G105" s="86" t="str">
        <f>INDEX(Table1[Item Description],Table5[[#This Row],[//NOTA]])</f>
        <v>STAPLER KENKO HD-10</v>
      </c>
      <c r="H105" s="86">
        <f>SUMIF(Table1[H_A1],Sheet5!A105,Table1[Qty])</f>
        <v>44</v>
      </c>
      <c r="I105" s="86" t="str">
        <f>INDEX(Table1[Unit],Table5[[#This Row],[//NOTA]])</f>
        <v>LSN</v>
      </c>
      <c r="J105" s="195">
        <f>SUMIF(Table1[H_A1],Sheet5!A105,Table1[C])</f>
        <v>2</v>
      </c>
      <c r="K105" s="195">
        <f>INDEX(Table1[Unit Price],Table5[[#This Row],[//NOTA]])</f>
        <v>93000</v>
      </c>
      <c r="L105" s="86">
        <f>IF(Table5[[#This Row],[a2]]="","",Table5[[#This Row],[QTY]]*12)</f>
        <v>528</v>
      </c>
      <c r="M105" s="86" t="str">
        <f>IF(Table5[[#This Row],[UNIT]]="grs","LSN",IF(Table5[[#This Row],[UNIT]]="LSN","PCS",""))</f>
        <v>PCS</v>
      </c>
      <c r="N105" s="86" t="str">
        <f>IF(Table5[[#This Row],[a2]]="LSN",Table5[[#This Row],[a1]]*12,"")</f>
        <v/>
      </c>
      <c r="O105" s="86" t="str">
        <f>IF(Table5[[#This Row],[b1]]="","","PCS")</f>
        <v/>
      </c>
      <c r="P105" s="86"/>
    </row>
    <row r="106" spans="1:16" x14ac:dyDescent="0.25">
      <c r="A106" s="88" t="s">
        <v>455</v>
      </c>
      <c r="E106" s="194">
        <f>MATCH(A106,Table1[H_A1],0)</f>
        <v>152</v>
      </c>
      <c r="F106" s="194" t="e">
        <f>MATCH(Table5[[#This Row],[NAMA]],[1]!db[NB PAJAK],0)</f>
        <v>#N/A</v>
      </c>
      <c r="G106" s="86" t="str">
        <f>INDEX(Table1[Item Description],Table5[[#This Row],[//NOTA]])</f>
        <v>STAPLER KENKO HD-10MP</v>
      </c>
      <c r="H106" s="86">
        <f>SUMIF(Table1[H_A1],Sheet5!A106,Table1[Qty])</f>
        <v>12</v>
      </c>
      <c r="I106" s="86" t="str">
        <f>INDEX(Table1[Unit],Table5[[#This Row],[//NOTA]])</f>
        <v>LSN</v>
      </c>
      <c r="J106" s="195">
        <f>SUMIF(Table1[H_A1],Sheet5!A106,Table1[C])</f>
        <v>0</v>
      </c>
      <c r="K106" s="195">
        <f>INDEX(Table1[Unit Price],Table5[[#This Row],[//NOTA]])</f>
        <v>67200</v>
      </c>
      <c r="L106" s="86">
        <f>IF(Table5[[#This Row],[a2]]="","",Table5[[#This Row],[QTY]]*12)</f>
        <v>144</v>
      </c>
      <c r="M106" s="86" t="str">
        <f>IF(Table5[[#This Row],[UNIT]]="grs","LSN",IF(Table5[[#This Row],[UNIT]]="LSN","PCS",""))</f>
        <v>PCS</v>
      </c>
      <c r="N106" s="86" t="str">
        <f>IF(Table5[[#This Row],[a2]]="LSN",Table5[[#This Row],[a1]]*12,"")</f>
        <v/>
      </c>
      <c r="O106" s="86" t="str">
        <f>IF(Table5[[#This Row],[b1]]="","","PCS")</f>
        <v/>
      </c>
      <c r="P106" s="86"/>
    </row>
    <row r="107" spans="1:16" x14ac:dyDescent="0.25">
      <c r="A107" s="88" t="s">
        <v>148</v>
      </c>
      <c r="E107" s="194">
        <f>MATCH(A107,Table1[H_A1],0)</f>
        <v>8</v>
      </c>
      <c r="F107" s="194">
        <f>MATCH(Table5[[#This Row],[NAMA]],[1]!db[NB PAJAK],0)</f>
        <v>1306</v>
      </c>
      <c r="G107" s="86" t="str">
        <f>INDEX(Table1[Item Description],Table5[[#This Row],[//NOTA]])</f>
        <v>STAPLER KENKO HD-50</v>
      </c>
      <c r="H107" s="86">
        <f>SUMIF(Table1[H_A1],Sheet5!A107,Table1[Qty])</f>
        <v>10</v>
      </c>
      <c r="I107" s="86" t="str">
        <f>INDEX(Table1[Unit],Table5[[#This Row],[//NOTA]])</f>
        <v>LS</v>
      </c>
      <c r="J107" s="195">
        <f>SUMIF(Table1[H_A1],Sheet5!A107,Table1[C])</f>
        <v>0</v>
      </c>
      <c r="K107" s="195">
        <f>INDEX(Table1[Unit Price],Table5[[#This Row],[//NOTA]])</f>
        <v>228000</v>
      </c>
      <c r="L107" s="86" t="str">
        <f>IF(Table5[[#This Row],[a2]]="","",Table5[[#This Row],[QTY]]*12)</f>
        <v/>
      </c>
      <c r="M107" s="86" t="str">
        <f>IF(Table5[[#This Row],[UNIT]]="grs","LSN",IF(Table5[[#This Row],[UNIT]]="LSN","PCS",""))</f>
        <v/>
      </c>
      <c r="N107" s="86" t="str">
        <f>IF(Table5[[#This Row],[a2]]="LSN",Table5[[#This Row],[a1]]*12,"")</f>
        <v/>
      </c>
      <c r="O107" s="86" t="str">
        <f>IF(Table5[[#This Row],[b1]]="","","PCS")</f>
        <v/>
      </c>
      <c r="P107" s="86"/>
    </row>
    <row r="108" spans="1:16" x14ac:dyDescent="0.25">
      <c r="A108" s="88" t="s">
        <v>301</v>
      </c>
      <c r="E108" s="194">
        <f>MATCH(A108,Table1[H_A1],0)</f>
        <v>77</v>
      </c>
      <c r="F108" s="194">
        <f>MATCH(Table5[[#This Row],[NAMA]],[1]!db[NB PAJAK],0)</f>
        <v>1306</v>
      </c>
      <c r="G108" s="86" t="str">
        <f>INDEX(Table1[Item Description],Table5[[#This Row],[//NOTA]])</f>
        <v>STAPLER KENKO HD-50</v>
      </c>
      <c r="H108" s="86">
        <f>SUMIF(Table1[H_A1],Sheet5!A108,Table1[Qty])</f>
        <v>20</v>
      </c>
      <c r="I108" s="86" t="str">
        <f>INDEX(Table1[Unit],Table5[[#This Row],[//NOTA]])</f>
        <v>LSN</v>
      </c>
      <c r="J108" s="195">
        <f>SUMIF(Table1[H_A1],Sheet5!A108,Table1[C])</f>
        <v>2</v>
      </c>
      <c r="K108" s="195">
        <f>INDEX(Table1[Unit Price],Table5[[#This Row],[//NOTA]])</f>
        <v>228000</v>
      </c>
      <c r="L108" s="86">
        <f>IF(Table5[[#This Row],[a2]]="","",Table5[[#This Row],[QTY]]*12)</f>
        <v>240</v>
      </c>
      <c r="M108" s="86" t="str">
        <f>IF(Table5[[#This Row],[UNIT]]="grs","LSN",IF(Table5[[#This Row],[UNIT]]="LSN","PCS",""))</f>
        <v>PCS</v>
      </c>
      <c r="N108" s="86" t="str">
        <f>IF(Table5[[#This Row],[a2]]="LSN",Table5[[#This Row],[a1]]*12,"")</f>
        <v/>
      </c>
      <c r="O108" s="86" t="str">
        <f>IF(Table5[[#This Row],[b1]]="","","PCS")</f>
        <v/>
      </c>
      <c r="P108" s="86"/>
    </row>
    <row r="109" spans="1:16" x14ac:dyDescent="0.25">
      <c r="A109" s="88" t="s">
        <v>193</v>
      </c>
      <c r="E109" s="194">
        <f>MATCH(A109,Table1[H_A1],0)</f>
        <v>26</v>
      </c>
      <c r="F109" s="194">
        <f>MATCH(Table5[[#This Row],[NAMA]],[1]!db[NB PAJAK],0)</f>
        <v>1406</v>
      </c>
      <c r="G109" s="86" t="str">
        <f>INDEX(Table1[Item Description],Table5[[#This Row],[//NOTA]])</f>
        <v>STAPLER LONG REACH JOYKO HD-35LA</v>
      </c>
      <c r="H109" s="86">
        <f>SUMIF(Table1[H_A1],Sheet5!A109,Table1[Qty])</f>
        <v>36</v>
      </c>
      <c r="I109" s="86" t="str">
        <f>INDEX(Table1[Unit],Table5[[#This Row],[//NOTA]])</f>
        <v>PCS</v>
      </c>
      <c r="J109" s="195">
        <f>SUMIF(Table1[H_A1],Sheet5!A109,Table1[C])</f>
        <v>1</v>
      </c>
      <c r="K109" s="195">
        <f>INDEX(Table1[Unit Price],Table5[[#This Row],[//NOTA]])</f>
        <v>58000</v>
      </c>
      <c r="L109" s="86" t="str">
        <f>IF(Table5[[#This Row],[a2]]="","",Table5[[#This Row],[QTY]]*12)</f>
        <v/>
      </c>
      <c r="M109" s="86" t="str">
        <f>IF(Table5[[#This Row],[UNIT]]="grs","LSN",IF(Table5[[#This Row],[UNIT]]="LSN","PCS",""))</f>
        <v/>
      </c>
      <c r="N109" s="86" t="str">
        <f>IF(Table5[[#This Row],[a2]]="LSN",Table5[[#This Row],[a1]]*12,"")</f>
        <v/>
      </c>
      <c r="O109" s="86" t="str">
        <f>IF(Table5[[#This Row],[b1]]="","","PCS")</f>
        <v/>
      </c>
      <c r="P109" s="86"/>
    </row>
    <row r="110" spans="1:16" x14ac:dyDescent="0.25">
      <c r="A110" s="88" t="s">
        <v>473</v>
      </c>
      <c r="E110" s="194">
        <f>MATCH(A110,Table1[H_A1],0)</f>
        <v>163</v>
      </c>
      <c r="F110" s="194">
        <f>MATCH(Table5[[#This Row],[NAMA]],[1]!db[NB PAJAK],0)</f>
        <v>1152</v>
      </c>
      <c r="G110" s="86" t="str">
        <f>INDEX(Table1[Item Description],Table5[[#This Row],[//NOTA]])</f>
        <v>STIP / PENGHAPUS KENKO ERB-40SQ HITAM</v>
      </c>
      <c r="H110" s="86">
        <f>SUMIF(Table1[H_A1],Sheet5!A110,Table1[Qty])</f>
        <v>3</v>
      </c>
      <c r="I110" s="86" t="str">
        <f>INDEX(Table1[Unit],Table5[[#This Row],[//NOTA]])</f>
        <v>PAK</v>
      </c>
      <c r="J110" s="195">
        <f>SUMIF(Table1[H_A1],Sheet5!A110,Table1[C])</f>
        <v>0</v>
      </c>
      <c r="K110" s="195">
        <f>INDEX(Table1[Unit Price],Table5[[#This Row],[//NOTA]])</f>
        <v>27500</v>
      </c>
      <c r="L110" s="86" t="str">
        <f>IF(Table5[[#This Row],[a2]]="","",Table5[[#This Row],[QTY]]*12)</f>
        <v/>
      </c>
      <c r="M110" s="86" t="str">
        <f>IF(Table5[[#This Row],[UNIT]]="grs","LSN",IF(Table5[[#This Row],[UNIT]]="LSN","PCS",""))</f>
        <v/>
      </c>
      <c r="N110" s="86" t="str">
        <f>IF(Table5[[#This Row],[a2]]="LSN",Table5[[#This Row],[a1]]*12,"")</f>
        <v/>
      </c>
      <c r="O110" s="86" t="str">
        <f>IF(Table5[[#This Row],[b1]]="","","PCS")</f>
        <v/>
      </c>
      <c r="P110" s="86"/>
    </row>
    <row r="111" spans="1:16" x14ac:dyDescent="0.25">
      <c r="A111" s="88" t="s">
        <v>194</v>
      </c>
      <c r="E111" s="194">
        <f>MATCH(A111,Table1[H_A1],0)</f>
        <v>25</v>
      </c>
      <c r="F111" s="194">
        <f>MATCH(Table5[[#This Row],[NAMA]],[1]!db[NB PAJAK],0)</f>
        <v>2049</v>
      </c>
      <c r="G111" s="86" t="str">
        <f>INDEX(Table1[Item Description],Table5[[#This Row],[//NOTA]])</f>
        <v>TAPE CUTTER JOYKO TD-102</v>
      </c>
      <c r="H111" s="86">
        <f>SUMIF(Table1[H_A1],Sheet5!A111,Table1[Qty])</f>
        <v>48</v>
      </c>
      <c r="I111" s="86" t="str">
        <f>INDEX(Table1[Unit],Table5[[#This Row],[//NOTA]])</f>
        <v>LSN</v>
      </c>
      <c r="J111" s="195">
        <f>SUMIF(Table1[H_A1],Sheet5!A111,Table1[C])</f>
        <v>2</v>
      </c>
      <c r="K111" s="195">
        <f>INDEX(Table1[Unit Price],Table5[[#This Row],[//NOTA]])</f>
        <v>11100</v>
      </c>
      <c r="L111" s="86">
        <f>IF(Table5[[#This Row],[a2]]="","",Table5[[#This Row],[QTY]]*12)</f>
        <v>576</v>
      </c>
      <c r="M111" s="86" t="str">
        <f>IF(Table5[[#This Row],[UNIT]]="grs","LSN",IF(Table5[[#This Row],[UNIT]]="LSN","PCS",""))</f>
        <v>PCS</v>
      </c>
      <c r="N111" s="86" t="str">
        <f>IF(Table5[[#This Row],[a2]]="LSN",Table5[[#This Row],[a1]]*12,"")</f>
        <v/>
      </c>
      <c r="O111" s="86" t="str">
        <f>IF(Table5[[#This Row],[b1]]="","","PCS")</f>
        <v/>
      </c>
      <c r="P111" s="86"/>
    </row>
    <row r="112" spans="1:16" x14ac:dyDescent="0.25">
      <c r="A112" s="88" t="s">
        <v>314</v>
      </c>
      <c r="E112" s="194">
        <f>MATCH(A112,Table1[H_A1],0)</f>
        <v>85</v>
      </c>
      <c r="F112" s="194">
        <f>MATCH(Table5[[#This Row],[NAMA]],[1]!db[NB PAJAK],0)</f>
        <v>1902</v>
      </c>
      <c r="G112" s="86" t="str">
        <f>INDEX(Table1[Item Description],Table5[[#This Row],[//NOTA]])</f>
        <v>TAPE DISPENSER POLAR BEAR MN-305 @12pc</v>
      </c>
      <c r="H112" s="86">
        <f>SUMIF(Table1[H_A1],Sheet5!A112,Table1[Qty])</f>
        <v>5</v>
      </c>
      <c r="I112" s="86" t="str">
        <f>INDEX(Table1[Unit],Table5[[#This Row],[//NOTA]])</f>
        <v>BOX</v>
      </c>
      <c r="J112" s="195">
        <f>SUMIF(Table1[H_A1],Sheet5!A112,Table1[C])</f>
        <v>0</v>
      </c>
      <c r="K112" s="195">
        <f>INDEX(Table1[Unit Price],Table5[[#This Row],[//NOTA]])</f>
        <v>100000</v>
      </c>
      <c r="L112" s="86" t="str">
        <f>IF(Table5[[#This Row],[a2]]="","",Table5[[#This Row],[QTY]]*12)</f>
        <v/>
      </c>
      <c r="M112" s="86" t="str">
        <f>IF(Table5[[#This Row],[UNIT]]="grs","LSN",IF(Table5[[#This Row],[UNIT]]="LSN","PCS",""))</f>
        <v/>
      </c>
      <c r="N112" s="86" t="str">
        <f>IF(Table5[[#This Row],[a2]]="LSN",Table5[[#This Row],[a1]]*12,"")</f>
        <v/>
      </c>
      <c r="O112" s="86" t="str">
        <f>IF(Table5[[#This Row],[b1]]="","","PCS")</f>
        <v/>
      </c>
      <c r="P112" s="86"/>
    </row>
    <row r="113" spans="1:16" x14ac:dyDescent="0.25">
      <c r="A113" s="88" t="s">
        <v>55</v>
      </c>
      <c r="E113" s="194" t="e">
        <f>MATCH(A113,Table1[H_A1],0)</f>
        <v>#N/A</v>
      </c>
      <c r="F113" s="194" t="e">
        <f>MATCH(Table5[[#This Row],[NAMA]],[1]!db[NB PAJAK],0)</f>
        <v>#N/A</v>
      </c>
      <c r="G113" s="86" t="e">
        <f>INDEX(Table1[Item Description],Table5[[#This Row],[//NOTA]])</f>
        <v>#N/A</v>
      </c>
      <c r="H113" s="86">
        <f>SUMIF(Table1[H_A1],Sheet5!A113,Table1[Qty])</f>
        <v>0</v>
      </c>
      <c r="I113" s="86" t="e">
        <f>INDEX(Table1[Unit],Table5[[#This Row],[//NOTA]])</f>
        <v>#N/A</v>
      </c>
      <c r="J113" s="195">
        <f>SUMIF(Table1[H_A1],Sheet5!A113,Table1[C])</f>
        <v>0</v>
      </c>
      <c r="K113" s="195" t="e">
        <f>INDEX(Table1[Unit Price],Table5[[#This Row],[//NOTA]])</f>
        <v>#N/A</v>
      </c>
      <c r="L113" s="86" t="e">
        <f>IF(Table5[[#This Row],[a2]]="","",Table5[[#This Row],[QTY]]*12)</f>
        <v>#N/A</v>
      </c>
      <c r="M113" s="86" t="e">
        <f>IF(Table5[[#This Row],[UNIT]]="grs","LSN",IF(Table5[[#This Row],[UNIT]]="LSN","PCS",""))</f>
        <v>#N/A</v>
      </c>
      <c r="N113" s="86" t="e">
        <f>IF(Table5[[#This Row],[a2]]="LSN",Table5[[#This Row],[a1]]*12,"")</f>
        <v>#N/A</v>
      </c>
      <c r="O113" s="86" t="e">
        <f>IF(Table5[[#This Row],[b1]]="","","PCS")</f>
        <v>#N/A</v>
      </c>
      <c r="P113" s="86"/>
    </row>
    <row r="114" spans="1:16" x14ac:dyDescent="0.25">
      <c r="E114" s="194" t="e">
        <f>MATCH(A114,Table1[H_A1],0)</f>
        <v>#N/A</v>
      </c>
      <c r="F114" s="194" t="e">
        <f>MATCH(Table5[[#This Row],[NAMA]],[1]!db[NB PAJAK],0)</f>
        <v>#N/A</v>
      </c>
      <c r="G114" s="86" t="e">
        <f>INDEX(Table1[Item Description],Table5[[#This Row],[//NOTA]])</f>
        <v>#N/A</v>
      </c>
      <c r="H114" s="86">
        <f>SUMIF(Table1[H_A1],Sheet5!A114,Table1[Qty])</f>
        <v>0</v>
      </c>
      <c r="I114" s="86" t="e">
        <f>INDEX(Table1[Unit],Table5[[#This Row],[//NOTA]])</f>
        <v>#N/A</v>
      </c>
      <c r="J114" s="195">
        <f>SUMIF(Table1[H_A1],Sheet5!A114,Table1[C])</f>
        <v>0</v>
      </c>
      <c r="K114" s="195" t="e">
        <f>INDEX(Table1[Unit Price],Table5[[#This Row],[//NOTA]])</f>
        <v>#N/A</v>
      </c>
      <c r="L114" s="86" t="e">
        <f>IF(Table5[[#This Row],[a2]]="","",Table5[[#This Row],[QTY]]*12)</f>
        <v>#N/A</v>
      </c>
      <c r="M114" s="86" t="e">
        <f>IF(Table5[[#This Row],[UNIT]]="grs","LSN",IF(Table5[[#This Row],[UNIT]]="LSN","PCS",""))</f>
        <v>#N/A</v>
      </c>
      <c r="N114" s="86" t="e">
        <f>IF(Table5[[#This Row],[a2]]="LSN",Table5[[#This Row],[a1]]*12,"")</f>
        <v>#N/A</v>
      </c>
      <c r="O114" s="86" t="e">
        <f>IF(Table5[[#This Row],[b1]]="","","PCS")</f>
        <v>#N/A</v>
      </c>
      <c r="P114" s="86"/>
    </row>
    <row r="115" spans="1:16" x14ac:dyDescent="0.25">
      <c r="E115" s="194" t="e">
        <f>MATCH(A115,Table1[H_A1],0)</f>
        <v>#N/A</v>
      </c>
      <c r="F115" s="194" t="e">
        <f>MATCH(Table5[[#This Row],[NAMA]],[1]!db[NB PAJAK],0)</f>
        <v>#N/A</v>
      </c>
      <c r="G115" s="86" t="e">
        <f>INDEX(Table1[Item Description],Table5[[#This Row],[//NOTA]])</f>
        <v>#N/A</v>
      </c>
      <c r="H115" s="86">
        <f>SUMIF(Table1[H_A1],Sheet5!A115,Table1[Qty])</f>
        <v>0</v>
      </c>
      <c r="I115" s="86" t="e">
        <f>INDEX(Table1[Unit],Table5[[#This Row],[//NOTA]])</f>
        <v>#N/A</v>
      </c>
      <c r="J115" s="195">
        <f>SUMIF(Table1[H_A1],Sheet5!A115,Table1[C])</f>
        <v>0</v>
      </c>
      <c r="K115" s="195" t="e">
        <f>INDEX(Table1[Unit Price],Table5[[#This Row],[//NOTA]])</f>
        <v>#N/A</v>
      </c>
      <c r="L115" s="86" t="e">
        <f>IF(Table5[[#This Row],[a2]]="","",Table5[[#This Row],[QTY]]*12)</f>
        <v>#N/A</v>
      </c>
      <c r="M115" s="86" t="e">
        <f>IF(Table5[[#This Row],[UNIT]]="grs","LSN",IF(Table5[[#This Row],[UNIT]]="LSN","PCS",""))</f>
        <v>#N/A</v>
      </c>
      <c r="N115" s="86" t="e">
        <f>IF(Table5[[#This Row],[a2]]="LSN",Table5[[#This Row],[a1]]*12,"")</f>
        <v>#N/A</v>
      </c>
      <c r="O115" s="86" t="e">
        <f>IF(Table5[[#This Row],[b1]]="","","PCS")</f>
        <v>#N/A</v>
      </c>
      <c r="P115" s="86"/>
    </row>
    <row r="116" spans="1:16" x14ac:dyDescent="0.25">
      <c r="E116" s="194" t="e">
        <f>MATCH(A116,Table1[H_A1],0)</f>
        <v>#N/A</v>
      </c>
      <c r="F116" s="194" t="e">
        <f>MATCH(Table5[[#This Row],[NAMA]],[1]!db[NB PAJAK],0)</f>
        <v>#N/A</v>
      </c>
      <c r="G116" s="86" t="e">
        <f>INDEX(Table1[Item Description],Table5[[#This Row],[//NOTA]])</f>
        <v>#N/A</v>
      </c>
      <c r="H116" s="86">
        <f>SUMIF(Table1[H_A1],Sheet5!A116,Table1[Qty])</f>
        <v>0</v>
      </c>
      <c r="I116" s="86" t="e">
        <f>INDEX(Table1[Unit],Table5[[#This Row],[//NOTA]])</f>
        <v>#N/A</v>
      </c>
      <c r="J116" s="195">
        <f>SUMIF(Table1[H_A1],Sheet5!A116,Table1[C])</f>
        <v>0</v>
      </c>
      <c r="K116" s="195" t="e">
        <f>INDEX(Table1[Unit Price],Table5[[#This Row],[//NOTA]])</f>
        <v>#N/A</v>
      </c>
      <c r="L116" s="86" t="e">
        <f>IF(Table5[[#This Row],[a2]]="","",Table5[[#This Row],[QTY]]*12)</f>
        <v>#N/A</v>
      </c>
      <c r="M116" s="86" t="e">
        <f>IF(Table5[[#This Row],[UNIT]]="grs","LSN",IF(Table5[[#This Row],[UNIT]]="LSN","PCS",""))</f>
        <v>#N/A</v>
      </c>
      <c r="N116" s="86" t="e">
        <f>IF(Table5[[#This Row],[a2]]="LSN",Table5[[#This Row],[a1]]*12,"")</f>
        <v>#N/A</v>
      </c>
      <c r="O116" s="86" t="e">
        <f>IF(Table5[[#This Row],[b1]]="","","PCS")</f>
        <v>#N/A</v>
      </c>
      <c r="P116" s="86"/>
    </row>
    <row r="117" spans="1:16" x14ac:dyDescent="0.25">
      <c r="E117" s="194" t="e">
        <f>MATCH(A117,Table1[H_A1],0)</f>
        <v>#N/A</v>
      </c>
      <c r="F117" s="194" t="e">
        <f>MATCH(Table5[[#This Row],[NAMA]],[1]!db[NB PAJAK],0)</f>
        <v>#N/A</v>
      </c>
      <c r="G117" s="86" t="e">
        <f>INDEX(Table1[Item Description],Table5[[#This Row],[//NOTA]])</f>
        <v>#N/A</v>
      </c>
      <c r="H117" s="86">
        <f>SUMIF(Table1[H_A1],Sheet5!A117,Table1[Qty])</f>
        <v>0</v>
      </c>
      <c r="I117" s="86" t="e">
        <f>INDEX(Table1[Unit],Table5[[#This Row],[//NOTA]])</f>
        <v>#N/A</v>
      </c>
      <c r="J117" s="195">
        <f>SUMIF(Table1[H_A1],Sheet5!A117,Table1[C])</f>
        <v>0</v>
      </c>
      <c r="K117" s="195" t="e">
        <f>INDEX(Table1[Unit Price],Table5[[#This Row],[//NOTA]])</f>
        <v>#N/A</v>
      </c>
      <c r="L117" s="86" t="e">
        <f>IF(Table5[[#This Row],[a2]]="","",Table5[[#This Row],[QTY]]*12)</f>
        <v>#N/A</v>
      </c>
      <c r="M117" s="86" t="e">
        <f>IF(Table5[[#This Row],[UNIT]]="grs","LSN",IF(Table5[[#This Row],[UNIT]]="LSN","PCS",""))</f>
        <v>#N/A</v>
      </c>
      <c r="N117" s="86" t="e">
        <f>IF(Table5[[#This Row],[a2]]="LSN",Table5[[#This Row],[a1]]*12,"")</f>
        <v>#N/A</v>
      </c>
      <c r="O117" s="86" t="e">
        <f>IF(Table5[[#This Row],[b1]]="","","PCS")</f>
        <v>#N/A</v>
      </c>
      <c r="P117" s="86"/>
    </row>
    <row r="118" spans="1:16" x14ac:dyDescent="0.25">
      <c r="E118" s="194" t="e">
        <f>MATCH(A118,Table1[H_A1],0)</f>
        <v>#N/A</v>
      </c>
      <c r="F118" s="194" t="e">
        <f>MATCH(Table5[[#This Row],[NAMA]],[1]!db[NB PAJAK],0)</f>
        <v>#N/A</v>
      </c>
      <c r="G118" s="86" t="e">
        <f>INDEX(Table1[Item Description],Table5[[#This Row],[//NOTA]])</f>
        <v>#N/A</v>
      </c>
      <c r="H118" s="86">
        <f>SUMIF(Table1[H_A1],Sheet5!A118,Table1[Qty])</f>
        <v>0</v>
      </c>
      <c r="I118" s="86" t="e">
        <f>INDEX(Table1[Unit],Table5[[#This Row],[//NOTA]])</f>
        <v>#N/A</v>
      </c>
      <c r="J118" s="195">
        <f>SUMIF(Table1[H_A1],Sheet5!A118,Table1[C])</f>
        <v>0</v>
      </c>
      <c r="K118" s="195" t="e">
        <f>INDEX(Table1[Unit Price],Table5[[#This Row],[//NOTA]])</f>
        <v>#N/A</v>
      </c>
      <c r="L118" s="86" t="e">
        <f>IF(Table5[[#This Row],[a2]]="","",Table5[[#This Row],[QTY]]*12)</f>
        <v>#N/A</v>
      </c>
      <c r="M118" s="86" t="e">
        <f>IF(Table5[[#This Row],[UNIT]]="grs","LSN",IF(Table5[[#This Row],[UNIT]]="LSN","PCS",""))</f>
        <v>#N/A</v>
      </c>
      <c r="N118" s="86" t="e">
        <f>IF(Table5[[#This Row],[a2]]="LSN",Table5[[#This Row],[a1]]*12,"")</f>
        <v>#N/A</v>
      </c>
      <c r="O118" s="86" t="e">
        <f>IF(Table5[[#This Row],[b1]]="","","PCS")</f>
        <v>#N/A</v>
      </c>
      <c r="P118" s="86"/>
    </row>
    <row r="119" spans="1:16" x14ac:dyDescent="0.25">
      <c r="E119" s="194" t="e">
        <f>MATCH(A119,Table1[H_A1],0)</f>
        <v>#N/A</v>
      </c>
      <c r="F119" s="194" t="e">
        <f>MATCH(Table5[[#This Row],[NAMA]],[1]!db[NB PAJAK],0)</f>
        <v>#N/A</v>
      </c>
      <c r="G119" s="86" t="e">
        <f>INDEX(Table1[Item Description],Table5[[#This Row],[//NOTA]])</f>
        <v>#N/A</v>
      </c>
      <c r="H119" s="86">
        <f>SUMIF(Table1[H_A1],Sheet5!A119,Table1[Qty])</f>
        <v>0</v>
      </c>
      <c r="I119" s="86" t="e">
        <f>INDEX(Table1[Unit],Table5[[#This Row],[//NOTA]])</f>
        <v>#N/A</v>
      </c>
      <c r="J119" s="195">
        <f>SUMIF(Table1[H_A1],Sheet5!A119,Table1[C])</f>
        <v>0</v>
      </c>
      <c r="K119" s="195" t="e">
        <f>INDEX(Table1[Unit Price],Table5[[#This Row],[//NOTA]])</f>
        <v>#N/A</v>
      </c>
      <c r="L119" s="86" t="e">
        <f>IF(Table5[[#This Row],[a2]]="","",Table5[[#This Row],[QTY]]*12)</f>
        <v>#N/A</v>
      </c>
      <c r="M119" s="86" t="e">
        <f>IF(Table5[[#This Row],[UNIT]]="grs","LSN",IF(Table5[[#This Row],[UNIT]]="LSN","PCS",""))</f>
        <v>#N/A</v>
      </c>
      <c r="N119" s="86" t="e">
        <f>IF(Table5[[#This Row],[a2]]="LSN",Table5[[#This Row],[a1]]*12,"")</f>
        <v>#N/A</v>
      </c>
      <c r="O119" s="86" t="e">
        <f>IF(Table5[[#This Row],[b1]]="","","PCS")</f>
        <v>#N/A</v>
      </c>
      <c r="P119" s="86"/>
    </row>
    <row r="120" spans="1:16" x14ac:dyDescent="0.25">
      <c r="E120" s="194" t="e">
        <f>MATCH(A120,Table1[H_A1],0)</f>
        <v>#N/A</v>
      </c>
      <c r="F120" s="194" t="e">
        <f>MATCH(Table5[[#This Row],[NAMA]],[1]!db[NB PAJAK],0)</f>
        <v>#N/A</v>
      </c>
      <c r="G120" s="86" t="e">
        <f>INDEX(Table1[Item Description],Table5[[#This Row],[//NOTA]])</f>
        <v>#N/A</v>
      </c>
      <c r="H120" s="86">
        <f>SUMIF(Table1[H_A1],Sheet5!A120,Table1[Qty])</f>
        <v>0</v>
      </c>
      <c r="I120" s="86" t="e">
        <f>INDEX(Table1[Unit],Table5[[#This Row],[//NOTA]])</f>
        <v>#N/A</v>
      </c>
      <c r="J120" s="195">
        <f>SUMIF(Table1[H_A1],Sheet5!A120,Table1[C])</f>
        <v>0</v>
      </c>
      <c r="K120" s="195" t="e">
        <f>INDEX(Table1[Unit Price],Table5[[#This Row],[//NOTA]])</f>
        <v>#N/A</v>
      </c>
      <c r="L120" s="86" t="e">
        <f>IF(Table5[[#This Row],[a2]]="","",Table5[[#This Row],[QTY]]*12)</f>
        <v>#N/A</v>
      </c>
      <c r="M120" s="86" t="e">
        <f>IF(Table5[[#This Row],[UNIT]]="grs","LSN",IF(Table5[[#This Row],[UNIT]]="LSN","PCS",""))</f>
        <v>#N/A</v>
      </c>
      <c r="N120" s="86" t="e">
        <f>IF(Table5[[#This Row],[a2]]="LSN",Table5[[#This Row],[a1]]*12,"")</f>
        <v>#N/A</v>
      </c>
      <c r="O120" s="86" t="e">
        <f>IF(Table5[[#This Row],[b1]]="","","PCS")</f>
        <v>#N/A</v>
      </c>
      <c r="P120" s="86"/>
    </row>
    <row r="121" spans="1:16" x14ac:dyDescent="0.25">
      <c r="E121" s="194" t="e">
        <f>MATCH(A121,Table1[H_A1],0)</f>
        <v>#N/A</v>
      </c>
      <c r="F121" s="194" t="e">
        <f>MATCH(Table5[[#This Row],[NAMA]],[1]!db[NB PAJAK],0)</f>
        <v>#N/A</v>
      </c>
      <c r="G121" s="86" t="e">
        <f>INDEX(Table1[Item Description],Table5[[#This Row],[//NOTA]])</f>
        <v>#N/A</v>
      </c>
      <c r="H121" s="86">
        <f>SUMIF(Table1[H_A1],Sheet5!A121,Table1[Qty])</f>
        <v>0</v>
      </c>
      <c r="I121" s="86" t="e">
        <f>INDEX(Table1[Unit],Table5[[#This Row],[//NOTA]])</f>
        <v>#N/A</v>
      </c>
      <c r="J121" s="195">
        <f>SUMIF(Table1[H_A1],Sheet5!A121,Table1[C])</f>
        <v>0</v>
      </c>
      <c r="K121" s="195" t="e">
        <f>INDEX(Table1[Unit Price],Table5[[#This Row],[//NOTA]])</f>
        <v>#N/A</v>
      </c>
      <c r="L121" s="86" t="e">
        <f>IF(Table5[[#This Row],[a2]]="","",Table5[[#This Row],[QTY]]*12)</f>
        <v>#N/A</v>
      </c>
      <c r="M121" s="86" t="e">
        <f>IF(Table5[[#This Row],[UNIT]]="grs","LSN",IF(Table5[[#This Row],[UNIT]]="LSN","PCS",""))</f>
        <v>#N/A</v>
      </c>
      <c r="N121" s="86" t="e">
        <f>IF(Table5[[#This Row],[a2]]="LSN",Table5[[#This Row],[a1]]*12,"")</f>
        <v>#N/A</v>
      </c>
      <c r="O121" s="86" t="e">
        <f>IF(Table5[[#This Row],[b1]]="","","PCS")</f>
        <v>#N/A</v>
      </c>
      <c r="P121" s="86"/>
    </row>
    <row r="122" spans="1:16" x14ac:dyDescent="0.25">
      <c r="E122" s="194" t="e">
        <f>MATCH(A122,Table1[H_A1],0)</f>
        <v>#N/A</v>
      </c>
      <c r="F122" s="194" t="e">
        <f>MATCH(Table5[[#This Row],[NAMA]],[1]!db[NB PAJAK],0)</f>
        <v>#N/A</v>
      </c>
      <c r="G122" s="86" t="e">
        <f>INDEX(Table1[Item Description],Table5[[#This Row],[//NOTA]])</f>
        <v>#N/A</v>
      </c>
      <c r="H122" s="86">
        <f>SUMIF(Table1[H_A1],Sheet5!A122,Table1[Qty])</f>
        <v>0</v>
      </c>
      <c r="I122" s="86" t="e">
        <f>INDEX(Table1[Unit],Table5[[#This Row],[//NOTA]])</f>
        <v>#N/A</v>
      </c>
      <c r="J122" s="195">
        <f>SUMIF(Table1[H_A1],Sheet5!A122,Table1[C])</f>
        <v>0</v>
      </c>
      <c r="K122" s="195" t="e">
        <f>INDEX(Table1[Unit Price],Table5[[#This Row],[//NOTA]])</f>
        <v>#N/A</v>
      </c>
      <c r="L122" s="86" t="e">
        <f>IF(Table5[[#This Row],[a2]]="","",Table5[[#This Row],[QTY]]*12)</f>
        <v>#N/A</v>
      </c>
      <c r="M122" s="86" t="e">
        <f>IF(Table5[[#This Row],[UNIT]]="grs","LSN",IF(Table5[[#This Row],[UNIT]]="LSN","PCS",""))</f>
        <v>#N/A</v>
      </c>
      <c r="N122" s="86" t="e">
        <f>IF(Table5[[#This Row],[a2]]="LSN",Table5[[#This Row],[a1]]*12,"")</f>
        <v>#N/A</v>
      </c>
      <c r="O122" s="86" t="e">
        <f>IF(Table5[[#This Row],[b1]]="","","PCS")</f>
        <v>#N/A</v>
      </c>
      <c r="P122" s="86"/>
    </row>
    <row r="123" spans="1:16" x14ac:dyDescent="0.25">
      <c r="E123" s="194" t="e">
        <f>MATCH(A123,Table1[H_A1],0)</f>
        <v>#N/A</v>
      </c>
      <c r="F123" s="194" t="e">
        <f>MATCH(Table5[[#This Row],[NAMA]],[1]!db[NB PAJAK],0)</f>
        <v>#N/A</v>
      </c>
      <c r="G123" s="86" t="e">
        <f>INDEX(Table1[Item Description],Table5[[#This Row],[//NOTA]])</f>
        <v>#N/A</v>
      </c>
      <c r="H123" s="86">
        <f>SUMIF(Table1[H_A1],Sheet5!A123,Table1[Qty])</f>
        <v>0</v>
      </c>
      <c r="I123" s="86" t="e">
        <f>INDEX(Table1[Unit],Table5[[#This Row],[//NOTA]])</f>
        <v>#N/A</v>
      </c>
      <c r="J123" s="195">
        <f>SUMIF(Table1[H_A1],Sheet5!A123,Table1[C])</f>
        <v>0</v>
      </c>
      <c r="K123" s="195" t="e">
        <f>INDEX(Table1[Unit Price],Table5[[#This Row],[//NOTA]])</f>
        <v>#N/A</v>
      </c>
      <c r="L123" s="86" t="e">
        <f>IF(Table5[[#This Row],[a2]]="","",Table5[[#This Row],[QTY]]*12)</f>
        <v>#N/A</v>
      </c>
      <c r="M123" s="86" t="e">
        <f>IF(Table5[[#This Row],[UNIT]]="grs","LSN",IF(Table5[[#This Row],[UNIT]]="LSN","PCS",""))</f>
        <v>#N/A</v>
      </c>
      <c r="N123" s="86" t="e">
        <f>IF(Table5[[#This Row],[a2]]="LSN",Table5[[#This Row],[a1]]*12,"")</f>
        <v>#N/A</v>
      </c>
      <c r="O123" s="86" t="e">
        <f>IF(Table5[[#This Row],[b1]]="","","PCS")</f>
        <v>#N/A</v>
      </c>
      <c r="P123" s="86"/>
    </row>
    <row r="124" spans="1:16" x14ac:dyDescent="0.25">
      <c r="E124" s="194" t="e">
        <f>MATCH(A124,Table1[H_A1],0)</f>
        <v>#N/A</v>
      </c>
      <c r="F124" s="194" t="e">
        <f>MATCH(Table5[[#This Row],[NAMA]],[1]!db[NB PAJAK],0)</f>
        <v>#N/A</v>
      </c>
      <c r="G124" s="86" t="e">
        <f>INDEX(Table1[Item Description],Table5[[#This Row],[//NOTA]])</f>
        <v>#N/A</v>
      </c>
      <c r="H124" s="86">
        <f>SUMIF(Table1[H_A1],Sheet5!A124,Table1[Qty])</f>
        <v>0</v>
      </c>
      <c r="I124" s="86" t="e">
        <f>INDEX(Table1[Unit],Table5[[#This Row],[//NOTA]])</f>
        <v>#N/A</v>
      </c>
      <c r="J124" s="195">
        <f>SUMIF(Table1[H_A1],Sheet5!A124,Table1[C])</f>
        <v>0</v>
      </c>
      <c r="K124" s="195" t="e">
        <f>INDEX(Table1[Unit Price],Table5[[#This Row],[//NOTA]])</f>
        <v>#N/A</v>
      </c>
      <c r="L124" s="86" t="e">
        <f>IF(Table5[[#This Row],[a2]]="","",Table5[[#This Row],[QTY]]*12)</f>
        <v>#N/A</v>
      </c>
      <c r="M124" s="86" t="e">
        <f>IF(Table5[[#This Row],[UNIT]]="grs","LSN",IF(Table5[[#This Row],[UNIT]]="LSN","PCS",""))</f>
        <v>#N/A</v>
      </c>
      <c r="N124" s="86" t="e">
        <f>IF(Table5[[#This Row],[a2]]="LSN",Table5[[#This Row],[a1]]*12,"")</f>
        <v>#N/A</v>
      </c>
      <c r="O124" s="86" t="e">
        <f>IF(Table5[[#This Row],[b1]]="","","PCS")</f>
        <v>#N/A</v>
      </c>
      <c r="P124" s="86"/>
    </row>
    <row r="125" spans="1:16" x14ac:dyDescent="0.25">
      <c r="E125" s="194" t="e">
        <f>MATCH(A125,Table1[H_A1],0)</f>
        <v>#N/A</v>
      </c>
      <c r="F125" s="194" t="e">
        <f>MATCH(Table5[[#This Row],[NAMA]],[1]!db[NB PAJAK],0)</f>
        <v>#N/A</v>
      </c>
      <c r="G125" s="86" t="e">
        <f>INDEX(Table1[Item Description],Table5[[#This Row],[//NOTA]])</f>
        <v>#N/A</v>
      </c>
      <c r="H125" s="86">
        <f>SUMIF(Table1[H_A1],Sheet5!A125,Table1[Qty])</f>
        <v>0</v>
      </c>
      <c r="I125" s="86" t="e">
        <f>INDEX(Table1[Unit],Table5[[#This Row],[//NOTA]])</f>
        <v>#N/A</v>
      </c>
      <c r="J125" s="195">
        <f>SUMIF(Table1[H_A1],Sheet5!A125,Table1[C])</f>
        <v>0</v>
      </c>
      <c r="K125" s="195" t="e">
        <f>INDEX(Table1[Unit Price],Table5[[#This Row],[//NOTA]])</f>
        <v>#N/A</v>
      </c>
      <c r="L125" s="86" t="e">
        <f>IF(Table5[[#This Row],[a2]]="","",Table5[[#This Row],[QTY]]*12)</f>
        <v>#N/A</v>
      </c>
      <c r="M125" s="86" t="e">
        <f>IF(Table5[[#This Row],[UNIT]]="grs","LSN",IF(Table5[[#This Row],[UNIT]]="LSN","PCS",""))</f>
        <v>#N/A</v>
      </c>
      <c r="N125" s="86" t="e">
        <f>IF(Table5[[#This Row],[a2]]="LSN",Table5[[#This Row],[a1]]*12,"")</f>
        <v>#N/A</v>
      </c>
      <c r="O125" s="86" t="e">
        <f>IF(Table5[[#This Row],[b1]]="","","PCS")</f>
        <v>#N/A</v>
      </c>
      <c r="P125" s="86"/>
    </row>
    <row r="126" spans="1:16" x14ac:dyDescent="0.25">
      <c r="E126" s="194" t="e">
        <f>MATCH(A126,Table1[H_A1],0)</f>
        <v>#N/A</v>
      </c>
      <c r="F126" s="194" t="e">
        <f>MATCH(Table5[[#This Row],[NAMA]],[1]!db[NB PAJAK],0)</f>
        <v>#N/A</v>
      </c>
      <c r="G126" s="86" t="e">
        <f>INDEX(Table1[Item Description],Table5[[#This Row],[//NOTA]])</f>
        <v>#N/A</v>
      </c>
      <c r="H126" s="86">
        <f>SUMIF(Table1[H_A1],Sheet5!A126,Table1[Qty])</f>
        <v>0</v>
      </c>
      <c r="I126" s="86" t="e">
        <f>INDEX(Table1[Unit],Table5[[#This Row],[//NOTA]])</f>
        <v>#N/A</v>
      </c>
      <c r="J126" s="195">
        <f>SUMIF(Table1[H_A1],Sheet5!A126,Table1[C])</f>
        <v>0</v>
      </c>
      <c r="K126" s="195" t="e">
        <f>INDEX(Table1[Unit Price],Table5[[#This Row],[//NOTA]])</f>
        <v>#N/A</v>
      </c>
      <c r="L126" s="86" t="e">
        <f>IF(Table5[[#This Row],[a2]]="","",Table5[[#This Row],[QTY]]*12)</f>
        <v>#N/A</v>
      </c>
      <c r="M126" s="86" t="e">
        <f>IF(Table5[[#This Row],[UNIT]]="grs","LSN",IF(Table5[[#This Row],[UNIT]]="LSN","PCS",""))</f>
        <v>#N/A</v>
      </c>
      <c r="N126" s="86" t="e">
        <f>IF(Table5[[#This Row],[a2]]="LSN",Table5[[#This Row],[a1]]*12,"")</f>
        <v>#N/A</v>
      </c>
      <c r="O126" s="86" t="e">
        <f>IF(Table5[[#This Row],[b1]]="","","PCS")</f>
        <v>#N/A</v>
      </c>
      <c r="P126" s="86"/>
    </row>
    <row r="127" spans="1:16" x14ac:dyDescent="0.25">
      <c r="E127" s="194" t="e">
        <f>MATCH(A127,Table1[H_A1],0)</f>
        <v>#N/A</v>
      </c>
      <c r="F127" s="194" t="e">
        <f>MATCH(Table5[[#This Row],[NAMA]],[1]!db[NB PAJAK],0)</f>
        <v>#N/A</v>
      </c>
      <c r="G127" s="86" t="e">
        <f>INDEX(Table1[Item Description],Table5[[#This Row],[//NOTA]])</f>
        <v>#N/A</v>
      </c>
      <c r="H127" s="86">
        <f>SUMIF(Table1[H_A1],Sheet5!A127,Table1[Qty])</f>
        <v>0</v>
      </c>
      <c r="I127" s="86" t="e">
        <f>INDEX(Table1[Unit],Table5[[#This Row],[//NOTA]])</f>
        <v>#N/A</v>
      </c>
      <c r="J127" s="195">
        <f>SUMIF(Table1[H_A1],Sheet5!A127,Table1[C])</f>
        <v>0</v>
      </c>
      <c r="K127" s="195" t="e">
        <f>INDEX(Table1[Unit Price],Table5[[#This Row],[//NOTA]])</f>
        <v>#N/A</v>
      </c>
      <c r="L127" s="86" t="e">
        <f>IF(Table5[[#This Row],[a2]]="","",Table5[[#This Row],[QTY]]*12)</f>
        <v>#N/A</v>
      </c>
      <c r="M127" s="86" t="e">
        <f>IF(Table5[[#This Row],[UNIT]]="grs","LSN",IF(Table5[[#This Row],[UNIT]]="LSN","PCS",""))</f>
        <v>#N/A</v>
      </c>
      <c r="N127" s="86" t="e">
        <f>IF(Table5[[#This Row],[a2]]="LSN",Table5[[#This Row],[a1]]*12,"")</f>
        <v>#N/A</v>
      </c>
      <c r="O127" s="86" t="e">
        <f>IF(Table5[[#This Row],[b1]]="","","PCS")</f>
        <v>#N/A</v>
      </c>
      <c r="P127" s="86"/>
    </row>
    <row r="128" spans="1:16" x14ac:dyDescent="0.25">
      <c r="E128" s="194" t="e">
        <f>MATCH(A128,Table1[H_A1],0)</f>
        <v>#N/A</v>
      </c>
      <c r="F128" s="194" t="e">
        <f>MATCH(Table5[[#This Row],[NAMA]],[1]!db[NB PAJAK],0)</f>
        <v>#N/A</v>
      </c>
      <c r="G128" s="86" t="e">
        <f>INDEX(Table1[Item Description],Table5[[#This Row],[//NOTA]])</f>
        <v>#N/A</v>
      </c>
      <c r="H128" s="86">
        <f>SUMIF(Table1[H_A1],Sheet5!A128,Table1[Qty])</f>
        <v>0</v>
      </c>
      <c r="I128" s="86" t="e">
        <f>INDEX(Table1[Unit],Table5[[#This Row],[//NOTA]])</f>
        <v>#N/A</v>
      </c>
      <c r="J128" s="195">
        <f>SUMIF(Table1[H_A1],Sheet5!A128,Table1[C])</f>
        <v>0</v>
      </c>
      <c r="K128" s="195" t="e">
        <f>INDEX(Table1[Unit Price],Table5[[#This Row],[//NOTA]])</f>
        <v>#N/A</v>
      </c>
      <c r="L128" s="86" t="e">
        <f>IF(Table5[[#This Row],[a2]]="","",Table5[[#This Row],[QTY]]*12)</f>
        <v>#N/A</v>
      </c>
      <c r="M128" s="86" t="e">
        <f>IF(Table5[[#This Row],[UNIT]]="grs","LSN",IF(Table5[[#This Row],[UNIT]]="LSN","PCS",""))</f>
        <v>#N/A</v>
      </c>
      <c r="N128" s="86" t="e">
        <f>IF(Table5[[#This Row],[a2]]="LSN",Table5[[#This Row],[a1]]*12,"")</f>
        <v>#N/A</v>
      </c>
      <c r="O128" s="86" t="e">
        <f>IF(Table5[[#This Row],[b1]]="","","PCS")</f>
        <v>#N/A</v>
      </c>
      <c r="P128" s="86"/>
    </row>
    <row r="129" spans="5:16" x14ac:dyDescent="0.25">
      <c r="E129" s="194" t="e">
        <f>MATCH(A129,Table1[H_A1],0)</f>
        <v>#N/A</v>
      </c>
      <c r="F129" s="194" t="e">
        <f>MATCH(Table5[[#This Row],[NAMA]],[1]!db[NB PAJAK],0)</f>
        <v>#N/A</v>
      </c>
      <c r="G129" s="86" t="e">
        <f>INDEX(Table1[Item Description],Table5[[#This Row],[//NOTA]])</f>
        <v>#N/A</v>
      </c>
      <c r="H129" s="86">
        <f>SUMIF(Table1[H_A1],Sheet5!A129,Table1[Qty])</f>
        <v>0</v>
      </c>
      <c r="I129" s="86" t="e">
        <f>INDEX(Table1[Unit],Table5[[#This Row],[//NOTA]])</f>
        <v>#N/A</v>
      </c>
      <c r="J129" s="195">
        <f>SUMIF(Table1[H_A1],Sheet5!A129,Table1[C])</f>
        <v>0</v>
      </c>
      <c r="K129" s="195" t="e">
        <f>INDEX(Table1[Unit Price],Table5[[#This Row],[//NOTA]])</f>
        <v>#N/A</v>
      </c>
      <c r="L129" s="86" t="e">
        <f>IF(Table5[[#This Row],[a2]]="","",Table5[[#This Row],[QTY]]*12)</f>
        <v>#N/A</v>
      </c>
      <c r="M129" s="86" t="e">
        <f>IF(Table5[[#This Row],[UNIT]]="grs","LSN",IF(Table5[[#This Row],[UNIT]]="LSN","PCS",""))</f>
        <v>#N/A</v>
      </c>
      <c r="N129" s="86" t="e">
        <f>IF(Table5[[#This Row],[a2]]="LSN",Table5[[#This Row],[a1]]*12,"")</f>
        <v>#N/A</v>
      </c>
      <c r="O129" s="86" t="e">
        <f>IF(Table5[[#This Row],[b1]]="","","PCS")</f>
        <v>#N/A</v>
      </c>
      <c r="P129" s="86"/>
    </row>
    <row r="130" spans="5:16" x14ac:dyDescent="0.25">
      <c r="E130" s="194" t="e">
        <f>MATCH(A130,Table1[H_A1],0)</f>
        <v>#N/A</v>
      </c>
      <c r="F130" s="194" t="e">
        <f>MATCH(Table5[[#This Row],[NAMA]],[1]!db[NB PAJAK],0)</f>
        <v>#N/A</v>
      </c>
      <c r="G130" s="86" t="e">
        <f>INDEX(Table1[Item Description],Table5[[#This Row],[//NOTA]])</f>
        <v>#N/A</v>
      </c>
      <c r="H130" s="86">
        <f>SUMIF(Table1[H_A1],Sheet5!A130,Table1[Qty])</f>
        <v>0</v>
      </c>
      <c r="I130" s="86" t="e">
        <f>INDEX(Table1[Unit],Table5[[#This Row],[//NOTA]])</f>
        <v>#N/A</v>
      </c>
      <c r="J130" s="195">
        <f>SUMIF(Table1[H_A1],Sheet5!A130,Table1[C])</f>
        <v>0</v>
      </c>
      <c r="K130" s="195" t="e">
        <f>INDEX(Table1[Unit Price],Table5[[#This Row],[//NOTA]])</f>
        <v>#N/A</v>
      </c>
      <c r="L130" s="86" t="e">
        <f>IF(Table5[[#This Row],[a2]]="","",Table5[[#This Row],[QTY]]*12)</f>
        <v>#N/A</v>
      </c>
      <c r="M130" s="86" t="e">
        <f>IF(Table5[[#This Row],[UNIT]]="grs","LSN",IF(Table5[[#This Row],[UNIT]]="LSN","PCS",""))</f>
        <v>#N/A</v>
      </c>
      <c r="N130" s="86" t="e">
        <f>IF(Table5[[#This Row],[a2]]="LSN",Table5[[#This Row],[a1]]*12,"")</f>
        <v>#N/A</v>
      </c>
      <c r="O130" s="86" t="e">
        <f>IF(Table5[[#This Row],[b1]]="","","PCS")</f>
        <v>#N/A</v>
      </c>
      <c r="P130" s="86"/>
    </row>
    <row r="131" spans="5:16" x14ac:dyDescent="0.25">
      <c r="E131" s="194" t="e">
        <f>MATCH(A131,Table1[H_A1],0)</f>
        <v>#N/A</v>
      </c>
      <c r="F131" s="194" t="e">
        <f>MATCH(Table5[[#This Row],[NAMA]],[1]!db[NB PAJAK],0)</f>
        <v>#N/A</v>
      </c>
      <c r="G131" s="86" t="e">
        <f>INDEX(Table1[Item Description],Table5[[#This Row],[//NOTA]])</f>
        <v>#N/A</v>
      </c>
      <c r="H131" s="86">
        <f>SUMIF(Table1[H_A1],Sheet5!A131,Table1[Qty])</f>
        <v>0</v>
      </c>
      <c r="I131" s="86" t="e">
        <f>INDEX(Table1[Unit],Table5[[#This Row],[//NOTA]])</f>
        <v>#N/A</v>
      </c>
      <c r="J131" s="195">
        <f>SUMIF(Table1[H_A1],Sheet5!A131,Table1[C])</f>
        <v>0</v>
      </c>
      <c r="K131" s="195" t="e">
        <f>INDEX(Table1[Unit Price],Table5[[#This Row],[//NOTA]])</f>
        <v>#N/A</v>
      </c>
      <c r="L131" s="86" t="e">
        <f>IF(Table5[[#This Row],[a2]]="","",Table5[[#This Row],[QTY]]*12)</f>
        <v>#N/A</v>
      </c>
      <c r="M131" s="86" t="e">
        <f>IF(Table5[[#This Row],[UNIT]]="grs","LSN",IF(Table5[[#This Row],[UNIT]]="LSN","PCS",""))</f>
        <v>#N/A</v>
      </c>
      <c r="N131" s="86" t="e">
        <f>IF(Table5[[#This Row],[a2]]="LSN",Table5[[#This Row],[a1]]*12,"")</f>
        <v>#N/A</v>
      </c>
      <c r="O131" s="86" t="e">
        <f>IF(Table5[[#This Row],[b1]]="","","PCS")</f>
        <v>#N/A</v>
      </c>
      <c r="P131" s="86"/>
    </row>
    <row r="132" spans="5:16" x14ac:dyDescent="0.25">
      <c r="E132" s="194" t="e">
        <f>MATCH(A132,Table1[H_A1],0)</f>
        <v>#N/A</v>
      </c>
      <c r="F132" s="194" t="e">
        <f>MATCH(Table5[[#This Row],[NAMA]],[1]!db[NB PAJAK],0)</f>
        <v>#N/A</v>
      </c>
      <c r="G132" s="86" t="e">
        <f>INDEX(Table1[Item Description],Table5[[#This Row],[//NOTA]])</f>
        <v>#N/A</v>
      </c>
      <c r="H132" s="86">
        <f>SUMIF(Table1[H_A1],Sheet5!A132,Table1[Qty])</f>
        <v>0</v>
      </c>
      <c r="I132" s="86" t="e">
        <f>INDEX(Table1[Unit],Table5[[#This Row],[//NOTA]])</f>
        <v>#N/A</v>
      </c>
      <c r="J132" s="195">
        <f>SUMIF(Table1[H_A1],Sheet5!A132,Table1[C])</f>
        <v>0</v>
      </c>
      <c r="K132" s="195" t="e">
        <f>INDEX(Table1[Unit Price],Table5[[#This Row],[//NOTA]])</f>
        <v>#N/A</v>
      </c>
      <c r="L132" s="86" t="e">
        <f>IF(Table5[[#This Row],[a2]]="","",Table5[[#This Row],[QTY]]*12)</f>
        <v>#N/A</v>
      </c>
      <c r="M132" s="86" t="e">
        <f>IF(Table5[[#This Row],[UNIT]]="grs","LSN",IF(Table5[[#This Row],[UNIT]]="LSN","PCS",""))</f>
        <v>#N/A</v>
      </c>
      <c r="N132" s="86" t="e">
        <f>IF(Table5[[#This Row],[a2]]="LSN",Table5[[#This Row],[a1]]*12,"")</f>
        <v>#N/A</v>
      </c>
      <c r="O132" s="86" t="e">
        <f>IF(Table5[[#This Row],[b1]]="","","PCS")</f>
        <v>#N/A</v>
      </c>
      <c r="P132" s="86"/>
    </row>
    <row r="133" spans="5:16" x14ac:dyDescent="0.25">
      <c r="E133" s="194" t="e">
        <f>MATCH(A133,Table1[H_A1],0)</f>
        <v>#N/A</v>
      </c>
      <c r="F133" s="194" t="e">
        <f>MATCH(Table5[[#This Row],[NAMA]],[1]!db[NB PAJAK],0)</f>
        <v>#N/A</v>
      </c>
      <c r="G133" s="86" t="e">
        <f>INDEX(Table1[Item Description],Table5[[#This Row],[//NOTA]])</f>
        <v>#N/A</v>
      </c>
      <c r="H133" s="86">
        <f>SUMIF(Table1[H_A1],Sheet5!A133,Table1[Qty])</f>
        <v>0</v>
      </c>
      <c r="I133" s="86" t="e">
        <f>INDEX(Table1[Unit],Table5[[#This Row],[//NOTA]])</f>
        <v>#N/A</v>
      </c>
      <c r="J133" s="195">
        <f>SUMIF(Table1[H_A1],Sheet5!A133,Table1[C])</f>
        <v>0</v>
      </c>
      <c r="K133" s="195" t="e">
        <f>INDEX(Table1[Unit Price],Table5[[#This Row],[//NOTA]])</f>
        <v>#N/A</v>
      </c>
      <c r="L133" s="86" t="e">
        <f>IF(Table5[[#This Row],[a2]]="","",Table5[[#This Row],[QTY]]*12)</f>
        <v>#N/A</v>
      </c>
      <c r="M133" s="86" t="e">
        <f>IF(Table5[[#This Row],[UNIT]]="grs","LSN",IF(Table5[[#This Row],[UNIT]]="LSN","PCS",""))</f>
        <v>#N/A</v>
      </c>
      <c r="N133" s="86" t="e">
        <f>IF(Table5[[#This Row],[a2]]="LSN",Table5[[#This Row],[a1]]*12,"")</f>
        <v>#N/A</v>
      </c>
      <c r="O133" s="86" t="e">
        <f>IF(Table5[[#This Row],[b1]]="","","PCS")</f>
        <v>#N/A</v>
      </c>
      <c r="P133" s="86"/>
    </row>
    <row r="134" spans="5:16" x14ac:dyDescent="0.25">
      <c r="E134" s="194" t="e">
        <f>MATCH(A134,Table1[H_A1],0)</f>
        <v>#N/A</v>
      </c>
      <c r="F134" s="194" t="e">
        <f>MATCH(Table5[[#This Row],[NAMA]],[1]!db[NB PAJAK],0)</f>
        <v>#N/A</v>
      </c>
      <c r="G134" s="86" t="e">
        <f>INDEX(Table1[Item Description],Table5[[#This Row],[//NOTA]])</f>
        <v>#N/A</v>
      </c>
      <c r="H134" s="86">
        <f>SUMIF(Table1[H_A1],Sheet5!A134,Table1[Qty])</f>
        <v>0</v>
      </c>
      <c r="I134" s="86" t="e">
        <f>INDEX(Table1[Unit],Table5[[#This Row],[//NOTA]])</f>
        <v>#N/A</v>
      </c>
      <c r="J134" s="195">
        <f>SUMIF(Table1[H_A1],Sheet5!A134,Table1[C])</f>
        <v>0</v>
      </c>
      <c r="K134" s="195" t="e">
        <f>INDEX(Table1[Unit Price],Table5[[#This Row],[//NOTA]])</f>
        <v>#N/A</v>
      </c>
      <c r="L134" s="86" t="e">
        <f>IF(Table5[[#This Row],[a2]]="","",Table5[[#This Row],[QTY]]*12)</f>
        <v>#N/A</v>
      </c>
      <c r="M134" s="86" t="e">
        <f>IF(Table5[[#This Row],[UNIT]]="grs","LSN",IF(Table5[[#This Row],[UNIT]]="LSN","PCS",""))</f>
        <v>#N/A</v>
      </c>
      <c r="N134" s="86" t="e">
        <f>IF(Table5[[#This Row],[a2]]="LSN",Table5[[#This Row],[a1]]*12,"")</f>
        <v>#N/A</v>
      </c>
      <c r="O134" s="86" t="e">
        <f>IF(Table5[[#This Row],[b1]]="","","PCS")</f>
        <v>#N/A</v>
      </c>
      <c r="P134" s="86"/>
    </row>
    <row r="135" spans="5:16" x14ac:dyDescent="0.25">
      <c r="E135" s="194" t="e">
        <f>MATCH(A135,Table1[H_A1],0)</f>
        <v>#N/A</v>
      </c>
      <c r="F135" s="194" t="e">
        <f>MATCH(Table5[[#This Row],[NAMA]],[1]!db[NB PAJAK],0)</f>
        <v>#N/A</v>
      </c>
      <c r="G135" s="86" t="e">
        <f>INDEX(Table1[Item Description],Table5[[#This Row],[//NOTA]])</f>
        <v>#N/A</v>
      </c>
      <c r="H135" s="86">
        <f>SUMIF(Table1[H_A1],Sheet5!A135,Table1[Qty])</f>
        <v>0</v>
      </c>
      <c r="I135" s="86" t="e">
        <f>INDEX(Table1[Unit],Table5[[#This Row],[//NOTA]])</f>
        <v>#N/A</v>
      </c>
      <c r="J135" s="195">
        <f>SUMIF(Table1[H_A1],Sheet5!A135,Table1[C])</f>
        <v>0</v>
      </c>
      <c r="K135" s="195" t="e">
        <f>INDEX(Table1[Unit Price],Table5[[#This Row],[//NOTA]])</f>
        <v>#N/A</v>
      </c>
      <c r="L135" s="86" t="e">
        <f>IF(Table5[[#This Row],[a2]]="","",Table5[[#This Row],[QTY]]*12)</f>
        <v>#N/A</v>
      </c>
      <c r="M135" s="86" t="e">
        <f>IF(Table5[[#This Row],[UNIT]]="grs","LSN",IF(Table5[[#This Row],[UNIT]]="LSN","PCS",""))</f>
        <v>#N/A</v>
      </c>
      <c r="N135" s="86" t="e">
        <f>IF(Table5[[#This Row],[a2]]="LSN",Table5[[#This Row],[a1]]*12,"")</f>
        <v>#N/A</v>
      </c>
      <c r="O135" s="86" t="e">
        <f>IF(Table5[[#This Row],[b1]]="","","PCS")</f>
        <v>#N/A</v>
      </c>
      <c r="P135" s="86"/>
    </row>
    <row r="136" spans="5:16" x14ac:dyDescent="0.25">
      <c r="E136" s="194" t="e">
        <f>MATCH(A136,Table1[H_A1],0)</f>
        <v>#N/A</v>
      </c>
      <c r="F136" s="194" t="e">
        <f>MATCH(Table5[[#This Row],[NAMA]],[1]!db[NB PAJAK],0)</f>
        <v>#N/A</v>
      </c>
      <c r="G136" s="86" t="e">
        <f>INDEX(Table1[Item Description],Table5[[#This Row],[//NOTA]])</f>
        <v>#N/A</v>
      </c>
      <c r="H136" s="86">
        <f>SUMIF(Table1[H_A1],Sheet5!A136,Table1[Qty])</f>
        <v>0</v>
      </c>
      <c r="I136" s="86" t="e">
        <f>INDEX(Table1[Unit],Table5[[#This Row],[//NOTA]])</f>
        <v>#N/A</v>
      </c>
      <c r="J136" s="195">
        <f>SUMIF(Table1[H_A1],Sheet5!A136,Table1[C])</f>
        <v>0</v>
      </c>
      <c r="K136" s="195" t="e">
        <f>INDEX(Table1[Unit Price],Table5[[#This Row],[//NOTA]])</f>
        <v>#N/A</v>
      </c>
      <c r="L136" s="86" t="e">
        <f>IF(Table5[[#This Row],[a2]]="","",Table5[[#This Row],[QTY]]*12)</f>
        <v>#N/A</v>
      </c>
      <c r="M136" s="86" t="e">
        <f>IF(Table5[[#This Row],[UNIT]]="grs","LSN",IF(Table5[[#This Row],[UNIT]]="LSN","PCS",""))</f>
        <v>#N/A</v>
      </c>
      <c r="N136" s="86" t="e">
        <f>IF(Table5[[#This Row],[a2]]="LSN",Table5[[#This Row],[a1]]*12,"")</f>
        <v>#N/A</v>
      </c>
      <c r="O136" s="86" t="e">
        <f>IF(Table5[[#This Row],[b1]]="","","PCS")</f>
        <v>#N/A</v>
      </c>
      <c r="P136" s="86"/>
    </row>
    <row r="137" spans="5:16" x14ac:dyDescent="0.25">
      <c r="E137" s="194" t="e">
        <f>MATCH(A137,Table1[H_A1],0)</f>
        <v>#N/A</v>
      </c>
      <c r="F137" s="194" t="e">
        <f>MATCH(Table5[[#This Row],[NAMA]],[1]!db[NB PAJAK],0)</f>
        <v>#N/A</v>
      </c>
      <c r="G137" s="86" t="e">
        <f>INDEX(Table1[Item Description],Table5[[#This Row],[//NOTA]])</f>
        <v>#N/A</v>
      </c>
      <c r="H137" s="86">
        <f>SUMIF(Table1[H_A1],Sheet5!A137,Table1[Qty])</f>
        <v>0</v>
      </c>
      <c r="I137" s="86" t="e">
        <f>INDEX(Table1[Unit],Table5[[#This Row],[//NOTA]])</f>
        <v>#N/A</v>
      </c>
      <c r="J137" s="195">
        <f>SUMIF(Table1[H_A1],Sheet5!A137,Table1[C])</f>
        <v>0</v>
      </c>
      <c r="K137" s="195" t="e">
        <f>INDEX(Table1[Unit Price],Table5[[#This Row],[//NOTA]])</f>
        <v>#N/A</v>
      </c>
      <c r="L137" s="86" t="e">
        <f>IF(Table5[[#This Row],[a2]]="","",Table5[[#This Row],[QTY]]*12)</f>
        <v>#N/A</v>
      </c>
      <c r="M137" s="86" t="e">
        <f>IF(Table5[[#This Row],[UNIT]]="grs","LSN",IF(Table5[[#This Row],[UNIT]]="LSN","PCS",""))</f>
        <v>#N/A</v>
      </c>
      <c r="N137" s="86" t="e">
        <f>IF(Table5[[#This Row],[a2]]="LSN",Table5[[#This Row],[a1]]*12,"")</f>
        <v>#N/A</v>
      </c>
      <c r="O137" s="86" t="e">
        <f>IF(Table5[[#This Row],[b1]]="","","PCS")</f>
        <v>#N/A</v>
      </c>
      <c r="P137" s="86"/>
    </row>
    <row r="138" spans="5:16" x14ac:dyDescent="0.25">
      <c r="E138" s="194" t="e">
        <f>MATCH(A138,Table1[H_A1],0)</f>
        <v>#N/A</v>
      </c>
      <c r="F138" s="194" t="e">
        <f>MATCH(Table5[[#This Row],[NAMA]],[1]!db[NB PAJAK],0)</f>
        <v>#N/A</v>
      </c>
      <c r="G138" s="86" t="e">
        <f>INDEX(Table1[Item Description],Table5[[#This Row],[//NOTA]])</f>
        <v>#N/A</v>
      </c>
      <c r="H138" s="86">
        <f>SUMIF(Table1[H_A1],Sheet5!A138,Table1[Qty])</f>
        <v>0</v>
      </c>
      <c r="I138" s="86" t="e">
        <f>INDEX(Table1[Unit],Table5[[#This Row],[//NOTA]])</f>
        <v>#N/A</v>
      </c>
      <c r="J138" s="195">
        <f>SUMIF(Table1[H_A1],Sheet5!A138,Table1[C])</f>
        <v>0</v>
      </c>
      <c r="K138" s="195" t="e">
        <f>INDEX(Table1[Unit Price],Table5[[#This Row],[//NOTA]])</f>
        <v>#N/A</v>
      </c>
      <c r="L138" s="86" t="e">
        <f>IF(Table5[[#This Row],[a2]]="","",Table5[[#This Row],[QTY]]*12)</f>
        <v>#N/A</v>
      </c>
      <c r="M138" s="86" t="e">
        <f>IF(Table5[[#This Row],[UNIT]]="grs","LSN",IF(Table5[[#This Row],[UNIT]]="LSN","PCS",""))</f>
        <v>#N/A</v>
      </c>
      <c r="N138" s="86" t="e">
        <f>IF(Table5[[#This Row],[a2]]="LSN",Table5[[#This Row],[a1]]*12,"")</f>
        <v>#N/A</v>
      </c>
      <c r="O138" s="86" t="e">
        <f>IF(Table5[[#This Row],[b1]]="","","PCS")</f>
        <v>#N/A</v>
      </c>
      <c r="P138" s="86"/>
    </row>
    <row r="139" spans="5:16" x14ac:dyDescent="0.25">
      <c r="E139" s="194" t="e">
        <f>MATCH(A139,Table1[H_A1],0)</f>
        <v>#N/A</v>
      </c>
      <c r="F139" s="194" t="e">
        <f>MATCH(Table5[[#This Row],[NAMA]],[1]!db[NB PAJAK],0)</f>
        <v>#N/A</v>
      </c>
      <c r="G139" s="86" t="e">
        <f>INDEX(Table1[Item Description],Table5[[#This Row],[//NOTA]])</f>
        <v>#N/A</v>
      </c>
      <c r="H139" s="86">
        <f>SUMIF(Table1[H_A1],Sheet5!A139,Table1[Qty])</f>
        <v>0</v>
      </c>
      <c r="I139" s="86" t="e">
        <f>INDEX(Table1[Unit],Table5[[#This Row],[//NOTA]])</f>
        <v>#N/A</v>
      </c>
      <c r="J139" s="195">
        <f>SUMIF(Table1[H_A1],Sheet5!A139,Table1[C])</f>
        <v>0</v>
      </c>
      <c r="K139" s="195" t="e">
        <f>INDEX(Table1[Unit Price],Table5[[#This Row],[//NOTA]])</f>
        <v>#N/A</v>
      </c>
      <c r="L139" s="86" t="e">
        <f>IF(Table5[[#This Row],[a2]]="","",Table5[[#This Row],[QTY]]*12)</f>
        <v>#N/A</v>
      </c>
      <c r="M139" s="86" t="e">
        <f>IF(Table5[[#This Row],[UNIT]]="grs","LSN",IF(Table5[[#This Row],[UNIT]]="LSN","PCS",""))</f>
        <v>#N/A</v>
      </c>
      <c r="N139" s="86" t="e">
        <f>IF(Table5[[#This Row],[a2]]="LSN",Table5[[#This Row],[a1]]*12,"")</f>
        <v>#N/A</v>
      </c>
      <c r="O139" s="86" t="e">
        <f>IF(Table5[[#This Row],[b1]]="","","PCS")</f>
        <v>#N/A</v>
      </c>
      <c r="P139" s="86"/>
    </row>
  </sheetData>
  <conditionalFormatting sqref="G2:G139">
    <cfRule type="duplicateValues" dxfId="42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8"/>
  <sheetViews>
    <sheetView workbookViewId="0">
      <selection activeCell="A23" sqref="A23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11" x14ac:dyDescent="0.25">
      <c r="A1" t="s">
        <v>34</v>
      </c>
    </row>
    <row r="2" spans="1:11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11" x14ac:dyDescent="0.25">
      <c r="A3" t="s">
        <v>42</v>
      </c>
      <c r="B3" t="s">
        <v>17</v>
      </c>
      <c r="D3" t="s">
        <v>19</v>
      </c>
      <c r="E3" t="str">
        <f>CONCATENATE(Table2[[#This Row],[b]],IF(Table2[[#This Row],[c]]=""," ",CONCATENATE(" ",Table2[[#This Row],[c]]," ")),Table2[[#This Row],[d]])</f>
        <v>CV TRINITY CENTRAAL PURWOKERTO</v>
      </c>
      <c r="K3">
        <f>95040+106920+106920+75600+194400+146880+97200+138000+234000+123120+99000+401760+307800+325620+457920+83700</f>
        <v>2993880</v>
      </c>
    </row>
    <row r="4" spans="1:11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11" x14ac:dyDescent="0.25">
      <c r="A5" t="s">
        <v>60</v>
      </c>
      <c r="B5" t="s">
        <v>62</v>
      </c>
      <c r="C5" t="s">
        <v>61</v>
      </c>
      <c r="D5" t="s">
        <v>19</v>
      </c>
      <c r="E5" s="86" t="str">
        <f>CONCATENATE(Table2[[#This Row],[b]],IF(Table2[[#This Row],[c]]=""," ",CONCATENATE(" ",Table2[[#This Row],[c]]," ")),Table2[[#This Row],[d]])</f>
        <v>CV PELITA JAYA (ANUGERAH SEJAHTERA) PURWOKERTO</v>
      </c>
    </row>
    <row r="6" spans="1:11" x14ac:dyDescent="0.25">
      <c r="A6" t="s">
        <v>63</v>
      </c>
      <c r="B6" t="s">
        <v>64</v>
      </c>
      <c r="D6" t="s">
        <v>29</v>
      </c>
      <c r="E6" s="86" t="str">
        <f>CONCATENATE(Table2[[#This Row],[b]],IF(Table2[[#This Row],[c]]=""," ",CONCATENATE(" ",Table2[[#This Row],[c]]," ")),Table2[[#This Row],[d]])</f>
        <v>SINAR BHAKTI YOGYAKARTA</v>
      </c>
    </row>
    <row r="7" spans="1:11" x14ac:dyDescent="0.25">
      <c r="A7" t="s">
        <v>103</v>
      </c>
      <c r="B7" t="s">
        <v>67</v>
      </c>
      <c r="C7" t="s">
        <v>65</v>
      </c>
      <c r="D7" t="s">
        <v>66</v>
      </c>
      <c r="E7" s="86" t="str">
        <f>CONCATENATE(Table2[[#This Row],[b]],IF(Table2[[#This Row],[c]]=""," ",CONCATENATE(" ",Table2[[#This Row],[c]]," ")),Table2[[#This Row],[d]])</f>
        <v>LILY JULIAWATI (REJO AGUNG) JOMBANG</v>
      </c>
    </row>
    <row r="8" spans="1:11" x14ac:dyDescent="0.25">
      <c r="A8" t="s">
        <v>102</v>
      </c>
      <c r="B8" t="s">
        <v>68</v>
      </c>
      <c r="D8" t="s">
        <v>69</v>
      </c>
      <c r="E8" s="86" t="str">
        <f>CONCATENATE(Table2[[#This Row],[b]],IF(Table2[[#This Row],[c]]=""," ",CONCATENATE(" ",Table2[[#This Row],[c]]," ")),Table2[[#This Row],[d]])</f>
        <v>CV UTAMA PUTRA TULUNG AGUNG</v>
      </c>
    </row>
    <row r="9" spans="1:11" x14ac:dyDescent="0.25">
      <c r="A9" t="s">
        <v>70</v>
      </c>
      <c r="B9" t="s">
        <v>71</v>
      </c>
      <c r="D9" t="s">
        <v>72</v>
      </c>
      <c r="E9" s="86" t="str">
        <f>CONCATENATE(Table2[[#This Row],[b]],IF(Table2[[#This Row],[c]]=""," ",CONCATENATE(" ",Table2[[#This Row],[c]]," ")),Table2[[#This Row],[d]])</f>
        <v>CV RAINBOW NUSANTARA SIDOARJO</v>
      </c>
    </row>
    <row r="10" spans="1:11" x14ac:dyDescent="0.25">
      <c r="A10" t="s">
        <v>73</v>
      </c>
      <c r="B10" t="s">
        <v>74</v>
      </c>
      <c r="C10" t="s">
        <v>75</v>
      </c>
      <c r="D10" t="s">
        <v>76</v>
      </c>
      <c r="E10" s="86" t="str">
        <f>CONCATENATE(Table2[[#This Row],[b]],IF(Table2[[#This Row],[c]]=""," ",CONCATENATE(" ",Table2[[#This Row],[c]]," ")),Table2[[#This Row],[d]])</f>
        <v>HARNOYO (BENDAN) PEKALONGAN</v>
      </c>
    </row>
    <row r="11" spans="1:11" x14ac:dyDescent="0.25">
      <c r="A11" t="s">
        <v>78</v>
      </c>
      <c r="B11" t="s">
        <v>79</v>
      </c>
      <c r="D11" t="s">
        <v>80</v>
      </c>
      <c r="E11" s="86" t="str">
        <f>CONCATENATE(Table2[[#This Row],[b]],IF(Table2[[#This Row],[c]]=""," ",CONCATENATE(" ",Table2[[#This Row],[c]]," ")),Table2[[#This Row],[d]])</f>
        <v>CV SINAR CAHAYA NIRMALA BREBES</v>
      </c>
    </row>
    <row r="12" spans="1:11" x14ac:dyDescent="0.25">
      <c r="A12" t="s">
        <v>96</v>
      </c>
      <c r="B12" t="s">
        <v>81</v>
      </c>
      <c r="D12" t="s">
        <v>82</v>
      </c>
      <c r="E12" s="86" t="str">
        <f>CONCATENATE(Table2[[#This Row],[b]],IF(Table2[[#This Row],[c]]=""," ",CONCATENATE(" ",Table2[[#This Row],[c]]," ")),Table2[[#This Row],[d]])</f>
        <v>CV SUPER FANCY NUSANTARA KARANGJATI</v>
      </c>
    </row>
    <row r="13" spans="1:11" x14ac:dyDescent="0.25">
      <c r="A13" t="s">
        <v>83</v>
      </c>
      <c r="B13" t="s">
        <v>84</v>
      </c>
      <c r="D13" t="s">
        <v>85</v>
      </c>
      <c r="E13" s="86" t="str">
        <f>CONCATENATE(Table2[[#This Row],[b]],IF(Table2[[#This Row],[c]]=""," ",CONCATENATE(" ",Table2[[#This Row],[c]]," ")),Table2[[#This Row],[d]])</f>
        <v>CV GANESHA WONOSOBO</v>
      </c>
    </row>
    <row r="14" spans="1:11" x14ac:dyDescent="0.25">
      <c r="A14" t="s">
        <v>94</v>
      </c>
      <c r="B14" t="s">
        <v>62</v>
      </c>
      <c r="C14" t="s">
        <v>61</v>
      </c>
      <c r="D14" t="s">
        <v>19</v>
      </c>
      <c r="E14" s="86" t="str">
        <f>CONCATENATE(Table2[[#This Row],[b]],IF(Table2[[#This Row],[c]]=""," ",CONCATENATE(" ",Table2[[#This Row],[c]]," ")),Table2[[#This Row],[d]])</f>
        <v>CV PELITA JAYA (ANUGERAH SEJAHTERA) PURWOKERTO</v>
      </c>
    </row>
    <row r="15" spans="1:11" x14ac:dyDescent="0.25">
      <c r="A15" t="s">
        <v>97</v>
      </c>
      <c r="B15" t="s">
        <v>98</v>
      </c>
      <c r="C15" t="s">
        <v>99</v>
      </c>
      <c r="D15" t="s">
        <v>19</v>
      </c>
      <c r="E15" s="86" t="str">
        <f>CONCATENATE(Table2[[#This Row],[b]],IF(Table2[[#This Row],[c]]=""," ",CONCATENATE(" ",Table2[[#This Row],[c]]," ")),Table2[[#This Row],[d]])</f>
        <v>SANTOSO BUDIONO (  ARMADA  ) PURWOKERTO</v>
      </c>
    </row>
    <row r="16" spans="1:11" x14ac:dyDescent="0.25">
      <c r="A16" t="s">
        <v>101</v>
      </c>
      <c r="B16" t="s">
        <v>100</v>
      </c>
      <c r="D16" t="s">
        <v>19</v>
      </c>
      <c r="E16" s="86" t="str">
        <f>CONCATENATE(Table2[[#This Row],[b]],IF(Table2[[#This Row],[c]]=""," ",CONCATENATE(" ",Table2[[#This Row],[c]]," ")),Table2[[#This Row],[d]])</f>
        <v>CV  WISUDA PURWOKERTO</v>
      </c>
    </row>
    <row r="17" spans="1:5" x14ac:dyDescent="0.25">
      <c r="A17" t="s">
        <v>104</v>
      </c>
      <c r="B17" t="s">
        <v>310</v>
      </c>
      <c r="C17" t="s">
        <v>105</v>
      </c>
      <c r="D17" t="s">
        <v>106</v>
      </c>
      <c r="E17" s="86" t="str">
        <f>CONCATENATE(Table2[[#This Row],[b]],IF(Table2[[#This Row],[c]]=""," ",CONCATENATE(" ",Table2[[#This Row],[c]]," ")),Table2[[#This Row],[d]])</f>
        <v>SOEYANTO LOPULUSI ( LANCAR ) MALANG</v>
      </c>
    </row>
    <row r="18" spans="1:5" x14ac:dyDescent="0.25">
      <c r="A18" t="s">
        <v>107</v>
      </c>
      <c r="B18" t="s">
        <v>109</v>
      </c>
      <c r="D18" t="s">
        <v>108</v>
      </c>
      <c r="E18" s="86" t="str">
        <f>CONCATENATE(Table2[[#This Row],[b]],IF(Table2[[#This Row],[c]]=""," ",CONCATENATE(" ",Table2[[#This Row],[c]]," ")),Table2[[#This Row],[d]])</f>
        <v>CV TIARA SOLO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2023-02-25T08:42:17Z</dcterms:modified>
</cp:coreProperties>
</file>